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MDS\Werk\Werkmappen\Midas\Liesbeth Steenhof\overzichten\publicaties\"/>
    </mc:Choice>
  </mc:AlternateContent>
  <bookViews>
    <workbookView xWindow="0" yWindow="0" windowWidth="21570" windowHeight="9750"/>
  </bookViews>
  <sheets>
    <sheet name="augustus 2023"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2" i="2" l="1"/>
  <c r="E572" i="2"/>
  <c r="B1253" i="2"/>
  <c r="E1253" i="2"/>
  <c r="B1223" i="2"/>
  <c r="E1223" i="2"/>
  <c r="B361" i="2"/>
  <c r="E361" i="2"/>
  <c r="B1222" i="2"/>
  <c r="E1222" i="2"/>
  <c r="B455" i="2"/>
  <c r="E455" i="2"/>
  <c r="B68" i="2"/>
  <c r="E68" i="2"/>
  <c r="B1221" i="2"/>
  <c r="E1221" i="2"/>
  <c r="B1760" i="2"/>
  <c r="E1760" i="2"/>
  <c r="B1220" i="2"/>
  <c r="E1220" i="2"/>
  <c r="B1219" i="2"/>
  <c r="B1218" i="2"/>
  <c r="E1218" i="2"/>
  <c r="B171" i="2"/>
  <c r="E171" i="2"/>
  <c r="B593" i="2"/>
  <c r="E593" i="2"/>
  <c r="B67" i="2"/>
  <c r="E67" i="2"/>
  <c r="B1217" i="2"/>
  <c r="E1217" i="2"/>
  <c r="B388" i="2"/>
  <c r="E388" i="2"/>
  <c r="B77" i="2"/>
  <c r="E77" i="2"/>
  <c r="B887" i="2"/>
  <c r="E887" i="2"/>
  <c r="B328" i="2"/>
  <c r="E328" i="2"/>
  <c r="B329" i="2"/>
  <c r="E329" i="2"/>
  <c r="B322" i="2"/>
  <c r="E322" i="2"/>
  <c r="B1252" i="2"/>
  <c r="E1252" i="2"/>
  <c r="B1216" i="2"/>
  <c r="E1216" i="2"/>
  <c r="B877" i="2"/>
  <c r="E877" i="2"/>
  <c r="B321" i="2"/>
  <c r="E321" i="2"/>
  <c r="B1377" i="2"/>
  <c r="E1377" i="2"/>
  <c r="B1099" i="2"/>
  <c r="E1099" i="2"/>
  <c r="B320" i="2"/>
  <c r="E320" i="2"/>
  <c r="B1098" i="2"/>
  <c r="E1098" i="2"/>
  <c r="B911" i="2"/>
  <c r="E911" i="2"/>
  <c r="B1215" i="2"/>
  <c r="E1215" i="2"/>
  <c r="B630" i="2"/>
  <c r="E630" i="2"/>
  <c r="B876" i="2"/>
  <c r="E876" i="2"/>
  <c r="B767" i="2"/>
  <c r="E767" i="2"/>
  <c r="B768" i="2"/>
  <c r="E768" i="2"/>
  <c r="B1251" i="2"/>
  <c r="E1251" i="2"/>
  <c r="B1566" i="2"/>
  <c r="E1566" i="2"/>
  <c r="B1810" i="2"/>
  <c r="E1810" i="2"/>
  <c r="B1358" i="2"/>
  <c r="E1358" i="2"/>
  <c r="B133" i="2"/>
  <c r="E133" i="2"/>
  <c r="B134" i="2"/>
  <c r="E134" i="2"/>
  <c r="B1214" i="2"/>
  <c r="E1214" i="2"/>
  <c r="B654" i="2"/>
  <c r="E654" i="2"/>
  <c r="B653" i="2"/>
  <c r="E653" i="2"/>
  <c r="B1809" i="2"/>
  <c r="E1809" i="2"/>
  <c r="B590" i="2"/>
  <c r="E590" i="2"/>
  <c r="B66" i="2"/>
  <c r="E66" i="2"/>
  <c r="B1212" i="2"/>
  <c r="E1212" i="2"/>
  <c r="B1213" i="2"/>
  <c r="E1213" i="2"/>
  <c r="B1210" i="2"/>
  <c r="E1210" i="2"/>
  <c r="B1211" i="2"/>
  <c r="E1211" i="2"/>
  <c r="B1209" i="2"/>
  <c r="E1209" i="2"/>
  <c r="B1381" i="2"/>
  <c r="E1381" i="2"/>
  <c r="B819" i="2"/>
  <c r="E819" i="2"/>
  <c r="B100" i="2"/>
  <c r="E100" i="2"/>
  <c r="B97" i="2"/>
  <c r="E97" i="2"/>
  <c r="B98" i="2"/>
  <c r="E98" i="2"/>
  <c r="B99" i="2"/>
  <c r="E99" i="2"/>
  <c r="B96" i="2"/>
  <c r="E96" i="2"/>
  <c r="B93" i="2"/>
  <c r="E93" i="2"/>
  <c r="B95" i="2"/>
  <c r="E95" i="2"/>
  <c r="B94" i="2"/>
  <c r="E94" i="2"/>
  <c r="B92" i="2"/>
  <c r="E92" i="2"/>
  <c r="B668" i="2"/>
  <c r="E668" i="2"/>
  <c r="B667" i="2"/>
  <c r="E667" i="2"/>
  <c r="B666" i="2"/>
  <c r="E666" i="2"/>
  <c r="B125" i="2"/>
  <c r="E125" i="2"/>
  <c r="B124" i="2"/>
  <c r="E124" i="2"/>
  <c r="B123" i="2"/>
  <c r="E123" i="2"/>
  <c r="B122" i="2"/>
  <c r="E122" i="2"/>
  <c r="B1250" i="2"/>
  <c r="E1250" i="2"/>
  <c r="B360" i="2"/>
  <c r="E360" i="2"/>
  <c r="B446" i="2"/>
  <c r="E446" i="2"/>
  <c r="B65" i="2"/>
  <c r="E65" i="2"/>
  <c r="B1208" i="2"/>
  <c r="E1208" i="2"/>
  <c r="B1279" i="2"/>
  <c r="E1279" i="2"/>
  <c r="B573" i="2"/>
  <c r="E573" i="2"/>
  <c r="B574" i="2"/>
  <c r="E574" i="2"/>
  <c r="B665" i="2"/>
  <c r="E665" i="2"/>
  <c r="B766" i="2"/>
  <c r="E766" i="2"/>
  <c r="B765" i="2"/>
  <c r="E765" i="2"/>
  <c r="B338" i="2"/>
  <c r="E338" i="2"/>
  <c r="B1856" i="2"/>
  <c r="E1856" i="2"/>
  <c r="B319" i="2"/>
  <c r="E319" i="2"/>
  <c r="B874" i="2"/>
  <c r="E874" i="2"/>
  <c r="B875" i="2"/>
  <c r="E875" i="2"/>
  <c r="B872" i="2"/>
  <c r="E872" i="2"/>
  <c r="B873" i="2"/>
  <c r="E873" i="2"/>
  <c r="B636" i="2"/>
  <c r="E636" i="2"/>
  <c r="B1207" i="2"/>
  <c r="E1207" i="2"/>
  <c r="B1565" i="2"/>
  <c r="E1565" i="2"/>
  <c r="B1097" i="2"/>
  <c r="E1097" i="2"/>
  <c r="B143" i="2"/>
  <c r="E143" i="2"/>
  <c r="B563" i="2"/>
  <c r="E563" i="2"/>
  <c r="B562" i="2"/>
  <c r="E562" i="2"/>
  <c r="B561" i="2"/>
  <c r="E561" i="2"/>
  <c r="B871" i="2"/>
  <c r="E871" i="2"/>
  <c r="B618" i="2"/>
  <c r="E618" i="2"/>
  <c r="B617" i="2"/>
  <c r="E617" i="2"/>
  <c r="B1373" i="2"/>
  <c r="E1373" i="2"/>
  <c r="B208" i="2"/>
  <c r="E208" i="2"/>
  <c r="B1317" i="2"/>
  <c r="E1317" i="2"/>
  <c r="B818" i="2"/>
  <c r="E818" i="2"/>
  <c r="B1528" i="2"/>
  <c r="E1528" i="2"/>
  <c r="B1486" i="2"/>
  <c r="E1486" i="2"/>
  <c r="B725" i="2"/>
  <c r="E725" i="2"/>
  <c r="B91" i="2"/>
  <c r="E91" i="2"/>
  <c r="B764" i="2"/>
  <c r="E764" i="2"/>
  <c r="B763" i="2"/>
  <c r="E763" i="2"/>
  <c r="B116" i="2"/>
  <c r="E116" i="2"/>
  <c r="B117" i="2"/>
  <c r="E117" i="2"/>
  <c r="B359" i="2"/>
  <c r="E359" i="2"/>
  <c r="B318" i="2"/>
  <c r="E318" i="2"/>
  <c r="B578" i="2"/>
  <c r="E578" i="2"/>
  <c r="B579" i="2"/>
  <c r="E579" i="2"/>
  <c r="B577" i="2"/>
  <c r="E577" i="2"/>
  <c r="B1249" i="2"/>
  <c r="E1249" i="2"/>
  <c r="B1451" i="2"/>
  <c r="E1451" i="2"/>
  <c r="B1450" i="2"/>
  <c r="E1450" i="2"/>
  <c r="B1452" i="2"/>
  <c r="E1452" i="2"/>
  <c r="B1563" i="2"/>
  <c r="E1563" i="2"/>
  <c r="B1564" i="2"/>
  <c r="E1564" i="2"/>
  <c r="B82" i="2"/>
  <c r="E82" i="2"/>
  <c r="B64" i="2"/>
  <c r="E64" i="2"/>
  <c r="B1248" i="2"/>
  <c r="E1248" i="2"/>
  <c r="B582" i="2"/>
  <c r="E582" i="2"/>
  <c r="B1309" i="2"/>
  <c r="E1309" i="2"/>
  <c r="B1310" i="2"/>
  <c r="E1310" i="2"/>
  <c r="B190" i="2"/>
  <c r="E190" i="2"/>
  <c r="B1206" i="2"/>
  <c r="E1206" i="2"/>
  <c r="B724" i="2"/>
  <c r="E724" i="2"/>
  <c r="B723" i="2"/>
  <c r="E723" i="2"/>
  <c r="B435" i="2"/>
  <c r="E435" i="2"/>
  <c r="B115" i="2"/>
  <c r="E115" i="2"/>
  <c r="B1205" i="2"/>
  <c r="E1205" i="2"/>
  <c r="B358" i="2"/>
  <c r="E358" i="2"/>
  <c r="B1453" i="2"/>
  <c r="E1453" i="2"/>
  <c r="B1247" i="2"/>
  <c r="E1247" i="2"/>
  <c r="B884" i="2"/>
  <c r="E884" i="2"/>
  <c r="B883" i="2"/>
  <c r="E883" i="2"/>
  <c r="B882" i="2"/>
  <c r="E882" i="2"/>
  <c r="B881" i="2"/>
  <c r="E881" i="2"/>
  <c r="B880" i="2"/>
  <c r="E880" i="2"/>
  <c r="B1246" i="2"/>
  <c r="E1246" i="2"/>
  <c r="B560" i="2"/>
  <c r="E560" i="2"/>
  <c r="B1409" i="2"/>
  <c r="E1409" i="2"/>
  <c r="B1204" i="2"/>
  <c r="E1204" i="2"/>
  <c r="B114" i="2"/>
  <c r="E114" i="2"/>
  <c r="B1203" i="2"/>
  <c r="E1203" i="2"/>
  <c r="B571" i="2"/>
  <c r="E571" i="2"/>
  <c r="B74" i="2"/>
  <c r="E74" i="2"/>
  <c r="B75" i="2"/>
  <c r="E75" i="2"/>
  <c r="B76" i="2"/>
  <c r="E76" i="2"/>
  <c r="B1202" i="2"/>
  <c r="E1202" i="2"/>
  <c r="B1262" i="2"/>
  <c r="E1262" i="2"/>
  <c r="B746" i="2"/>
  <c r="E746" i="2"/>
  <c r="B396" i="2"/>
  <c r="E396" i="2"/>
  <c r="B317" i="2"/>
  <c r="E317" i="2"/>
  <c r="B445" i="2"/>
  <c r="E445" i="2"/>
  <c r="B1201" i="2"/>
  <c r="E1201" i="2"/>
  <c r="B357" i="2"/>
  <c r="E357" i="2"/>
  <c r="B140" i="2"/>
  <c r="E140" i="2"/>
  <c r="B142" i="2"/>
  <c r="E142" i="2"/>
  <c r="B1448" i="2"/>
  <c r="E1448" i="2"/>
  <c r="B1449" i="2"/>
  <c r="E1449" i="2"/>
  <c r="B163" i="2"/>
  <c r="E163" i="2"/>
  <c r="B162" i="2"/>
  <c r="E162" i="2"/>
  <c r="B569" i="2"/>
  <c r="E569" i="2"/>
  <c r="B362" i="2"/>
  <c r="E362" i="2"/>
  <c r="B1296" i="2"/>
  <c r="E1296" i="2"/>
  <c r="B1297" i="2"/>
  <c r="E1297" i="2"/>
  <c r="B1295" i="2"/>
  <c r="E1295" i="2"/>
  <c r="B870" i="2"/>
  <c r="E870" i="2"/>
  <c r="B1393" i="2"/>
  <c r="E1393" i="2"/>
  <c r="B72" i="2"/>
  <c r="E72" i="2"/>
  <c r="B73" i="2"/>
  <c r="E73" i="2"/>
  <c r="B63" i="2"/>
  <c r="E63" i="2"/>
  <c r="B62" i="2"/>
  <c r="E62" i="2"/>
  <c r="B131" i="2"/>
  <c r="E131" i="2"/>
  <c r="B61" i="2"/>
  <c r="E61" i="2"/>
  <c r="B1749" i="2"/>
  <c r="E1749" i="2"/>
  <c r="B1552" i="2"/>
  <c r="E1552" i="2"/>
  <c r="B356" i="2"/>
  <c r="E356" i="2"/>
  <c r="B1095" i="2"/>
  <c r="E1095" i="2"/>
  <c r="B1096" i="2"/>
  <c r="E1096" i="2"/>
  <c r="B1094" i="2"/>
  <c r="E1094" i="2"/>
  <c r="B969" i="2"/>
  <c r="E969" i="2"/>
  <c r="B1717" i="2"/>
  <c r="E1717" i="2"/>
  <c r="B620" i="2"/>
  <c r="E620" i="2"/>
  <c r="B141" i="2"/>
  <c r="E141" i="2"/>
  <c r="B589" i="2"/>
  <c r="E589" i="2"/>
  <c r="B1504" i="2"/>
  <c r="E1504" i="2"/>
  <c r="B189" i="2"/>
  <c r="E189" i="2"/>
  <c r="B690" i="2"/>
  <c r="E690" i="2"/>
  <c r="B161" i="2"/>
  <c r="E161" i="2"/>
  <c r="B762" i="2"/>
  <c r="E762" i="2"/>
  <c r="B722" i="2"/>
  <c r="E722" i="2"/>
  <c r="B650" i="2"/>
  <c r="E650" i="2"/>
  <c r="B638" i="2"/>
  <c r="E638" i="2"/>
  <c r="B113" i="2"/>
  <c r="E113" i="2"/>
  <c r="B1245" i="2"/>
  <c r="E1245" i="2"/>
  <c r="B355" i="2"/>
  <c r="E355" i="2"/>
  <c r="B1200" i="2"/>
  <c r="E1200" i="2"/>
  <c r="B769" i="2"/>
  <c r="E769" i="2"/>
  <c r="B1244" i="2"/>
  <c r="E1244" i="2"/>
  <c r="E1254" i="2"/>
  <c r="B1691" i="2"/>
  <c r="E1691" i="2"/>
  <c r="B1093" i="2"/>
  <c r="E1093" i="2"/>
  <c r="B1485" i="2"/>
  <c r="E1485" i="2"/>
  <c r="B81" i="2"/>
  <c r="E81" i="2"/>
  <c r="B80" i="2"/>
  <c r="E80" i="2"/>
  <c r="B79" i="2"/>
  <c r="E79" i="2"/>
  <c r="B1655" i="2"/>
  <c r="E1655" i="2"/>
  <c r="B616" i="2"/>
  <c r="E616" i="2"/>
  <c r="B1199" i="2"/>
  <c r="E1199" i="2"/>
  <c r="B845" i="2"/>
  <c r="E845" i="2"/>
  <c r="B1855" i="2"/>
  <c r="E1855" i="2"/>
  <c r="B1762" i="2"/>
  <c r="E1762" i="2"/>
  <c r="B1763" i="2"/>
  <c r="E1763" i="2"/>
  <c r="B1765" i="2"/>
  <c r="E1765" i="2"/>
  <c r="B1764" i="2"/>
  <c r="E1764" i="2"/>
  <c r="B1761" i="2"/>
  <c r="E1761" i="2"/>
  <c r="B51" i="2"/>
  <c r="E51" i="2"/>
  <c r="B50" i="2"/>
  <c r="E50" i="2"/>
  <c r="B49" i="2"/>
  <c r="E49" i="2"/>
  <c r="B52" i="2"/>
  <c r="E52" i="2"/>
  <c r="B47" i="2"/>
  <c r="E47" i="2"/>
  <c r="B58" i="2"/>
  <c r="E58" i="2"/>
  <c r="B59" i="2"/>
  <c r="E59" i="2"/>
  <c r="B44" i="2"/>
  <c r="E44" i="2"/>
  <c r="B54" i="2"/>
  <c r="E54" i="2"/>
  <c r="B48" i="2"/>
  <c r="E48" i="2"/>
  <c r="B53" i="2"/>
  <c r="E53" i="2"/>
  <c r="B60" i="2"/>
  <c r="E60" i="2"/>
  <c r="B46" i="2"/>
  <c r="E46" i="2"/>
  <c r="B45" i="2"/>
  <c r="E45" i="2"/>
  <c r="B55" i="2"/>
  <c r="E55" i="2"/>
  <c r="B56" i="2"/>
  <c r="E56" i="2"/>
  <c r="B57" i="2"/>
  <c r="E57" i="2"/>
  <c r="B1329" i="2"/>
  <c r="E1329" i="2"/>
  <c r="B1092" i="2"/>
  <c r="E1092" i="2"/>
  <c r="B758" i="2"/>
  <c r="E758" i="2"/>
  <c r="B757" i="2"/>
  <c r="E757" i="2"/>
  <c r="B759" i="2"/>
  <c r="E759" i="2"/>
  <c r="B760" i="2"/>
  <c r="E760" i="2"/>
  <c r="B761" i="2"/>
  <c r="E761" i="2"/>
  <c r="B1198" i="2"/>
  <c r="E1198" i="2"/>
  <c r="B43" i="2"/>
  <c r="E43" i="2"/>
  <c r="B1005" i="2"/>
  <c r="E1005" i="2"/>
  <c r="B340" i="2"/>
  <c r="E340" i="2"/>
  <c r="B454" i="2"/>
  <c r="E454" i="2"/>
  <c r="B683" i="2"/>
  <c r="E683" i="2"/>
  <c r="B684" i="2"/>
  <c r="E684" i="2"/>
  <c r="B339" i="2"/>
  <c r="E339" i="2"/>
  <c r="B112" i="2"/>
  <c r="E112" i="2"/>
  <c r="B354" i="2"/>
  <c r="E354" i="2"/>
  <c r="B1308" i="2"/>
  <c r="E1308" i="2"/>
  <c r="B316" i="2"/>
  <c r="E316" i="2"/>
  <c r="B844" i="2"/>
  <c r="E844" i="2"/>
  <c r="B843" i="2"/>
  <c r="E843" i="2"/>
  <c r="B968" i="2"/>
  <c r="E968" i="2"/>
  <c r="B42" i="2"/>
  <c r="E42" i="2"/>
  <c r="B1662" i="2"/>
  <c r="E1662" i="2"/>
  <c r="B188" i="2"/>
  <c r="E188" i="2"/>
  <c r="B1835" i="2"/>
  <c r="E1835" i="2"/>
  <c r="B1836" i="2"/>
  <c r="E1836" i="2"/>
  <c r="B353" i="2"/>
  <c r="E353" i="2"/>
  <c r="B139" i="2"/>
  <c r="E139" i="2"/>
  <c r="B138" i="2"/>
  <c r="E138" i="2"/>
  <c r="B1261" i="2"/>
  <c r="E1261" i="2"/>
  <c r="B1260" i="2"/>
  <c r="E1260" i="2"/>
  <c r="B1527" i="2"/>
  <c r="E1527" i="2"/>
  <c r="B326" i="2"/>
  <c r="E326" i="2"/>
  <c r="B315" i="2"/>
  <c r="E315" i="2"/>
  <c r="B314" i="2"/>
  <c r="E314" i="2"/>
  <c r="B313" i="2"/>
  <c r="E313" i="2"/>
  <c r="B160" i="2"/>
  <c r="E160" i="2"/>
  <c r="B1243" i="2"/>
  <c r="E1243" i="2"/>
  <c r="B312" i="2"/>
  <c r="E312" i="2"/>
  <c r="B1242" i="2"/>
  <c r="E1242" i="2"/>
  <c r="B398" i="2"/>
  <c r="E398" i="2"/>
  <c r="B1628" i="2"/>
  <c r="E1628" i="2"/>
  <c r="B89" i="2"/>
  <c r="E89" i="2"/>
  <c r="B90" i="2"/>
  <c r="E90" i="2"/>
  <c r="B87" i="2"/>
  <c r="E87" i="2"/>
  <c r="B88" i="2"/>
  <c r="E88" i="2"/>
  <c r="B85" i="2"/>
  <c r="E85" i="2"/>
  <c r="B86" i="2"/>
  <c r="E86" i="2"/>
  <c r="B794" i="2"/>
  <c r="E794" i="2"/>
  <c r="B795" i="2"/>
  <c r="E795" i="2"/>
  <c r="B671" i="2"/>
  <c r="E671" i="2"/>
  <c r="B670" i="2"/>
  <c r="E670" i="2"/>
  <c r="B1484" i="2"/>
  <c r="E1484" i="2"/>
  <c r="B1626" i="2"/>
  <c r="E1626" i="2"/>
  <c r="B1627" i="2"/>
  <c r="E1627" i="2"/>
  <c r="B330" i="2"/>
  <c r="E330" i="2"/>
  <c r="B352" i="2"/>
  <c r="E352" i="2"/>
  <c r="B1197" i="2"/>
  <c r="E1197" i="2"/>
  <c r="B351" i="2"/>
  <c r="E351" i="2"/>
  <c r="B886" i="2"/>
  <c r="E886" i="2"/>
  <c r="B1443" i="2"/>
  <c r="E1443" i="2"/>
  <c r="B1441" i="2"/>
  <c r="E1441" i="2"/>
  <c r="B1446" i="2"/>
  <c r="E1446" i="2"/>
  <c r="B1445" i="2"/>
  <c r="E1445" i="2"/>
  <c r="B1447" i="2"/>
  <c r="E1447" i="2"/>
  <c r="B1444" i="2"/>
  <c r="E1444" i="2"/>
  <c r="B1442" i="2"/>
  <c r="E1442" i="2"/>
  <c r="B1408" i="2"/>
  <c r="E1408" i="2"/>
  <c r="B395" i="2"/>
  <c r="E395" i="2"/>
  <c r="B394" i="2"/>
  <c r="E394" i="2"/>
  <c r="B392" i="2"/>
  <c r="E392" i="2"/>
  <c r="B393" i="2"/>
  <c r="E393" i="2"/>
  <c r="B1241" i="2"/>
  <c r="E1241" i="2"/>
  <c r="B1240" i="2"/>
  <c r="E1240" i="2"/>
  <c r="B159" i="2"/>
  <c r="E159" i="2"/>
  <c r="B204" i="2"/>
  <c r="E204" i="2"/>
  <c r="B207" i="2"/>
  <c r="E207" i="2"/>
  <c r="B206" i="2"/>
  <c r="E206" i="2"/>
  <c r="B205" i="2"/>
  <c r="E205" i="2"/>
  <c r="B1196" i="2"/>
  <c r="E1196" i="2"/>
  <c r="B1194" i="2"/>
  <c r="E1194" i="2"/>
  <c r="B1195" i="2"/>
  <c r="E1195" i="2"/>
  <c r="B1193" i="2"/>
  <c r="E1193" i="2"/>
  <c r="B1192" i="2"/>
  <c r="E1192" i="2"/>
  <c r="B615" i="2"/>
  <c r="E615" i="2"/>
  <c r="B83" i="2"/>
  <c r="E83" i="2"/>
  <c r="B84" i="2"/>
  <c r="E84" i="2"/>
  <c r="B71" i="2"/>
  <c r="E71" i="2"/>
  <c r="B70" i="2"/>
  <c r="E70" i="2"/>
  <c r="B146" i="2"/>
  <c r="E146" i="2"/>
  <c r="B145" i="2"/>
  <c r="E145" i="2"/>
  <c r="B878" i="2"/>
  <c r="E878" i="2"/>
  <c r="B879" i="2"/>
  <c r="E879" i="2"/>
  <c r="B910" i="2"/>
  <c r="E910" i="2"/>
  <c r="B78" i="2"/>
  <c r="E78" i="2"/>
  <c r="B1551" i="2"/>
  <c r="E1551" i="2"/>
  <c r="B385" i="2"/>
  <c r="E385" i="2"/>
  <c r="B1091" i="2"/>
  <c r="E1091" i="2"/>
  <c r="B187" i="2"/>
  <c r="E187" i="2"/>
  <c r="B1307" i="2"/>
  <c r="E1307" i="2"/>
  <c r="B487" i="2"/>
  <c r="E487" i="2"/>
  <c r="B158" i="2"/>
  <c r="E158" i="2"/>
  <c r="B399" i="2"/>
  <c r="E399" i="2"/>
  <c r="B964" i="2"/>
  <c r="E964" i="2"/>
  <c r="B963" i="2"/>
  <c r="E963" i="2"/>
  <c r="B967" i="2"/>
  <c r="E967" i="2"/>
  <c r="B966" i="2"/>
  <c r="E966" i="2"/>
  <c r="B965" i="2"/>
  <c r="E965" i="2"/>
  <c r="B610" i="2"/>
  <c r="B1483" i="2"/>
  <c r="E1483" i="2"/>
  <c r="B1191" i="2"/>
  <c r="E1191" i="2"/>
  <c r="B1239" i="2"/>
  <c r="E1239" i="2"/>
  <c r="B1371" i="2"/>
  <c r="E1371" i="2"/>
  <c r="B1372" i="2"/>
  <c r="E1372" i="2"/>
  <c r="B111" i="2"/>
  <c r="E111" i="2"/>
  <c r="B1407" i="2"/>
  <c r="E1407" i="2"/>
  <c r="B1278" i="2"/>
  <c r="E1278" i="2"/>
  <c r="B557" i="2"/>
  <c r="E557" i="2"/>
  <c r="B556" i="2"/>
  <c r="E556" i="2"/>
  <c r="B558" i="2"/>
  <c r="E558" i="2"/>
  <c r="B559" i="2"/>
  <c r="E559" i="2"/>
  <c r="B869" i="2"/>
  <c r="E869" i="2"/>
  <c r="B1090" i="2"/>
  <c r="E1090" i="2"/>
  <c r="B38" i="2"/>
  <c r="E38" i="2"/>
  <c r="B40" i="2"/>
  <c r="E40" i="2"/>
  <c r="B39" i="2"/>
  <c r="E39" i="2"/>
  <c r="B41" i="2"/>
  <c r="E41" i="2"/>
  <c r="B621" i="2"/>
  <c r="E621" i="2"/>
  <c r="B1259" i="2"/>
  <c r="E1259" i="2"/>
  <c r="B1190" i="2"/>
  <c r="E1190" i="2"/>
  <c r="B909" i="2"/>
  <c r="E909" i="2"/>
  <c r="B1703" i="2"/>
  <c r="E1703" i="2"/>
  <c r="B1704" i="2"/>
  <c r="E1704" i="2"/>
  <c r="B554" i="2"/>
  <c r="E554" i="2"/>
  <c r="B553" i="2"/>
  <c r="E553" i="2"/>
  <c r="B555" i="2"/>
  <c r="E555" i="2"/>
  <c r="B552" i="2"/>
  <c r="E552" i="2"/>
  <c r="B130" i="2"/>
  <c r="E130" i="2"/>
  <c r="B1380" i="2"/>
  <c r="E1380" i="2"/>
  <c r="B568" i="2"/>
  <c r="E568" i="2"/>
  <c r="B721" i="2"/>
  <c r="E721" i="2"/>
  <c r="B817" i="2"/>
  <c r="E817" i="2"/>
  <c r="B434" i="2"/>
  <c r="E434" i="2"/>
  <c r="B433" i="2"/>
  <c r="E433" i="2"/>
  <c r="B652" i="2"/>
  <c r="E652" i="2"/>
  <c r="B551" i="2"/>
  <c r="E551" i="2"/>
  <c r="B688" i="2"/>
  <c r="E688" i="2"/>
  <c r="B687" i="2"/>
  <c r="E687" i="2"/>
  <c r="B689" i="2"/>
  <c r="E689" i="2"/>
  <c r="B1622" i="2"/>
  <c r="E1622" i="2"/>
  <c r="B1624" i="2"/>
  <c r="E1624" i="2"/>
  <c r="B1625" i="2"/>
  <c r="E1625" i="2"/>
  <c r="B1621" i="2"/>
  <c r="E1621" i="2"/>
  <c r="B1623" i="2"/>
  <c r="E1623" i="2"/>
  <c r="B1743" i="2"/>
  <c r="E1743" i="2"/>
  <c r="B1744" i="2"/>
  <c r="E1744" i="2"/>
  <c r="B1745" i="2"/>
  <c r="E1745" i="2"/>
  <c r="B816" i="2"/>
  <c r="E816" i="2"/>
  <c r="B69" i="2"/>
  <c r="E69" i="2"/>
  <c r="B1187" i="2"/>
  <c r="E1187" i="2"/>
  <c r="B1189" i="2"/>
  <c r="E1189" i="2"/>
  <c r="B1188" i="2"/>
  <c r="E1188" i="2"/>
  <c r="B1186" i="2"/>
  <c r="E1186" i="2"/>
  <c r="B110" i="2"/>
  <c r="E110" i="2"/>
  <c r="B1525" i="2"/>
  <c r="E1525" i="2"/>
  <c r="B1523" i="2"/>
  <c r="E1523" i="2"/>
  <c r="B1526" i="2"/>
  <c r="E1526" i="2"/>
  <c r="B1524" i="2"/>
  <c r="E1524" i="2"/>
  <c r="B1185" i="2"/>
  <c r="E1185" i="2"/>
  <c r="B719" i="2"/>
  <c r="E719" i="2"/>
  <c r="B720" i="2"/>
  <c r="E720" i="2"/>
  <c r="B1690" i="2"/>
  <c r="E1690" i="2"/>
  <c r="B185" i="2"/>
  <c r="E185" i="2"/>
  <c r="B186" i="2"/>
  <c r="E186" i="2"/>
  <c r="E669" i="2"/>
  <c r="B664" i="2"/>
  <c r="E664" i="2"/>
  <c r="B663" i="2"/>
  <c r="E663" i="2"/>
  <c r="B661" i="2"/>
  <c r="E661" i="2"/>
  <c r="B659" i="2"/>
  <c r="E659" i="2"/>
  <c r="B662" i="2"/>
  <c r="E662" i="2"/>
  <c r="B660" i="2"/>
  <c r="E660" i="2"/>
  <c r="B311" i="2"/>
  <c r="E311" i="2"/>
  <c r="B310" i="2"/>
  <c r="E310" i="2"/>
  <c r="B309" i="2"/>
  <c r="E309" i="2"/>
  <c r="B1184" i="2"/>
  <c r="E1184" i="2"/>
  <c r="B1843" i="2"/>
  <c r="E1843" i="2"/>
  <c r="B1848" i="2"/>
  <c r="E1848" i="2"/>
  <c r="B1839" i="2"/>
  <c r="E1839" i="2"/>
  <c r="B1847" i="2"/>
  <c r="E1847" i="2"/>
  <c r="B1838" i="2"/>
  <c r="E1838" i="2"/>
  <c r="B1841" i="2"/>
  <c r="E1841" i="2"/>
  <c r="B1842" i="2"/>
  <c r="E1842" i="2"/>
  <c r="B1845" i="2"/>
  <c r="E1845" i="2"/>
  <c r="B1846" i="2"/>
  <c r="E1846" i="2"/>
  <c r="B1837" i="2"/>
  <c r="E1837" i="2"/>
  <c r="B1844" i="2"/>
  <c r="E1844" i="2"/>
  <c r="B1840" i="2"/>
  <c r="E1840" i="2"/>
  <c r="B129" i="2"/>
  <c r="E129" i="2"/>
  <c r="B109" i="2"/>
  <c r="E109" i="2"/>
  <c r="B387" i="2"/>
  <c r="E387" i="2"/>
  <c r="B157" i="2"/>
  <c r="E157" i="2"/>
  <c r="B756" i="2"/>
  <c r="E756" i="2"/>
  <c r="B432" i="2"/>
  <c r="E432" i="2"/>
  <c r="B431" i="2"/>
  <c r="E431" i="2"/>
  <c r="B308" i="2"/>
  <c r="E308" i="2"/>
  <c r="B307" i="2"/>
  <c r="E307" i="2"/>
  <c r="B1183" i="2"/>
  <c r="E1183" i="2"/>
  <c r="B1182" i="2"/>
  <c r="E1182" i="2"/>
  <c r="B1739" i="2"/>
  <c r="E1739" i="2"/>
  <c r="B1808" i="2"/>
  <c r="E1808" i="2"/>
  <c r="B1802" i="2"/>
  <c r="E1802" i="2"/>
  <c r="B1008" i="2"/>
  <c r="E1008" i="2"/>
  <c r="B868" i="2"/>
  <c r="E868" i="2"/>
  <c r="B1550" i="2"/>
  <c r="E1550" i="2"/>
  <c r="B1644" i="2"/>
  <c r="E1644" i="2"/>
  <c r="B429" i="2"/>
  <c r="E429" i="2"/>
  <c r="B430" i="2"/>
  <c r="E430" i="2"/>
  <c r="B1419" i="2"/>
  <c r="E1419" i="2"/>
  <c r="E1420" i="2"/>
  <c r="B1089" i="2"/>
  <c r="E1089" i="2"/>
  <c r="B1549" i="2"/>
  <c r="E1549" i="2"/>
  <c r="B306" i="2"/>
  <c r="E306" i="2"/>
  <c r="B375" i="2"/>
  <c r="E375" i="2"/>
  <c r="B1750" i="2"/>
  <c r="E1750" i="2"/>
  <c r="B570" i="2"/>
  <c r="E570" i="2"/>
  <c r="B108" i="2"/>
  <c r="E108" i="2"/>
  <c r="B846" i="2"/>
  <c r="E846" i="2"/>
  <c r="B566" i="2"/>
  <c r="E566" i="2"/>
  <c r="B1522" i="2"/>
  <c r="E1522" i="2"/>
  <c r="B1361" i="2"/>
  <c r="E1361" i="2"/>
  <c r="B156" i="2"/>
  <c r="E156" i="2"/>
  <c r="B1807" i="2"/>
  <c r="E1807" i="2"/>
  <c r="B155" i="2"/>
  <c r="E155" i="2"/>
  <c r="B453" i="2"/>
  <c r="E453" i="2"/>
  <c r="B1181" i="2"/>
  <c r="E1181" i="2"/>
  <c r="B165" i="2"/>
  <c r="E165" i="2"/>
  <c r="B1238" i="2"/>
  <c r="E1238" i="2"/>
  <c r="B1574" i="2"/>
  <c r="E1574" i="2"/>
  <c r="B1575" i="2"/>
  <c r="E1575" i="2"/>
  <c r="B1576" i="2"/>
  <c r="E1576" i="2"/>
  <c r="B576" i="2"/>
  <c r="E576" i="2"/>
  <c r="B575" i="2"/>
  <c r="E575" i="2"/>
  <c r="B120" i="2"/>
  <c r="E120" i="2"/>
  <c r="B119" i="2"/>
  <c r="E119" i="2"/>
  <c r="B305" i="2"/>
  <c r="E305" i="2"/>
  <c r="B1652" i="2"/>
  <c r="E1652" i="2"/>
  <c r="B1014" i="2"/>
  <c r="E1014" i="2"/>
  <c r="B37" i="2"/>
  <c r="E37" i="2"/>
  <c r="B303" i="2"/>
  <c r="E303" i="2"/>
  <c r="B304" i="2"/>
  <c r="E304" i="2"/>
  <c r="B1834" i="2"/>
  <c r="E1834" i="2"/>
  <c r="B1688" i="2"/>
  <c r="E1688" i="2"/>
  <c r="B1689" i="2"/>
  <c r="E1689" i="2"/>
  <c r="B1438" i="2"/>
  <c r="E1438" i="2"/>
  <c r="B1439" i="2"/>
  <c r="E1439" i="2"/>
  <c r="B1440" i="2"/>
  <c r="E1440" i="2"/>
  <c r="B302" i="2"/>
  <c r="E302" i="2"/>
  <c r="B1811" i="2"/>
  <c r="E1811" i="2"/>
  <c r="B649" i="2"/>
  <c r="E649" i="2"/>
  <c r="B107" i="2"/>
  <c r="E107" i="2"/>
  <c r="B1180" i="2"/>
  <c r="E1180" i="2"/>
  <c r="B154" i="2"/>
  <c r="E154" i="2"/>
  <c r="B449" i="2"/>
  <c r="E449" i="2"/>
  <c r="B628" i="2"/>
  <c r="E628" i="2"/>
  <c r="B629" i="2"/>
  <c r="E629" i="2"/>
  <c r="B1656" i="2"/>
  <c r="E1656" i="2"/>
  <c r="B1179" i="2"/>
  <c r="E1179" i="2"/>
  <c r="B1674" i="2"/>
  <c r="E1674" i="2"/>
  <c r="B184" i="2"/>
  <c r="E184" i="2"/>
  <c r="B1088" i="2"/>
  <c r="E1088" i="2"/>
  <c r="B1087" i="2"/>
  <c r="E1087" i="2"/>
  <c r="B301" i="2"/>
  <c r="E301" i="2"/>
  <c r="B300" i="2"/>
  <c r="E300" i="2"/>
  <c r="B299" i="2"/>
  <c r="E299" i="2"/>
  <c r="B298" i="2"/>
  <c r="E298" i="2"/>
  <c r="B1178" i="2"/>
  <c r="E1178" i="2"/>
  <c r="B867" i="2"/>
  <c r="E867" i="2"/>
  <c r="B613" i="2"/>
  <c r="E613" i="2"/>
  <c r="B614" i="2"/>
  <c r="E614" i="2"/>
  <c r="B350" i="2"/>
  <c r="E350" i="2"/>
  <c r="B333" i="2"/>
  <c r="E333" i="2"/>
  <c r="B337" i="2"/>
  <c r="E337" i="2"/>
  <c r="B334" i="2"/>
  <c r="E334" i="2"/>
  <c r="B336" i="2"/>
  <c r="E336" i="2"/>
  <c r="B331" i="2"/>
  <c r="E331" i="2"/>
  <c r="B335" i="2"/>
  <c r="E335" i="2"/>
  <c r="B332" i="2"/>
  <c r="E332" i="2"/>
  <c r="B384" i="2"/>
  <c r="E384" i="2"/>
  <c r="B888" i="2"/>
  <c r="E888" i="2"/>
  <c r="B745" i="2"/>
  <c r="E745" i="2"/>
  <c r="B1237" i="2"/>
  <c r="E1237" i="2"/>
  <c r="B1007" i="2"/>
  <c r="E1007" i="2"/>
  <c r="B403" i="2"/>
  <c r="E403" i="2"/>
  <c r="B1277" i="2"/>
  <c r="E1277" i="2"/>
  <c r="B1650" i="2"/>
  <c r="E1650" i="2"/>
  <c r="B1651" i="2"/>
  <c r="E1651" i="2"/>
  <c r="B609" i="2"/>
  <c r="E609" i="2"/>
  <c r="B1177" i="2"/>
  <c r="E1177" i="2"/>
  <c r="B153" i="2"/>
  <c r="E153" i="2"/>
  <c r="B201" i="2"/>
  <c r="E201" i="2"/>
  <c r="B202" i="2"/>
  <c r="E202" i="2"/>
  <c r="B203" i="2"/>
  <c r="E203" i="2"/>
  <c r="B200" i="2"/>
  <c r="E200" i="2"/>
  <c r="B1737" i="2"/>
  <c r="E1737" i="2"/>
  <c r="B1738" i="2"/>
  <c r="E1738" i="2"/>
  <c r="B648" i="2"/>
  <c r="E648" i="2"/>
  <c r="B1437" i="2"/>
  <c r="E1437" i="2"/>
  <c r="B1086" i="2"/>
  <c r="E1086" i="2"/>
  <c r="B1085" i="2"/>
  <c r="E1085" i="2"/>
  <c r="B1176" i="2"/>
  <c r="E1176" i="2"/>
  <c r="B1306" i="2"/>
  <c r="E1306" i="2"/>
  <c r="B1548" i="2"/>
  <c r="E1548" i="2"/>
  <c r="B565" i="2"/>
  <c r="E565" i="2"/>
  <c r="B1801" i="2"/>
  <c r="E1801" i="2"/>
  <c r="B1800" i="2"/>
  <c r="E1800" i="2"/>
  <c r="B1833" i="2"/>
  <c r="E1833" i="2"/>
  <c r="B1547" i="2"/>
  <c r="E1547" i="2"/>
  <c r="B402" i="2"/>
  <c r="E402" i="2"/>
  <c r="B608" i="2"/>
  <c r="E608" i="2"/>
  <c r="B1646" i="2"/>
  <c r="E1646" i="2"/>
  <c r="B1175" i="2"/>
  <c r="E1175" i="2"/>
  <c r="B737" i="2"/>
  <c r="E737" i="2"/>
  <c r="B297" i="2"/>
  <c r="E297" i="2"/>
  <c r="B451" i="2"/>
  <c r="E451" i="2"/>
  <c r="B452" i="2"/>
  <c r="E452" i="2"/>
  <c r="B985" i="2"/>
  <c r="E985" i="2"/>
  <c r="B627" i="2"/>
  <c r="E627" i="2"/>
  <c r="B1546" i="2"/>
  <c r="E1546" i="2"/>
  <c r="B885" i="2"/>
  <c r="E885" i="2"/>
  <c r="B1482" i="2"/>
  <c r="E1482" i="2"/>
  <c r="B327" i="2"/>
  <c r="E327" i="2"/>
  <c r="B294" i="2"/>
  <c r="E294" i="2"/>
  <c r="B293" i="2"/>
  <c r="E293" i="2"/>
  <c r="B296" i="2"/>
  <c r="E296" i="2"/>
  <c r="B295" i="2"/>
  <c r="E295" i="2"/>
  <c r="E164" i="2"/>
  <c r="B1533" i="2"/>
  <c r="E1533" i="2"/>
  <c r="B1537" i="2"/>
  <c r="E1537" i="2"/>
  <c r="B1536" i="2"/>
  <c r="E1536" i="2"/>
  <c r="B1538" i="2"/>
  <c r="E1538" i="2"/>
  <c r="B1535" i="2"/>
  <c r="E1535" i="2"/>
  <c r="B1534" i="2"/>
  <c r="E1534" i="2"/>
  <c r="B793" i="2"/>
  <c r="E793" i="2"/>
  <c r="B1173" i="2"/>
  <c r="E1173" i="2"/>
  <c r="B1172" i="2"/>
  <c r="E1172" i="2"/>
  <c r="B1174" i="2"/>
  <c r="E1174" i="2"/>
  <c r="B1748" i="2"/>
  <c r="E1748" i="2"/>
  <c r="B349" i="2"/>
  <c r="E349" i="2"/>
  <c r="B1171" i="2"/>
  <c r="E1171" i="2"/>
  <c r="B1083" i="2"/>
  <c r="E1083" i="2"/>
  <c r="B1084" i="2"/>
  <c r="E1084" i="2"/>
  <c r="B292" i="2"/>
  <c r="E292" i="2"/>
  <c r="B607" i="2"/>
  <c r="E607" i="2"/>
  <c r="B1545" i="2"/>
  <c r="E1545" i="2"/>
  <c r="B1170" i="2"/>
  <c r="E1170" i="2"/>
  <c r="E1225" i="2"/>
  <c r="B606" i="2"/>
  <c r="E606" i="2"/>
  <c r="B1357" i="2"/>
  <c r="E1357" i="2"/>
  <c r="B1356" i="2"/>
  <c r="E1356" i="2"/>
  <c r="B196" i="2"/>
  <c r="E196" i="2"/>
  <c r="B1436" i="2"/>
  <c r="E1436" i="2"/>
  <c r="E172" i="2"/>
  <c r="B1695" i="2"/>
  <c r="E1695" i="2"/>
  <c r="B1698" i="2"/>
  <c r="E1698" i="2"/>
  <c r="B1694" i="2"/>
  <c r="E1694" i="2"/>
  <c r="B1701" i="2"/>
  <c r="E1701" i="2"/>
  <c r="B1700" i="2"/>
  <c r="E1700" i="2"/>
  <c r="B1699" i="2"/>
  <c r="E1699" i="2"/>
  <c r="B1696" i="2"/>
  <c r="E1696" i="2"/>
  <c r="B1697" i="2"/>
  <c r="E1697" i="2"/>
  <c r="B1702" i="2"/>
  <c r="E1702" i="2"/>
  <c r="B1236" i="2"/>
  <c r="E1236" i="2"/>
  <c r="B152" i="2"/>
  <c r="E152" i="2"/>
  <c r="B1169" i="2"/>
  <c r="E1169" i="2"/>
  <c r="B1366" i="2"/>
  <c r="E1366" i="2"/>
  <c r="B1082" i="2"/>
  <c r="E1082" i="2"/>
  <c r="B1168" i="2"/>
  <c r="E1168" i="2"/>
  <c r="B1167" i="2"/>
  <c r="E1167" i="2"/>
  <c r="B291" i="2"/>
  <c r="E291" i="2"/>
  <c r="B290" i="2"/>
  <c r="E290" i="2"/>
  <c r="B908" i="2"/>
  <c r="E908" i="2"/>
  <c r="B1166" i="2"/>
  <c r="E1166" i="2"/>
  <c r="B1647" i="2"/>
  <c r="E1647" i="2"/>
  <c r="B151" i="2"/>
  <c r="E151" i="2"/>
  <c r="B1165" i="2"/>
  <c r="E1165" i="2"/>
  <c r="B150" i="2"/>
  <c r="E150" i="2"/>
  <c r="B1667" i="2"/>
  <c r="E1667" i="2"/>
  <c r="B1668" i="2"/>
  <c r="E1668" i="2"/>
  <c r="B106" i="2"/>
  <c r="E106" i="2"/>
  <c r="B1305" i="2"/>
  <c r="E1305" i="2"/>
  <c r="B1303" i="2"/>
  <c r="E1303" i="2"/>
  <c r="B1304" i="2"/>
  <c r="E1304" i="2"/>
  <c r="B1302" i="2"/>
  <c r="E1302" i="2"/>
  <c r="B550" i="2"/>
  <c r="E550" i="2"/>
  <c r="E564" i="2"/>
  <c r="B718" i="2"/>
  <c r="E718" i="2"/>
  <c r="B548" i="2"/>
  <c r="E548" i="2"/>
  <c r="B549" i="2"/>
  <c r="E549" i="2"/>
  <c r="B866" i="2"/>
  <c r="E866" i="2"/>
  <c r="B1337" i="2"/>
  <c r="E1337" i="2"/>
  <c r="B547" i="2"/>
  <c r="E547" i="2"/>
  <c r="B1081" i="2"/>
  <c r="E1081" i="2"/>
  <c r="B149" i="2"/>
  <c r="E149" i="2"/>
  <c r="B1517" i="2"/>
  <c r="E1517" i="2"/>
  <c r="B1514" i="2"/>
  <c r="E1514" i="2"/>
  <c r="B1520" i="2"/>
  <c r="E1520" i="2"/>
  <c r="B1519" i="2"/>
  <c r="E1519" i="2"/>
  <c r="B1516" i="2"/>
  <c r="E1516" i="2"/>
  <c r="B1515" i="2"/>
  <c r="E1515" i="2"/>
  <c r="B1521" i="2"/>
  <c r="E1521" i="2"/>
  <c r="B1513" i="2"/>
  <c r="E1513" i="2"/>
  <c r="B1518" i="2"/>
  <c r="E1518" i="2"/>
  <c r="B485" i="2"/>
  <c r="E485" i="2"/>
  <c r="B486" i="2"/>
  <c r="E486" i="2"/>
  <c r="B754" i="2"/>
  <c r="E754" i="2"/>
  <c r="B755" i="2"/>
  <c r="E755" i="2"/>
  <c r="B994" i="2"/>
  <c r="E994" i="2"/>
  <c r="B1003" i="2"/>
  <c r="E1003" i="2"/>
  <c r="B1000" i="2"/>
  <c r="E1000" i="2"/>
  <c r="B1004" i="2"/>
  <c r="E1004" i="2"/>
  <c r="B1002" i="2"/>
  <c r="E1002" i="2"/>
  <c r="B998" i="2"/>
  <c r="E998" i="2"/>
  <c r="B1001" i="2"/>
  <c r="E1001" i="2"/>
  <c r="B997" i="2"/>
  <c r="E997" i="2"/>
  <c r="B999" i="2"/>
  <c r="E999" i="2"/>
  <c r="B995" i="2"/>
  <c r="E995" i="2"/>
  <c r="B996" i="2"/>
  <c r="E996" i="2"/>
  <c r="B1080" i="2"/>
  <c r="E1080" i="2"/>
  <c r="B427" i="2"/>
  <c r="E427" i="2"/>
  <c r="B428" i="2"/>
  <c r="E428" i="2"/>
  <c r="B567" i="2"/>
  <c r="E567" i="2"/>
  <c r="B1032" i="2"/>
  <c r="E1032" i="2"/>
  <c r="B1758" i="2"/>
  <c r="E1758" i="2"/>
  <c r="B717" i="2"/>
  <c r="E717" i="2"/>
  <c r="B907" i="2"/>
  <c r="E907" i="2"/>
  <c r="B289" i="2"/>
  <c r="E289" i="2"/>
  <c r="B288" i="2"/>
  <c r="E288" i="2"/>
  <c r="B1374" i="2"/>
  <c r="E1374" i="2"/>
  <c r="B1375" i="2"/>
  <c r="E1375" i="2"/>
  <c r="B605" i="2"/>
  <c r="E605" i="2"/>
  <c r="B604" i="2"/>
  <c r="E604" i="2"/>
  <c r="B838" i="2"/>
  <c r="E838" i="2"/>
  <c r="B836" i="2"/>
  <c r="E836" i="2"/>
  <c r="B839" i="2"/>
  <c r="E839" i="2"/>
  <c r="B837" i="2"/>
  <c r="E837" i="2"/>
  <c r="B1300" i="2"/>
  <c r="E1300" i="2"/>
  <c r="B1301" i="2"/>
  <c r="E1301" i="2"/>
  <c r="B732" i="2"/>
  <c r="E732" i="2"/>
  <c r="B736" i="2"/>
  <c r="E736" i="2"/>
  <c r="B731" i="2"/>
  <c r="E731" i="2"/>
  <c r="B733" i="2"/>
  <c r="E733" i="2"/>
  <c r="B730" i="2"/>
  <c r="E730" i="2"/>
  <c r="B734" i="2"/>
  <c r="E734" i="2"/>
  <c r="B735" i="2"/>
  <c r="E735" i="2"/>
  <c r="B1753" i="2"/>
  <c r="E1753" i="2"/>
  <c r="B1235" i="2"/>
  <c r="E1235" i="2"/>
  <c r="B1234" i="2"/>
  <c r="E1234" i="2"/>
  <c r="B1392" i="2"/>
  <c r="E1392" i="2"/>
  <c r="B426" i="2"/>
  <c r="E426" i="2"/>
  <c r="B1164" i="2"/>
  <c r="E1164" i="2"/>
  <c r="B1163" i="2"/>
  <c r="E1163" i="2"/>
  <c r="B865" i="2"/>
  <c r="E865" i="2"/>
  <c r="B170" i="2"/>
  <c r="E170" i="2"/>
  <c r="B842" i="2"/>
  <c r="E842" i="2"/>
  <c r="B1162" i="2"/>
  <c r="E1162" i="2"/>
  <c r="B848" i="2"/>
  <c r="E848" i="2"/>
  <c r="B118" i="2"/>
  <c r="E118" i="2"/>
  <c r="B744" i="2"/>
  <c r="E744" i="2"/>
  <c r="B847" i="2"/>
  <c r="E847" i="2"/>
  <c r="B962" i="2"/>
  <c r="E962" i="2"/>
  <c r="B382" i="2"/>
  <c r="E382" i="2"/>
  <c r="B383" i="2"/>
  <c r="E383" i="2"/>
  <c r="B381" i="2"/>
  <c r="E381" i="2"/>
  <c r="E1100" i="2"/>
  <c r="B1265" i="2"/>
  <c r="E1265" i="2"/>
  <c r="B1573" i="2"/>
  <c r="E1573" i="2"/>
  <c r="B626" i="2"/>
  <c r="E626" i="2"/>
  <c r="B625" i="2"/>
  <c r="E625" i="2"/>
  <c r="B1161" i="2"/>
  <c r="E1161" i="2"/>
  <c r="B1160" i="2"/>
  <c r="E1160" i="2"/>
  <c r="B716" i="2"/>
  <c r="E716" i="2"/>
  <c r="B715" i="2"/>
  <c r="E715" i="2"/>
  <c r="B714" i="2"/>
  <c r="E714" i="2"/>
  <c r="B713" i="2"/>
  <c r="E713" i="2"/>
  <c r="B712" i="2"/>
  <c r="E712" i="2"/>
  <c r="B1799" i="2"/>
  <c r="E1799" i="2"/>
  <c r="B1770" i="2"/>
  <c r="E1770" i="2"/>
  <c r="B1771" i="2"/>
  <c r="E1771" i="2"/>
  <c r="B1769" i="2"/>
  <c r="E1769" i="2"/>
  <c r="B603" i="2"/>
  <c r="E603" i="2"/>
  <c r="B285" i="2"/>
  <c r="E285" i="2"/>
  <c r="B287" i="2"/>
  <c r="E287" i="2"/>
  <c r="B286" i="2"/>
  <c r="E286" i="2"/>
  <c r="B1159" i="2"/>
  <c r="E1159" i="2"/>
  <c r="B1654" i="2"/>
  <c r="E1654" i="2"/>
  <c r="B635" i="2"/>
  <c r="E635" i="2"/>
  <c r="B993" i="2"/>
  <c r="E993" i="2"/>
  <c r="B619" i="2"/>
  <c r="E619" i="2"/>
  <c r="B1687" i="2"/>
  <c r="E1687" i="2"/>
  <c r="B283" i="2"/>
  <c r="E283" i="2"/>
  <c r="B284" i="2"/>
  <c r="E284" i="2"/>
  <c r="B1768" i="2"/>
  <c r="E1768" i="2"/>
  <c r="B1158" i="2"/>
  <c r="E1158" i="2"/>
  <c r="B391" i="2"/>
  <c r="E391" i="2"/>
  <c r="B135" i="2"/>
  <c r="E135" i="2"/>
  <c r="B167" i="2"/>
  <c r="E167" i="2"/>
  <c r="B281" i="2"/>
  <c r="E281" i="2"/>
  <c r="B282" i="2"/>
  <c r="E282" i="2"/>
  <c r="B280" i="2"/>
  <c r="E280" i="2"/>
  <c r="B279" i="2"/>
  <c r="E279" i="2"/>
  <c r="B1157" i="2"/>
  <c r="E1157" i="2"/>
  <c r="B278" i="2"/>
  <c r="E278" i="2"/>
  <c r="B1364" i="2"/>
  <c r="E1364" i="2"/>
  <c r="B1365" i="2"/>
  <c r="E1365" i="2"/>
  <c r="B602" i="2"/>
  <c r="E602" i="2"/>
  <c r="B601" i="2"/>
  <c r="E601" i="2"/>
  <c r="B1006" i="2"/>
  <c r="E1006" i="2"/>
  <c r="B1156" i="2"/>
  <c r="E1156" i="2"/>
  <c r="B1154" i="2"/>
  <c r="E1154" i="2"/>
  <c r="B1155" i="2"/>
  <c r="E1155" i="2"/>
  <c r="B1153" i="2"/>
  <c r="E1153" i="2"/>
  <c r="B864" i="2"/>
  <c r="E864" i="2"/>
  <c r="B105" i="2"/>
  <c r="E105" i="2"/>
  <c r="B1152" i="2"/>
  <c r="E1152" i="2"/>
  <c r="B1151" i="2"/>
  <c r="E1151" i="2"/>
  <c r="B657" i="2"/>
  <c r="E657" i="2"/>
  <c r="B658" i="2"/>
  <c r="E658" i="2"/>
  <c r="B348" i="2"/>
  <c r="E348" i="2"/>
  <c r="B711" i="2"/>
  <c r="E711" i="2"/>
  <c r="B1233" i="2"/>
  <c r="E1233" i="2"/>
  <c r="B906" i="2"/>
  <c r="E906" i="2"/>
  <c r="B346" i="2"/>
  <c r="E346" i="2"/>
  <c r="B347" i="2"/>
  <c r="E347" i="2"/>
  <c r="B1150" i="2"/>
  <c r="E1150" i="2"/>
  <c r="B1232" i="2"/>
  <c r="E1232" i="2"/>
  <c r="E651" i="2"/>
  <c r="B647" i="2"/>
  <c r="E647" i="2"/>
  <c r="B646" i="2"/>
  <c r="E646" i="2"/>
  <c r="B1635" i="2"/>
  <c r="E1635" i="2"/>
  <c r="B1148" i="2"/>
  <c r="E1148" i="2"/>
  <c r="B1147" i="2"/>
  <c r="E1147" i="2"/>
  <c r="B1149" i="2"/>
  <c r="E1149" i="2"/>
  <c r="B905" i="2"/>
  <c r="E905" i="2"/>
  <c r="B104" i="2"/>
  <c r="E104" i="2"/>
  <c r="B166" i="2"/>
  <c r="E166" i="2"/>
  <c r="B645" i="2"/>
  <c r="E645" i="2"/>
  <c r="B1648" i="2"/>
  <c r="E1648" i="2"/>
  <c r="B1544" i="2"/>
  <c r="E1544" i="2"/>
  <c r="B1146" i="2"/>
  <c r="E1146" i="2"/>
  <c r="B1406" i="2"/>
  <c r="E1406" i="2"/>
  <c r="B588" i="2"/>
  <c r="E588" i="2"/>
  <c r="B374" i="2"/>
  <c r="E374" i="2"/>
  <c r="B1299" i="2"/>
  <c r="E1299" i="2"/>
  <c r="B1298" i="2"/>
  <c r="E1298" i="2"/>
  <c r="B1752" i="2"/>
  <c r="E1752" i="2"/>
  <c r="B600" i="2"/>
  <c r="E600" i="2"/>
  <c r="B656" i="2"/>
  <c r="E656" i="2"/>
  <c r="B728" i="2"/>
  <c r="E728" i="2"/>
  <c r="B729" i="2"/>
  <c r="E729" i="2"/>
  <c r="B277" i="2"/>
  <c r="E277" i="2"/>
  <c r="B276" i="2"/>
  <c r="E276" i="2"/>
  <c r="B275" i="2"/>
  <c r="E275" i="2"/>
  <c r="B961" i="2"/>
  <c r="E961" i="2"/>
  <c r="B1145" i="2"/>
  <c r="E1145" i="2"/>
  <c r="B3" i="2"/>
  <c r="E3" i="2"/>
  <c r="B1391" i="2"/>
  <c r="E1391" i="2"/>
  <c r="B624" i="2"/>
  <c r="E624" i="2"/>
  <c r="E631" i="2"/>
  <c r="B863" i="2"/>
  <c r="E863" i="2"/>
  <c r="B1079" i="2"/>
  <c r="E1079" i="2"/>
  <c r="B345" i="2"/>
  <c r="E345" i="2"/>
  <c r="B424" i="2"/>
  <c r="E424" i="2"/>
  <c r="B423" i="2"/>
  <c r="E423" i="2"/>
  <c r="B420" i="2"/>
  <c r="E420" i="2"/>
  <c r="B425" i="2"/>
  <c r="E425" i="2"/>
  <c r="B422" i="2"/>
  <c r="E422" i="2"/>
  <c r="B421" i="2"/>
  <c r="E421" i="2"/>
  <c r="B825" i="2"/>
  <c r="E825" i="2"/>
  <c r="B599" i="2"/>
  <c r="E599" i="2"/>
  <c r="B747" i="2"/>
  <c r="E747" i="2"/>
  <c r="B1143" i="2"/>
  <c r="E1143" i="2"/>
  <c r="B1144" i="2"/>
  <c r="E1144" i="2"/>
  <c r="B1140" i="2"/>
  <c r="E1140" i="2"/>
  <c r="B1141" i="2"/>
  <c r="E1141" i="2"/>
  <c r="E1224" i="2"/>
  <c r="B1142" i="2"/>
  <c r="E1142" i="2"/>
  <c r="B792" i="2"/>
  <c r="E792" i="2"/>
  <c r="B743" i="2"/>
  <c r="E743" i="2"/>
  <c r="B1139" i="2"/>
  <c r="E1139" i="2"/>
  <c r="B274" i="2"/>
  <c r="E274" i="2"/>
  <c r="B484" i="2"/>
  <c r="E484" i="2"/>
  <c r="B483" i="2"/>
  <c r="E483" i="2"/>
  <c r="B482" i="2"/>
  <c r="E482" i="2"/>
  <c r="B481" i="2"/>
  <c r="E481" i="2"/>
  <c r="B1481" i="2"/>
  <c r="E1481" i="2"/>
  <c r="B1355" i="2"/>
  <c r="E1355" i="2"/>
  <c r="B1354" i="2"/>
  <c r="E1354" i="2"/>
  <c r="B273" i="2"/>
  <c r="E273" i="2"/>
  <c r="B598" i="2"/>
  <c r="E598" i="2"/>
  <c r="B960" i="2"/>
  <c r="E960" i="2"/>
  <c r="B272" i="2"/>
  <c r="E272" i="2"/>
  <c r="B271" i="2"/>
  <c r="E271" i="2"/>
  <c r="B1230" i="2"/>
  <c r="E1230" i="2"/>
  <c r="B1231" i="2"/>
  <c r="E1231" i="2"/>
  <c r="B1378" i="2"/>
  <c r="E1378" i="2"/>
  <c r="B1379" i="2"/>
  <c r="E1379" i="2"/>
  <c r="E436" i="2"/>
  <c r="B121" i="2"/>
  <c r="E121" i="2"/>
  <c r="B1434" i="2"/>
  <c r="E1434" i="2"/>
  <c r="B1433" i="2"/>
  <c r="E1433" i="2"/>
  <c r="B1435" i="2"/>
  <c r="E1435" i="2"/>
  <c r="B791" i="2"/>
  <c r="E791" i="2"/>
  <c r="B790" i="2"/>
  <c r="E790" i="2"/>
  <c r="B1264" i="2"/>
  <c r="E1264" i="2"/>
  <c r="B1832" i="2"/>
  <c r="E1832" i="2"/>
  <c r="B1831" i="2"/>
  <c r="E1831" i="2"/>
  <c r="B1229" i="2"/>
  <c r="E1229" i="2"/>
  <c r="B1480" i="2"/>
  <c r="E1480" i="2"/>
  <c r="B1503" i="2"/>
  <c r="E1503" i="2"/>
  <c r="B1502" i="2"/>
  <c r="E1502" i="2"/>
  <c r="B270" i="2"/>
  <c r="E270" i="2"/>
  <c r="B586" i="2"/>
  <c r="E586" i="2"/>
  <c r="B587" i="2"/>
  <c r="E587" i="2"/>
  <c r="E591" i="2"/>
  <c r="B585" i="2"/>
  <c r="E585" i="2"/>
  <c r="B1432" i="2"/>
  <c r="E1432" i="2"/>
  <c r="B1314" i="2"/>
  <c r="E1314" i="2"/>
  <c r="B1315" i="2"/>
  <c r="E1315" i="2"/>
  <c r="B959" i="2"/>
  <c r="E959" i="2"/>
  <c r="B753" i="2"/>
  <c r="E753" i="2"/>
  <c r="B752" i="2"/>
  <c r="E752" i="2"/>
  <c r="B682" i="2"/>
  <c r="E682" i="2"/>
  <c r="B1680" i="2"/>
  <c r="E1680" i="2"/>
  <c r="B1682" i="2"/>
  <c r="E1682" i="2"/>
  <c r="B1685" i="2"/>
  <c r="E1685" i="2"/>
  <c r="B1686" i="2"/>
  <c r="E1686" i="2"/>
  <c r="B1681" i="2"/>
  <c r="E1681" i="2"/>
  <c r="B1683" i="2"/>
  <c r="E1683" i="2"/>
  <c r="B1684" i="2"/>
  <c r="E1684" i="2"/>
  <c r="B1330" i="2"/>
  <c r="E1330" i="2"/>
  <c r="B1078" i="2"/>
  <c r="E1078" i="2"/>
  <c r="B1077" i="2"/>
  <c r="E1077" i="2"/>
  <c r="B269" i="2"/>
  <c r="E269" i="2"/>
  <c r="B268" i="2"/>
  <c r="E268" i="2"/>
  <c r="B546" i="2"/>
  <c r="E546" i="2"/>
  <c r="B958" i="2"/>
  <c r="E958" i="2"/>
  <c r="B267" i="2"/>
  <c r="E267" i="2"/>
  <c r="B265" i="2"/>
  <c r="E265" i="2"/>
  <c r="B266" i="2"/>
  <c r="E266" i="2"/>
  <c r="B260" i="2"/>
  <c r="E260" i="2"/>
  <c r="B262" i="2"/>
  <c r="E262" i="2"/>
  <c r="B264" i="2"/>
  <c r="E264" i="2"/>
  <c r="B263" i="2"/>
  <c r="E263" i="2"/>
  <c r="B261" i="2"/>
  <c r="E261" i="2"/>
  <c r="B862" i="2"/>
  <c r="E862" i="2"/>
  <c r="B904" i="2"/>
  <c r="E904" i="2"/>
  <c r="B1138" i="2"/>
  <c r="E1138" i="2"/>
  <c r="B1562" i="2"/>
  <c r="E1562" i="2"/>
  <c r="B1561" i="2"/>
  <c r="E1561" i="2"/>
  <c r="B1560" i="2"/>
  <c r="E1560" i="2"/>
  <c r="B34" i="2"/>
  <c r="E34" i="2"/>
  <c r="B35" i="2"/>
  <c r="E35" i="2"/>
  <c r="B36" i="2"/>
  <c r="E36" i="2"/>
  <c r="B33" i="2"/>
  <c r="E33" i="2"/>
  <c r="B32" i="2"/>
  <c r="E32" i="2"/>
  <c r="B1405" i="2"/>
  <c r="E1405" i="2"/>
  <c r="B957" i="2"/>
  <c r="E957" i="2"/>
  <c r="B956" i="2"/>
  <c r="E956" i="2"/>
  <c r="B955" i="2"/>
  <c r="E955" i="2"/>
  <c r="B954" i="2"/>
  <c r="E954" i="2"/>
  <c r="B903" i="2"/>
  <c r="E903" i="2"/>
  <c r="B901" i="2"/>
  <c r="E901" i="2"/>
  <c r="B902" i="2"/>
  <c r="E902" i="2"/>
  <c r="B953" i="2"/>
  <c r="E953" i="2"/>
  <c r="B952" i="2"/>
  <c r="E952" i="2"/>
  <c r="B1137" i="2"/>
  <c r="E1137" i="2"/>
  <c r="B633" i="2"/>
  <c r="E633" i="2"/>
  <c r="B634" i="2"/>
  <c r="E634" i="2"/>
  <c r="B632" i="2"/>
  <c r="E632" i="2"/>
  <c r="E637" i="2"/>
  <c r="B259" i="2"/>
  <c r="E259" i="2"/>
  <c r="B258" i="2"/>
  <c r="E258" i="2"/>
  <c r="B900" i="2"/>
  <c r="E900" i="2"/>
  <c r="B992" i="2"/>
  <c r="E992" i="2"/>
  <c r="B991" i="2"/>
  <c r="E991" i="2"/>
  <c r="B1076" i="2"/>
  <c r="E1076" i="2"/>
  <c r="E611" i="2"/>
  <c r="E612" i="2"/>
  <c r="B710" i="2"/>
  <c r="E710" i="2"/>
  <c r="B1136" i="2"/>
  <c r="E1136" i="2"/>
  <c r="B369" i="2"/>
  <c r="E369" i="2"/>
  <c r="B370" i="2"/>
  <c r="E370" i="2"/>
  <c r="B372" i="2"/>
  <c r="E372" i="2"/>
  <c r="B373" i="2"/>
  <c r="E373" i="2"/>
  <c r="B367" i="2"/>
  <c r="E367" i="2"/>
  <c r="B371" i="2"/>
  <c r="E371" i="2"/>
  <c r="B368" i="2"/>
  <c r="E368" i="2"/>
  <c r="B1736" i="2"/>
  <c r="E1736" i="2"/>
  <c r="B1854" i="2"/>
  <c r="E1854" i="2"/>
  <c r="B1075" i="2"/>
  <c r="E1075" i="2"/>
  <c r="B1751" i="2"/>
  <c r="E1751" i="2"/>
  <c r="B1135" i="2"/>
  <c r="E1135" i="2"/>
  <c r="B1074" i="2"/>
  <c r="E1074" i="2"/>
  <c r="B742" i="2"/>
  <c r="E742" i="2"/>
  <c r="B949" i="2"/>
  <c r="E949" i="2"/>
  <c r="B950" i="2"/>
  <c r="E950" i="2"/>
  <c r="B951" i="2"/>
  <c r="E951" i="2"/>
  <c r="B915" i="2"/>
  <c r="E915" i="2"/>
  <c r="B789" i="2"/>
  <c r="E789" i="2"/>
  <c r="B788" i="2"/>
  <c r="E788" i="2"/>
  <c r="B1479" i="2"/>
  <c r="E1479" i="2"/>
  <c r="B1477" i="2"/>
  <c r="E1477" i="2"/>
  <c r="B1478" i="2"/>
  <c r="E1478" i="2"/>
  <c r="B1073" i="2"/>
  <c r="E1073" i="2"/>
  <c r="B257" i="2"/>
  <c r="E257" i="2"/>
  <c r="B709" i="2"/>
  <c r="E709" i="2"/>
  <c r="B103" i="2"/>
  <c r="E103" i="2"/>
  <c r="B787" i="2"/>
  <c r="E787" i="2"/>
  <c r="B1572" i="2"/>
  <c r="E1572" i="2"/>
  <c r="B948" i="2"/>
  <c r="E948" i="2"/>
  <c r="B899" i="2"/>
  <c r="E899" i="2"/>
  <c r="B199" i="2"/>
  <c r="E199" i="2"/>
  <c r="B1363" i="2"/>
  <c r="E1363" i="2"/>
  <c r="B256" i="2"/>
  <c r="E256" i="2"/>
  <c r="B378" i="2"/>
  <c r="E378" i="2"/>
  <c r="B379" i="2"/>
  <c r="E379" i="2"/>
  <c r="B377" i="2"/>
  <c r="E377" i="2"/>
  <c r="B947" i="2"/>
  <c r="E947" i="2"/>
  <c r="B581" i="2"/>
  <c r="E581" i="2"/>
  <c r="B1072" i="2"/>
  <c r="E1072" i="2"/>
  <c r="B1353" i="2"/>
  <c r="E1353" i="2"/>
  <c r="B786" i="2"/>
  <c r="E786" i="2"/>
  <c r="B1653" i="2"/>
  <c r="E1653" i="2"/>
  <c r="B1634" i="2"/>
  <c r="E1634" i="2"/>
  <c r="B1633" i="2"/>
  <c r="E1633" i="2"/>
  <c r="B169" i="2"/>
  <c r="E169" i="2"/>
  <c r="B168" i="2"/>
  <c r="E168" i="2"/>
  <c r="B898" i="2"/>
  <c r="E898" i="2"/>
  <c r="B1071" i="2"/>
  <c r="E1071" i="2"/>
  <c r="B344" i="2"/>
  <c r="E344" i="2"/>
  <c r="B343" i="2"/>
  <c r="E343" i="2"/>
  <c r="B1823" i="2"/>
  <c r="E1823" i="2"/>
  <c r="B1827" i="2"/>
  <c r="E1827" i="2"/>
  <c r="B1825" i="2"/>
  <c r="E1825" i="2"/>
  <c r="B1830" i="2"/>
  <c r="E1830" i="2"/>
  <c r="B1826" i="2"/>
  <c r="E1826" i="2"/>
  <c r="B1828" i="2"/>
  <c r="E1828" i="2"/>
  <c r="B1824" i="2"/>
  <c r="E1824" i="2"/>
  <c r="B1829" i="2"/>
  <c r="E1829" i="2"/>
  <c r="B102" i="2"/>
  <c r="E102" i="2"/>
  <c r="B1134" i="2"/>
  <c r="E1134" i="2"/>
  <c r="B1133" i="2"/>
  <c r="E1133" i="2"/>
  <c r="B707" i="2"/>
  <c r="E707" i="2"/>
  <c r="B708" i="2"/>
  <c r="E708" i="2"/>
  <c r="B254" i="2"/>
  <c r="E254" i="2"/>
  <c r="B255" i="2"/>
  <c r="E255" i="2"/>
  <c r="B380" i="2"/>
  <c r="E380" i="2"/>
  <c r="B785" i="2"/>
  <c r="E785" i="2"/>
  <c r="B376" i="2"/>
  <c r="E376" i="2"/>
  <c r="B198" i="2"/>
  <c r="E198" i="2"/>
  <c r="B1476" i="2"/>
  <c r="E1476" i="2"/>
  <c r="B1473" i="2"/>
  <c r="E1473" i="2"/>
  <c r="B1475" i="2"/>
  <c r="E1475" i="2"/>
  <c r="B1474" i="2"/>
  <c r="E1474" i="2"/>
  <c r="B1471" i="2"/>
  <c r="E1471" i="2"/>
  <c r="B1472" i="2"/>
  <c r="E1472" i="2"/>
  <c r="B137" i="2"/>
  <c r="E137" i="2"/>
  <c r="B136" i="2"/>
  <c r="E136" i="2"/>
  <c r="B1132" i="2"/>
  <c r="E1132" i="2"/>
  <c r="B897" i="2"/>
  <c r="E897" i="2"/>
  <c r="B1715" i="2"/>
  <c r="E1715" i="2"/>
  <c r="B1716" i="2"/>
  <c r="E1716" i="2"/>
  <c r="B1714" i="2"/>
  <c r="E1714" i="2"/>
  <c r="B252" i="2"/>
  <c r="E252" i="2"/>
  <c r="B253" i="2"/>
  <c r="E253" i="2"/>
  <c r="B251" i="2"/>
  <c r="E251" i="2"/>
  <c r="B249" i="2"/>
  <c r="E249" i="2"/>
  <c r="B250" i="2"/>
  <c r="E250" i="2"/>
  <c r="B644" i="2"/>
  <c r="E644" i="2"/>
  <c r="B643" i="2"/>
  <c r="E643" i="2"/>
  <c r="B418" i="2"/>
  <c r="E418" i="2"/>
  <c r="B417" i="2"/>
  <c r="E417" i="2"/>
  <c r="B419" i="2"/>
  <c r="E419" i="2"/>
  <c r="B841" i="2"/>
  <c r="E841" i="2"/>
  <c r="B1070" i="2"/>
  <c r="E1070" i="2"/>
  <c r="B1069" i="2"/>
  <c r="E1069" i="2"/>
  <c r="B946" i="2"/>
  <c r="E946" i="2"/>
  <c r="B1013" i="2"/>
  <c r="E1013" i="2"/>
  <c r="B1658" i="2"/>
  <c r="E1658" i="2"/>
  <c r="B1657" i="2"/>
  <c r="E1657" i="2"/>
  <c r="B1659" i="2"/>
  <c r="E1659" i="2"/>
  <c r="B1011" i="2"/>
  <c r="E1011" i="2"/>
  <c r="B416" i="2"/>
  <c r="E416" i="2"/>
  <c r="B522" i="2"/>
  <c r="E522" i="2"/>
  <c r="B524" i="2"/>
  <c r="E524" i="2"/>
  <c r="B523" i="2"/>
  <c r="E523" i="2"/>
  <c r="B526" i="2"/>
  <c r="E526" i="2"/>
  <c r="B525" i="2"/>
  <c r="E525" i="2"/>
  <c r="B528" i="2"/>
  <c r="E528" i="2"/>
  <c r="B534" i="2"/>
  <c r="E534" i="2"/>
  <c r="B533" i="2"/>
  <c r="E533" i="2"/>
  <c r="B541" i="2"/>
  <c r="E541" i="2"/>
  <c r="B544" i="2"/>
  <c r="E544" i="2"/>
  <c r="B532" i="2"/>
  <c r="E532" i="2"/>
  <c r="B531" i="2"/>
  <c r="E531" i="2"/>
  <c r="B527" i="2"/>
  <c r="E527" i="2"/>
  <c r="B543" i="2"/>
  <c r="E543" i="2"/>
  <c r="B538" i="2"/>
  <c r="E538" i="2"/>
  <c r="B539" i="2"/>
  <c r="E539" i="2"/>
  <c r="B536" i="2"/>
  <c r="E536" i="2"/>
  <c r="B530" i="2"/>
  <c r="E530" i="2"/>
  <c r="B529" i="2"/>
  <c r="E529" i="2"/>
  <c r="B540" i="2"/>
  <c r="E540" i="2"/>
  <c r="B537" i="2"/>
  <c r="E537" i="2"/>
  <c r="B535" i="2"/>
  <c r="E535" i="2"/>
  <c r="B542" i="2"/>
  <c r="E542" i="2"/>
  <c r="B545" i="2"/>
  <c r="E545" i="2"/>
  <c r="B480" i="2"/>
  <c r="E480" i="2"/>
  <c r="B1713" i="2"/>
  <c r="E1713" i="2"/>
  <c r="B1712" i="2"/>
  <c r="E1712" i="2"/>
  <c r="B1130" i="2"/>
  <c r="E1130" i="2"/>
  <c r="B1127" i="2"/>
  <c r="E1127" i="2"/>
  <c r="B1131" i="2"/>
  <c r="E1131" i="2"/>
  <c r="B1128" i="2"/>
  <c r="E1128" i="2"/>
  <c r="B1129" i="2"/>
  <c r="E1129" i="2"/>
  <c r="B861" i="2"/>
  <c r="E861" i="2"/>
  <c r="B519" i="2"/>
  <c r="E519" i="2"/>
  <c r="B521" i="2"/>
  <c r="E521" i="2"/>
  <c r="B507" i="2"/>
  <c r="E507" i="2"/>
  <c r="B520" i="2"/>
  <c r="E520" i="2"/>
  <c r="B516" i="2"/>
  <c r="E516" i="2"/>
  <c r="B508" i="2"/>
  <c r="E508" i="2"/>
  <c r="B514" i="2"/>
  <c r="E514" i="2"/>
  <c r="B518" i="2"/>
  <c r="E518" i="2"/>
  <c r="B515" i="2"/>
  <c r="E515" i="2"/>
  <c r="B513" i="2"/>
  <c r="E513" i="2"/>
  <c r="B512" i="2"/>
  <c r="E512" i="2"/>
  <c r="B509" i="2"/>
  <c r="E509" i="2"/>
  <c r="B517" i="2"/>
  <c r="E517" i="2"/>
  <c r="B511" i="2"/>
  <c r="E511" i="2"/>
  <c r="B510" i="2"/>
  <c r="E510" i="2"/>
  <c r="B247" i="2"/>
  <c r="E247" i="2"/>
  <c r="B248" i="2"/>
  <c r="E248" i="2"/>
  <c r="B1068" i="2"/>
  <c r="E1068" i="2"/>
  <c r="B1616" i="2"/>
  <c r="E1616" i="2"/>
  <c r="B1617" i="2"/>
  <c r="E1617" i="2"/>
  <c r="B726" i="2"/>
  <c r="E726" i="2"/>
  <c r="B727" i="2"/>
  <c r="E727" i="2"/>
  <c r="B1019" i="2"/>
  <c r="E1019" i="2"/>
  <c r="B1018" i="2"/>
  <c r="E1018" i="2"/>
  <c r="B197" i="2"/>
  <c r="E197" i="2"/>
  <c r="B1670" i="2"/>
  <c r="E1670" i="2"/>
  <c r="B1671" i="2"/>
  <c r="E1671" i="2"/>
  <c r="B1672" i="2"/>
  <c r="E1672" i="2"/>
  <c r="B1263" i="2"/>
  <c r="E1263" i="2"/>
  <c r="B1331" i="2"/>
  <c r="E1331" i="2"/>
  <c r="B896" i="2"/>
  <c r="E896" i="2"/>
  <c r="B945" i="2"/>
  <c r="E945" i="2"/>
  <c r="B364" i="2"/>
  <c r="E364" i="2"/>
  <c r="B366" i="2"/>
  <c r="E366" i="2"/>
  <c r="B363" i="2"/>
  <c r="E363" i="2"/>
  <c r="B365" i="2"/>
  <c r="E365" i="2"/>
  <c r="B1126" i="2"/>
  <c r="E1126" i="2"/>
  <c r="B1125" i="2"/>
  <c r="E1125" i="2"/>
  <c r="B1820" i="2"/>
  <c r="E1820" i="2"/>
  <c r="B1822" i="2"/>
  <c r="E1822" i="2"/>
  <c r="B1821" i="2"/>
  <c r="E1821" i="2"/>
  <c r="B1031" i="2"/>
  <c r="E1031" i="2"/>
  <c r="B1066" i="2"/>
  <c r="E1066" i="2"/>
  <c r="B1067" i="2"/>
  <c r="E1067" i="2"/>
  <c r="B597" i="2"/>
  <c r="E597" i="2"/>
  <c r="B784" i="2"/>
  <c r="E784" i="2"/>
  <c r="B783" i="2"/>
  <c r="E783" i="2"/>
  <c r="B246" i="2"/>
  <c r="E246" i="2"/>
  <c r="B245" i="2"/>
  <c r="E245" i="2"/>
  <c r="B1806" i="2"/>
  <c r="E1806" i="2"/>
  <c r="B782" i="2"/>
  <c r="E782" i="2"/>
  <c r="B1819" i="2"/>
  <c r="E1819" i="2"/>
  <c r="B1273" i="2"/>
  <c r="E1273" i="2"/>
  <c r="B781" i="2"/>
  <c r="E781" i="2"/>
  <c r="B623" i="2"/>
  <c r="E623" i="2"/>
  <c r="B681" i="2"/>
  <c r="E681" i="2"/>
  <c r="B1065" i="2"/>
  <c r="E1065" i="2"/>
  <c r="B1064" i="2"/>
  <c r="E1064" i="2"/>
  <c r="B1370" i="2"/>
  <c r="E1370" i="2"/>
  <c r="B1369" i="2"/>
  <c r="E1369" i="2"/>
  <c r="B1368" i="2"/>
  <c r="E1368" i="2"/>
  <c r="B1367" i="2"/>
  <c r="E1367" i="2"/>
  <c r="B390" i="2"/>
  <c r="E390" i="2"/>
  <c r="B1500" i="2"/>
  <c r="E1500" i="2"/>
  <c r="B1501" i="2"/>
  <c r="E1501" i="2"/>
  <c r="B1740" i="2"/>
  <c r="E1740" i="2"/>
  <c r="B823" i="2"/>
  <c r="E823" i="2"/>
  <c r="B824" i="2"/>
  <c r="E824" i="2"/>
  <c r="B821" i="2"/>
  <c r="E821" i="2"/>
  <c r="B822" i="2"/>
  <c r="E822" i="2"/>
  <c r="B1030" i="2"/>
  <c r="E1030" i="2"/>
  <c r="B1660" i="2"/>
  <c r="E1660" i="2"/>
  <c r="B479" i="2"/>
  <c r="E479" i="2"/>
  <c r="B478" i="2"/>
  <c r="E478" i="2"/>
  <c r="B1063" i="2"/>
  <c r="E1063" i="2"/>
  <c r="B1376" i="2"/>
  <c r="E1376" i="2"/>
  <c r="B680" i="2"/>
  <c r="E680" i="2"/>
  <c r="B675" i="2"/>
  <c r="E675" i="2"/>
  <c r="B678" i="2"/>
  <c r="E678" i="2"/>
  <c r="B679" i="2"/>
  <c r="E679" i="2"/>
  <c r="B674" i="2"/>
  <c r="E674" i="2"/>
  <c r="B677" i="2"/>
  <c r="E677" i="2"/>
  <c r="B676" i="2"/>
  <c r="E676" i="2"/>
  <c r="B673" i="2"/>
  <c r="E673" i="2"/>
  <c r="B860" i="2"/>
  <c r="E860" i="2"/>
  <c r="B859" i="2"/>
  <c r="E859" i="2"/>
  <c r="B1029" i="2"/>
  <c r="E1029" i="2"/>
  <c r="B1630" i="2"/>
  <c r="E1630" i="2"/>
  <c r="B1632" i="2"/>
  <c r="E1632" i="2"/>
  <c r="B1631" i="2"/>
  <c r="E1631" i="2"/>
  <c r="B1629" i="2"/>
  <c r="E1629" i="2"/>
  <c r="B244" i="2"/>
  <c r="E244" i="2"/>
  <c r="B1062" i="2"/>
  <c r="E1062" i="2"/>
  <c r="B31" i="2"/>
  <c r="E31" i="2"/>
  <c r="B30" i="2"/>
  <c r="E30" i="2"/>
  <c r="B1798" i="2"/>
  <c r="E1798" i="2"/>
  <c r="B594" i="2"/>
  <c r="E594" i="2"/>
  <c r="B943" i="2"/>
  <c r="E943" i="2"/>
  <c r="B944" i="2"/>
  <c r="E944" i="2"/>
  <c r="B1009" i="2"/>
  <c r="E1009" i="2"/>
  <c r="B1010" i="2"/>
  <c r="E1010" i="2"/>
  <c r="B1818" i="2"/>
  <c r="E1818" i="2"/>
  <c r="B325" i="2"/>
  <c r="E325" i="2"/>
  <c r="B243" i="2"/>
  <c r="E243" i="2"/>
  <c r="B242" i="2"/>
  <c r="E242" i="2"/>
  <c r="B1061" i="2"/>
  <c r="E1061" i="2"/>
  <c r="B1124" i="2"/>
  <c r="E1124" i="2"/>
  <c r="B1470" i="2"/>
  <c r="E1470" i="2"/>
  <c r="B1123" i="2"/>
  <c r="E1123" i="2"/>
  <c r="B1028" i="2"/>
  <c r="E1028" i="2"/>
  <c r="B1666" i="2"/>
  <c r="E1666" i="2"/>
  <c r="B1665" i="2"/>
  <c r="E1665" i="2"/>
  <c r="B1747" i="2"/>
  <c r="E1747" i="2"/>
  <c r="B1853" i="2"/>
  <c r="E1853" i="2"/>
  <c r="B1850" i="2"/>
  <c r="E1850" i="2"/>
  <c r="B506" i="2"/>
  <c r="E506" i="2"/>
  <c r="B914" i="2"/>
  <c r="E914" i="2"/>
  <c r="B913" i="2"/>
  <c r="E913" i="2"/>
  <c r="B1122" i="2"/>
  <c r="E1122" i="2"/>
  <c r="B477" i="2"/>
  <c r="E477" i="2"/>
  <c r="B476" i="2"/>
  <c r="E476" i="2"/>
  <c r="B780" i="2"/>
  <c r="E780" i="2"/>
  <c r="B450" i="2"/>
  <c r="E450" i="2"/>
  <c r="B128" i="2"/>
  <c r="E128" i="2"/>
  <c r="B505" i="2"/>
  <c r="E505" i="2"/>
  <c r="B504" i="2"/>
  <c r="E504" i="2"/>
  <c r="B503" i="2"/>
  <c r="E503" i="2"/>
  <c r="B1328" i="2"/>
  <c r="E1328" i="2"/>
  <c r="B779" i="2"/>
  <c r="E779" i="2"/>
  <c r="B415" i="2"/>
  <c r="E415" i="2"/>
  <c r="B1060" i="2"/>
  <c r="E1060" i="2"/>
  <c r="B941" i="2"/>
  <c r="E941" i="2"/>
  <c r="B942" i="2"/>
  <c r="E942" i="2"/>
  <c r="B1796" i="2"/>
  <c r="E1796" i="2"/>
  <c r="B1797" i="2"/>
  <c r="E1797" i="2"/>
  <c r="B1430" i="2"/>
  <c r="E1430" i="2"/>
  <c r="B1431" i="2"/>
  <c r="E1431" i="2"/>
  <c r="B1390" i="2"/>
  <c r="E1390" i="2"/>
  <c r="B1389" i="2"/>
  <c r="E1389" i="2"/>
  <c r="E972" i="2"/>
  <c r="B778" i="2"/>
  <c r="E778" i="2"/>
  <c r="B777" i="2"/>
  <c r="E777" i="2"/>
  <c r="B776" i="2"/>
  <c r="E776" i="2"/>
  <c r="B775" i="2"/>
  <c r="E775" i="2"/>
  <c r="B774" i="2"/>
  <c r="E774" i="2"/>
  <c r="B29" i="2"/>
  <c r="E29" i="2"/>
  <c r="B773" i="2"/>
  <c r="E773" i="2"/>
  <c r="B895" i="2"/>
  <c r="E895" i="2"/>
  <c r="B772" i="2"/>
  <c r="E772" i="2"/>
  <c r="B1620" i="2"/>
  <c r="E1620" i="2"/>
  <c r="B1017" i="2"/>
  <c r="E1017" i="2"/>
  <c r="B1016" i="2"/>
  <c r="E1016" i="2"/>
  <c r="B1015" i="2"/>
  <c r="E1015" i="2"/>
  <c r="B127" i="2"/>
  <c r="E127" i="2"/>
  <c r="B1429" i="2"/>
  <c r="E1429" i="2"/>
  <c r="B1428" i="2"/>
  <c r="E1428" i="2"/>
  <c r="B1059" i="2"/>
  <c r="E1059" i="2"/>
  <c r="B1057" i="2"/>
  <c r="E1057" i="2"/>
  <c r="B1055" i="2"/>
  <c r="E1055" i="2"/>
  <c r="B1056" i="2"/>
  <c r="E1056" i="2"/>
  <c r="B1058" i="2"/>
  <c r="E1058" i="2"/>
  <c r="B1054" i="2"/>
  <c r="E1054" i="2"/>
  <c r="B1053" i="2"/>
  <c r="E1053" i="2"/>
  <c r="B815" i="2"/>
  <c r="E815" i="2"/>
  <c r="B686" i="2"/>
  <c r="E686" i="2"/>
  <c r="B1559" i="2"/>
  <c r="E1559" i="2"/>
  <c r="B1558" i="2"/>
  <c r="E1558" i="2"/>
  <c r="B1362" i="2"/>
  <c r="E1362" i="2"/>
  <c r="B1313" i="2"/>
  <c r="E1313" i="2"/>
  <c r="B1312" i="2"/>
  <c r="E1312" i="2"/>
  <c r="B858" i="2"/>
  <c r="E858" i="2"/>
  <c r="B1336" i="2"/>
  <c r="E1336" i="2"/>
  <c r="B1052" i="2"/>
  <c r="E1052" i="2"/>
  <c r="B1051" i="2"/>
  <c r="E1051" i="2"/>
  <c r="B1050" i="2"/>
  <c r="E1050" i="2"/>
  <c r="B1049" i="2"/>
  <c r="E1049" i="2"/>
  <c r="B1794" i="2"/>
  <c r="E1794" i="2"/>
  <c r="B1793" i="2"/>
  <c r="E1793" i="2"/>
  <c r="B1792" i="2"/>
  <c r="E1792" i="2"/>
  <c r="B1795" i="2"/>
  <c r="E1795" i="2"/>
  <c r="B990" i="2"/>
  <c r="E990" i="2"/>
  <c r="B814" i="2"/>
  <c r="E814" i="2"/>
  <c r="B1048" i="2"/>
  <c r="E1048" i="2"/>
  <c r="B241" i="2"/>
  <c r="E241" i="2"/>
  <c r="B240" i="2"/>
  <c r="E240" i="2"/>
  <c r="B239" i="2"/>
  <c r="E239" i="2"/>
  <c r="B1790" i="2"/>
  <c r="E1790" i="2"/>
  <c r="B1788" i="2"/>
  <c r="E1788" i="2"/>
  <c r="B1789" i="2"/>
  <c r="E1789" i="2"/>
  <c r="B1786" i="2"/>
  <c r="E1786" i="2"/>
  <c r="B1791" i="2"/>
  <c r="E1791" i="2"/>
  <c r="B1787" i="2"/>
  <c r="E1787" i="2"/>
  <c r="B1512" i="2"/>
  <c r="E1512" i="2"/>
  <c r="B1817" i="2"/>
  <c r="E1817" i="2"/>
  <c r="B1027" i="2"/>
  <c r="E1027" i="2"/>
  <c r="B655" i="2"/>
  <c r="E655" i="2"/>
  <c r="B1270" i="2"/>
  <c r="E1270" i="2"/>
  <c r="E1271" i="2"/>
  <c r="B1746" i="2"/>
  <c r="E1746" i="2"/>
  <c r="B1047" i="2"/>
  <c r="E1047" i="2"/>
  <c r="B1693" i="2"/>
  <c r="E1693" i="2"/>
  <c r="B1816" i="2"/>
  <c r="E1816" i="2"/>
  <c r="B1121" i="2"/>
  <c r="E1121" i="2"/>
  <c r="B1120" i="2"/>
  <c r="E1120" i="2"/>
  <c r="B1258" i="2"/>
  <c r="E1258" i="2"/>
  <c r="B1257" i="2"/>
  <c r="E1257" i="2"/>
  <c r="B1256" i="2"/>
  <c r="E1256" i="2"/>
  <c r="B1815" i="2"/>
  <c r="E1815" i="2"/>
  <c r="B126" i="2"/>
  <c r="E126" i="2"/>
  <c r="B1311" i="2"/>
  <c r="E1311" i="2"/>
  <c r="B1119" i="2"/>
  <c r="E1119" i="2"/>
  <c r="B237" i="2"/>
  <c r="E237" i="2"/>
  <c r="B238" i="2"/>
  <c r="E238" i="2"/>
  <c r="B1757" i="2"/>
  <c r="E1757" i="2"/>
  <c r="B771" i="2"/>
  <c r="E771" i="2"/>
  <c r="B389" i="2"/>
  <c r="E389" i="2"/>
  <c r="E397" i="2"/>
  <c r="B813" i="2"/>
  <c r="E813" i="2"/>
  <c r="B1814" i="2"/>
  <c r="E1814" i="2"/>
  <c r="B1316" i="2"/>
  <c r="E1316" i="2"/>
  <c r="B856" i="2"/>
  <c r="E856" i="2"/>
  <c r="B857" i="2"/>
  <c r="E857" i="2"/>
  <c r="B1026" i="2"/>
  <c r="E1026" i="2"/>
  <c r="B894" i="2"/>
  <c r="E894" i="2"/>
  <c r="B1679" i="2"/>
  <c r="E1679" i="2"/>
  <c r="B812" i="2"/>
  <c r="E812" i="2"/>
  <c r="B1615" i="2"/>
  <c r="E1615" i="2"/>
  <c r="B1813" i="2"/>
  <c r="E1813" i="2"/>
  <c r="B1118" i="2"/>
  <c r="E1118" i="2"/>
  <c r="B1756" i="2"/>
  <c r="E1756" i="2"/>
  <c r="B1755" i="2"/>
  <c r="E1755" i="2"/>
  <c r="B1754" i="2"/>
  <c r="E1754" i="2"/>
  <c r="B596" i="2"/>
  <c r="E596" i="2"/>
  <c r="B1711" i="2"/>
  <c r="E1711" i="2"/>
  <c r="B1709" i="2"/>
  <c r="E1709" i="2"/>
  <c r="B1710" i="2"/>
  <c r="E1710" i="2"/>
  <c r="B1117" i="2"/>
  <c r="E1117" i="2"/>
  <c r="B101" i="2"/>
  <c r="E101" i="2"/>
  <c r="B1418" i="2"/>
  <c r="E1418" i="2"/>
  <c r="B1417" i="2"/>
  <c r="E1417" i="2"/>
  <c r="B1416" i="2"/>
  <c r="E1416" i="2"/>
  <c r="B1415" i="2"/>
  <c r="E1415" i="2"/>
  <c r="B404" i="2"/>
  <c r="E404" i="2"/>
  <c r="B855" i="2"/>
  <c r="E855" i="2"/>
  <c r="B236" i="2"/>
  <c r="E236" i="2"/>
  <c r="B235" i="2"/>
  <c r="E235" i="2"/>
  <c r="B234" i="2"/>
  <c r="E234" i="2"/>
  <c r="B940" i="2"/>
  <c r="E940" i="2"/>
  <c r="B833" i="2"/>
  <c r="E833" i="2"/>
  <c r="B835" i="2"/>
  <c r="E835" i="2"/>
  <c r="B834" i="2"/>
  <c r="E834" i="2"/>
  <c r="B832" i="2"/>
  <c r="E832" i="2"/>
  <c r="B1678" i="2"/>
  <c r="E1678" i="2"/>
  <c r="B401" i="2"/>
  <c r="E401" i="2"/>
  <c r="B400" i="2"/>
  <c r="E400" i="2"/>
  <c r="B811" i="2"/>
  <c r="E811" i="2"/>
  <c r="B1543" i="2"/>
  <c r="E1543" i="2"/>
  <c r="B1645" i="2"/>
  <c r="E1645" i="2"/>
  <c r="B810" i="2"/>
  <c r="E810" i="2"/>
  <c r="B706" i="2"/>
  <c r="E706" i="2"/>
  <c r="B1557" i="2"/>
  <c r="E1557" i="2"/>
  <c r="B1669" i="2"/>
  <c r="E1669" i="2"/>
  <c r="B1649" i="2"/>
  <c r="E1649" i="2"/>
  <c r="B444" i="2"/>
  <c r="E444" i="2"/>
  <c r="B342" i="2"/>
  <c r="E342" i="2"/>
  <c r="B341" i="2"/>
  <c r="E341" i="2"/>
  <c r="B642" i="2"/>
  <c r="E642" i="2"/>
  <c r="B695" i="2"/>
  <c r="E695" i="2"/>
  <c r="B1228" i="2"/>
  <c r="E1228" i="2"/>
  <c r="B1227" i="2"/>
  <c r="E1227" i="2"/>
  <c r="B641" i="2"/>
  <c r="E641" i="2"/>
  <c r="B640" i="2"/>
  <c r="E640" i="2"/>
  <c r="B893" i="2"/>
  <c r="E893" i="2"/>
  <c r="B1556" i="2"/>
  <c r="E1556" i="2"/>
  <c r="B1555" i="2"/>
  <c r="E1555" i="2"/>
  <c r="B1046" i="2"/>
  <c r="E1046" i="2"/>
  <c r="B148" i="2"/>
  <c r="E148" i="2"/>
  <c r="B1661" i="2"/>
  <c r="E1661" i="2"/>
  <c r="B854" i="2"/>
  <c r="E854" i="2"/>
  <c r="B1115" i="2"/>
  <c r="E1115" i="2"/>
  <c r="B1116" i="2"/>
  <c r="E1116" i="2"/>
  <c r="B233" i="2"/>
  <c r="E233" i="2"/>
  <c r="B1114" i="2"/>
  <c r="E1114" i="2"/>
  <c r="B1614" i="2"/>
  <c r="E1614" i="2"/>
  <c r="B1613" i="2"/>
  <c r="E1613" i="2"/>
  <c r="B984" i="2"/>
  <c r="E984" i="2"/>
  <c r="B1742" i="2"/>
  <c r="E1742" i="2"/>
  <c r="B1741" i="2"/>
  <c r="E1741" i="2"/>
  <c r="B770" i="2"/>
  <c r="E770" i="2"/>
  <c r="B809" i="2"/>
  <c r="E809" i="2"/>
  <c r="B892" i="2"/>
  <c r="E892" i="2"/>
  <c r="B891" i="2"/>
  <c r="E891" i="2"/>
  <c r="B890" i="2"/>
  <c r="E890" i="2"/>
  <c r="B1276" i="2"/>
  <c r="E1276" i="2"/>
  <c r="B1275" i="2"/>
  <c r="E1275" i="2"/>
  <c r="B983" i="2"/>
  <c r="E983" i="2"/>
  <c r="B853" i="2"/>
  <c r="E853" i="2"/>
  <c r="B852" i="2"/>
  <c r="E852" i="2"/>
  <c r="B685" i="2"/>
  <c r="E685" i="2"/>
  <c r="B1343" i="2"/>
  <c r="E1343" i="2"/>
  <c r="B1351" i="2"/>
  <c r="E1351" i="2"/>
  <c r="B1345" i="2"/>
  <c r="E1345" i="2"/>
  <c r="B1344" i="2"/>
  <c r="E1344" i="2"/>
  <c r="B1349" i="2"/>
  <c r="E1349" i="2"/>
  <c r="B1352" i="2"/>
  <c r="E1352" i="2"/>
  <c r="B1346" i="2"/>
  <c r="E1346" i="2"/>
  <c r="B1347" i="2"/>
  <c r="E1347" i="2"/>
  <c r="B1341" i="2"/>
  <c r="E1341" i="2"/>
  <c r="B1342" i="2"/>
  <c r="E1342" i="2"/>
  <c r="B1339" i="2"/>
  <c r="E1339" i="2"/>
  <c r="B1350" i="2"/>
  <c r="E1350" i="2"/>
  <c r="B1348" i="2"/>
  <c r="E1348" i="2"/>
  <c r="B1340" i="2"/>
  <c r="E1340" i="2"/>
  <c r="B1338" i="2"/>
  <c r="E1338" i="2"/>
  <c r="B808" i="2"/>
  <c r="E808" i="2"/>
  <c r="B807" i="2"/>
  <c r="E807" i="2"/>
  <c r="B939" i="2"/>
  <c r="E939" i="2"/>
  <c r="B938" i="2"/>
  <c r="E938" i="2"/>
  <c r="B1272" i="2"/>
  <c r="E1272" i="2"/>
  <c r="B232" i="2"/>
  <c r="E232" i="2"/>
  <c r="B806" i="2"/>
  <c r="E806" i="2"/>
  <c r="B1045" i="2"/>
  <c r="E1045" i="2"/>
  <c r="B705" i="2"/>
  <c r="E705" i="2"/>
  <c r="B2" i="2"/>
  <c r="E2" i="2"/>
  <c r="B1511" i="2"/>
  <c r="E1511" i="2"/>
  <c r="B1113" i="2"/>
  <c r="E1113" i="2"/>
  <c r="B1112" i="2"/>
  <c r="E1112" i="2"/>
  <c r="B851" i="2"/>
  <c r="E851" i="2"/>
  <c r="B805" i="2"/>
  <c r="E805" i="2"/>
  <c r="B1542" i="2"/>
  <c r="E1542" i="2"/>
  <c r="B1427" i="2"/>
  <c r="E1427" i="2"/>
  <c r="B804" i="2"/>
  <c r="E804" i="2"/>
  <c r="B231" i="2"/>
  <c r="E231" i="2"/>
  <c r="B230" i="2"/>
  <c r="E230" i="2"/>
  <c r="B229" i="2"/>
  <c r="E229" i="2"/>
  <c r="E324" i="2"/>
  <c r="B228" i="2"/>
  <c r="E228" i="2"/>
  <c r="B227" i="2"/>
  <c r="E227" i="2"/>
  <c r="B226" i="2"/>
  <c r="E226" i="2"/>
  <c r="B803" i="2"/>
  <c r="E803" i="2"/>
  <c r="B1499" i="2"/>
  <c r="E1499" i="2"/>
  <c r="B1498" i="2"/>
  <c r="E1498" i="2"/>
  <c r="B704" i="2"/>
  <c r="E704" i="2"/>
  <c r="B703" i="2"/>
  <c r="E703" i="2"/>
  <c r="B702" i="2"/>
  <c r="E702" i="2"/>
  <c r="B701" i="2"/>
  <c r="E701" i="2"/>
  <c r="B1812" i="2"/>
  <c r="E1812" i="2"/>
  <c r="B700" i="2"/>
  <c r="E700" i="2"/>
  <c r="B699" i="2"/>
  <c r="E699" i="2"/>
  <c r="B698" i="2"/>
  <c r="E698" i="2"/>
  <c r="B831" i="2"/>
  <c r="E831" i="2"/>
  <c r="B1424" i="2"/>
  <c r="E1424" i="2"/>
  <c r="B1426" i="2"/>
  <c r="E1426" i="2"/>
  <c r="B1425" i="2"/>
  <c r="E1425" i="2"/>
  <c r="B802" i="2"/>
  <c r="E802" i="2"/>
  <c r="B936" i="2"/>
  <c r="E936" i="2"/>
  <c r="B935" i="2"/>
  <c r="E935" i="2"/>
  <c r="B937" i="2"/>
  <c r="E937" i="2"/>
  <c r="B934" i="2"/>
  <c r="E934" i="2"/>
  <c r="B475" i="2"/>
  <c r="E475" i="2"/>
  <c r="B456" i="2"/>
  <c r="E456" i="2"/>
  <c r="B472" i="2"/>
  <c r="E472" i="2"/>
  <c r="B467" i="2"/>
  <c r="E467" i="2"/>
  <c r="B468" i="2"/>
  <c r="E468" i="2"/>
  <c r="B461" i="2"/>
  <c r="E461" i="2"/>
  <c r="B462" i="2"/>
  <c r="E462" i="2"/>
  <c r="B473" i="2"/>
  <c r="E473" i="2"/>
  <c r="B459" i="2"/>
  <c r="E459" i="2"/>
  <c r="B469" i="2"/>
  <c r="E469" i="2"/>
  <c r="B466" i="2"/>
  <c r="E466" i="2"/>
  <c r="B464" i="2"/>
  <c r="E464" i="2"/>
  <c r="B463" i="2"/>
  <c r="E463" i="2"/>
  <c r="B471" i="2"/>
  <c r="E471" i="2"/>
  <c r="B458" i="2"/>
  <c r="E458" i="2"/>
  <c r="B470" i="2"/>
  <c r="E470" i="2"/>
  <c r="B457" i="2"/>
  <c r="E457" i="2"/>
  <c r="B460" i="2"/>
  <c r="E460" i="2"/>
  <c r="B465" i="2"/>
  <c r="E465" i="2"/>
  <c r="B474" i="2"/>
  <c r="E474" i="2"/>
  <c r="B1294" i="2"/>
  <c r="E1294" i="2"/>
  <c r="B1287" i="2"/>
  <c r="E1287" i="2"/>
  <c r="B1285" i="2"/>
  <c r="E1285" i="2"/>
  <c r="B1288" i="2"/>
  <c r="E1288" i="2"/>
  <c r="B1293" i="2"/>
  <c r="E1293" i="2"/>
  <c r="B1283" i="2"/>
  <c r="E1283" i="2"/>
  <c r="B1286" i="2"/>
  <c r="E1286" i="2"/>
  <c r="B1292" i="2"/>
  <c r="E1292" i="2"/>
  <c r="B1291" i="2"/>
  <c r="E1291" i="2"/>
  <c r="B1290" i="2"/>
  <c r="E1290" i="2"/>
  <c r="B1289" i="2"/>
  <c r="E1289" i="2"/>
  <c r="B1284" i="2"/>
  <c r="E1284" i="2"/>
  <c r="B443" i="2"/>
  <c r="E443" i="2"/>
  <c r="B595" i="2"/>
  <c r="E595" i="2"/>
  <c r="B1571" i="2"/>
  <c r="E1571" i="2"/>
  <c r="B1570" i="2"/>
  <c r="E1570" i="2"/>
  <c r="B1569" i="2"/>
  <c r="E1569" i="2"/>
  <c r="B1612" i="2"/>
  <c r="E1612" i="2"/>
  <c r="B1469" i="2"/>
  <c r="E1469" i="2"/>
  <c r="B1468" i="2"/>
  <c r="E1468" i="2"/>
  <c r="B1568" i="2"/>
  <c r="E1568" i="2"/>
  <c r="B580" i="2"/>
  <c r="E580" i="2"/>
  <c r="B413" i="2"/>
  <c r="E413" i="2"/>
  <c r="B414" i="2"/>
  <c r="E414" i="2"/>
  <c r="B1111" i="2"/>
  <c r="E1111" i="2"/>
  <c r="B1110" i="2"/>
  <c r="E1110" i="2"/>
  <c r="B1109" i="2"/>
  <c r="E1109" i="2"/>
  <c r="B672" i="2"/>
  <c r="E672" i="2"/>
  <c r="B982" i="2"/>
  <c r="E982" i="2"/>
  <c r="B1108" i="2"/>
  <c r="E1108" i="2"/>
  <c r="B1785" i="2"/>
  <c r="E1785" i="2"/>
  <c r="B1784" i="2"/>
  <c r="E1784" i="2"/>
  <c r="B1332" i="2"/>
  <c r="E1332" i="2"/>
  <c r="B981" i="2"/>
  <c r="E981" i="2"/>
  <c r="B980" i="2"/>
  <c r="E980" i="2"/>
  <c r="B979" i="2"/>
  <c r="E979" i="2"/>
  <c r="B1012" i="2"/>
  <c r="E1012" i="2"/>
  <c r="B1664" i="2"/>
  <c r="E1664" i="2"/>
  <c r="B1255" i="2"/>
  <c r="E1255" i="2"/>
  <c r="B1107" i="2"/>
  <c r="E1107" i="2"/>
  <c r="B448" i="2"/>
  <c r="E448" i="2"/>
  <c r="B147" i="2"/>
  <c r="E147" i="2"/>
  <c r="B801" i="2"/>
  <c r="E801" i="2"/>
  <c r="B1759" i="2"/>
  <c r="E1759" i="2"/>
  <c r="B850" i="2"/>
  <c r="E850" i="2"/>
  <c r="B989" i="2"/>
  <c r="E989" i="2"/>
  <c r="B1554" i="2"/>
  <c r="E1554" i="2"/>
  <c r="B1553" i="2"/>
  <c r="E1553" i="2"/>
  <c r="B889" i="2"/>
  <c r="E889" i="2"/>
  <c r="B639" i="2"/>
  <c r="E639" i="2"/>
  <c r="B1043" i="2"/>
  <c r="E1043" i="2"/>
  <c r="B1042" i="2"/>
  <c r="E1042" i="2"/>
  <c r="B1044" i="2"/>
  <c r="E1044" i="2"/>
  <c r="B1325" i="2"/>
  <c r="E1325" i="2"/>
  <c r="B1327" i="2"/>
  <c r="E1327" i="2"/>
  <c r="B1326" i="2"/>
  <c r="E1326" i="2"/>
  <c r="B225" i="2"/>
  <c r="E225" i="2"/>
  <c r="B144" i="2"/>
  <c r="E144" i="2"/>
  <c r="B800" i="2"/>
  <c r="E800" i="2"/>
  <c r="B933" i="2"/>
  <c r="E933" i="2"/>
  <c r="B1274" i="2"/>
  <c r="E1274" i="2"/>
  <c r="B849" i="2"/>
  <c r="E849" i="2"/>
  <c r="B1041" i="2"/>
  <c r="E1041" i="2"/>
  <c r="B1567" i="2"/>
  <c r="E1567" i="2"/>
  <c r="B1783" i="2"/>
  <c r="E1783" i="2"/>
  <c r="E1803" i="2"/>
  <c r="B1782" i="2"/>
  <c r="E1782" i="2"/>
  <c r="E1804" i="2"/>
  <c r="B28" i="2"/>
  <c r="E28" i="2"/>
  <c r="B1025" i="2"/>
  <c r="E1025" i="2"/>
  <c r="B1024" i="2"/>
  <c r="E1024" i="2"/>
  <c r="B912" i="2"/>
  <c r="E912" i="2"/>
  <c r="B932" i="2"/>
  <c r="E932" i="2"/>
  <c r="B583" i="2"/>
  <c r="E583" i="2"/>
  <c r="B584" i="2"/>
  <c r="E584" i="2"/>
  <c r="B1423" i="2"/>
  <c r="E1423" i="2"/>
  <c r="B1040" i="2"/>
  <c r="E1040" i="2"/>
  <c r="B1781" i="2"/>
  <c r="E1781" i="2"/>
  <c r="B1023" i="2"/>
  <c r="E1023" i="2"/>
  <c r="E840" i="2"/>
  <c r="B1642" i="2"/>
  <c r="E1642" i="2"/>
  <c r="B1643" i="2"/>
  <c r="E1643" i="2"/>
  <c r="B1641" i="2"/>
  <c r="E1641" i="2"/>
  <c r="B182" i="2"/>
  <c r="E182" i="2"/>
  <c r="B183" i="2"/>
  <c r="E183" i="2"/>
  <c r="B931" i="2"/>
  <c r="E931" i="2"/>
  <c r="B224" i="2"/>
  <c r="E224" i="2"/>
  <c r="B1779" i="2"/>
  <c r="E1779" i="2"/>
  <c r="B1780" i="2"/>
  <c r="E1780" i="2"/>
  <c r="B1778" i="2"/>
  <c r="E1778" i="2"/>
  <c r="B697" i="2"/>
  <c r="E697" i="2"/>
  <c r="B696" i="2"/>
  <c r="E696" i="2"/>
  <c r="B830" i="2"/>
  <c r="E830" i="2"/>
  <c r="B829" i="2"/>
  <c r="E829" i="2"/>
  <c r="B828" i="2"/>
  <c r="E828" i="2"/>
  <c r="B827" i="2"/>
  <c r="E827" i="2"/>
  <c r="B826" i="2"/>
  <c r="E826" i="2"/>
  <c r="B928" i="2"/>
  <c r="E928" i="2"/>
  <c r="B930" i="2"/>
  <c r="E930" i="2"/>
  <c r="B929" i="2"/>
  <c r="E929" i="2"/>
  <c r="B927" i="2"/>
  <c r="E927" i="2"/>
  <c r="B926" i="2"/>
  <c r="E926" i="2"/>
  <c r="B1022" i="2"/>
  <c r="E1022" i="2"/>
  <c r="B1467" i="2"/>
  <c r="E1467" i="2"/>
  <c r="B1466" i="2"/>
  <c r="E1466" i="2"/>
  <c r="B1465" i="2"/>
  <c r="E1465" i="2"/>
  <c r="B409" i="2"/>
  <c r="E409" i="2"/>
  <c r="B412" i="2"/>
  <c r="E412" i="2"/>
  <c r="B411" i="2"/>
  <c r="E411" i="2"/>
  <c r="B410" i="2"/>
  <c r="E410" i="2"/>
  <c r="B502" i="2"/>
  <c r="E502" i="2"/>
  <c r="B1735" i="2"/>
  <c r="E1735" i="2"/>
  <c r="B1734" i="2"/>
  <c r="E1734" i="2"/>
  <c r="B1733" i="2"/>
  <c r="E1733" i="2"/>
  <c r="B1732" i="2"/>
  <c r="E1732" i="2"/>
  <c r="B1731" i="2"/>
  <c r="E1731" i="2"/>
  <c r="B1730" i="2"/>
  <c r="E1730" i="2"/>
  <c r="B1729" i="2"/>
  <c r="E1729" i="2"/>
  <c r="B1728" i="2"/>
  <c r="E1728" i="2"/>
  <c r="B1727" i="2"/>
  <c r="E1727" i="2"/>
  <c r="B1726" i="2"/>
  <c r="E1726" i="2"/>
  <c r="B1724" i="2"/>
  <c r="E1724" i="2"/>
  <c r="B1725" i="2"/>
  <c r="E1725" i="2"/>
  <c r="B1723" i="2"/>
  <c r="E1723" i="2"/>
  <c r="B21" i="2"/>
  <c r="E21" i="2"/>
  <c r="B11" i="2"/>
  <c r="E11" i="2"/>
  <c r="B18" i="2"/>
  <c r="E18" i="2"/>
  <c r="B23" i="2"/>
  <c r="E23" i="2"/>
  <c r="B8" i="2"/>
  <c r="E8" i="2"/>
  <c r="B9" i="2"/>
  <c r="E9" i="2"/>
  <c r="B22" i="2"/>
  <c r="E22" i="2"/>
  <c r="B6" i="2"/>
  <c r="E6" i="2"/>
  <c r="B12" i="2"/>
  <c r="E12" i="2"/>
  <c r="B7" i="2"/>
  <c r="E7" i="2"/>
  <c r="B5" i="2"/>
  <c r="E5" i="2"/>
  <c r="B4" i="2"/>
  <c r="E4" i="2"/>
  <c r="B13" i="2"/>
  <c r="E13" i="2"/>
  <c r="B27" i="2"/>
  <c r="E27" i="2"/>
  <c r="B24" i="2"/>
  <c r="E24" i="2"/>
  <c r="B20" i="2"/>
  <c r="E20" i="2"/>
  <c r="B17" i="2"/>
  <c r="E17" i="2"/>
  <c r="B15" i="2"/>
  <c r="E15" i="2"/>
  <c r="B19" i="2"/>
  <c r="E19" i="2"/>
  <c r="B16" i="2"/>
  <c r="E16" i="2"/>
  <c r="B26" i="2"/>
  <c r="E26" i="2"/>
  <c r="B25" i="2"/>
  <c r="E25" i="2"/>
  <c r="B14" i="2"/>
  <c r="E14" i="2"/>
  <c r="B10" i="2"/>
  <c r="E10" i="2"/>
  <c r="B1039" i="2"/>
  <c r="E1039" i="2"/>
  <c r="B1038" i="2"/>
  <c r="E1038" i="2"/>
  <c r="B1037" i="2"/>
  <c r="E1037" i="2"/>
  <c r="B1036" i="2"/>
  <c r="E1036" i="2"/>
  <c r="B1035" i="2"/>
  <c r="E1035" i="2"/>
  <c r="B1034" i="2"/>
  <c r="E1034" i="2"/>
  <c r="B1324" i="2"/>
  <c r="E1324" i="2"/>
  <c r="B1323" i="2"/>
  <c r="E1323" i="2"/>
  <c r="B1322" i="2"/>
  <c r="E1322" i="2"/>
  <c r="B1321" i="2"/>
  <c r="E1321" i="2"/>
  <c r="B1320" i="2"/>
  <c r="E1320" i="2"/>
  <c r="B1319" i="2"/>
  <c r="E1319" i="2"/>
  <c r="B181" i="2"/>
  <c r="E181" i="2"/>
  <c r="B180" i="2"/>
  <c r="E180" i="2"/>
  <c r="B1663" i="2"/>
  <c r="E1663" i="2"/>
  <c r="B1619" i="2"/>
  <c r="E1619" i="2"/>
  <c r="B1106" i="2"/>
  <c r="E1106" i="2"/>
  <c r="B1105" i="2"/>
  <c r="E1105" i="2"/>
  <c r="B386" i="2"/>
  <c r="E386" i="2"/>
  <c r="B442" i="2"/>
  <c r="E442" i="2"/>
  <c r="B441" i="2"/>
  <c r="E441" i="2"/>
  <c r="B440" i="2"/>
  <c r="E440" i="2"/>
  <c r="B439" i="2"/>
  <c r="E439" i="2"/>
  <c r="B438" i="2"/>
  <c r="E438" i="2"/>
  <c r="B437" i="2"/>
  <c r="E437" i="2"/>
  <c r="B1692" i="2"/>
  <c r="E1692" i="2"/>
  <c r="B1422" i="2"/>
  <c r="E1422" i="2"/>
  <c r="B988" i="2"/>
  <c r="E988" i="2"/>
  <c r="B987" i="2"/>
  <c r="E987" i="2"/>
  <c r="B986" i="2"/>
  <c r="E986" i="2"/>
  <c r="B799" i="2"/>
  <c r="E799" i="2"/>
  <c r="B798" i="2"/>
  <c r="E798" i="2"/>
  <c r="B797" i="2"/>
  <c r="E797" i="2"/>
  <c r="B796" i="2"/>
  <c r="E796" i="2"/>
  <c r="B1708" i="2"/>
  <c r="E1708" i="2"/>
  <c r="B1494" i="2"/>
  <c r="E1494" i="2"/>
  <c r="B1493" i="2"/>
  <c r="E1493" i="2"/>
  <c r="B1496" i="2"/>
  <c r="E1496" i="2"/>
  <c r="B1495" i="2"/>
  <c r="E1495" i="2"/>
  <c r="B1497" i="2"/>
  <c r="E1497" i="2"/>
  <c r="B1492" i="2"/>
  <c r="E1492" i="2"/>
  <c r="B1103" i="2"/>
  <c r="E1103" i="2"/>
  <c r="B1104" i="2"/>
  <c r="E1104" i="2"/>
  <c r="B1777" i="2"/>
  <c r="E1777" i="2"/>
  <c r="B1510" i="2"/>
  <c r="E1510" i="2"/>
  <c r="B1491" i="2"/>
  <c r="E1491" i="2"/>
  <c r="B1490" i="2"/>
  <c r="E1490" i="2"/>
  <c r="B1489" i="2"/>
  <c r="E1489" i="2"/>
  <c r="B1488" i="2"/>
  <c r="E1488" i="2"/>
  <c r="B1487" i="2"/>
  <c r="E1487" i="2"/>
  <c r="B820" i="2"/>
  <c r="E820" i="2"/>
  <c r="B1226" i="2"/>
  <c r="E1226" i="2"/>
  <c r="B1318" i="2"/>
  <c r="E1318" i="2"/>
  <c r="B447" i="2"/>
  <c r="E447" i="2"/>
  <c r="B1677" i="2"/>
  <c r="E1677" i="2"/>
  <c r="B1676" i="2"/>
  <c r="E1676" i="2"/>
  <c r="B751" i="2"/>
  <c r="E751" i="2"/>
  <c r="B749" i="2"/>
  <c r="E749" i="2"/>
  <c r="B748" i="2"/>
  <c r="E748" i="2"/>
  <c r="B750" i="2"/>
  <c r="E750" i="2"/>
  <c r="B1766" i="2"/>
  <c r="E1766" i="2"/>
  <c r="B1767" i="2"/>
  <c r="E1767" i="2"/>
  <c r="B192" i="2"/>
  <c r="E192" i="2"/>
  <c r="B195" i="2"/>
  <c r="E195" i="2"/>
  <c r="B194" i="2"/>
  <c r="E194" i="2"/>
  <c r="B193" i="2"/>
  <c r="E193" i="2"/>
  <c r="B191" i="2"/>
  <c r="E191" i="2"/>
  <c r="B925" i="2"/>
  <c r="E925" i="2"/>
  <c r="B924" i="2"/>
  <c r="E924" i="2"/>
  <c r="B923" i="2"/>
  <c r="E923" i="2"/>
  <c r="B922" i="2"/>
  <c r="E922" i="2"/>
  <c r="E1618" i="2"/>
  <c r="B1611" i="2"/>
  <c r="E1611" i="2"/>
  <c r="B1610" i="2"/>
  <c r="E1610" i="2"/>
  <c r="B1609" i="2"/>
  <c r="E1609" i="2"/>
  <c r="B1608" i="2"/>
  <c r="E1608" i="2"/>
  <c r="B1607" i="2"/>
  <c r="E1607" i="2"/>
  <c r="B1639" i="2"/>
  <c r="E1639" i="2"/>
  <c r="B1640" i="2"/>
  <c r="E1640" i="2"/>
  <c r="B1636" i="2"/>
  <c r="E1636" i="2"/>
  <c r="B1637" i="2"/>
  <c r="E1637" i="2"/>
  <c r="B1638" i="2"/>
  <c r="E1638" i="2"/>
  <c r="B1776" i="2"/>
  <c r="E1776" i="2"/>
  <c r="B179" i="2"/>
  <c r="E179" i="2"/>
  <c r="B178" i="2"/>
  <c r="E178" i="2"/>
  <c r="B177" i="2"/>
  <c r="E177" i="2"/>
  <c r="B1414" i="2"/>
  <c r="E1414" i="2"/>
  <c r="B1413" i="2"/>
  <c r="E1413" i="2"/>
  <c r="B1412" i="2"/>
  <c r="E1412" i="2"/>
  <c r="B978" i="2"/>
  <c r="E978" i="2"/>
  <c r="B693" i="2"/>
  <c r="E693" i="2"/>
  <c r="B694" i="2"/>
  <c r="E694" i="2"/>
  <c r="B692" i="2"/>
  <c r="E692" i="2"/>
  <c r="B691" i="2"/>
  <c r="E691" i="2"/>
  <c r="B741" i="2"/>
  <c r="E741" i="2"/>
  <c r="B740" i="2"/>
  <c r="E740" i="2"/>
  <c r="B738" i="2"/>
  <c r="E738" i="2"/>
  <c r="B739" i="2"/>
  <c r="E739" i="2"/>
  <c r="B1722" i="2"/>
  <c r="E1722" i="2"/>
  <c r="B1721" i="2"/>
  <c r="E1721" i="2"/>
  <c r="B1720" i="2"/>
  <c r="E1720" i="2"/>
  <c r="B1719" i="2"/>
  <c r="E1719" i="2"/>
  <c r="B1718" i="2"/>
  <c r="E1718" i="2"/>
  <c r="B1509" i="2"/>
  <c r="E1509" i="2"/>
  <c r="B1508" i="2"/>
  <c r="E1508" i="2"/>
  <c r="B1507" i="2"/>
  <c r="E1507" i="2"/>
  <c r="B1506" i="2"/>
  <c r="E1506" i="2"/>
  <c r="B622" i="2"/>
  <c r="E622" i="2"/>
  <c r="B1675" i="2"/>
  <c r="E1675" i="2"/>
  <c r="B1282" i="2"/>
  <c r="E1282" i="2"/>
  <c r="B1388" i="2"/>
  <c r="E1388" i="2"/>
  <c r="B1707" i="2"/>
  <c r="E1707" i="2"/>
  <c r="B1706" i="2"/>
  <c r="E1706" i="2"/>
  <c r="B1033" i="2"/>
  <c r="E1033" i="2"/>
  <c r="B1421" i="2"/>
  <c r="E1421" i="2"/>
  <c r="B1606" i="2"/>
  <c r="E1606" i="2"/>
  <c r="B1605" i="2"/>
  <c r="E1605" i="2"/>
  <c r="B1600" i="2"/>
  <c r="E1600" i="2"/>
  <c r="B1599" i="2"/>
  <c r="E1599" i="2"/>
  <c r="B1604" i="2"/>
  <c r="E1604" i="2"/>
  <c r="B1603" i="2"/>
  <c r="E1603" i="2"/>
  <c r="B1602" i="2"/>
  <c r="E1602" i="2"/>
  <c r="B1601" i="2"/>
  <c r="E1601" i="2"/>
  <c r="B1598" i="2"/>
  <c r="E1598" i="2"/>
  <c r="B1597" i="2"/>
  <c r="E1597" i="2"/>
  <c r="B1596" i="2"/>
  <c r="E1596" i="2"/>
  <c r="B501" i="2"/>
  <c r="E501" i="2"/>
  <c r="B500" i="2"/>
  <c r="E500" i="2"/>
  <c r="B499" i="2"/>
  <c r="E499" i="2"/>
  <c r="B498" i="2"/>
  <c r="E498" i="2"/>
  <c r="E971" i="2"/>
  <c r="E970" i="2"/>
  <c r="B921" i="2"/>
  <c r="E921" i="2"/>
  <c r="B495" i="2"/>
  <c r="E495" i="2"/>
  <c r="B494" i="2"/>
  <c r="E494" i="2"/>
  <c r="B493" i="2"/>
  <c r="E493" i="2"/>
  <c r="B492" i="2"/>
  <c r="E492" i="2"/>
  <c r="B490" i="2"/>
  <c r="E490" i="2"/>
  <c r="B488" i="2"/>
  <c r="E488" i="2"/>
  <c r="B491" i="2"/>
  <c r="E491" i="2"/>
  <c r="B497" i="2"/>
  <c r="E497" i="2"/>
  <c r="B496" i="2"/>
  <c r="E496" i="2"/>
  <c r="B489" i="2"/>
  <c r="E489" i="2"/>
  <c r="B1464" i="2"/>
  <c r="E1464" i="2"/>
  <c r="B1463" i="2"/>
  <c r="E1463" i="2"/>
  <c r="B1462" i="2"/>
  <c r="E1462" i="2"/>
  <c r="B1461" i="2"/>
  <c r="E1461" i="2"/>
  <c r="B1460" i="2"/>
  <c r="E1460" i="2"/>
  <c r="B1459" i="2"/>
  <c r="E1459" i="2"/>
  <c r="B1458" i="2"/>
  <c r="E1458" i="2"/>
  <c r="B1457" i="2"/>
  <c r="E1457" i="2"/>
  <c r="B1456" i="2"/>
  <c r="E1456" i="2"/>
  <c r="B1455" i="2"/>
  <c r="E1455" i="2"/>
  <c r="B1805" i="2"/>
  <c r="E1805" i="2"/>
  <c r="B977" i="2"/>
  <c r="E977" i="2"/>
  <c r="B976" i="2"/>
  <c r="E976" i="2"/>
  <c r="B920" i="2"/>
  <c r="E920" i="2"/>
  <c r="B1595" i="2"/>
  <c r="E1595" i="2"/>
  <c r="B1594" i="2"/>
  <c r="E1594" i="2"/>
  <c r="B1593" i="2"/>
  <c r="E1593" i="2"/>
  <c r="B1592" i="2"/>
  <c r="E1592" i="2"/>
  <c r="B1591" i="2"/>
  <c r="E1591" i="2"/>
  <c r="B1590" i="2"/>
  <c r="E1590" i="2"/>
  <c r="B1589" i="2"/>
  <c r="E1589" i="2"/>
  <c r="B1588" i="2"/>
  <c r="E1588" i="2"/>
  <c r="B1587" i="2"/>
  <c r="E1587" i="2"/>
  <c r="B1586" i="2"/>
  <c r="E1586" i="2"/>
  <c r="B1585" i="2"/>
  <c r="E1585" i="2"/>
  <c r="B1384" i="2"/>
  <c r="E1384" i="2"/>
  <c r="B1387" i="2"/>
  <c r="E1387" i="2"/>
  <c r="B1385" i="2"/>
  <c r="E1385" i="2"/>
  <c r="B1386" i="2"/>
  <c r="E1386" i="2"/>
  <c r="E592" i="2"/>
  <c r="B1021" i="2"/>
  <c r="E1021" i="2"/>
  <c r="B1020" i="2"/>
  <c r="E1020" i="2"/>
  <c r="B223" i="2"/>
  <c r="E223" i="2"/>
  <c r="B222" i="2"/>
  <c r="E222" i="2"/>
  <c r="B221" i="2"/>
  <c r="E221" i="2"/>
  <c r="B220" i="2"/>
  <c r="E220" i="2"/>
  <c r="E323" i="2"/>
  <c r="B219" i="2"/>
  <c r="E219" i="2"/>
  <c r="B218" i="2"/>
  <c r="E218" i="2"/>
  <c r="B217" i="2"/>
  <c r="E217" i="2"/>
  <c r="B1404" i="2"/>
  <c r="E1404" i="2"/>
  <c r="B176" i="2"/>
  <c r="E176" i="2"/>
  <c r="B175" i="2"/>
  <c r="E175" i="2"/>
  <c r="B174" i="2"/>
  <c r="E174" i="2"/>
  <c r="B919" i="2"/>
  <c r="E919" i="2"/>
  <c r="B918" i="2"/>
  <c r="E918" i="2"/>
  <c r="B1403" i="2"/>
  <c r="E1403" i="2"/>
  <c r="B408" i="2"/>
  <c r="E408" i="2"/>
  <c r="B407" i="2"/>
  <c r="E407" i="2"/>
  <c r="B406" i="2"/>
  <c r="E406" i="2"/>
  <c r="B405" i="2"/>
  <c r="E405" i="2"/>
  <c r="B216" i="2"/>
  <c r="E216" i="2"/>
  <c r="B215" i="2"/>
  <c r="E215" i="2"/>
  <c r="B214" i="2"/>
  <c r="E214" i="2"/>
  <c r="B213" i="2"/>
  <c r="E213" i="2"/>
  <c r="B211" i="2"/>
  <c r="E211" i="2"/>
  <c r="B212" i="2"/>
  <c r="E212" i="2"/>
  <c r="B210" i="2"/>
  <c r="E210" i="2"/>
  <c r="B209" i="2"/>
  <c r="E209" i="2"/>
  <c r="B1584" i="2"/>
  <c r="E1584" i="2"/>
  <c r="B1583" i="2"/>
  <c r="E1583" i="2"/>
  <c r="B1101" i="2"/>
  <c r="E1101" i="2"/>
  <c r="B1102" i="2"/>
  <c r="E1102" i="2"/>
  <c r="B1582" i="2"/>
  <c r="E1582" i="2"/>
  <c r="B1581" i="2"/>
  <c r="E1581" i="2"/>
  <c r="B1580" i="2"/>
  <c r="E1580" i="2"/>
  <c r="B1579" i="2"/>
  <c r="E1579" i="2"/>
  <c r="B1578" i="2"/>
  <c r="E1578" i="2"/>
  <c r="B1705" i="2"/>
  <c r="E1705" i="2"/>
  <c r="B1577" i="2"/>
  <c r="E1577" i="2"/>
  <c r="B975" i="2"/>
  <c r="E975" i="2"/>
  <c r="B974" i="2"/>
  <c r="E974" i="2"/>
  <c r="B973" i="2"/>
  <c r="E973" i="2"/>
  <c r="B917" i="2"/>
  <c r="E917" i="2"/>
  <c r="B916" i="2"/>
  <c r="E916" i="2"/>
  <c r="B1281" i="2"/>
  <c r="E1281" i="2"/>
  <c r="B1280" i="2"/>
  <c r="E1280" i="2"/>
  <c r="B173" i="2"/>
  <c r="E173" i="2"/>
  <c r="B1402" i="2"/>
  <c r="E1402" i="2"/>
  <c r="B1401" i="2"/>
  <c r="E1401" i="2"/>
  <c r="B1400" i="2"/>
  <c r="E1400" i="2"/>
  <c r="B1399" i="2"/>
  <c r="E1399" i="2"/>
  <c r="B1395" i="2"/>
  <c r="E1395" i="2"/>
  <c r="B1398" i="2"/>
  <c r="E1398" i="2"/>
  <c r="B1397" i="2"/>
  <c r="E1397" i="2"/>
  <c r="B1396" i="2"/>
  <c r="E1396" i="2"/>
  <c r="B1411" i="2"/>
  <c r="E1411" i="2"/>
  <c r="B1394" i="2"/>
  <c r="E1394" i="2"/>
  <c r="B1410" i="2"/>
  <c r="E1410" i="2"/>
  <c r="B1849" i="2"/>
  <c r="E1849" i="2"/>
  <c r="E1532" i="2"/>
  <c r="E1531" i="2"/>
  <c r="E1530" i="2"/>
  <c r="E1529" i="2"/>
  <c r="B1505" i="2"/>
  <c r="E1505" i="2"/>
  <c r="B1673" i="2"/>
  <c r="E1673" i="2"/>
  <c r="B1541" i="2"/>
  <c r="E1541" i="2"/>
  <c r="B1540" i="2"/>
  <c r="E1540" i="2"/>
  <c r="B1539" i="2"/>
  <c r="E1539" i="2"/>
  <c r="B1269" i="2"/>
  <c r="E1269" i="2"/>
  <c r="B132" i="2"/>
  <c r="E132" i="2"/>
  <c r="B1382" i="2"/>
  <c r="E1382" i="2"/>
  <c r="B1383" i="2"/>
  <c r="E1383" i="2"/>
  <c r="B1773" i="2"/>
  <c r="E1773" i="2"/>
  <c r="B1774" i="2"/>
  <c r="E1774" i="2"/>
  <c r="B1772" i="2"/>
  <c r="E1772" i="2"/>
  <c r="B1775" i="2"/>
  <c r="E1775" i="2"/>
  <c r="B1454" i="2"/>
  <c r="E1454" i="2"/>
  <c r="B1335" i="2"/>
  <c r="E1335" i="2"/>
  <c r="B1334" i="2"/>
  <c r="E1334" i="2"/>
  <c r="B1333" i="2"/>
  <c r="E1333" i="2"/>
  <c r="B1268" i="2"/>
  <c r="E1268" i="2"/>
  <c r="B1267" i="2"/>
  <c r="E1267" i="2"/>
  <c r="B1266" i="2"/>
  <c r="E1266" i="2"/>
  <c r="B1852" i="2"/>
  <c r="E1852" i="2"/>
  <c r="B1851" i="2"/>
  <c r="E1851" i="2"/>
  <c r="E1360" i="2"/>
  <c r="E1359" i="2"/>
</calcChain>
</file>

<file path=xl/sharedStrings.xml><?xml version="1.0" encoding="utf-8"?>
<sst xmlns="http://schemas.openxmlformats.org/spreadsheetml/2006/main" count="8524" uniqueCount="5273">
  <si>
    <t>Pub_titel</t>
  </si>
  <si>
    <t>Pub_auteur</t>
  </si>
  <si>
    <t>Pub_jaar</t>
  </si>
  <si>
    <t>Pub_uitgeverij</t>
  </si>
  <si>
    <t>URL</t>
  </si>
  <si>
    <t>TUD_BK_Urban</t>
  </si>
  <si>
    <t>Neighbourhood selection of non-Western ethnic minorities: testing the own-group effects hypothesis using a conditional logit model</t>
  </si>
  <si>
    <t>Boschman, Sanne &amp; Maarten van Ham</t>
  </si>
  <si>
    <t>Sage Journals</t>
  </si>
  <si>
    <t>https://journals.sagepub.com/doi/10.1177/0308518X15592300</t>
  </si>
  <si>
    <t>Neighbourhood Selection of Non-Western Ethnic Minorities: Testing the Own-Group Preference Hypothesis Using a Conditional Logit Model</t>
  </si>
  <si>
    <t>IZA</t>
  </si>
  <si>
    <t>https://docs.iza.org/dp7526.pdf</t>
  </si>
  <si>
    <t>Factors explaining the innovative output of firms in the Dutch agrifood industry</t>
  </si>
  <si>
    <t>Batterink, Maarten &amp; Emiel Wubben, Onno Omato</t>
  </si>
  <si>
    <t>Universiteit Wageningen</t>
  </si>
  <si>
    <t>WUR</t>
  </si>
  <si>
    <t>Factors related to innovative output in the Dutch agrifood industry</t>
  </si>
  <si>
    <t>Batterink, M.H. &amp; E.F.M. Wubben, S.W.F. Omta (WUR)</t>
  </si>
  <si>
    <t>Competition and innovation: Together a tricky rollercoaster for productivity</t>
  </si>
  <si>
    <t>Wiel, H.P. van der</t>
  </si>
  <si>
    <t>Universiteit Tilburg:CentER</t>
  </si>
  <si>
    <t>TIU</t>
  </si>
  <si>
    <t>Competition law and profits: A dynamic panel data analysis for Dutch manufacturing firms</t>
  </si>
  <si>
    <t>Brouwer, E. &amp; Ozbugday, F.C.</t>
  </si>
  <si>
    <t>Applied Economics Letters, 19(12), 1203-1206</t>
  </si>
  <si>
    <t>Competition Law, Networks and Innovation</t>
  </si>
  <si>
    <t>Applied Economics Letters, 19(8), 775-778</t>
  </si>
  <si>
    <t>De digitale economie 2006: 7.2 Interorganisatorische samenwerkingsverbanden en informatietechnologie van Nederlandse bedrijven.</t>
  </si>
  <si>
    <t>Beers, Cees van &amp; Fardad Zand</t>
  </si>
  <si>
    <t>CBS</t>
  </si>
  <si>
    <t>TUD</t>
  </si>
  <si>
    <t>ICT en Complexe Waardeketens (ICWAS): Eindverslag enquêtes 2004 voor de Nederlandse reis- en groothandelsector.</t>
  </si>
  <si>
    <t>Beers, Cees van</t>
  </si>
  <si>
    <t>The Impact of Information Technology Enabled Inter-organizational Relationships on Firm’s Productivity: A Micro-econometric Study.</t>
  </si>
  <si>
    <t>Beers, Cees van, Fardad Zand</t>
  </si>
  <si>
    <t>Mammography Screening and Risk of Breast Cancer Death: A Population-Based Case -Control Study</t>
  </si>
  <si>
    <t>Otto, Suzie J., Jacques Fracheboud, André L.M. Verbeek, et al.</t>
  </si>
  <si>
    <t>Cancer Epidemiology, biomarkers &amp; prevention</t>
  </si>
  <si>
    <t>UMC_EUR</t>
  </si>
  <si>
    <t>Micro-evidence on the Determinants of Innovativeness in the Netherlands.</t>
  </si>
  <si>
    <t>Smit, M. J., Abreu, M., &amp; de Groot, H. L. F.</t>
  </si>
  <si>
    <t>Papers in Regional Science</t>
  </si>
  <si>
    <t>VU_SBE</t>
  </si>
  <si>
    <t>http://onlinelibrary.wiley.com/doi/10.1111/pirs.12068/abstract</t>
  </si>
  <si>
    <t>DE VAART DER VOLKEREN Buitenlandse bedrijven en hun werknemers in Amsterdam en de rest van Nederland</t>
  </si>
  <si>
    <t>Smit Martijn J., Jan Möhlmann, Otto Raspe &amp; Henri L.F. de Groot</t>
  </si>
  <si>
    <t>Planbureau voor de Leefomgeving</t>
  </si>
  <si>
    <t xml:space="preserve">http://www.pbl.nl/sites/default/files/cms/publicaties/PBL_2015_De-vaart-der-volkeren_1407.pdf_x000D_
</t>
  </si>
  <si>
    <t>Innovation through new blood</t>
  </si>
  <si>
    <t>Smit, J. Martijn</t>
  </si>
  <si>
    <t>The Annals of Regional Science</t>
  </si>
  <si>
    <t>Following Your Job</t>
  </si>
  <si>
    <t>Smit, Martijn</t>
  </si>
  <si>
    <t>Papers in Evolutionary Economic Geography</t>
  </si>
  <si>
    <t>The relationship between competition and innovation: measuring innovation and causality</t>
  </si>
  <si>
    <t>Lamoen, Ryan van</t>
  </si>
  <si>
    <t>Ridderprint, Ridderkerk</t>
  </si>
  <si>
    <t>UM_SBE</t>
  </si>
  <si>
    <t>Producing Innovations: Determinants of Innovativity and Efficiency</t>
  </si>
  <si>
    <t xml:space="preserve">Bos, J.W.B. &amp;  R.C.R. van Lamoen </t>
  </si>
  <si>
    <t>University Maastricht</t>
  </si>
  <si>
    <t>Atlas voor Gemeenten</t>
  </si>
  <si>
    <t>Woerkens, Clemens van</t>
  </si>
  <si>
    <t>VOC-uitgevers</t>
  </si>
  <si>
    <t>AvG</t>
  </si>
  <si>
    <t>Strategies for Knowledge Use in R&amp;D and their Implications for Innovative Performance.</t>
  </si>
  <si>
    <t>Peeters, T. &amp; Martin X.</t>
  </si>
  <si>
    <t>R&amp;D Management.</t>
  </si>
  <si>
    <t>Breast cancer screening effectiveness and the case-referent design: a well matched pair</t>
  </si>
  <si>
    <t>Paap, Ellen</t>
  </si>
  <si>
    <t>UMC_RUN</t>
  </si>
  <si>
    <t>Breast cancer screening halves the risk of breast cancer death: A case-referent study</t>
  </si>
  <si>
    <t>Paap, E. et al.</t>
  </si>
  <si>
    <t>The Breast</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</si>
  <si>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</si>
  <si>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</si>
  <si>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</si>
  <si>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</si>
  <si>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Energiebesparing in Nederland 2000-2010</t>
  </si>
  <si>
    <t>Gerdes, J. &amp; P. Boonekamp</t>
  </si>
  <si>
    <t>ECN-E--12-061</t>
  </si>
  <si>
    <t>UU</t>
  </si>
  <si>
    <t>https://www.ecn.nl/publicaties/</t>
  </si>
  <si>
    <t>ADAM33 genepolymorphisms and mortality. A prospective cohort study.</t>
  </si>
  <si>
    <t>Figarska SM, Vonk JM, van Diemen CC, Postma DS, Boezen HM</t>
  </si>
  <si>
    <t>PLoS One 4;8(7):e67768.</t>
  </si>
  <si>
    <t>UMC_RUG</t>
  </si>
  <si>
    <t>Dyspnea severity, changes in dyspnea status and mortality in the general population: the Vlagtwedde/Vlaardingen study.</t>
  </si>
  <si>
    <t>Figarska SM, Boezen HM, Vonk JM</t>
  </si>
  <si>
    <t>Eur J Epidemiol;27(11):867-76.</t>
  </si>
  <si>
    <t>NFE2L2 polymorphisms, mortality, and metabolism in the general population</t>
  </si>
  <si>
    <t>Figarska SM, Vonk JM, Boezen HM</t>
  </si>
  <si>
    <t>Physiol Genomics 15;46(12):411-7</t>
  </si>
  <si>
    <t xml:space="preserve">_x000D_
</t>
  </si>
  <si>
    <t>Serum uric acid levels and cancer mortality risk among males in a large general population-based cohort study</t>
  </si>
  <si>
    <t>Taghizadeh, N. , J. M. Vonk &amp; H. M. Boezen</t>
  </si>
  <si>
    <t>Cancer Causes Control 25:1075-1080. DOI 10.1007/s10552-014-0408-0</t>
  </si>
  <si>
    <t>SIRT1 polymorphism, long-term survival and glucose tolerance in the general population</t>
  </si>
  <si>
    <t>PLoS One;8(3):e58636</t>
  </si>
  <si>
    <t>The Economic Performance Report on the EU Fish Processing (STECF-14-21)</t>
  </si>
  <si>
    <t>Scientific, Technical and Economic Committee for Fisheries (STECF)</t>
  </si>
  <si>
    <t>Publications Office of the European Union, EUR 27029 EN, JRC 93340, 355pp.</t>
  </si>
  <si>
    <t>WU_WEconR</t>
  </si>
  <si>
    <t>http://stecf.jrc.ec.europa.eu/reports/economic?p_p_id=101_INSTANCE_d7Ie&amp;p_p_lifecycle=0&amp;p_p_state=normal&amp;p_p_mode=view&amp;p_p_col_id=column-2&amp;p_p_col_pos=1&amp;p_p_col_count=2&amp;_101_INSTANCE_d7Ie_delta=20&amp;_101_INSTANCE_d7Ie_keywords=&amp;_101_INSTANCE_d7Ie_advancedSearch=false&amp;_101_INSTANCE_d7Ie_andOperator=true&amp;cur=1</t>
  </si>
  <si>
    <t>CBS_DBD</t>
  </si>
  <si>
    <t>Immigrant entrepreneurship on the move: a longitudinal analysis of first and second generation immigrant entrepreneurship in the Netherlands</t>
  </si>
  <si>
    <t>Beckers, Pascal &amp; Boris F. Blumberg</t>
  </si>
  <si>
    <t>UNU-MERIT</t>
  </si>
  <si>
    <t>UM_SBE_ROA
UM_SBE_UNU_MERIT</t>
  </si>
  <si>
    <t>Immigrant entrepreneurship on the move: a longitudinal analysis of first-and second-generation immigrant entrepreneurship in the Netherlands</t>
  </si>
  <si>
    <t>Entrepreneurship &amp; Regional Development</t>
  </si>
  <si>
    <t>UM_SBE_ROA</t>
  </si>
  <si>
    <t>Segregation in neighbourhoods and labour market outcomes of immigrants: Evidence from random assignment in the Netherlands</t>
  </si>
  <si>
    <t>Beckers, Pascal &amp; Lex Borghans</t>
  </si>
  <si>
    <t>UNU_MERIT</t>
  </si>
  <si>
    <t>UM_SBE_UNU_MERIT</t>
  </si>
  <si>
    <t>International mobility of students - Its impact on labour market forecasts and its contribution to the Dutch economy.</t>
  </si>
  <si>
    <t>Fouarge, Didier &amp; Merve Özer</t>
  </si>
  <si>
    <t>ROA-TR-2014/6.</t>
  </si>
  <si>
    <t>http://roa.sbe.maastrichtuniversity.nl/roanew/wp-content/uploads/2014/12/ROA_TR_2014_6.pdf</t>
  </si>
  <si>
    <t>Methodiek arbeidsmarktprognoses en -indicatoren 2013-2018</t>
  </si>
  <si>
    <t>Clerx,R., F. Cörvers, S. Dijksman, D. Fouarge &amp; A. Künn-Nelen</t>
  </si>
  <si>
    <t>ROA-TR-2014/3</t>
  </si>
  <si>
    <t>http://roa.sbe.maastrichtuniversity.nl/roanew/wp-content/uploads/2014/03/ROA_TR_2014_31.pdf</t>
  </si>
  <si>
    <t>Regionale arbeidsmarktprognoses 2013-2018, methodiek en resultaten</t>
  </si>
  <si>
    <t>Clerx, Rick, Frank Cörvers &amp; Didier Fouarge</t>
  </si>
  <si>
    <t>http://roa.sbe.maastrichtuniversity.nl/roanew/wp-content/uploads/2015/01/ROA_TR_2014_2.pdf</t>
  </si>
  <si>
    <t>Hoogopgeleiden eerder met pensioen dan laagopgeleiden: 'Is dit wel rechtvaardig?</t>
  </si>
  <si>
    <t xml:space="preserve">Montizaan, Raymond </t>
  </si>
  <si>
    <t>de Volkskrant</t>
  </si>
  <si>
    <t>http://www.volkskrant.nl/economie/hoogopgeleiden-eerder-met-pensioen-dan-laagopgeleiden-is-dit-wel-rechtvaardig~a4502053/</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</si>
  <si>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</si>
  <si>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</si>
  <si>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</si>
  <si>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Personality and Field of Study Choice</t>
  </si>
  <si>
    <t>Humburg, Martin</t>
  </si>
  <si>
    <t>ROA Research Memorandum 1</t>
  </si>
  <si>
    <t>Social background, educational attainment and labor market integration: an exploration of underlying processes and dynamics</t>
  </si>
  <si>
    <t>Büchner, Charlotte</t>
  </si>
  <si>
    <t>ROA, Maastricht University</t>
  </si>
  <si>
    <t>Social Background's Effect on Educational Attainment: Does Method Matter?</t>
  </si>
  <si>
    <t>Büchner, Charlotte, Rolf van der Velden &amp; Maarten Wolbers</t>
  </si>
  <si>
    <t>ROA-Research Memorandum, No. 2013/1</t>
  </si>
  <si>
    <t>The Effect oof Venture Capital Innovation Stratgies</t>
  </si>
  <si>
    <t>Rin, Marco Da &amp; María Fabiana Penas</t>
  </si>
  <si>
    <t>CentERdata</t>
  </si>
  <si>
    <t>Inkomenspositie bij buitenechtelijke geboorte</t>
  </si>
  <si>
    <t>Kalmijn, M.; Monden, Christiaan; de Vries, J.</t>
  </si>
  <si>
    <t>ESB</t>
  </si>
  <si>
    <t>TIU_TiSEM_Netspar</t>
  </si>
  <si>
    <t>Home production and the allocation of time and consumption over the life cycle</t>
  </si>
  <si>
    <t>Ree, Joppe de, Rob Alessie</t>
  </si>
  <si>
    <t>Netspar</t>
  </si>
  <si>
    <t>Cancer incidence and cause-specific mortality following Balkan deployment.</t>
  </si>
  <si>
    <t>Schram-Bijkerk, D. and R. P. Bogers</t>
  </si>
  <si>
    <t>RIVM rapport 630450001</t>
  </si>
  <si>
    <t>RIVM</t>
  </si>
  <si>
    <t>Cancer incidence in Dutch Balkan veterans.</t>
  </si>
  <si>
    <t>Bogers, R. P., F. E. van Leeuwen, L. Grievink, L. J. Schouten, L. A. Kiemeney and D. Schram-Bijkerk</t>
  </si>
  <si>
    <t>Cancer Epidemiol</t>
  </si>
  <si>
    <t>Gender-specific spatial interactions on Dutch regional labour markets and the gender employment gap</t>
  </si>
  <si>
    <t>Noback, Inge, Lourens Broersma &amp; Jouke van Dijk</t>
  </si>
  <si>
    <t>MICRO-DYN Working Paper no. 25/10</t>
  </si>
  <si>
    <t>RUG</t>
  </si>
  <si>
    <t>http://www.micro-dyn.eu/index.php?action=filedownload&amp;id=760</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</si>
  <si>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</si>
  <si>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</si>
  <si>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</si>
  <si>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</si>
  <si>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</si>
  <si>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</si>
  <si>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</si>
  <si>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</si>
  <si>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Towards personlized treatment in cardiovasculair disease. A molecular-epidemiological approach.</t>
  </si>
  <si>
    <t>Regieli, Jakub J.</t>
  </si>
  <si>
    <t>UMC_UU_Julius</t>
  </si>
  <si>
    <t>Analyses of Sickness Absence</t>
  </si>
  <si>
    <t>Heijnen, Suzanne M.M.</t>
  </si>
  <si>
    <t>UU USE</t>
  </si>
  <si>
    <t>UU_REBO_USE</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</si>
  <si>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</si>
  <si>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</si>
  <si>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</si>
  <si>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</si>
  <si>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Congenital heart disease may hurt men more than women in job participation</t>
  </si>
  <si>
    <t>Sluman MA, Zomer AC, Vaartjes I, Bouma BJ &amp; Mulder BJM</t>
  </si>
  <si>
    <t>Int J Cardiol.;172:230-232</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</si>
  <si>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</si>
  <si>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</si>
  <si>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</si>
  <si>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</si>
  <si>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Sex Differences in Hospital Mortality in Adults With Congenital Heart Disease: The Impact of Reproductive Health</t>
  </si>
  <si>
    <t>Zomer AC, Ionescu-Ittu R, Vaartjes I, Pilote L, Mackie AS, Therrien J, Langemeijer MM, Grobbee DE, Mulder BJM &amp; Marelli AJ.</t>
  </si>
  <si>
    <t xml:space="preserve"> J Am Coll Cardiol.;62:58-67</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</si>
  <si>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</si>
  <si>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</si>
  <si>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</si>
  <si>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</si>
  <si>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Kwanttitatief effect WWB</t>
  </si>
  <si>
    <t>Tempelman, Caren</t>
  </si>
  <si>
    <t>SEO</t>
  </si>
  <si>
    <t>Do Incentives for Municipalities Reduce the Welfare Caseload? Evaluation of aWelfare Reform in the Netherlands</t>
  </si>
  <si>
    <t>Kok Lucy, Caren Tempelman, Pierre Koning, Lennart Kroon &amp; Caroline Berden</t>
  </si>
  <si>
    <t>Springer</t>
  </si>
  <si>
    <t>Modelling blood safety</t>
  </si>
  <si>
    <t>Janssen, M.P.</t>
  </si>
  <si>
    <t>Universiteit Utrecht</t>
  </si>
  <si>
    <t>The PROTON study; Profiles of transfusion recipients in the Netherlands</t>
  </si>
  <si>
    <t>Borkent-Raven, Barbara</t>
  </si>
  <si>
    <t>Exportavonturen Nederlandse ondernemingen vaak van korte duur</t>
  </si>
  <si>
    <t>Lejour, A.M.</t>
  </si>
  <si>
    <t>Me Judice, jaargang 6</t>
  </si>
  <si>
    <t>Market Entry and Economic Diplomacy</t>
  </si>
  <si>
    <t>Creusen, H. &amp; A.M. Lejour</t>
  </si>
  <si>
    <t>Applied Economic Letters 20(5), 504-507</t>
  </si>
  <si>
    <t>The duration of Dutch export relations: decomposing firm country and product characteristics,</t>
  </si>
  <si>
    <t>CPB Discussion Paper 258</t>
  </si>
  <si>
    <t>The duration of Dutch export relations: decomposing firm country and product characteristics</t>
  </si>
  <si>
    <t>De Economist 163(2),  155-176.</t>
  </si>
  <si>
    <t>Using Stepping Stones to Enter Distant Export Markets</t>
  </si>
  <si>
    <t>Global Economy Journal 15(1),  107-132</t>
  </si>
  <si>
    <t>Regional wage differences in the Netherlands: micro evidence on agglomeration externalities</t>
  </si>
  <si>
    <t>Groot, S.P.T., H.L.F. de Groot en M.J.M. Smit</t>
  </si>
  <si>
    <t>CPB</t>
  </si>
  <si>
    <t>The educational bias in commuting patterns</t>
  </si>
  <si>
    <t>Groot, S.P.T., H.L.F. de Groot en P. Veneri</t>
  </si>
  <si>
    <t>Wage inequality in the Netherlands: evidence, trends and explanations</t>
  </si>
  <si>
    <t>Groot, S.P.T. en H.L.F. de Groot</t>
  </si>
  <si>
    <t xml:space="preserve">CPB </t>
  </si>
  <si>
    <t>A simple correction to remove the Bias of Gini</t>
  </si>
  <si>
    <t>Kippersluis, Hans van &amp; Tom van Ourti</t>
  </si>
  <si>
    <t>Erasmus Universiteit Rotterdam</t>
  </si>
  <si>
    <t>EUR_ESE</t>
  </si>
  <si>
    <t>Langer leren om langer te leven</t>
  </si>
  <si>
    <t>Kippersluis, Hans van &amp; Eddy van Doorslaer</t>
  </si>
  <si>
    <t>Socioeconomic Difference in Heath over the Life Cycle: Evidence and Explanations</t>
  </si>
  <si>
    <t>Doorslaer, Eddy van &amp; Hans van Kippersluis, Owen O'Donnell, Tom van Ourti</t>
  </si>
  <si>
    <t>The Bias of the Gini Coefficient Due to Grouping: Revisiting first order Corrections</t>
  </si>
  <si>
    <t>Ourti, Tom van &amp; Philip Clarke</t>
  </si>
  <si>
    <t>EUR_FEW</t>
  </si>
  <si>
    <t>Social support substitution and the earnings rebound: Evidence from a regression discontinuity in disability insurance reform</t>
  </si>
  <si>
    <t>Borghans, Lex, Anne Gielen &amp; Erzo Luttmer</t>
  </si>
  <si>
    <t>American Economic Journal: Economic Policy, 6(4), pp. 34-70</t>
  </si>
  <si>
    <t>Quality of care. In: Health at a glance 2013. OECD indicators.</t>
  </si>
  <si>
    <t>OECD</t>
  </si>
  <si>
    <t>OECD Publishing</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</si>
  <si>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</si>
  <si>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</si>
  <si>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</si>
  <si>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How Changes in Unemployment Benefit Duration Affect the Inflow into Unemployment.</t>
  </si>
  <si>
    <t>How changes in unemployment benefit duration affect the inflow into unemployment.</t>
  </si>
  <si>
    <t>http://arno.uvt.nl/show.cgi?fid=99387</t>
  </si>
  <si>
    <t>Seek and Ye shall Find: How Search Requirements Affect Job Finding Rates of Older Workers.</t>
  </si>
  <si>
    <t xml:space="preserve">Hullegie, P. and J.C. van Ours_x000D_
</t>
  </si>
  <si>
    <t>http://arno.uvt.nl/show.cgi?fid=129717</t>
  </si>
  <si>
    <t>Wage structure and labor mobility in the Netherlands 1999-2003, the structure of wages an intenational comparison</t>
  </si>
  <si>
    <t>Kriechel, Ben</t>
  </si>
  <si>
    <t>http://nl.linkedin.com/in/benkriechel</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</si>
  <si>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</si>
  <si>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</si>
  <si>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</si>
  <si>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Is Part-time Employment Here To Stay? Evidence from the Dutch Labour Force Survey 1992-2005</t>
  </si>
  <si>
    <t>Bosch, N. , A. Deelen &amp; R. Euwals</t>
  </si>
  <si>
    <t>http://www.cpb.nl/publicatie/deeltijdwerk-een-blijvend-fenomeen-bevindingen-op-basis-van-de-enquete-beroepsbevolking-1</t>
  </si>
  <si>
    <t>Is Part-time Employment Here to Stay? Working Hours of Dutch Women over Successive Generations</t>
  </si>
  <si>
    <t>Loongebouw overheid en mobiliteit</t>
  </si>
  <si>
    <t>Deelen A.P. en R.W. Euwals</t>
  </si>
  <si>
    <t>http://www.cpb.nl/publicatie/loongebouw-overheid-en-mobiliteit</t>
  </si>
  <si>
    <t>Migrant Women on the Labour Market: On the Role of Home and Host-Country Participation</t>
  </si>
  <si>
    <t>Kok, S., N. Bosch, A. Deelen &amp; R. Euwals</t>
  </si>
  <si>
    <t>http://ftp.iza.org/dp5817.pdf</t>
  </si>
  <si>
    <t>Success of self-employment, in: Labour market flexibility in the Netherlands  - the role of contracts and self-employment</t>
  </si>
  <si>
    <t>Bosch, N.</t>
  </si>
  <si>
    <t>http://www.cpb.nl/publicatie/flexibele-arbeid-belangrijk-voor-de-arbeidsmark</t>
  </si>
  <si>
    <t>Wage-tenure profiles and mobility</t>
  </si>
  <si>
    <t>Deelen, A.P</t>
  </si>
  <si>
    <t>Wage-tenure profiles and mobility. In: Labour market flexibility in the Netherlands - the role of contracts and self-employment (Chapter 3)</t>
  </si>
  <si>
    <t>Deelen, A.P.</t>
  </si>
  <si>
    <t>http://www.cpb.nl/publicatie/flexibele-arbeid-belangrijk-voor-de-arbeidsmarkt</t>
  </si>
  <si>
    <t>Monitor Wsnp</t>
  </si>
  <si>
    <t>Bergh, Marijke von &amp; Rudolf Timmermans, Reinout Vriesendorp, Willem Keukens</t>
  </si>
  <si>
    <t>Run_ITS</t>
  </si>
  <si>
    <t>RUN_ITS</t>
  </si>
  <si>
    <t>Opleidingsmonitor Flexbranche</t>
  </si>
  <si>
    <t>Vermeulen, Hedwig</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</si>
  <si>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</si>
  <si>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</si>
  <si>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KBA_Freihov
RUN
RUN_ITS</t>
  </si>
  <si>
    <t>Mobility and Migration</t>
  </si>
  <si>
    <t>Vetter-Kronenberg, K.</t>
  </si>
  <si>
    <t>Universitaire Pers Maastricht</t>
  </si>
  <si>
    <t>Locational choices and the costs of distance: Empirical evidence for Dutch graduates</t>
  </si>
  <si>
    <t>Diverse</t>
  </si>
  <si>
    <t xml:space="preserve">Spatial Economic Analysis </t>
  </si>
  <si>
    <t>On the Move: Determinants of Job and Residential Mobility in Different Sectors</t>
  </si>
  <si>
    <t>Urban Studies</t>
  </si>
  <si>
    <t>Firm relocations in the Netherlands: Why do firms move, and where do they go?</t>
  </si>
  <si>
    <t>Cardiovascular disease: prediction with ancillary aortic findings on chest CT scans in routine practice.</t>
  </si>
  <si>
    <t>Gondrie MJ, Mali WP, Jacobs PC, Oen AL, van der Graaf Y (PROVIDI Study Group)</t>
  </si>
  <si>
    <t>Radiology 257(2):549-59.</t>
  </si>
  <si>
    <t>For the PROVIDI Study Group. Incidental Imaging Findings from Routine Chest CT Used to Identify Subjects at High Risk of Future Cardiovascular Events.</t>
  </si>
  <si>
    <t>Jairam PM, Gondrie MJ, Grobbee DE, Th M Mali WP, Jacobs PC, van der Graaf Y</t>
  </si>
  <si>
    <t>Radiology 27:132211</t>
  </si>
  <si>
    <t>Intra and interobserver reliability and agreement of semiquantitative vertebral fracture assessment on chest computed tomography</t>
  </si>
  <si>
    <t>Buckens CF, de Jong PA, Mol C, Bakker E, Stallman HP, Mali WP, van der Graaf Y, Verkooijen HM</t>
  </si>
  <si>
    <t>PLoS One 5;8(8)</t>
  </si>
  <si>
    <t>Prediction of cardiovascular events by using non-vascular findings on routine chest CT.</t>
  </si>
  <si>
    <t>de Jong PA, Gondrie MJ, Buckens CF, Jacobs PC, Mali WP, van der Graaf Y</t>
  </si>
  <si>
    <t>PROVIDI study group. PLoS One. 6(10):e26036.</t>
  </si>
  <si>
    <t>http://www.ncbi.nlm.nih.gov/pubmed/22022499</t>
  </si>
  <si>
    <t>Prevalent vertebral fractures on chest CT: higher risk for future hip fracture</t>
  </si>
  <si>
    <t>Buckens CF, de Jong PA, Mali WP, Verhaar HJ, van der Graaf Y, Verkooijen HM.</t>
  </si>
  <si>
    <t>J Bone Miner Res. 2014 Feb;29(2):392-8</t>
  </si>
  <si>
    <t>PROgnostic Value of unrequested Information in Diagnostic Imaging (PROVIDI) Study: rationale and design.</t>
  </si>
  <si>
    <t>Gondrie MJ, Mali WP, Buckens CF, Jacobs PC, Grobbee DE, van der Graaf Y.</t>
  </si>
  <si>
    <t>Eur J Epidemiol 25(10):751-8</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</si>
  <si>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</si>
  <si>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</si>
  <si>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</si>
  <si>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The association of incidentally detected heart valve calcification with future cardiovascular events</t>
  </si>
  <si>
    <t>Gondrie MJ, van der Graaf Y, Jacobs PC, Oen AL, Mali WP</t>
  </si>
  <si>
    <t>Eur Radiol 21(5):963-73</t>
  </si>
  <si>
    <t>The prognostic value of vascular diameter measurements on routine chest computed tomography in patients not referred for cardiovascular indications.</t>
  </si>
  <si>
    <t>Gondrie MJ, van der Graaf Y, Jacobs PC, Buckens SC, Mali WP (PROVIDI Study Groep)</t>
  </si>
  <si>
    <t>J Comput Assist Tomogr 35(6):734-41</t>
  </si>
  <si>
    <t>Unrequested findings on cardiac computed tomography: looking beyond the heart</t>
  </si>
  <si>
    <t>Buckens CF, Verkooijen HM, Gondrie MJ, Jairam P, Mali WP, van der Graaf Y.</t>
  </si>
  <si>
    <t>PLoS One 7(4):e32184</t>
  </si>
  <si>
    <t>Unrequested information from routine diagnostic chest CT predicts future cardiovascular events</t>
  </si>
  <si>
    <t>Jacobs PC, Gondrie MJ, Mali WP, Oen AL, Prokop M, Grobbee DE, van der Graaf Y.</t>
  </si>
  <si>
    <t>Eur Radiol 21(8):1577-85</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</si>
  <si>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</si>
  <si>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</si>
  <si>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</si>
  <si>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Kampioen deeltijd. Meer uren werken om de vergrijzing op te vangen?</t>
  </si>
  <si>
    <t>Noback, Inge</t>
  </si>
  <si>
    <t>Demos, 28 (2): p. 5-7</t>
  </si>
  <si>
    <t>Regional labour market dynamics and the gender employment gap</t>
  </si>
  <si>
    <t>University of Groningen</t>
  </si>
  <si>
    <t>https://pure.rug.nl/ws/portalfiles/portal/144703634/00b_pref.pdf</t>
  </si>
  <si>
    <t>Job search requirements for older unemployed: Transitions to employment, early retirement and disability benefits</t>
  </si>
  <si>
    <t>Lammers M., H. Bloemen &amp; S. Hochguertel</t>
  </si>
  <si>
    <t>European Economic Review Volume 58, February 2013, Pages 31-57.</t>
  </si>
  <si>
    <t>VU_SBE_Netspar</t>
  </si>
  <si>
    <t>https://research.vu.nl/en/publications/job-search-requirements-for-older-unemployed-transitions-to-emplo</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</si>
  <si>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</si>
  <si>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</si>
  <si>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</si>
  <si>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Determinants of long-term care spending: age, time to death or disability?</t>
  </si>
  <si>
    <t>De Meijer C, Koopmanschap M, Bago d' Uva T, van Doorslaer E.</t>
  </si>
  <si>
    <t>Financial Incentives in Long-Term Care</t>
  </si>
  <si>
    <t>Bakx P.</t>
  </si>
  <si>
    <t>Forecasting lifetime and aggregate long-term care spending- accounting for changing disability patterns</t>
  </si>
  <si>
    <t>De Meijer C, Majer I, Koopmanschap M &amp; van Baal P</t>
  </si>
  <si>
    <t>Medical Care 50 (8): 722-729</t>
  </si>
  <si>
    <t>Health expenditure growth: looking beyond the average through decomposition of the full distribution</t>
  </si>
  <si>
    <t>De Meijer C, O'Donnell O, Koopmanschap M &amp; Van Doorslaer E</t>
  </si>
  <si>
    <t>Journal of Health Economics: 88-105</t>
  </si>
  <si>
    <t>Risicoverevening voor de Ouderenzorg</t>
  </si>
  <si>
    <t>Bakx P, Schut F, van &amp; Doorslaer E.</t>
  </si>
  <si>
    <t>Economisch Statistische Berichten 98 (4651): 20-23</t>
  </si>
  <si>
    <t>Studies of Health and Long-Term Care Expenditure Growth in Aging Populations</t>
  </si>
  <si>
    <t>De Meijer C.</t>
  </si>
  <si>
    <t>Erasmus University: Rotterdam</t>
  </si>
  <si>
    <t>Healthy Ageing: tackling the burden of disease and disability in an ageing population.</t>
  </si>
  <si>
    <t>Klijs, B.</t>
  </si>
  <si>
    <t>Erasmus University Rotterdam</t>
  </si>
  <si>
    <t>http://hdl.handle.net/1765/32749</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</si>
  <si>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</si>
  <si>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</si>
  <si>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</si>
  <si>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Obesity, smoking, alcohol consumption and years lived with disability: a Sullivan life table approach.</t>
  </si>
  <si>
    <t>Klijs B, Mackenbach JP, Kunst AE.</t>
  </si>
  <si>
    <t>BMC Public Health. 24;11:378. doi: 10.1186/1471-2458-11-378.</t>
  </si>
  <si>
    <t>Economische verkenning Rotterdam</t>
  </si>
  <si>
    <t>Gemeente Rotterdam</t>
  </si>
  <si>
    <t>GemRotterdam_O&amp;BI</t>
  </si>
  <si>
    <t xml:space="preserve">www.EVR010.nl._x000D_
</t>
  </si>
  <si>
    <t>Next Economy next City</t>
  </si>
  <si>
    <t>Stad in verandering</t>
  </si>
  <si>
    <t>Economische verkenning Rotterdam magazine</t>
  </si>
  <si>
    <t>Gemeete Rotterdam</t>
  </si>
  <si>
    <t>Economische verkening Rotterdam: Mozaïek van de nieuwe economie</t>
  </si>
  <si>
    <t xml:space="preserve">Economische verkenning Rotterdam </t>
  </si>
  <si>
    <t>Feitenkaart: Inkomensgegevens Rotterdam en regio 2012</t>
  </si>
  <si>
    <t>Graaf, Paul de</t>
  </si>
  <si>
    <t>Gemeente Roterdam</t>
  </si>
  <si>
    <t>Feitenkaart: Inkomensgegevens Rotterdam en regio 2013</t>
  </si>
  <si>
    <t xml:space="preserve">Graaf, Paul de </t>
  </si>
  <si>
    <t>Feitenkaart: Inkomensgegevens Rotterdam en regio 2014</t>
  </si>
  <si>
    <t xml:space="preserve">http://www.rotterdam.nl/onderzoek_x000D_
</t>
  </si>
  <si>
    <t>Feitenkaart: Inkomensgegevens Rotterdam en regio 2015</t>
  </si>
  <si>
    <t>Economic Consequences of Healthy Aging. PhD Thesis.</t>
  </si>
  <si>
    <t>Wouterse, B.</t>
  </si>
  <si>
    <t>Tilburg  University</t>
  </si>
  <si>
    <t>http://arno.uvt.nl/show.cgi?fid=130705</t>
  </si>
  <si>
    <t>The  relationship between baseline health and longitudinal costs of hospital use</t>
  </si>
  <si>
    <t>Wouterse, B., Meijboom, B.  R.,  Polder, J. J.</t>
  </si>
  <si>
    <t>Health Economics, 20(7), 355-362.</t>
  </si>
  <si>
    <t>http://dx.doi.org/10.1002/hec.1664</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</si>
  <si>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</si>
  <si>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</si>
  <si>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</si>
  <si>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Feitenkaart participatie en burgerschap</t>
  </si>
  <si>
    <t>Roode, A.L.</t>
  </si>
  <si>
    <t>Centrum voor Onderzoek en Statistiek</t>
  </si>
  <si>
    <t>http://www.rotterdam.nl/feitenkaartparticipatieenburgerschap</t>
  </si>
  <si>
    <t>Rotterdam in cijfers</t>
  </si>
  <si>
    <t>O&amp;BI</t>
  </si>
  <si>
    <t>http://www.rotterdamincijfers.nl/</t>
  </si>
  <si>
    <t>Staat van emancipatie Rotterdam</t>
  </si>
  <si>
    <t>Dijk, D. van &amp; S. Jagmohansingh</t>
  </si>
  <si>
    <t>Onderzoek en Business Intelligence</t>
  </si>
  <si>
    <t>http://www.rotterdam.nl/staatvanemancipatierotterdam</t>
  </si>
  <si>
    <t>Staat van Rotterdam</t>
  </si>
  <si>
    <t>Rhee, M. van &amp; A.L. Roode</t>
  </si>
  <si>
    <t>http://www.rotterdam.nl/staatvanrotterdam</t>
  </si>
  <si>
    <t>An incidence study of diagnosed autism-spectrum disorders among immigrants to the Netherlands</t>
  </si>
  <si>
    <t>Van der Ven E, Termorshuizen F, Laan W, van Os J &amp; Selten JP</t>
  </si>
  <si>
    <t>Acta Psychiatr Scand 128: 54-60.</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</si>
  <si>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</si>
  <si>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</si>
  <si>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</si>
  <si>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Cause-specific mortality among patients with psychosis: disentangling the effects of age and duration since diagnosis</t>
  </si>
  <si>
    <t>Termorshuizen F, Wierdsma A, Smeets HM, Visser E, Drukker M, Nijman H &amp; Sytema S</t>
  </si>
  <si>
    <t>Psychosomatics 54: 536-545.</t>
  </si>
  <si>
    <t>Mortality and psychiatric disorders among Public Mental Health care clients in Utrecht: a register-based cohort study</t>
  </si>
  <si>
    <t>Termorshuizen F, van Bergen APL, Smit RBJ, Smeets HM &amp; van Ameijden EJC</t>
  </si>
  <si>
    <t>Int J Soc Psychiatry 60: 426-435.</t>
  </si>
  <si>
    <t>Neighborhood ethnic density and psychotic disorders among ethnic minority groups in Utrecht city</t>
  </si>
  <si>
    <t>Termorshuizen F, Smeets HM, Braam AW &amp; Veling W</t>
  </si>
  <si>
    <t>Soc Psychiatry Psychiatr Epidemiol 49: 1093-1102.</t>
  </si>
  <si>
    <t>Neighborhood ethnic density and suicide risk  among different migrant groups in the four big cities in the Netherlands</t>
  </si>
  <si>
    <t>Termorshuizen F, Braam AW &amp; van Ameijden EJC</t>
  </si>
  <si>
    <t>Soc Psychiatry Psychiatr Epidemiol (in press)</t>
  </si>
  <si>
    <t>DOI 10.2007/s00127-014-0993-y</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</si>
  <si>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</si>
  <si>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</si>
  <si>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</si>
  <si>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</si>
  <si>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</si>
  <si>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</si>
  <si>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Educational achievement in psychiatric patients and their siblings: a register-based study in 30 000 individuals in The Netherlands</t>
  </si>
  <si>
    <t>Tempelaar, W. M., F. Termorshuizen, J. H. MacCabe, M. P. M. Boks &amp; R. S. Kahn</t>
  </si>
  <si>
    <t>Psychological Medicine</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</si>
  <si>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</si>
  <si>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</si>
  <si>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</si>
  <si>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</si>
  <si>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</si>
  <si>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</si>
  <si>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Regional and temporal variation in hysterectomy rates and surgical routes for benign diseases in the Netherlands</t>
  </si>
  <si>
    <t>Hanstede MM &amp; Burger MJ, Timmermans A, Burger MP</t>
  </si>
  <si>
    <t>Acta Obstetricia et Gynecologica Scandinavica</t>
  </si>
  <si>
    <t>UMC_AMC</t>
  </si>
  <si>
    <t>Armoede signalement 2014</t>
  </si>
  <si>
    <t xml:space="preserve">Vrooman, Cok, Stella Hoff, Ferdy Otten, Wim Bos e.a._x000D_
</t>
  </si>
  <si>
    <t>SCP &amp; CBS</t>
  </si>
  <si>
    <t>SCP</t>
  </si>
  <si>
    <t>http://www.scp.nl/Publicaties/Alle_publicaties/Publicaties_2014/Armoedesignalement_2014</t>
  </si>
  <si>
    <t xml:space="preserve">House price risk and the hedging benefits of home ownership_x000D_
</t>
  </si>
  <si>
    <t>Dröes, M.I., Hassink, W.H.J.</t>
  </si>
  <si>
    <t>Journal of Housing Economics 22, 92-99.</t>
  </si>
  <si>
    <t>http://www.sciencedirect.com/science/journal/10511377/22/2</t>
  </si>
  <si>
    <t xml:space="preserve">House Price Uncertainty in the Dutch Owner-Occupied Housing Market_x000D_
</t>
  </si>
  <si>
    <t>Dröes, M.I.</t>
  </si>
  <si>
    <t>TKI Dissertation Series 004, Utrecht University School of Economics</t>
  </si>
  <si>
    <t>http://dspace.library.uu.nl/handle/1874/205057</t>
  </si>
  <si>
    <t>Is success hereditary? Evidence on the performance of spawned ventures.</t>
  </si>
  <si>
    <t>Dick, Johannes, Katrin Hussinger, Boris F. Blumberg &amp; John Hagedoorn</t>
  </si>
  <si>
    <t>Small Business Economics 40, 911-931</t>
  </si>
  <si>
    <t>Annuity Market Imperfections</t>
  </si>
  <si>
    <t xml:space="preserve">Sanders, Lisanne </t>
  </si>
  <si>
    <t>Netspar Thesis</t>
  </si>
  <si>
    <t>http://arno.uvt.nl/show.cgi?fid=116321</t>
  </si>
  <si>
    <t>Irreconcilable differences? Ethnic intermarriage and divorce in the Netherlands, 1995-2008</t>
  </si>
  <si>
    <t>Smith, Sanne, Ineke Maas &amp; Frank van Tubergen</t>
  </si>
  <si>
    <t>Social Science Research 41 1126-1137</t>
  </si>
  <si>
    <t>UU_FSW</t>
  </si>
  <si>
    <t>Nieuwe meetsystematiek. In: Aanval op schooluitval (bijlage bij een brief aan de Tweede Kamer)</t>
  </si>
  <si>
    <t>OCW_DUO</t>
  </si>
  <si>
    <t>MinOCW_DUO_Informatieproducten</t>
  </si>
  <si>
    <t>http://www.aanvalopschooluitval.nl/userfiles/file/2012/Bijlage%202%20en%203.pdf</t>
  </si>
  <si>
    <t>Association of Coexisting Diabetes and Depression With Mortality After Myocardial Infarction</t>
  </si>
  <si>
    <t xml:space="preserve">Bot, Mariska &amp; MSC, Francois Pouwer, PHD, Marij Zuidersma, PHD, Joost P. van Melle, MD, PHD, Peter de Jonge, PHD_x000D_
</t>
  </si>
  <si>
    <t>DIABETES CARE</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</si>
  <si>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</si>
  <si>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</si>
  <si>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</si>
  <si>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Myocardial infarction and generalised anxiety disorder: 10-year follow-up</t>
  </si>
  <si>
    <t>Roest, Annelieke M. &amp; Marij Zuidersma and Peter de Jonge</t>
  </si>
  <si>
    <t>The British Journal of Psychiatry</t>
  </si>
  <si>
    <t>Self-reported depressive symptoms, diagnosed clinical depression and cardiac_x000D_
morbidity and mortality after myocardial infarction</t>
  </si>
  <si>
    <t>International Journal of Cardiology</t>
  </si>
  <si>
    <t>Disentangling processes of neighbourhood change: Towards a better understanding of upgrading and downgrading of neighbourhoods in the highly-regulated context of the Netherlands. PhD Thesis.</t>
  </si>
  <si>
    <t>Teernstra, A.B.</t>
  </si>
  <si>
    <t>Amsterdam: University of Amsterdam</t>
  </si>
  <si>
    <t>UvA</t>
  </si>
  <si>
    <t>Dynamics of Gentrification: a Critical Reappraisal</t>
  </si>
  <si>
    <t>Hochstenbach, Cody, Sako Musterd &amp; Annalies Teernstra</t>
  </si>
  <si>
    <t>Population Space and Place. DOI: 10.1002/psp.1854</t>
  </si>
  <si>
    <t>Gentrification in Amsterdam: Assessing the Importance of Context</t>
  </si>
  <si>
    <t>Hochstenbach, C., Musterd, S. &amp; Teernstra, A.B.</t>
  </si>
  <si>
    <t xml:space="preserve"> Population, Space and Place (Online First. DOI: 10.1002/psp.1854)</t>
  </si>
  <si>
    <t>Housing Liberalization and Gentrification; the Social Effects of Tenure Conversions in Amsterdam</t>
  </si>
  <si>
    <t>Boterman, W.R. &amp; W.P.C. van Gent</t>
  </si>
  <si>
    <t>Tijdschrift voor Economische en Sociale Geografie, 105 (2), 140-160.</t>
  </si>
  <si>
    <t>Neighbourhood change, mobility and incumbent processes: exploring income developments of in-migrants, out-migrants and non-migrants of neighbourhoods</t>
  </si>
  <si>
    <t xml:space="preserve"> Urban Studies, 51(5), 978-999.</t>
  </si>
  <si>
    <t>Cardiovascular Morbidity and Mortality After Treatment for Ductal Carcinoma In Situ of the Breast</t>
  </si>
  <si>
    <t>Boekel, Naomi B., Michael Schaapveld, Jourik A. Gietema, Emiel J. T. Rutgers, Michel I. M. Versteegh, Otto Visser, Berthe M. P. Aleman &amp; Flora E. van Leeuwen</t>
  </si>
  <si>
    <t>NKI</t>
  </si>
  <si>
    <t>NKI_AVL</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</si>
  <si>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</si>
  <si>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</si>
  <si>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Cause-specific Mortality in a Population-based Cohort of 9799 Women Treated for Ductal Carcinoma In Situ</t>
  </si>
  <si>
    <t>Elshof, Lotte E. Marjanka K. Schmidt, Emiel J.Th. Rutgers, Flora E. van Leeuwen, Jelle Wesseling &amp; Michael Schaapveld</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</si>
  <si>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</si>
  <si>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</si>
  <si>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</si>
  <si>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</si>
  <si>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Independent and additive association of prenatal famine exposure and intermediary life conditions with adult mortality age 18-63 years</t>
  </si>
  <si>
    <t>Ekamper, Van Poppel, Stein &amp; Lumey</t>
  </si>
  <si>
    <t>Social Science and Medicine 119: 232-239</t>
  </si>
  <si>
    <t>NIDI</t>
  </si>
  <si>
    <t>Prenatal famine exposure and adult mortality through age 63 years from cancer, cardiovascular disease and other causes.</t>
  </si>
  <si>
    <t>Ekamper, Van Poppel, Stein, Bijwaard &amp; Lumey</t>
  </si>
  <si>
    <t>American Journal of Epidemiology</t>
  </si>
  <si>
    <t>War-related excess mortality in The Netherlands, 1944-45: New estimates of famine- and non-famine-related deaths from national death records</t>
  </si>
  <si>
    <t xml:space="preserve">Ekamper, P., Bijwaard, G.E., Poppel, F.W.A. van &amp; Lumey, L.H. </t>
  </si>
  <si>
    <t>Historical Methods</t>
  </si>
  <si>
    <t>War- and famine-related excess mortality among civilians in the Netherlands, 1944-1945</t>
  </si>
  <si>
    <t>Ekamper, P., Bijwaard, G.E., Poppel, F.W.A. van &amp; Lumey, L.H.</t>
  </si>
  <si>
    <t>Journal of Maps</t>
  </si>
  <si>
    <t>https://www.doi.org/10.1080/17445647.2020.1761466</t>
  </si>
  <si>
    <t>Innovation Failure: Which Capabilities Prevent It?</t>
  </si>
  <si>
    <t>Faria, Pedro de &amp; Wilfred Dolfsma</t>
  </si>
  <si>
    <t>http://druid8.sit.aau.dk/druid/acc_papers/5577djup1lyo7ykpkuba8etydu3r.pdf</t>
  </si>
  <si>
    <t xml:space="preserve">Government support, innovation and productivity in the Haidian (Beijing) District_x000D_
</t>
  </si>
  <si>
    <t xml:space="preserve">Huang, Can, Yilin Wu, Pierre Mohnen &amp; Yanyun Zhao_x000D_
</t>
  </si>
  <si>
    <t xml:space="preserve">Innovation and survival of new firms in Chinese manufacturing, 2000-2006_x000D_
</t>
  </si>
  <si>
    <t xml:space="preserve">Zhang, Mingqian &amp; Pierre Mohnen_x000D_
</t>
  </si>
  <si>
    <t>The impact of the 2009 value added tax reform on enterprise investment and employment - Empirical analysis based on Chinese tax survey data.</t>
  </si>
  <si>
    <t>Wang, Dehua</t>
  </si>
  <si>
    <t>Energiebeleid en -gedrag in de woningmarkt.</t>
  </si>
  <si>
    <t>Brounen, Dirk</t>
  </si>
  <si>
    <t xml:space="preserve">On the economics of energy labels in the housing market_x000D_
</t>
  </si>
  <si>
    <t>Brounen, Dirk &amp; Nils Kok</t>
  </si>
  <si>
    <t>Residential energy use and conservation: Economics and demographics.</t>
  </si>
  <si>
    <t>Brounen, Dirk, Nils Kok &amp; John M.Quigley</t>
  </si>
  <si>
    <t>Homeownership, mortgages, and unemployment</t>
  </si>
  <si>
    <t>Kantor, Y., Möhlmann, J., Nijkamp, P. and J. Rouwendal</t>
  </si>
  <si>
    <t>Letters in Spatial and Resource Science. DOI: 10.1007/s12076-015-0139-1.</t>
  </si>
  <si>
    <t>Suicide mortality among deployed male military personnel compared with men who were not deployed</t>
  </si>
  <si>
    <t>Rijs K &amp; Bogers R</t>
  </si>
  <si>
    <t>Ministerie van Defensie</t>
  </si>
  <si>
    <t>UMC_VU_LASA</t>
  </si>
  <si>
    <t xml:space="preserve">http://www.rivm.nl/Documenten_en_publicaties/Algemeen_Actueel/Nieuwsberichten/2015/Geen_aanwijzing_voor_verhoging_zelfdoding_onder_militairen_die_op_missie_zijn_geweest_x000D_
</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</si>
  <si>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</si>
  <si>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</si>
  <si>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</si>
  <si>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</si>
  <si>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 xml:space="preserve">Decreasing Hospital Length of Stay: Effects on Daily Functioning in Older Adults_x000D_
</t>
  </si>
  <si>
    <t xml:space="preserve">Van Vliet M, Huisman M. &amp; Deeg D.J.H. _x000D_
</t>
  </si>
  <si>
    <t>Journal of the American Geriatrics Society</t>
  </si>
  <si>
    <t>Trend study on the association between hospital admissions and the health of Dutch older adults (1995-2009)</t>
  </si>
  <si>
    <t xml:space="preserve">Galenkamp H, Deeg D.J.H., de Jongh R.T., Kardaun J.W.P.F &amp;, Huisman H. </t>
  </si>
  <si>
    <t>BMJ open</t>
  </si>
  <si>
    <t>The association between depressive symptoms and non-psychiatric hospitalisation in older adults.</t>
  </si>
  <si>
    <t xml:space="preserve">Prina A.M., Deeg D., Brayne C., Beekman A. &amp; Huisman M. </t>
  </si>
  <si>
    <t>PLoS One</t>
  </si>
  <si>
    <t>Ethnic inequalities in cardiovascular disease: incidence, prognosis, and health care use</t>
  </si>
  <si>
    <t>Oeffelen, Louise van</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</si>
  <si>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</si>
  <si>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</si>
  <si>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</si>
  <si>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Kans op hartinfarct groter onder Surinamers</t>
  </si>
  <si>
    <t>Oeffelen, Louise van &amp; Ilonca Vaartjes</t>
  </si>
  <si>
    <t>NU.nl</t>
  </si>
  <si>
    <t>Socioeconomic inequalities in acute myocardial infarction incidence in migrant groups: has the epidemic arrived? Analysis of nation-wide data.</t>
  </si>
  <si>
    <t>Agyemang, C.,  A.A.M. van Oeffelen, M.L. Bots, K. Stronks &amp; I. Vaartjes</t>
  </si>
  <si>
    <t>Heart 2013;0:1-8.</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</si>
  <si>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</si>
  <si>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</si>
  <si>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</si>
  <si>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</si>
  <si>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</si>
  <si>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</si>
  <si>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UMC_UU_Julius
UMC_VU</t>
  </si>
  <si>
    <t>https://www.bmj.com/content/365/bmj.l1652</t>
  </si>
  <si>
    <t>Economic Consequences of Healthy Aging</t>
  </si>
  <si>
    <t>Wouterse, B</t>
  </si>
  <si>
    <t>PhD Thesis. Tilburg University</t>
  </si>
  <si>
    <t>Modeling the relationship between health and health care expenditures using a latent Markov model.</t>
  </si>
  <si>
    <t>Wouterse, B., Huisman, M., Meijboom, B. R., Deeg, D. J., &amp; Polder, J. J.</t>
  </si>
  <si>
    <t>J Health Econ, 32(2), 423-439. doi: 10.1016/j.jhealeco.2012.11.005</t>
  </si>
  <si>
    <t>Health Economics, 20(7), 355-362</t>
  </si>
  <si>
    <t>Polder, J.J., Wong, A., &amp; Wouterse, B.</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</si>
  <si>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</si>
  <si>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</si>
  <si>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</si>
  <si>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Rapportage uitgelegd, méér dan alleen maar cijfertjes</t>
  </si>
  <si>
    <t>Zijlstra, Wobbe &amp; Jasper Wouda</t>
  </si>
  <si>
    <t>https://www.youtube.com/watch?v=bAcD04YLMPc</t>
  </si>
  <si>
    <t>Regeling beoordelingsnormen en de bijbehorende scores centrale eindtoets PO</t>
  </si>
  <si>
    <t>Zijlstra, Wobbe</t>
  </si>
  <si>
    <t>https://wetten.overheid.nl/BWBR0036102/2021-05-04#Bijlage</t>
  </si>
  <si>
    <t>Staatscourant van het Koninkrijk der Nederlanden</t>
  </si>
  <si>
    <t>https://zoek.officielebekendmakingen.nl/stcrt-2018-39602.html</t>
  </si>
  <si>
    <t>Normeringsprocedure</t>
  </si>
  <si>
    <t>https://www.centraleeindtoetspo.nl/informatie-centrale-eindtoets/hoe-komen-de-rapportages-tot-stand/normeringsprocedure</t>
  </si>
  <si>
    <t>Parental Unemployment: How much and when does it matter for Children's Educational Achievements</t>
  </si>
  <si>
    <t>Bakker, F.M., Irma Mooi-Reci</t>
  </si>
  <si>
    <t>Lifecoursecentr</t>
  </si>
  <si>
    <t>VU_FSW</t>
  </si>
  <si>
    <t>Ontslag ouders, arbeidsethos en opleidingsuitkomsten van de kinderen</t>
  </si>
  <si>
    <t>Bakker, Bart F.M., Gregory Besjes &amp; IrmaMooi-Reci</t>
  </si>
  <si>
    <t>Amsterdam University Press</t>
  </si>
  <si>
    <t>Effects of neighborhood context and direct social context on criminal careers during adolescence and into early adulthood. Persisters and desisters in crime from adolescence into adulthood: Explanation, prevention and punishment.</t>
  </si>
  <si>
    <t xml:space="preserve">Averdijk, M., Elffers, H., &amp; Ruiter, S. </t>
  </si>
  <si>
    <t>Aldershot: Ashgate</t>
  </si>
  <si>
    <t>NSCR</t>
  </si>
  <si>
    <t xml:space="preserve">Dader, slachtoffer, of beiden? De samenhang tussen daderschap en slachtofferschap onderzocht. </t>
  </si>
  <si>
    <t xml:space="preserve">Rokven, J., Ruiter, S., &amp; Tolsma, J. </t>
  </si>
  <si>
    <t>Tijdschrift voor Criminologie</t>
  </si>
  <si>
    <t>Effecten van sociale omgeving en buurt op criminele carrières. Wat beïnvloedt hun gedrag en wat is de rol van justitie?</t>
  </si>
  <si>
    <t>Amsterdam: SWP</t>
  </si>
  <si>
    <t xml:space="preserve">The victimization-offending relationship from a longitudinal perspective. </t>
  </si>
  <si>
    <t xml:space="preserve">Rokven, J. </t>
  </si>
  <si>
    <t>Radboud University Nijmegen: ICS dissertation Nijmegen</t>
  </si>
  <si>
    <t>Interethnic attitudes in urban neighbourhoods: the impact of neighbourhood disorder and decline.</t>
  </si>
  <si>
    <t>Havekes, E., Coenders, M. &amp; Dekker, K.</t>
  </si>
  <si>
    <t>Urban Studies. Online published: DOI: 10.1177/0042098013506049</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</si>
  <si>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</si>
  <si>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</si>
  <si>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</si>
  <si>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Spatial Concentration of Industries and New Firm Exits: Does this Relationship Differ between Exits by Closure and by M&amp;A?</t>
  </si>
  <si>
    <t>Weterings, Anet &amp; Orietta Marsili</t>
  </si>
  <si>
    <t>Regional Studies, DOI:10.1080/00343404.2012.726708</t>
  </si>
  <si>
    <t>EUR_RSM</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</si>
  <si>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</si>
  <si>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</si>
  <si>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</si>
  <si>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TNO_KL</t>
  </si>
  <si>
    <t>https://pubmed.ncbi.nlm.nih.gov/25804926/</t>
  </si>
  <si>
    <t>Cliëntstromen in de SUWI-keten 2005-2008</t>
  </si>
  <si>
    <t>Tanis, Olivier, Marcel Spijkerman, Daan Ooms en Joep Houtman</t>
  </si>
  <si>
    <t>SEOR</t>
  </si>
  <si>
    <t>Natuurverkenning 2010 (webpublicatie)</t>
  </si>
  <si>
    <t>PBL</t>
  </si>
  <si>
    <t>PBL_MNP</t>
  </si>
  <si>
    <t>http://themasites.pbl.nl/natuurverkenning/over-de-natuurverkenning/het-waarderen-van-natuur/zin-en-onzin-van-monetarisering/de-recreatieve-waarde-van-natuur</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</si>
  <si>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</si>
  <si>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</si>
  <si>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</si>
  <si>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UMC_EUR_iMGZ</t>
  </si>
  <si>
    <t>Educational inequalities in mortality by cause of death: first national data for the Netherlands</t>
  </si>
  <si>
    <t>Kulhánová I, Hoffmann R, Eikemo TA, Menvielle G, Mackenbach JP</t>
  </si>
  <si>
    <t>International Journal of Public Health doi:10.1007/s00038-014-0576-4</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</si>
  <si>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</si>
  <si>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</si>
  <si>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</si>
  <si>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</si>
  <si>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</si>
  <si>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</si>
  <si>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</si>
  <si>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</si>
  <si>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</si>
  <si>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</si>
  <si>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</si>
  <si>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</si>
  <si>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</si>
  <si>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Measuring Cultural Diversity and its Impact on Innovation: Longitudinal Evidence from Dutch Firms</t>
  </si>
  <si>
    <t>Ozgen, Ceren, Peter Nijkamp &amp; Jacques Poot</t>
  </si>
  <si>
    <t>http://ftp.iza.org/dp7129.pdf</t>
  </si>
  <si>
    <t>What stops dutch households from taking up much needed benefits?</t>
  </si>
  <si>
    <t>Tempelman Caren &amp; Aenneli Houkes-Hommes</t>
  </si>
  <si>
    <t>SEO Economisch Onderzoek</t>
  </si>
  <si>
    <t>Relations between the residential fast-food environment and the individual risk of cardiovascular diseases in The Netherlands: A nationwide follow-up study.</t>
  </si>
  <si>
    <t xml:space="preserve">Poelman M, Strak M, Schmitz O, Hoek G, Karssenberg D, Helbich M, Ntarladima_x000D_
AM, Bots M, Brunekreef B, Grobbee R, Dijst M &amp; Vaartjes I. </t>
  </si>
  <si>
    <t>https://www.ncbi.nlm.nih.gov/pubmed/29688759</t>
  </si>
  <si>
    <t xml:space="preserve">Comparison of Bayesian random-effects and traditional life expectancy estimations in small-area applications_x000D_
</t>
  </si>
  <si>
    <t xml:space="preserve">Jonker, M.F., F.J. van Lenthe, P.D. Congdon, B. Donkers, A. Burdorf &amp; J.P. Mackenbach_x000D_
</t>
  </si>
  <si>
    <t>American journal of epidemiology</t>
  </si>
  <si>
    <t>The impact of nursing homes on small-area life expectancies</t>
  </si>
  <si>
    <t xml:space="preserve">Jonker, M.F., F.J. van Lenthe, B. Donkers, P.D. Congdon, A. Burdorf &amp; J.P. Mackenbach_x000D_
</t>
  </si>
  <si>
    <t>Health &amp; Place</t>
  </si>
  <si>
    <t>Small-area health comparisons using health-adjusted life expectancies - A Bayesian random-effects approach</t>
  </si>
  <si>
    <t xml:space="preserve">Jonker, M.F., P.D. Congdon, F.J. van Lenthe, B. Donkers, A. Burdorf &amp; J.P. Mackenbach_x000D_
</t>
  </si>
  <si>
    <t xml:space="preserve">The effect of urban green on small-area (healthy) life expectancy _x000D_
</t>
  </si>
  <si>
    <t>Jonker, M.F., F.J.van Lenthe, B. Donkers, J.P. Mackenbach &amp;  A. Burdorf</t>
  </si>
  <si>
    <t>Journal of Epidemiology</t>
  </si>
  <si>
    <t xml:space="preserve">Estimating the impact of health-related behaviors on geographic variation in_x000D_
cardiovascular mortality; a new approach based on the synthesis of ecological and_x000D_
individual-level data_x000D_
</t>
  </si>
  <si>
    <t>Jonker, M.F., B. Donkers, B. Chaix, F.J. van Lenthe, A. Burdorf &amp; J.P. Mackenbach</t>
  </si>
  <si>
    <t>Epidemiology</t>
  </si>
  <si>
    <t>High resolution exposure modelling of heat and air pollution and the impact on mortality</t>
  </si>
  <si>
    <t xml:space="preserve">Willers, S.M., M.F. Jonker, L. Klok, M. Keuken, J. Odink, W.J. Okkerse, S. van den_x000D_
Elshout, J.P. Mackenbach &amp; A. Burdorf_x000D_
</t>
  </si>
  <si>
    <t xml:space="preserve">Environment International </t>
  </si>
  <si>
    <t>The economics of social housing: Implications for welfare, consumption, and labor market composition</t>
  </si>
  <si>
    <t>Kattenberg, M. A. C.</t>
  </si>
  <si>
    <t>Tjalling C. Koopmans Dissertation Series</t>
  </si>
  <si>
    <t>The risk of growing fast</t>
  </si>
  <si>
    <t>Hartog, C.M. MSc &amp; dr. J.M.P. de Kok &amp; dr. Ir. H. Zhou</t>
  </si>
  <si>
    <t>paper for IECER 2012 conference</t>
  </si>
  <si>
    <t>Panteia_EIM</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</si>
  <si>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</si>
  <si>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</si>
  <si>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</si>
  <si>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</si>
  <si>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Kok, Jan de &amp; Haibo Zhou, Chantal Hartog, Peter van der Zwan</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</si>
  <si>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</si>
  <si>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</si>
  <si>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</si>
  <si>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</si>
  <si>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Geographic Proximity of Adult Children and the Well-Being of Older Persons</t>
  </si>
  <si>
    <t>Van der Pers, M., C.H. Mulder &amp; N. Steverink</t>
  </si>
  <si>
    <t>Research on Aging. DOI: 10.1177/0164027514545482</t>
  </si>
  <si>
    <t>RUG_FRW</t>
  </si>
  <si>
    <t>Intergenerational Proximity and the Residential Relocation of Older People to Care Institutions and Elsewhere</t>
  </si>
  <si>
    <t>Van der Pers, M., E.U.B. Kibele &amp; C.H. Mulder</t>
  </si>
  <si>
    <t>Aging and Society. DOI: 10.1017/S0144686X14000300</t>
  </si>
  <si>
    <t>The Regional Dimension of Intergenerational Proximity in the Netherlands</t>
  </si>
  <si>
    <t>Van der Pers, M. &amp; C.H. Mulder</t>
  </si>
  <si>
    <t>Population Space and Place, 19(5), pp. 505-52.  DOI: 10.1002/psp.1729</t>
  </si>
  <si>
    <t>Childhood cancer survivors: evidence and care</t>
  </si>
  <si>
    <t>Kampen-Sieswerda, Elske van</t>
  </si>
  <si>
    <t>Optima Grafische Communicatie</t>
  </si>
  <si>
    <t>Individual activity patterns and the meaning of residential environments for inter-ethnic contact</t>
  </si>
  <si>
    <t>Heringa, Aafke, Gideon Bolt, Martin Dijst &amp; Ronald van Kempen</t>
  </si>
  <si>
    <t>Tijdschrift voor Economische en Sociale Geografie</t>
  </si>
  <si>
    <t>UU_GEO</t>
  </si>
  <si>
    <t>Improving the Prediction Model used in Risk Equalization: Cost and Diagnostic Information from Multiple Prior Years</t>
  </si>
  <si>
    <t>Van Veen, S.H.C.M., Kleef, R.C., van, Ven, W.P.M.M. van de, Vliet, R.C.J.A. van</t>
  </si>
  <si>
    <t>European Journal of Health Economics, 16(2): 201-18</t>
  </si>
  <si>
    <t>EUR_ESHPM</t>
  </si>
  <si>
    <t>Risicoverevening 2012: Een analyse van voorspelbare winsten en verliezen op subgroepniveau</t>
  </si>
  <si>
    <t>Kleef, R.C. van, R.C.J.A. van Vliet en W.P.M.M. van de Ven</t>
  </si>
  <si>
    <t>iBMG</t>
  </si>
  <si>
    <t>Risicoverevening 2014 voor somatische zorg Analyse van uitkomsten op subgroepniveau</t>
  </si>
  <si>
    <t>Risicoverevening tussen zorgverzekeraars: Kwantificering modelverbeteringen 1993-2011</t>
  </si>
  <si>
    <t>Risk equalization in the Netherlands: An empirical evaluation</t>
  </si>
  <si>
    <t>Kleef, R.C. van, R.C.J.A. van Vliet, and W.P.M.M. van de Ven</t>
  </si>
  <si>
    <t>Expert Review of Pharmacoeconomics &amp; Outcomes Research, 13: 829-839</t>
  </si>
  <si>
    <t>The characteristics of the switching behavior of the chronically ill regarding health insurers in the Netherlands</t>
  </si>
  <si>
    <t xml:space="preserve">Ahmady Fargonda </t>
  </si>
  <si>
    <t>Werkloosheid in de bouw, in- en uitstroom in de WW 2009-2011</t>
  </si>
  <si>
    <t>Afrian, K., Koning, M.A &amp; Vrolijk, M.H.</t>
  </si>
  <si>
    <t>EIB</t>
  </si>
  <si>
    <t>http://www.eib.nl/pdf/werkloosheid_in_de_bouw_2009-2011.pdf</t>
  </si>
  <si>
    <t>Development of the public-private wage differential in the Netherlands 1979 - 2009</t>
  </si>
  <si>
    <t>Berkhout, Ernest (SEO) en Wiemer Salverda (AIAS)</t>
  </si>
  <si>
    <t>Verwachte werkloosheidsduur bij WW-instroom. Toelichting bij geactualiseerd rekenmodel.</t>
  </si>
  <si>
    <t>Werf, Siemen van der &amp; Arjan Heyma</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</si>
  <si>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</si>
  <si>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</si>
  <si>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</si>
  <si>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UMC_VU</t>
  </si>
  <si>
    <t>The effect of same-sex marriage laws on different-sex marriage: Evidence from the Netherlands</t>
  </si>
  <si>
    <t>Trandafir, Mircea</t>
  </si>
  <si>
    <t>Demography 51:1, 317-340</t>
  </si>
  <si>
    <t>UniSherbrooke</t>
  </si>
  <si>
    <t>http://www.mirceatrandafir.com/docs/Marriage_Netherlands.pdf</t>
  </si>
  <si>
    <t>Pensioen consumptiebehoeften en ouderenzorg</t>
  </si>
  <si>
    <t>Knoef, Hussem, Soede &amp; De Bresser</t>
  </si>
  <si>
    <t>Veel variatie in de pensioenopbouw van Nederlandse huishoudens</t>
  </si>
  <si>
    <t>Knoef, Goudswaard, Been &amp; Caminada</t>
  </si>
  <si>
    <t>Job Strain and Alcohol Intake: A Collaborative Meta-Analysis of Individual-Participant Data from 140 000 Men and Women</t>
  </si>
  <si>
    <t>Heikkila, Katriina et al.</t>
  </si>
  <si>
    <t>PLoS ONE V7, I7,  e40101</t>
  </si>
  <si>
    <t>https://pubmed.ncbi.nlm.nih.gov/22792218/</t>
  </si>
  <si>
    <t>Job Strain and Tobacco Smoking: An Individual-Participant Data Meta-Analysis of 166 130 Adults in 15 European Studies</t>
  </si>
  <si>
    <t>Heikkilä, Katriina et al.</t>
  </si>
  <si>
    <t>PLoS ONE V7,  I7, e35463</t>
  </si>
  <si>
    <t>https://pubmed.ncbi.nlm.nih.gov/22792154/</t>
  </si>
  <si>
    <t>Job strain as a risk factor for coronary heart disease: a collaborative meta-analysis of individual participant data</t>
  </si>
  <si>
    <t>Kivimäki, Mika et al.</t>
  </si>
  <si>
    <t>Lancet 380: 1491-97</t>
  </si>
  <si>
    <t>https://www.sciencedirect.com/science/article/pii/S0140673612609945</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</si>
  <si>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</si>
  <si>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</si>
  <si>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</si>
  <si>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</si>
  <si>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in relation to bodymass index: pooled analysis of 160 000 adults from13 cohort studies</t>
  </si>
  <si>
    <t>Nyberg, S.T. et al.</t>
  </si>
  <si>
    <t>Journal of Internal Medicine, doi: 10.1111/j.1365-2796.2011.02482.x</t>
  </si>
  <si>
    <t>https://pubmed.ncbi.nlm.nih.gov/22077620/</t>
  </si>
  <si>
    <t>Work stress and risk of cancer: meta-analysis of 5700 incident cancer events in 116 000 European men and women</t>
  </si>
  <si>
    <t>BMJ 2013;346:f165 doi: 10.1136/bmj.f165</t>
  </si>
  <si>
    <t>https://pubmed.ncbi.nlm.nih.gov/23393080/</t>
  </si>
  <si>
    <t>Dynamiek in stadswijken: sociale stijging en verhuizingen</t>
  </si>
  <si>
    <t>Permentier, M., M. Das en K. Wittebrood</t>
  </si>
  <si>
    <t>Registers over wijken: mogelijkheden en beperkingen van het Sociaal Statistisch Bestand voor het onderzoek 'Sociale dynamiek in de wijk'</t>
  </si>
  <si>
    <t>Permentier, M., K. Wittebrood, M. Das en G. van Daalen</t>
  </si>
  <si>
    <t xml:space="preserve">Wel positieve gezondheidseffecten maar geen effect op leefbaarheid en veiligheid?_x000D_
</t>
  </si>
  <si>
    <t>Kullberg, Jeanet</t>
  </si>
  <si>
    <t>https://link.springer.com/article/10.1007/s12508-014-0067-2</t>
  </si>
  <si>
    <t>Werk aan de wijk. Een quasi-experimentele evaluatie van het krachtwijkenbeleid</t>
  </si>
  <si>
    <t>Permentier, Matthieu, Jeanet Kullberg en Lonneke van Noije</t>
  </si>
  <si>
    <t>Wijkaanpak lijkt aan te slaan</t>
  </si>
  <si>
    <t>Wittebrood, K. en M. Permentier</t>
  </si>
  <si>
    <t>https://www.socialevraagstukken.nl/wijkaanpak-lijkt-aan-te-slaan/</t>
  </si>
  <si>
    <t>Wonen, wijken &amp; interventies: krachtwijkenbeleid in perspectief</t>
  </si>
  <si>
    <t>Wittebrood, K. en M. Permentier m.m.v. F. Pinkster</t>
  </si>
  <si>
    <t>ABF Arbeidsmarktrapportage. Arbeidsmarktstructuur naar sector en regio.</t>
  </si>
  <si>
    <t>Marchal, Bert</t>
  </si>
  <si>
    <t>ABF</t>
  </si>
  <si>
    <t>http://abfresearch.nl/publicaties/rapporten/abf-arbeidsmarktrapportage---arbeidsmarktstructuur-naar-sector-en-regio.aspx</t>
  </si>
  <si>
    <t xml:space="preserve">De overeenkomst tussen Urk en Groningen_x000D_
</t>
  </si>
  <si>
    <t>https://www.abfresearch.nl/nieuws/de-overeenkomst-tussen-urk-en-groningen/</t>
  </si>
  <si>
    <t xml:space="preserve">Veel jonge vrouwen aan het werk in kleine gemeenten_x000D_
</t>
  </si>
  <si>
    <t>https://www.abfresearch.nl/nieuws/veel-jonge-vrouwen-aan-het-werk-in-kleine-gemeenten/</t>
  </si>
  <si>
    <t xml:space="preserve">Verschil in arbeidsparticipatie tussen mannen en vrouwen bij 55-plus het grootst_x000D_
</t>
  </si>
  <si>
    <t>https://www.abfresearch.nl/nieuws/verschil-in-arbeidsparticipatie-tussen-mannen-en-vrouwen-bij-55-plus-het-grootst/</t>
  </si>
  <si>
    <t xml:space="preserve">Groot- en kleinverdieners ver uit elkaar in de zakelijke dienstverlening_x000D_
</t>
  </si>
  <si>
    <t>https://www.abfresearch.nl/nieuws/groot-en-kleinverdieners-ver-uit-elkaar-in-de-zakelijke-dienstverlening/</t>
  </si>
  <si>
    <t>In gemeenten in Parkstad Limburg en Oost-Groningen heeft 40% van de potentiële beroepsbevolking een uitkering</t>
  </si>
  <si>
    <t>https://www.abfresearch.nl/nieuws/in-gemeenten-in-parkstad-limburg-en-oost-groningen-heeft-40-van-de-potenti%C3%ABle-beroepsbevolking-een-uitkering/</t>
  </si>
  <si>
    <t xml:space="preserve">Groot aandeel zelfstandigen in landbouw, cultuur en consumentendiensten_x000D_
</t>
  </si>
  <si>
    <t>https://www.abfresearch.nl/nieuws/groot-aandeel-zelfstandigen-in-landbouw-cultuur-en-consumentendiensten/</t>
  </si>
  <si>
    <t xml:space="preserve">Haren en Oegstgeest onderscheiden zich door een groot aandeel werkende jongeren met een afgeronde hbo-/wo-opleiding_x000D_
</t>
  </si>
  <si>
    <t>https://www.abfresearch.nl/nieuws/haren-en-oegstgeest-onderscheiden-zich-door-een-groot-aandeel-werkende-jongeren-met-een-afgeronde-hbo-wo-opleiding/</t>
  </si>
  <si>
    <t xml:space="preserve">Infographic arbeidsmarktstromen_x000D_
</t>
  </si>
  <si>
    <t>https://www.abfresearch.nl/nieuws/infographic-arbeidsmarktstromen/</t>
  </si>
  <si>
    <t xml:space="preserve">Toenemende baankansen voor bijna alle leeftijden_x000D_
</t>
  </si>
  <si>
    <t>https://www.abfresearch.nl/nieuws/toenemende-baankansen-voor-bijna-alle-leeftijden/</t>
  </si>
  <si>
    <t xml:space="preserve">Ziekteverzuim bijna 3x hoger in grotere bedrijven_x000D_
</t>
  </si>
  <si>
    <t>https://www.abfresearch.nl/nieuws/ziekteverzuim-bijna-3x-hoger-in-grotere-bedrijven/</t>
  </si>
  <si>
    <t xml:space="preserve">De Nederlandse beroepsbevolking is groter, slimmer en diverser_x000D_
</t>
  </si>
  <si>
    <t>https://www.abfresearch.nl/nieuws/de-nederlandse-beroepsbevolking-is-groter-slimmer-en-diverser/</t>
  </si>
  <si>
    <t xml:space="preserve">1,9 miljoen werkzame personen erbij in de zakelijke dienstverlening_x000D_
</t>
  </si>
  <si>
    <t>https://www.abfresearch.nl/nieuws/1-9-miljoen-werkzame-personen-erbij-in-de-zakelijke-dienstverlening/</t>
  </si>
  <si>
    <t xml:space="preserve">ABF Arbeidsmarktrapportage 2017: Nederlandse arbeidsmarktstructuur naar sector en regio_x000D_
</t>
  </si>
  <si>
    <t xml:space="preserve">Marchal, Bert &amp; Mark Grotenhuis_x000D_
</t>
  </si>
  <si>
    <t>https://www.abfresearch.nl/publicaties/abf-arbeidsmarktrapportage-2017/</t>
  </si>
  <si>
    <t>ABF arbeidsmarktrapportage 2018: De Nederlandse arbeidsmarkt naar sector en regio</t>
  </si>
  <si>
    <t>Grotenhuis, Mark</t>
  </si>
  <si>
    <t>https://www.abfresearch.nl/publicaties/abf-arbeidsmarktrapportage-2018</t>
  </si>
  <si>
    <t>Arbeidsmarktonderzoek 2018</t>
  </si>
  <si>
    <t>Grotenhuis, Mark, René van Hulle &amp; Jeroen de Kort</t>
  </si>
  <si>
    <t>https://www.collandarbeidsmarkt.nl/arbeidsmarktonderzoek-2018/</t>
  </si>
  <si>
    <t>ABF Arbeidsmarktrapportage 2018</t>
  </si>
  <si>
    <t>https://www.abfresearch.nl/publicaties/abf-arbeidsmarktrapportage-2018/</t>
  </si>
  <si>
    <t>Onderzoek naar instroom en uitstroom docenten mbo</t>
  </si>
  <si>
    <t>https://www.sommbo.nl/onderzoek-naar-instroom-en-uitstroom-docenten-mbo/</t>
  </si>
  <si>
    <t>ABF arbeidsmarktrapportage 2019. De Nederlandse arbeidsmarkt naar sector en regio</t>
  </si>
  <si>
    <t>ABF arbeidsmarktrapportage 2019 met aandacht voor flexibele contracten</t>
  </si>
  <si>
    <t>https://www.abfresearch.nl/publicaties/abf-arbeidsmarktrapportage-2019-met-aandacht-voor-flexibele-contracten/</t>
  </si>
  <si>
    <t>Stayrate van internationale afgestudeerden in Nederland</t>
  </si>
  <si>
    <t>Vlek, Mark de &amp; Coningh Daan Huberts</t>
  </si>
  <si>
    <t>https://www.nuffic.nl/publicaties/stayrate-van-internationale-afgestudeerden-in-nederland/</t>
  </si>
  <si>
    <t xml:space="preserve">Horeca groeit tot 2025 met 100.000 medewerkers </t>
  </si>
  <si>
    <t>https://www.khn.nl/nieuws/horeca-groeit-tot-2025-met-100-000-medewerkers /</t>
  </si>
  <si>
    <t>Arbeidsmarkt en Opleidingsbehoefte horeca</t>
  </si>
  <si>
    <t>Hooft van Huijsduijnen, Lies &amp; Jeroen de Kort</t>
  </si>
  <si>
    <t>https://arbeidsmarkthoreca.databank.nl/jive/jivereportcontents.ashx?report=home_new</t>
  </si>
  <si>
    <t>Niet-werknemers in agrarische en groene sectoren</t>
  </si>
  <si>
    <t>https://www.collandarbeidsmarkt.nl/niet-werknemers-in-agrarische-en-groene-sector/</t>
  </si>
  <si>
    <t>De kwetsbaarheid voorbij? Een studie over verschillen in loonontwikkeling van allochtone en autochtone academici, pp 185-202. In W. Smits en R. van Gaalen (eds): Dynamiek op de Nederlandse Arbeidsmarkt. De focus op kwetsbare groepen.</t>
  </si>
  <si>
    <t>Zorlu, A. en R. van Gaalen</t>
  </si>
  <si>
    <t>Employment assimilation of immigrants in the Netherlands: dip-and-catch-up by source country</t>
  </si>
  <si>
    <t>Zorlu, A. and Hartog, J.</t>
  </si>
  <si>
    <t>International Journal of Population Research, Article ID 634276</t>
  </si>
  <si>
    <t>Employment assimilation of immigrants in the Netherlands: catching up and the irrelevance of education</t>
  </si>
  <si>
    <t>Zorlu, A. &amp; J. Hartog</t>
  </si>
  <si>
    <t>IZA Discussion paper  No. 3534</t>
  </si>
  <si>
    <t>Ethnic Disparities in Degree Performance</t>
  </si>
  <si>
    <t>Zorlu, A.</t>
  </si>
  <si>
    <t>IZA Discussion Paper 6158</t>
  </si>
  <si>
    <t>Ethnic disparities in higher education.</t>
  </si>
  <si>
    <t>The IZA Journal of Migration, 2, 3;  doi:10.1186/2193-9039-2-3</t>
  </si>
  <si>
    <t>Ethnic Disparities in the Graduate Labour Market</t>
  </si>
  <si>
    <t>Economics Research International, Volume 2012, Article ID 836379</t>
  </si>
  <si>
    <t>IZA Discussion Paper 6159</t>
  </si>
  <si>
    <t>Integratie niet beter voor hoger opgeleide immigranten</t>
  </si>
  <si>
    <t>Hartog J. en A. Zorlu</t>
  </si>
  <si>
    <t>Mejudice</t>
  </si>
  <si>
    <t>www.mejudice.nl/node/48</t>
  </si>
  <si>
    <t>Occupational Adjustment of Immigrants</t>
  </si>
  <si>
    <t>IZA Discussion Paper 6147</t>
  </si>
  <si>
    <t>Occupational Adjustment of Immigrants in the Netherlands</t>
  </si>
  <si>
    <t>Journal of International Migration and Integration, 14, 4, 711-731</t>
  </si>
  <si>
    <t>Opleidingsniveau in registers: een toets van de validiteit via loonfuncties, pp 51-64. In B.F.M. Bakker en L. Kuijvenhoven (eds): Registers in sociaalwetenschappelijk onderzoek, mogelijkheden en valkuilen.</t>
  </si>
  <si>
    <t>Struggling for a proper job</t>
  </si>
  <si>
    <t>Studieprestaties van immigranten in het hoger onderwijs. Dynamiek in Statistiek. Nieuwe cijfers over de sociaaleconomische levensloop.</t>
  </si>
  <si>
    <t>Ooijevaar, J. en A. Zorlu</t>
  </si>
  <si>
    <t>Migratie en inkomensontwikkeling: Longitudinaal onderzoek naar vestigers in Rotterdam</t>
  </si>
  <si>
    <t>Dun, Ludo van en Wim van der Zanden</t>
  </si>
  <si>
    <t>Centrum voor Onderzoek en Statistiek (COS)</t>
  </si>
  <si>
    <t>Testing the Trade-off Theory for Dutch Small and Medium-Sized Enterprises</t>
  </si>
  <si>
    <t>Vrijburg, H.</t>
  </si>
  <si>
    <t>IIPF conference paper, Taormina</t>
  </si>
  <si>
    <t>The Effect of Capital Taxes on Household's Portfolio Composition and Intertemporal Choice: Evidence from the Dutch 2001 Capital Income Tax Reform</t>
  </si>
  <si>
    <t>Zoutman, Floris T</t>
  </si>
  <si>
    <t>NHH Dept. of Business and Management Science Discussion Paper No. 2014/23</t>
  </si>
  <si>
    <t>The Excess Burden of taxing Small and Medium-Sized Enterprises</t>
  </si>
  <si>
    <t>Mimeo, Erasmus University Rotterdam</t>
  </si>
  <si>
    <t>Inkomensongelijkheid neemt hier niet toe</t>
  </si>
  <si>
    <t>Teulings, Coen</t>
  </si>
  <si>
    <t>NRC-Handelsblad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</si>
  <si>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</si>
  <si>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</si>
  <si>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</si>
  <si>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</si>
  <si>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</si>
  <si>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</si>
  <si>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</si>
  <si>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</si>
  <si>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</si>
  <si>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Mogelijke indicatoren van schoolgewichten. Onderzoek naar de voorspellende waarde.</t>
  </si>
  <si>
    <t>Fettelaar, D. &amp; E. Smeets</t>
  </si>
  <si>
    <t>ITS, Radboud Universiteit Nijmegen</t>
  </si>
  <si>
    <t xml:space="preserve">Describing, explaining and predicting health care expenditures with statistical methods _x000D_
_x000D_
</t>
  </si>
  <si>
    <t xml:space="preserve">Wong, A._x000D_
</t>
  </si>
  <si>
    <t>Enschede: Gildeprint</t>
  </si>
  <si>
    <t>https://pure.uvt.nl/portal/en/publications/describing-explaining-and-predicting-health-care-expenditures-with-statistical-methods(81ecb1b4-3d03-4c8d-9fcc-0146378656da).html</t>
  </si>
  <si>
    <t>Pensioen, consumptiebehoeften en ouderenzorg</t>
  </si>
  <si>
    <t>Knoef M, Hussem A, Soede A &amp; de Bresser J</t>
  </si>
  <si>
    <t>Netspar Design Paper 31</t>
  </si>
  <si>
    <t xml:space="preserve">Ewijk, C. van der Horst, A. &amp; Besseling P._x000D_
</t>
  </si>
  <si>
    <t xml:space="preserve">http://www.cpb.nl/node/13458 _x000D_
</t>
  </si>
  <si>
    <t xml:space="preserve">Vergrijzing: Kosten en baten. In J.H.M. Donders &amp; C.A. de Kam (Eds.), Zorg verzekerd? Naar houdbare financiering voor de gezondheidszorg (pp. 101-123). _x000D_
</t>
  </si>
  <si>
    <t>Den Haag: Sdu</t>
  </si>
  <si>
    <t>The Ability to Pay for Long-Term Care in the Netherlands: A Life-cycle Perspective</t>
  </si>
  <si>
    <t>Hussem, Arjen, Casper van Ewijk, Harry ter Rele &amp; Albert Wong</t>
  </si>
  <si>
    <t>De Economist</t>
  </si>
  <si>
    <t>A Hedonic Price Analysis of the Value of Industrial Sites</t>
  </si>
  <si>
    <t>Beekmans, J. and P. Beckers</t>
  </si>
  <si>
    <t>Working Paper 10, PBL</t>
  </si>
  <si>
    <t>PBL_RPB</t>
  </si>
  <si>
    <t>A hedonic price analysis of the value of industrial sites</t>
  </si>
  <si>
    <t>Beekmans, J., P. Beckers, E. van der Krabben, &amp; K. Martens</t>
  </si>
  <si>
    <t xml:space="preserve"> Journal of Property Research. DOI: 10.1080/09599916.2013.836556.</t>
  </si>
  <si>
    <t>An indicator for decline of industrial estates</t>
  </si>
  <si>
    <t>Beekmans, J., E. van der Krabben, &amp; K. Martens</t>
  </si>
  <si>
    <t>Journal of European Real Estate Research 5(2).</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</si>
  <si>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</si>
  <si>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</si>
  <si>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</si>
  <si>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</si>
  <si>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</si>
  <si>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Income effects of a policy change in compensating medical expenses for chronically ill or disabled people in the Netherlands.</t>
  </si>
  <si>
    <t>Van der Veer J, Rijken M.</t>
  </si>
  <si>
    <t>NIVEL</t>
  </si>
  <si>
    <t>Wet tegemoetkoming chronisch zieken en gehandicapten. Inkomenseffecten van de overgang BU 2008 naar Wtcg 2009.</t>
  </si>
  <si>
    <t>www.nivel.nl</t>
  </si>
  <si>
    <t xml:space="preserve">Economic Impacts of Cultural Diversity in The Netherlands: Productivity, Utility, and Sorting_x000D_
_x000D_
</t>
  </si>
  <si>
    <t>Bakens, J., P. Mulder &amp; P. Nijkamp</t>
  </si>
  <si>
    <t>Journal of Regional Science, vol. 53, no. 1, pp. 8-36.</t>
  </si>
  <si>
    <t>http://onlinelibrary.wiley.com/doi/10.1111/jors.12012/full</t>
  </si>
  <si>
    <t xml:space="preserve">Globalization and Productivity: Micro-Evidence on Heterogeneous Firms, Workers and Products. Hoofdstuk 5._x000D_
_x000D_
</t>
  </si>
  <si>
    <t xml:space="preserve">Möhlmann, J.L._x000D_
_x000D_
</t>
  </si>
  <si>
    <t>Dissertation, VU University Amsterdam, Thela Thesis, Amsterdam.</t>
  </si>
  <si>
    <t>Ethnic drift and white flight: A gravity model of neighborhood formation</t>
  </si>
  <si>
    <t>Bakens, Jessie, Raymond J.G.M. Florax &amp; Peter Mulder</t>
  </si>
  <si>
    <t xml:space="preserve">Journal of Regional Science </t>
  </si>
  <si>
    <t>Estimating the impact of trade, offshoring and multinationals on job loss and job finding</t>
  </si>
  <si>
    <t>Groot, S.P.T., S. Akcomak en H.L.F. de Groot</t>
  </si>
  <si>
    <t>Comparing ischaemic stroke in six European countries. The EuroHOPE register study.</t>
  </si>
  <si>
    <t>Malmivaara A, et al.</t>
  </si>
  <si>
    <t>European Journal of Neurology 22(2); 284-91</t>
  </si>
  <si>
    <t>How to stimulate single mothers on welfare to find a job: evidence from a policy experiment</t>
  </si>
  <si>
    <t xml:space="preserve">Knoef, M.G. &amp; Ours, J.C. van </t>
  </si>
  <si>
    <t>Leiden University Repository</t>
  </si>
  <si>
    <t>http://hdl.handle.net/1887/39408</t>
  </si>
  <si>
    <t xml:space="preserve">Bevordering arbeidsparticipatie bijstandsmoeders </t>
  </si>
  <si>
    <t xml:space="preserve">Knoef, M.G.&amp; Ours, J.C. van </t>
  </si>
  <si>
    <t>http://hdl.handle.net/1887/42608</t>
  </si>
  <si>
    <t>Driving factors for service providers to participate in standardization: Insights from the Netherlands</t>
  </si>
  <si>
    <t>Blind, Knut</t>
  </si>
  <si>
    <t>Industry&amp;Innovation</t>
  </si>
  <si>
    <t>UniBerlin</t>
  </si>
  <si>
    <t>More labour market flexibility for more innovation? Evidence fromemployer–employee linked micro data</t>
  </si>
  <si>
    <t>Wachsena, Eva &amp; Knut Blind</t>
  </si>
  <si>
    <t>Elsevier</t>
  </si>
  <si>
    <t>Industry and Innovation</t>
  </si>
  <si>
    <t>Wakke, Paul, Knut Blind &amp; Henk J. De Vries</t>
  </si>
  <si>
    <t>Routledge</t>
  </si>
  <si>
    <t>De veerkracht van regionale arbeidsmarkten</t>
  </si>
  <si>
    <t>Weterings, Anet, Dario Diodato &amp; Martijn van den Berge</t>
  </si>
  <si>
    <t>http://www.pbl.nl/sites/default/files/cms/publicaties/PBL_2013_Veerkracht%20van%20regionale%20arbeidsmarkten_669.pdf</t>
  </si>
  <si>
    <t>Turks and Moroccans in the Low Countries around the year 2000: determinants of religiosity, trend in religiosity and determinants of the trend</t>
  </si>
  <si>
    <t>Smit, Fransje</t>
  </si>
  <si>
    <t>RIN_ITS</t>
  </si>
  <si>
    <t>http://repository.ubn.ru.nl/bitstream/handle/2066/94201/94201.pdf?sequence=1</t>
  </si>
  <si>
    <t>Sorting based on urban heritage and income: Evidence from the Amsterdam metropolitan area</t>
  </si>
  <si>
    <t>Duijn, Mark van &amp; Jan Rouwendal</t>
  </si>
  <si>
    <t>De Dorpenmonitor. Ontwikkelingen in de leefsituatie van dorpsbewoners</t>
  </si>
  <si>
    <t>Steenbekkers, Anja en Lotte Vermeij</t>
  </si>
  <si>
    <t>Impact of the post-2008 economic crisis on harmful drinking in the Dutch working-age population</t>
  </si>
  <si>
    <t>Goeija C.M. de,  Bregje van der Wouden, Jan-Willem Bruggink, Ferdy Otten &amp; Anton E. Kunst</t>
  </si>
  <si>
    <t>Nationaal Prevalentie Onderzoek Middelengebruik 2009: De kerncijfers</t>
  </si>
  <si>
    <t>Rooij, Antonius J. van &amp; Tim M. Schoenmakers, Dike van de Mheen</t>
  </si>
  <si>
    <t>IVO</t>
  </si>
  <si>
    <t>Nationaal prevalentie onderzoek middelengebruik 2005</t>
  </si>
  <si>
    <t>Rodenburg, Gerda, Renske Spijkerman, Regina van den Eijnden &amp; Dike van de Mheen</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</si>
  <si>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</si>
  <si>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</si>
  <si>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</si>
  <si>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Mobiliteit van Antilliaanse Nederlanders. Een inventariserend onderzoek naar de aard, omvang, oorzaken en consequenties van mobiliteit.</t>
  </si>
  <si>
    <t>Weltevrede, A.M., J. de Boom, M. van San, T. Tudjman, P. van Wensveen, T. Konrad</t>
  </si>
  <si>
    <t>RISBO</t>
  </si>
  <si>
    <t>De Uitzendmonitor in: 'Flexpocket. Feiten en cijfers over flexibele arbeidsvormen</t>
  </si>
  <si>
    <t>ABU</t>
  </si>
  <si>
    <t>Uitzendmonitor 2014</t>
  </si>
  <si>
    <t>Vermeulen, H., R. Schellingerhout , R. Sijbers &amp; E. van de Wetering</t>
  </si>
  <si>
    <t>Modeling Regional House Prices in the Netherlands</t>
  </si>
  <si>
    <t>Philipsen, W.J.M.</t>
  </si>
  <si>
    <t>Cross-country analysis of ICT impact using firm-level data: Micro Moments Database and Research Infrastructure</t>
  </si>
  <si>
    <t>Bartelsman, Eric, Eva Hagsten &amp; Michael Polder</t>
  </si>
  <si>
    <t>VU_Tinbergen</t>
  </si>
  <si>
    <t>VU_SBE
VU_SBE_Tinbergen</t>
  </si>
  <si>
    <t>Eurostat</t>
  </si>
  <si>
    <t>Exploring the Relationship between Labor Market Turbulence and ICT Use. Using Firm- and Worker-level Data from the Netherlands. Technical Report.</t>
  </si>
  <si>
    <t>Bartelsman, Eric J. &amp; Peter N. Gal</t>
  </si>
  <si>
    <t>VU_FEWEB</t>
  </si>
  <si>
    <t>Employment Protection, Technology Choice, and Worker Allocation</t>
  </si>
  <si>
    <t>Bartelsman, E., Gautier, P., &amp; De Wind, J.</t>
  </si>
  <si>
    <t>Institute for the Study of Labor (IZA), IZA Discussion Papers No. 4895</t>
  </si>
  <si>
    <t>http://econpapers.repec.org/RePEc:iza:izadps:dp4895</t>
  </si>
  <si>
    <t>The association between work stressors and cardiovascular disease, a methodological approach.</t>
  </si>
  <si>
    <t>Szerencsi, Karolina</t>
  </si>
  <si>
    <t>Printservice</t>
  </si>
  <si>
    <t>UMC_UM_Epidem</t>
  </si>
  <si>
    <t>Verlof vragen. De behoefte aan en het gebruik van verlofregelingen.</t>
  </si>
  <si>
    <t>Meester, Edith de &amp; Saskia Keuzenkamp</t>
  </si>
  <si>
    <t>http://www.scp.nl/Publicaties/Alle_publicaties/Publicaties_2011/Verlof_vragen</t>
  </si>
  <si>
    <t>Loopbaanmonitor Onderwijs 2011: Onderzoek naar de arbeidsmarktpositie van afgestudeerden van de lerarenopleidingen in 2010</t>
  </si>
  <si>
    <t>Leenen, drs. H. van &amp; drs. F.E.M. Bemsden</t>
  </si>
  <si>
    <t>Regioplan</t>
  </si>
  <si>
    <t>Labour Supply Effects of Winning a Lottery</t>
  </si>
  <si>
    <t xml:space="preserve">Picchio Matteo, Sigrid Suetens &amp; Jan C. van Ours_x000D_
_x000D_
_x000D_
_x000D_
_x000D_
_x000D_
  </t>
  </si>
  <si>
    <t>The Economic Journal</t>
  </si>
  <si>
    <t>TIU_TiSEM</t>
  </si>
  <si>
    <t>https://onlinelibrary.wiley.com/doi/full/10.1111/ecoj.12465</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</si>
  <si>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</si>
  <si>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</si>
  <si>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</si>
  <si>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Monitor Inkomens Ondernemers Editie 2013</t>
  </si>
  <si>
    <t>Vendrig, J.P.</t>
  </si>
  <si>
    <t>Panteia</t>
  </si>
  <si>
    <t>http://www.ondernemerschap.nl/index.cfm/12,html?nxt=ctm_publikatie&amp;bestelnummer=A201415</t>
  </si>
  <si>
    <t>Kenmerken van wederuitvoerbedrijven</t>
  </si>
  <si>
    <t>Kuypers, Fred (CPB) &amp; Arjan Lejour (CPB), Oscar Lemmers (CBS), Pascal Ramaekers (CBS)</t>
  </si>
  <si>
    <t>Wederuitvoer op bedrijfsniveau bekeken</t>
  </si>
  <si>
    <t>Kuypers, Fred, , Arjan Lejour, Oscar Lemmers &amp; Pascal Ramaekers</t>
  </si>
  <si>
    <t xml:space="preserve">Labour productivity and innovation performance: The importance of internal labour flexibility practices. _x000D_
</t>
  </si>
  <si>
    <t>Preenen, P. T. Y., Vergeer, R. A., Kraan, K. O., &amp; Dhondt, S.</t>
  </si>
  <si>
    <t>Economic and Industrial Democracy 1-23. Doi: 10.1177/0143831X15572836</t>
  </si>
  <si>
    <t>http://eid.sagepub.com/content/early/2015/03/24/0143831X15572836.abstract</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</si>
  <si>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</si>
  <si>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</si>
  <si>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</si>
  <si>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</si>
  <si>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Kwaliteit van de arbeid, preventieve arbomaatregelen en productiviteit Koppeling WEA-steekproef aan registratiebestanden</t>
  </si>
  <si>
    <t>Dhondt S.,  R. Vergeer, K.O. Kraan, I.L.D. Houtman, E.M.M. de Vroome &amp; M.H.J. van Zwieten</t>
  </si>
  <si>
    <t>TNO</t>
  </si>
  <si>
    <t>https://repository.tudelft.nl/islandora/object/uuid%3A0c52bf27-da6f-4a6d-9b2a-daf1c85c2a31</t>
  </si>
  <si>
    <t>Terecht in de jeugdzorg: Voorspellers van kind- en opvoedproblematiek en jeugdzorggebruik</t>
  </si>
  <si>
    <t xml:space="preserve">Bot, Sander, Simone de Roos, Klarita Sadiraj, Saskia Keuzenkamp, Angela van den Broek &amp; Ellen Kleijnen </t>
  </si>
  <si>
    <t>https://www.scp.nl/Publicaties/Alle_publicaties/Publicaties_2013/Terecht_in_de_jeugdzorg</t>
  </si>
  <si>
    <t>Groeit de jeugdzorg door? Het beroep op de voorzieningen. Realisatie 2001-2011 en raming 2011-2017</t>
  </si>
  <si>
    <t xml:space="preserve">Sadiraj, Klarita, Michiel Ras, Lisa Putman &amp; Jedid-Jah Jonker </t>
  </si>
  <si>
    <t>https://www.scp.nl/Publicaties/Alle_publicaties/Publicaties_2013/Groeit_de_jeugdzorg_door</t>
  </si>
  <si>
    <t>Kostenverschillen in de jeugdzorg: Kostenverschillen in de jeugdzorg_web</t>
  </si>
  <si>
    <t xml:space="preserve">Ras, Michiel, Evert Pommer &amp; Klarita Sadiraj  </t>
  </si>
  <si>
    <t>https://www.scp.nl/Publicaties/Alle_publicaties/Publicaties_2014/Kostenverschillen_in_de_jeugdzorg</t>
  </si>
  <si>
    <t>Kinderopvangbeleid en arbeidsparticipatie van vrouwen</t>
  </si>
  <si>
    <t>Voltman, Marloes &amp; Henk-Wim de Boer en Hugo Erken</t>
  </si>
  <si>
    <t>MinSZW_FEZ</t>
  </si>
  <si>
    <t>Besparingsgetallen - energiebesparende maatregelen</t>
  </si>
  <si>
    <t>Menkveld, M. (ECN) &amp; K. Leidelmeijer (RIGO), P. Vethman (ECN), E. Cozijnsen (RIGO)</t>
  </si>
  <si>
    <t>ECN</t>
  </si>
  <si>
    <t>RIGO</t>
  </si>
  <si>
    <t>Increased risk of CVD after VT is determined by common etiologic factors</t>
  </si>
  <si>
    <t>Roach RE, Lijfering WM, Flinterman LE, Rosendaal FR &amp; Cannegieter SC</t>
  </si>
  <si>
    <t>Blood. Jun 13;121(24):4948-54</t>
  </si>
  <si>
    <t>UMC_UL</t>
  </si>
  <si>
    <t>https://pubmed.ncbi.nlm.nih.gov/23645837/</t>
  </si>
  <si>
    <t>The risk of venous thromboembolism after minor surgical procedures: A population-based case-control study</t>
  </si>
  <si>
    <t>Smeets, Mark J.R., Carolina E. Touw, Frits R. Rosendaal, Banne Nemeth &amp; Suzanne C. Cannegieter</t>
  </si>
  <si>
    <t>ScienceDirect</t>
  </si>
  <si>
    <t>https://www.sciencedirect.com/science/article/abs/pii/S1538783622076516</t>
  </si>
  <si>
    <t>Distortion of regional old-age mortality due to late-life migration in the Netherlands?</t>
  </si>
  <si>
    <t>Kibele, E., &amp; Janssen, F.</t>
  </si>
  <si>
    <t>Demographic Research, 29, 105-132</t>
  </si>
  <si>
    <t>http://www.demographic-research.org/volumes/vol29/5/</t>
  </si>
  <si>
    <t>Grote dynamiek in kleinschalig ondernemerschap. De kansen van zzp-schap in het bijzonder voor doelgroepen met afstand tot de arbeidsmarkt</t>
  </si>
  <si>
    <t>Mevissen, J., L. Heuts &amp; H. van Leenen</t>
  </si>
  <si>
    <t>https://docplayer.nl/3177927-Grote-dynamiek-in-kleinschalig-ondernemerschap.html</t>
  </si>
  <si>
    <t>Deeltijd-WW: de ultieme flexicurity-tool? In: Dynamiek op de Nederlandse Arbeidsmarkt III</t>
  </si>
  <si>
    <t>Pavlopoulos, Dimitris, Katja Chkalova &amp; Ton van Maanen</t>
  </si>
  <si>
    <t>CBS &amp; TNO</t>
  </si>
  <si>
    <t>VU</t>
  </si>
  <si>
    <t>Evaluatie WBSO 2006-2010: Effecten, doelgroepbereik en uitvoering</t>
  </si>
  <si>
    <t>Verhoeven,  W.H.J. ,  A.J. van Stel &amp; N.G.L. Timmermans</t>
  </si>
  <si>
    <t>Panteia EIM</t>
  </si>
  <si>
    <t>http://www.rijksoverheid.nl/documenten-en-publicaties/rapporten/2012/04/02/hoofdrapport-evaluatie-wbso-2006-2010.html</t>
  </si>
  <si>
    <t>Inkomen, vermogen en dynamiek van zelfstandigen zonder personeel. Verschi llen tussen zelfstandigen zonder personeel en nieuwe zelfstandigen.</t>
  </si>
  <si>
    <t>Vries, Nardo de &amp; Nicole Braams</t>
  </si>
  <si>
    <t>Panteia en CBS</t>
  </si>
  <si>
    <t>CBS
Panteia_EIM</t>
  </si>
  <si>
    <t>http://www.cbs.nl/nl-NL/menu/themas/bedrijven/publicaties/publicaties/archief/2013/2013-inkomen-vermogen-en-dynamiek-van-zelfstandigen-zonder-personeel-2009-pub.htm</t>
  </si>
  <si>
    <t>The Impact of EUREKA in the Netherlands</t>
  </si>
  <si>
    <t>Damvad</t>
  </si>
  <si>
    <t>De economische impact van arbeidsmigratie: verdringingseffecten 1999-2008</t>
  </si>
  <si>
    <t>Berkhout, Ernest, Arjan Heyma &amp; Siemen van der Werff</t>
  </si>
  <si>
    <t>Beheerplan voor LMS en NRM</t>
  </si>
  <si>
    <t>Rik van Grol</t>
  </si>
  <si>
    <t>Significance</t>
  </si>
  <si>
    <t>http://www.significance.nl/papers/2009-CVS-Beheerplan-LMS&amp;NRM.pdf</t>
  </si>
  <si>
    <t>Explaining the Flight of Cupid’s Arrow: A Spatial Random Utility Model of Partner Choice</t>
  </si>
  <si>
    <t>Haandrikman, Karen &amp; Leo J. G. van Wissen</t>
  </si>
  <si>
    <t>European Journal of Population</t>
  </si>
  <si>
    <t>UniStockholm_Human_Geography</t>
  </si>
  <si>
    <t>Cohortonderzoek COOL5-18 Technisch rapport bij het COOL5-18 bestandenproject voor het voortgezet onderwijs.</t>
  </si>
  <si>
    <t>Timmermans, A., &amp; Zijsling, D.</t>
  </si>
  <si>
    <t>GION Onderwijs/Onderzoek</t>
  </si>
  <si>
    <t>RUG_GMW_GION</t>
  </si>
  <si>
    <t>http://www.cbs.nl/nl-NL/menu/informatie/beleid/catalogi/catalogus-microdatabestanden-thema/onderwijs/default.htm</t>
  </si>
  <si>
    <t>Geslaagd in de stad</t>
  </si>
  <si>
    <t>Koster, S., &amp; Venhorst, V.</t>
  </si>
  <si>
    <t>Venhorst, V. A., Koster, S., &amp; Dijk, J. V.</t>
  </si>
  <si>
    <t>http://irs.ub.rug.nl/ppn/37257274X</t>
  </si>
  <si>
    <t>Moving shop: residential and business relocation by the highly educated self-employed.</t>
  </si>
  <si>
    <t>A regional comparison of open innovation practices.</t>
  </si>
  <si>
    <t>Cruz-Cazares, C, AAJ Smits, H Berends, IMMJ Reymen, P Anzola, C Bayona, T Garcia, M Schubert &amp; F Sturm</t>
  </si>
  <si>
    <t>EURIS/BMOI</t>
  </si>
  <si>
    <t>TU/e_IEIS</t>
  </si>
  <si>
    <t>http://hdl.handle.net/1871/40113</t>
  </si>
  <si>
    <t>Creative Professionals and Cultural Ambiance in Urban Agglomerations (forthcoming).</t>
  </si>
  <si>
    <t>Kourtit, K.,  Möhlmann, J.,  Nijkamp, P.,  and  Rouwendal,  J.</t>
  </si>
  <si>
    <t>International Regional Science Review</t>
  </si>
  <si>
    <t>The  Geography of Creative Industries and Cultural Heritage (forthcoming)</t>
  </si>
  <si>
    <t>Kourtit, K.,  Möhlmann,  J., Nijkamp, P.,  and  Rouwendal,  J.</t>
  </si>
  <si>
    <t>Journal of Cultural and Creative Industries</t>
  </si>
  <si>
    <t>Effect woonsituatie op arbeidsaanbod</t>
  </si>
  <si>
    <t>Siemen van der Werf en Jurriaan Prins</t>
  </si>
  <si>
    <t>www.rijksoverheid.nl/.../effect-woonsituatie-op-arbeidsaanbod.pdf</t>
  </si>
  <si>
    <t>Het belang van het innovatieregime voor flexibel werk en innovatie</t>
  </si>
  <si>
    <t>Kleinknecht, A., van Schaik, F &amp; Zhou, H</t>
  </si>
  <si>
    <t>Economisch Statistische Berichten. Jaargang 98(4659), 3 : 276-279.</t>
  </si>
  <si>
    <t>Zijn er inkomsten of niet; ff checken</t>
  </si>
  <si>
    <t>Inspectie Werk en Inkomen, Min SZW</t>
  </si>
  <si>
    <t>Ned. Arbeidsinspectie</t>
  </si>
  <si>
    <t>Afbouw van het WSW bestand</t>
  </si>
  <si>
    <t>Berden, Caroline &amp; Caren Tempelman</t>
  </si>
  <si>
    <t>Bouwstenen verdeelmodel participatiebudget eindrapport</t>
  </si>
  <si>
    <t>Tempelman, Caren &amp; Caroline Berden, Martin Heekelaar en Lucy Kok</t>
  </si>
  <si>
    <t>Bouwstenen verdeelmodel participatiebudget Technisch eindrapport</t>
  </si>
  <si>
    <t>Education and Health: The Role of Cognitive Ability.</t>
  </si>
  <si>
    <t>Bijwaard, Govert, Hans van Kippersluis &amp; Justus Veenman</t>
  </si>
  <si>
    <t>Tinbergen Institute</t>
  </si>
  <si>
    <t>Education and health: The role of cognitive ability</t>
  </si>
  <si>
    <t>Bijwaard, Govert E., Hans van Kippersluis, Justus Veenman</t>
  </si>
  <si>
    <t>Tijd voor (na)scholing. Tweede rapportage evaluatie (na)scholing en de Lerarenbeurs voor scholing.</t>
  </si>
  <si>
    <t>Vink, Rob, Hans Mariën &amp; Astrid Vloet</t>
  </si>
  <si>
    <t>IVA</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</si>
  <si>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</si>
  <si>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</si>
  <si>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</si>
  <si>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</si>
  <si>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A closer look at the role of healthcare in the recent mortality decline in the Netherlands: results of a record linkage study</t>
  </si>
  <si>
    <t>Peters, F., Nusselder, W. J., &amp; Mackenbach, J. P.</t>
  </si>
  <si>
    <t>Journal of Epidemiology and Community Health</t>
  </si>
  <si>
    <t>Health inequalities in the Netherlands: trends in quality-adjusted life expectancy (QALE) by educational level</t>
  </si>
  <si>
    <t>Gheorghe M, Wubulihasimu P, Peters F, Nusselder W &amp; Van Baal P.H.</t>
  </si>
  <si>
    <t>European Journal of Public Health</t>
  </si>
  <si>
    <t>Resting Heart Rate Is a Risk Factor for Mortality in Chronic Obstructive Pulmonary Disease, but Not for Exacerbations or Pneumonia</t>
  </si>
  <si>
    <t>Warnier MJ, Rutten FH, de Boer A, Hoes AW, De Bruin ML</t>
  </si>
  <si>
    <t>PLoS One 9(8):e105152.</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</si>
  <si>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</si>
  <si>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</si>
  <si>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</si>
  <si>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UMC_UU</t>
  </si>
  <si>
    <t>Safety in cardiac surgery</t>
  </si>
  <si>
    <t>Siregar, Sabrina</t>
  </si>
  <si>
    <t>Gildeprint Drukkerijen, Enschede</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</si>
  <si>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</si>
  <si>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</si>
  <si>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</si>
  <si>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</si>
  <si>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PrO-loopbanen van zes jaar. Loopbanen in onderwijs en arbeid van leerlingen met een beschikking Praktijkonderwijs, 2005/06 - 2010/11</t>
  </si>
  <si>
    <t>Koopman, P.N.J., Voncken, E.</t>
  </si>
  <si>
    <t>Kohnstamm Instituut</t>
  </si>
  <si>
    <t>Kohnstamm</t>
  </si>
  <si>
    <t>http://www.kohnstamminstituut.uva.nl/asp/rapport_results_nr.asp?rapportnummer=881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</si>
  <si>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</si>
  <si>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</si>
  <si>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</si>
  <si>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</si>
  <si>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Changes in the income distribution of the Dutch elderly between 1989-2020: a dynamic microsimulation</t>
  </si>
  <si>
    <t>Knoef, M.G., R.J.M. Alessie &amp; A.S. Kalwij</t>
  </si>
  <si>
    <t>Review of Income and Wealth, 59(3), pp. 460-485</t>
  </si>
  <si>
    <t>Measuring retirement savings adequacy: a multi-pillar approach in the Netherlands</t>
  </si>
  <si>
    <t>Knoef, M.G., J. Been, R.J.M. Alessie, C.L.J. Caminada, K.P. Goudswaard &amp; A.S. Kalwij</t>
  </si>
  <si>
    <t>Netspar Design Paper 25</t>
  </si>
  <si>
    <t>Pathways to retirement and mortality risk in the Netherlands</t>
  </si>
  <si>
    <t>Kalwij, A., R. Alessie &amp;Marike Knoef</t>
  </si>
  <si>
    <t>Eur J Population 29: 221-238</t>
  </si>
  <si>
    <t>Pensioeninkomens in de toekomst</t>
  </si>
  <si>
    <t>Knoef, M.G., K.P. Goudswaard, K. Caminada &amp; J. Been</t>
  </si>
  <si>
    <t>Economisch Statistische Berichten, pp. 734-737</t>
  </si>
  <si>
    <t>The association between individual income and remaining life expectancy at the age of 65 in the Netherlands</t>
  </si>
  <si>
    <t>Kalwij, Adriaan, S., Rob J.M. Alessie &amp; Marike G. Knoef</t>
  </si>
  <si>
    <t>Demography 50 : 181-206</t>
  </si>
  <si>
    <t>Inkomensmobiliteit in Nederland 2001 - 2014</t>
  </si>
  <si>
    <t>Vriend, Sandra, Marike Knoef (Universiteit Leiden), Marloes Lammers &amp; Bas ter Weel</t>
  </si>
  <si>
    <t>Universiteit Leiden</t>
  </si>
  <si>
    <t>Can the Dutch meet their own retirement expenditure goals?</t>
  </si>
  <si>
    <t>Bresser, Jochem de &amp; Marike Knoef</t>
  </si>
  <si>
    <t>UvT_Netspar</t>
  </si>
  <si>
    <t>The necessity of self-employment towards retirement: Evidence from labor market dynamics and search requirements for unemployment benefits</t>
  </si>
  <si>
    <t>Been, Jim &amp; Marike Knoef</t>
  </si>
  <si>
    <t>Life cycle behavior under uncertainty: Essays on savings, mortgages and health</t>
  </si>
  <si>
    <t>Ooijen, Raun, Rob Alessie &amp; Adriaan Kalwij</t>
  </si>
  <si>
    <t>De toereikendheid van pensioenopbouw na de crisis en pensioenhervormingen</t>
  </si>
  <si>
    <t xml:space="preserve">Knoef, M.G., J. Been, C.L.J. Caminada, K.P. Goudswaard &amp; J. Rhuggenaath </t>
  </si>
  <si>
    <t>Joint retirement behaviour and pension reform in the Netherlands</t>
  </si>
  <si>
    <t>Nagore García, Amparo &amp; Arthur van Soest</t>
  </si>
  <si>
    <t>https://www.sciencedirect.com/science/article/pii/S2212828X22000330</t>
  </si>
  <si>
    <t>Individuals’ Survival Expectations and Actual Mortality</t>
  </si>
  <si>
    <t>Kutlu-Koc, Vesile &amp; Adriaan Kalwij</t>
  </si>
  <si>
    <t>Netspar. DP 05/2013-013</t>
  </si>
  <si>
    <t>http://arno.uvt.nl/show.cgi?fid=129688</t>
  </si>
  <si>
    <t>Vrouwenemancipatie 2014</t>
  </si>
  <si>
    <t>Lindeman, Ellen &amp; Sanne de Ruiter</t>
  </si>
  <si>
    <t>Bureau Onderzoek en Statistiek, Gemeente Amsterdam</t>
  </si>
  <si>
    <t>GemAmsterdam_O&amp;S</t>
  </si>
  <si>
    <t xml:space="preserve">Monitor EU-migranten 2013_x000D_
</t>
  </si>
  <si>
    <t xml:space="preserve">Booi, H., E. Lindeman &amp; J. Slot_x000D_
</t>
  </si>
  <si>
    <t xml:space="preserve">http://www.ois.amsterdam.nl/nieuws/download/1222/2013_migranten.pdf_x000D_
</t>
  </si>
  <si>
    <t xml:space="preserve">Dashboard kenrcijfers Amsterdam (jaarlijkse update)_x000D_
</t>
  </si>
  <si>
    <t xml:space="preserve">Bicknese, L._x000D_
</t>
  </si>
  <si>
    <t>Afdeling Onderzoek, Informatie en Statistiek, Gemeente Amsterdam</t>
  </si>
  <si>
    <t>http://www.ois.amsterdam.nl/visualisatie/dashboard_kerncijfers.html_x000D_
http://www.ois.amsterdam.nl/assets/zips/2015_bbga_22_6.zip</t>
  </si>
  <si>
    <t>Amsterdamse Armoedemonitor 2013</t>
  </si>
  <si>
    <t>Heijnen, Merijn, Laure Michon, Nienke Nottelman, Clemens Wenneker &amp; Jeroen Slot</t>
  </si>
  <si>
    <t xml:space="preserve">http://www.ois.amsterdam.nl/nieuws/download/1339/Amsterdamse%20Armoedemonitor%202013_definitief.pdf_x000D_
</t>
  </si>
  <si>
    <t xml:space="preserve">Stadsdeelrapportage Armoedemonitor 2014_x000D_
</t>
  </si>
  <si>
    <t xml:space="preserve">Michon, Laure, Nienke Nottelman, Clemens Wenneker &amp;  Jeroen Slot_x000D_
</t>
  </si>
  <si>
    <t>Gemeente Amsterdam; Onderzoek, Informatie en Statistiek</t>
  </si>
  <si>
    <t xml:space="preserve">Armoedemonitor 2014: Lage inkomens in Amsterdam_x000D_
</t>
  </si>
  <si>
    <t xml:space="preserve">Michon Laure, Nienke Nottelman, Clemens Wenneker &amp; Jeroen Slot_x000D_
</t>
  </si>
  <si>
    <t xml:space="preserve">http://www.ois.amsterdam.nl/assets/pdfs/2015_amsterdamse%20armoedemonitor%202014.pdf_x000D_
</t>
  </si>
  <si>
    <t xml:space="preserve">Stadsdeelrapportage Armoedemonitor 2015_x000D_
</t>
  </si>
  <si>
    <t xml:space="preserve">Michon Laure, Nienke Nottelman, Clemens Wenneker &amp; Jeroen Slot _x000D_
</t>
  </si>
  <si>
    <t xml:space="preserve">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Onderwijs_x000D_
_x000D_
_x000D_
</t>
  </si>
  <si>
    <t xml:space="preserve">Gemeente Amsterdam; Onderzoek, Informatie en Statistiek_x000D_
</t>
  </si>
  <si>
    <t>Jaarboek Stadsdelen in cijfers (jaarlijks), w.o.: Tabellen over uitkeringen en over hoogst afgerond opleidingsniveau</t>
  </si>
  <si>
    <t>http://www.ois.amsterdam.nl/assets/pdfs/2014_stadsdelen_in_cijfers.pdf</t>
  </si>
  <si>
    <t xml:space="preserve">Monitor Jeugdwerkloosheid Amsterdam over 2014_x000D_
</t>
  </si>
  <si>
    <t xml:space="preserve">Jong, drs. Idske, Anne Huijzer MSc, drs. Carine van Oosteren &amp; drs. Robert Selten_x000D_
</t>
  </si>
  <si>
    <t>http://www.ois.amsterdam.nl/assets/pdfs/2015_factsheet_jeugdwerkloosheid.pdf</t>
  </si>
  <si>
    <t xml:space="preserve">Staat van de Stad Amsterdam _x000D_
</t>
  </si>
  <si>
    <t>http://www.ois.amsterdam.nl/publicaties/#tab_50160</t>
  </si>
  <si>
    <t xml:space="preserve">Bekendheid en bereik minimaregelingen_x000D_
</t>
  </si>
  <si>
    <t xml:space="preserve">Huijzer Anne, Myrthe Rijswijk, Laure Michon &amp; Willem Bosveld_x000D_
</t>
  </si>
  <si>
    <t xml:space="preserve">Taal en ouderbetrokkenheid van ouders van VVE-kinderen - Een kwantitatieve en kwalitatieve analyse_x000D_
</t>
  </si>
  <si>
    <t xml:space="preserve">Cohen MSc, Lotje,  Anne Huijzer MSc &amp; dr. Esther Jakobs_x000D_
</t>
  </si>
  <si>
    <t>Gemeente Amsterdam, Bureau Onderzoek en Statistiek</t>
  </si>
  <si>
    <t xml:space="preserve">Economische verkenningen metropoolregio Amsterdam 2015 (Hoofdstuk 5)_x000D_
</t>
  </si>
  <si>
    <t xml:space="preserve">Jong, Idske de, Maureen B.M. Lankhuizen, Jan Möhlmann &amp; Carine van Oosteren_x000D_
</t>
  </si>
  <si>
    <t>Gemeente Amsterdam Economie in opdracht van PRES</t>
  </si>
  <si>
    <t>http://www.ois.amsterdam.nl/assets/pdfs/2015_evmra.pdf</t>
  </si>
  <si>
    <t xml:space="preserve">Dataset Economisch Domein_x000D_
</t>
  </si>
  <si>
    <t xml:space="preserve">Fedorova, Tanja_x000D_
</t>
  </si>
  <si>
    <t xml:space="preserve">Senioren en Langer zelfstandig wonen - Bouwstenen voor de campagne-strategie_x000D_
</t>
  </si>
  <si>
    <t xml:space="preserve">Booi, Hester &amp; Ellen Lindeman_x000D_
</t>
  </si>
  <si>
    <t>http://www.ois.amsterdam.nl/assets/pdfs/2014_doelgroepen%20wonen%20ouderen.pdf</t>
  </si>
  <si>
    <t xml:space="preserve">Monitor Om het kind - Eenmeting_x000D_
</t>
  </si>
  <si>
    <t xml:space="preserve">Ruiter, Sanne de, Robert Selten &amp; Jeroen Slot_x000D_
</t>
  </si>
  <si>
    <t>http://www.ois.amsterdam.nl/assets/pdfs/2014_monitor%20om%20het%20kind.pdf</t>
  </si>
  <si>
    <t xml:space="preserve">Stapeling van regelingen in het sociaal domein_x000D_
</t>
  </si>
  <si>
    <t xml:space="preserve">Jong, Idske de, Jolijn Broekhuizen, Anne Huijzer &amp; Jeroen Slot_x000D_
</t>
  </si>
  <si>
    <t xml:space="preserve">Achtergronddocument bij factsheet jeugdwerkloosheid 2014_x000D_
</t>
  </si>
  <si>
    <t xml:space="preserve">Jong, Idske de &amp; Carine van Oosteren_x000D_
</t>
  </si>
  <si>
    <t xml:space="preserve">http://www.ois.amsterdam.nl/assets/pdfs/2014_achtergronddocument_jeugdwerkloosheid.pdf_x000D_
</t>
  </si>
  <si>
    <t xml:space="preserve">Wonen in de regio, Stadsregio Amsterdam, gemeente Almere, Zuid-Kennemerland/IJmond: een onderzoek naar woonsituatie, woonwensen en verhuisbewegingen van huishoudens_x000D_
</t>
  </si>
  <si>
    <t xml:space="preserve">Booi, Hester, Dragana Stojmenovska &amp; Jeroen Slot_x000D_
</t>
  </si>
  <si>
    <t xml:space="preserve">http://www.ois.amsterdam.nl/assets/pdfs/2014_wonen%20in%20de%20regio.pdf_x000D_
</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</si>
  <si>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</si>
  <si>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</si>
  <si>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</si>
  <si>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</si>
  <si>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Nederlanders sterven eerder door stikstof</t>
  </si>
  <si>
    <t>Köhler, Wim</t>
  </si>
  <si>
    <t>NRC, 12-3-2015</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</si>
  <si>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</si>
  <si>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</si>
  <si>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</si>
  <si>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Gezondheidseffecten van ultrafijn stof van vliegverkeer rond Schiphol</t>
  </si>
  <si>
    <t>Janssen, N.A.H., D. Houthuijs &amp; A. Dusseldorp</t>
  </si>
  <si>
    <t>https://www.rivm.nl/publicaties/gezondheidseffecten-van-ultrafijn-stof-van-vliegverkeer-rond-schiphol</t>
  </si>
  <si>
    <t>Haalbaarheidsstudie snelle groeiers. Mogelijkheden snelle groeiers op basis van CBS-bronnen.</t>
  </si>
  <si>
    <t>Timmermans, N.G.L. &amp; T. Span, Msc.</t>
  </si>
  <si>
    <t>http://www.ondernemerschap.nl/index.cfm/12,html?nxt=ctm_publikatie&amp;bestelnummer=R201207</t>
  </si>
  <si>
    <t>Mortality in patients with rheumatoid arthritis: a 15.year prospective cohort study</t>
  </si>
  <si>
    <t>Hoek J. van den, H. C. Boshuizen, L. D. Roorda, G. J. Tijhuis, M. T. Nurmohamed, G. A., M. van den Bos &amp; J. Dekker</t>
  </si>
  <si>
    <t>Springer Media</t>
  </si>
  <si>
    <t>Trend in and predictors for cardiovascular mortality in patients with rheumatoid arthritis over a period of 15 years: a prospective cohort study</t>
  </si>
  <si>
    <t xml:space="preserve">Hoek J. van den, L.D. Roorda, H.C. Boshuizen, G.J. Tijhuis &amp;  J. Dekker, G.A. van den Bos &amp; M.T. Nurmohamed_x000D_
</t>
  </si>
  <si>
    <t>Clinical and Experimental Rheumatology</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</si>
  <si>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</si>
  <si>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</si>
  <si>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</si>
  <si>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Immigranten op de stedelijke woningmarkt. In: Jaarrapport Integratie 2012</t>
  </si>
  <si>
    <t>Boschman, S &amp; F. van Dam</t>
  </si>
  <si>
    <t>http://www.cbs.nl/NR/rdonlyres/A1B765EE-5130-481A-A826-2DCCD89F81C9/0/2012b61pub.pdf</t>
  </si>
  <si>
    <t>Cardiovascular diseases-related hospital admissions of patients with inflammatory arthritis</t>
  </si>
  <si>
    <t>Ursum, J., Nielen, M.M.J., Twisk, J.W.R., Peters, M.J.L., Schellevis, F.G., Nurmohamed, M.T. &amp; Korevaar, J.C.</t>
  </si>
  <si>
    <t>Journal of Rheumatology: 42(2), 188-192</t>
  </si>
  <si>
    <t>Health care utilization of patients with multiple chronic diseases in The Netherlands: Differences and underlying factors.</t>
  </si>
  <si>
    <t>Hopman P, et al.</t>
  </si>
  <si>
    <t>Eur J Intern Med (2015)</t>
  </si>
  <si>
    <t>http://dx.doi.org/10.1016/j.ejim.2015.02.006</t>
  </si>
  <si>
    <t>The association between adolescents’ health and disparities in school career: a longitudinal cohort study</t>
  </si>
  <si>
    <t>Uiters Ellen, Erica Maurits, Mariël Droomers, Marieke Zwaanswijk, Robert A Verheij &amp; Fons van der Lucht</t>
  </si>
  <si>
    <t>BMC Public Health 14:1104</t>
  </si>
  <si>
    <t>De overeenstemming tussen zelfgerappor-teerde jeugdcriminaliteit en bij de politie bekende jeugdige verdachten</t>
  </si>
  <si>
    <t>Weijters, G.,  A.M. van der Laan &amp; R.J. Kessels</t>
  </si>
  <si>
    <t>WODC</t>
  </si>
  <si>
    <t>Kennissynthese chronisch ziek en werk: arbeidsparticipatie door mensen met een chronische ziekte of lichamelijke beperking.</t>
  </si>
  <si>
    <t>Maurits, E., Rijken, M., Friele, R.</t>
  </si>
  <si>
    <t>Maatschappelijke kosten van astma, COPD en respiratoire allergie.</t>
  </si>
  <si>
    <t>Suijkerbuijk, Anita W.M., G.A. (Ardine) de Wit, Alet H. Wijga, Monique J.W.M. Heijmans, Martine Hoogendoorn, Maureen P.M.H. Rutten-van Mölken, Erica E.M. Maurits, Rudolf T. Hoogenveen en Talitha L. Feenstra</t>
  </si>
  <si>
    <t>Nederlands Tijdschrift voor Geneeskunde, 2013: 157</t>
  </si>
  <si>
    <t>Maatschappelijke kosten voor astma, COPD en respiratoire allergie.</t>
  </si>
  <si>
    <t>Suijkerbuijk A.W.M., Hoogeveen R.T., Wit G.A. de, Wijga A.H., Hoogendoorn E.J.I., Rutten-van Mölken M.P.M.H., Feenstra T.L.</t>
  </si>
  <si>
    <t>Werken met een chronische longaandoening</t>
  </si>
  <si>
    <t>Maurits, Erica, Monique Heijmans, Irina Stirbu-Wagner &amp; Mieke Rijken</t>
  </si>
  <si>
    <t>Nivel</t>
  </si>
  <si>
    <t>Conditional survival for long-term colorectal cancer survivors in the Netherlands: who do_x000D_
best?</t>
  </si>
  <si>
    <t>Erning, F.N. van, L.N. van Steenbergen, V.E.P.P. Lemmens, H.J.T. Rutten, H. Martijn, D.J. van Spronsen &amp; M.L.G. Janssen-Heijnen</t>
  </si>
  <si>
    <t>European Journal of Cancer 50, 1731-1739</t>
  </si>
  <si>
    <t>Variation in causes of death in patients with non-small cell lung cancer according to stage and time since diagnosis</t>
  </si>
  <si>
    <t>Janssen-Heijnen, M.L.G., F.N. van Erning, D.K. De Ruysscher, J.W.W. Coebergh &amp; H.J.M. Groen</t>
  </si>
  <si>
    <t>Annals of Oncology 00: 1-6</t>
  </si>
  <si>
    <t>Arbeidsmarktanalyse Rijk: een vooruitblik naar 2016 en 2020</t>
  </si>
  <si>
    <t>Ministerie van Binnenlandse Zaken en Koninkrijksrelaties</t>
  </si>
  <si>
    <t>http://kennisopenbaarbestuur.nl/rapporten-publicaties/arbeidsmarktanalyse-rijk-een-vooruitblik-naar-2016-en-2020/</t>
  </si>
  <si>
    <t>De mobiliteit van oudere ambtenaren</t>
  </si>
  <si>
    <t>Deelen, A., R. Euwals en I. Specker</t>
  </si>
  <si>
    <t>Do Wages Remain Increasing at Older Age? Evidence on the Wage Cushion in the Netherlands?</t>
  </si>
  <si>
    <t>Deelen, A. en R. Euwals</t>
  </si>
  <si>
    <t>https://www.cpb.nl/sites/default/files/publicaties/download/cpb-discussion-paper-282-do-wages-continue-increasing-older-ages.pdf</t>
  </si>
  <si>
    <t>Flexibilisering over generaties</t>
  </si>
  <si>
    <t>Euwals, R. en R. de Groot</t>
  </si>
  <si>
    <t>Labour Market Effects of Job Displacement for Prime-Age and Older Workers</t>
  </si>
  <si>
    <t>Deelen, A., M. de Graaf-Zijl en W. van den Berge</t>
  </si>
  <si>
    <t>https://www.cpb.nl/sites/default/files/publicaties/download/cpb-discussion-paper-285-labour-market-effects-job-replacement-prime-age-and-older-workers.pdf</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</si>
  <si>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</si>
  <si>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</si>
  <si>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</si>
  <si>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Langdurige werkloosheid. Afwachten en hervormen</t>
  </si>
  <si>
    <t>Graaf-Zijl, Marloes de, Albert van der Horst &amp; Daniël van Vuuren</t>
  </si>
  <si>
    <t>https://www.cpb.nl/sites/default/files/publicaties/download/cpb-policy-brief-2015-11-langdurige-werkloosheid-afwachten-en-hervormen.pdf</t>
  </si>
  <si>
    <t>De financiële positie van het MKB in 2014 en 2015</t>
  </si>
  <si>
    <t>Span, Tommy &amp; Wim Verhoeven</t>
  </si>
  <si>
    <t>Dutch patients with dementia don't die in hospitals</t>
  </si>
  <si>
    <t>MacNeil Vroomen J, Bosmans JE, Holman R, van Rijn M, Buurman BM ,van Hout, HPJ &amp; de Rooij, SE.</t>
  </si>
  <si>
    <t>JAGS</t>
  </si>
  <si>
    <t>Blood Donation and Cardiovascular Disease</t>
  </si>
  <si>
    <t>Peffer, Karlijn</t>
  </si>
  <si>
    <t>https://repository.ubn.ru.nl/bitstream/handle/2066/149279/149279.pdf?sequence=1</t>
  </si>
  <si>
    <t>Arbeidsmigratie in het Stadsgewest Haaglanden. Huisvesting tijdelijke arbeidsmigranten.</t>
  </si>
  <si>
    <t>Timmermans, N.G.L., B. van der Linden &amp; W.H. J. Verhoeven</t>
  </si>
  <si>
    <t>http://haaglanden.nl/sites/haaglanden.nl/files/pagina-bestanden/240/2012-12-12%20Eindrapport%20Arbeidsmigratie%20in%20Stadsgewest%20Haaglanden%20Panteia.pdf</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</si>
  <si>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</si>
  <si>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</si>
  <si>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</si>
  <si>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De sociaaleconomische situatie van langdurig flexibele werknemers</t>
  </si>
  <si>
    <t>Heyma, A. &amp; Werff, S. van der</t>
  </si>
  <si>
    <t>http://www.seo.nl/pagina/article/de-sociaaleconomische-situatie-van-langdurig-flexibele-werknemers/</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</si>
  <si>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</si>
  <si>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</si>
  <si>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Do treatment quality indicators predict cardiovascular outcomes in patients with diabetes?</t>
  </si>
  <si>
    <t>Sidorenkov G, Voorham J, de Zeeuw D, Haaijer-Ruskamp FM &amp; Denig P</t>
  </si>
  <si>
    <t>PLOS ONE</t>
  </si>
  <si>
    <t>https://journals.plos.org/plosone/article?id=10.1371/journal.pone.0078821</t>
  </si>
  <si>
    <t>Werkt werktijdverkorting? Evaluatie bijzondere werktijdverkorting en deeltijd WW.</t>
  </si>
  <si>
    <t>Groot, Nynke de, Rafiq Friperson, Jamie Weda en Philip de Jong</t>
  </si>
  <si>
    <t>APE</t>
  </si>
  <si>
    <t>http://www.ape.nl/nl/projecten/default.asp?nID=160</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</si>
  <si>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</si>
  <si>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</si>
  <si>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</si>
  <si>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Trendrapport Bewegen en Gezondheid. H4: Verschillen in gedrag en opvattingen over bewegen tussen etnische groepen.</t>
  </si>
  <si>
    <t>Dool, Remko van den &amp; Annet Tiessen-Raaphorst</t>
  </si>
  <si>
    <t>https://www.tno.nl/downloads/trendrapport_bewegen_gezondheid_2010_2011.pdf</t>
  </si>
  <si>
    <t>Panteia_BD/SO/BB/AO</t>
  </si>
  <si>
    <t>Ageing and entrepreneurship across Dutch regions</t>
  </si>
  <si>
    <t>De Kok, J.M.P en T. Span</t>
  </si>
  <si>
    <t>Panteia_EIM, Research Report H201409</t>
  </si>
  <si>
    <t>http://www.ondernemerschap.nl/index.cfm/12,html?nxt=ctm_publikatie&amp;bestelnummer=H201409</t>
  </si>
  <si>
    <t>Up or out? How individual research grants affect academic careers in The Netherlands</t>
  </si>
  <si>
    <t>Gerritsen, Sander Gerritsen, Erik Plug &amp; Karen van der Wiel</t>
  </si>
  <si>
    <t>The labour market for IT professionals in the Netherlands</t>
  </si>
  <si>
    <t>Benthem, W.J.A. van</t>
  </si>
  <si>
    <t>Tilburg University</t>
  </si>
  <si>
    <t>TIU_Law_ReflecT</t>
  </si>
  <si>
    <t>RUG_FWN</t>
  </si>
  <si>
    <t>Een gezonder Nederland. Kernboodschappen van de Volksgezondheid Toekomst Verkenning 2014</t>
  </si>
  <si>
    <t>Hoeymans, N., A.J.M. van Loon, M. van den Berg, M.M. Harbers, H.B.M. Hilderink, J.A.M. van Oers &amp; C.G. Schoemake</t>
  </si>
  <si>
    <t>Estimating disease prevalence from drug utilization data using the Random Forest algorithm</t>
  </si>
  <si>
    <t>Laurentius C.J. Slobbe, Koen Füssenich,_x0002_Albert Wong, Hendriek C. Boshuizen,_x000D_
Markus M.J. Nielen, Johan J. Polder, Talitha L. Feenstra &amp;  Hans A.M. van Oers</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</si>
  <si>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</si>
  <si>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</si>
  <si>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</si>
  <si>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Verklaringen van de overlevingskans van bedrijven, gestart door allochtone ondernemers</t>
  </si>
  <si>
    <t>Bruins, A., V.A.J.M Schutjens, N.E. de Vries &amp; A. Risselada</t>
  </si>
  <si>
    <t>http://www.ondernemerschap.nl/index.cfm/12,html?nxt=ctm_nieuwsbericht&amp;perID=3736</t>
  </si>
  <si>
    <t>2014_Eindrapport_Terugblikken_in_Hoogvliet</t>
  </si>
  <si>
    <t>Kleinhans, Reinout, Lex Veldboer, Wenda Doff, Sylvia Jansen en Maarten van Ham</t>
  </si>
  <si>
    <t>Grootschalige wijkaanpak is geen verspilling.</t>
  </si>
  <si>
    <t>Veldboer, Lex ,Reinout Kleinhans, Wenda Doff &amp; Maarten van Ham</t>
  </si>
  <si>
    <t>Sociale Vraagstukken</t>
  </si>
  <si>
    <t>http://www.socialevraagstukken.nl/site/2014/06/20/grootschalige-wijkaanpak-is-geen-verspilling/</t>
  </si>
  <si>
    <t>Neighbourhood selection of non-western minorities; testing the own group preferences hypothesis using a conditional logit model</t>
  </si>
  <si>
    <t>Boschman, S. &amp; Ham, M. van</t>
  </si>
  <si>
    <t>http://ftp.iza.org/dp7526.pdf</t>
  </si>
  <si>
    <t>Terugblikken en vooruitkijken in Hoogvliet.15 jaar stedelijke vernieuwing en de effecten op wonen, leefbaarheid en sociale mobiliteit</t>
  </si>
  <si>
    <t>OTB</t>
  </si>
  <si>
    <t>Ethnic differences in realising desires to leave urban neighbourhoods</t>
  </si>
  <si>
    <t>Boschman, S., Kleinhans, R., &amp; van Ham, M</t>
  </si>
  <si>
    <t>Journal of Housing and the Built Environment,</t>
  </si>
  <si>
    <t>Individual differences in the neighbourhood level determinants of residential satisfaction</t>
  </si>
  <si>
    <t xml:space="preserve">Boschman, S. </t>
  </si>
  <si>
    <t>Housing Studies</t>
  </si>
  <si>
    <t>Incorporating neighborhood choice in a model of neighborhood effects on income</t>
  </si>
  <si>
    <t xml:space="preserve">Van Ham, M., Boschman, S., &amp; Vogel, M. </t>
  </si>
  <si>
    <t>Demography</t>
  </si>
  <si>
    <t>Boschman, S., &amp; Van Ham, M.</t>
  </si>
  <si>
    <t>Environment and Planning A</t>
  </si>
  <si>
    <t>Multiscale spatial contexts and neighbourhood effects</t>
  </si>
  <si>
    <t xml:space="preserve">Petrovic, A. </t>
  </si>
  <si>
    <t>https://repository.tudelft.nl/islandora/object/uuid:780736bf-c2ae-45a0-9fb0-059bbbca9ce7?collection=research</t>
  </si>
  <si>
    <t>Trajectories of neighborhood change</t>
  </si>
  <si>
    <t>Zwiers, Merle</t>
  </si>
  <si>
    <t>TUD_BK</t>
  </si>
  <si>
    <t>https://journals.open.tudelft.nl/abe/article/view/2568</t>
  </si>
  <si>
    <t>Selective mobility, segregation and neighbourhood effects</t>
  </si>
  <si>
    <t>Boschman, Sanne</t>
  </si>
  <si>
    <t>https://repository.tudelft.nl/islandora/object/uuid%3Afa98257a-c657-44eb-b3c2-8cced496d4ec</t>
  </si>
  <si>
    <t>Modelling Neighbourhood Effects in Three Dutch Cities Controlling for Selection</t>
  </si>
  <si>
    <t>Troost, Agata, Maarten van Ham &amp; Heleen Janssen</t>
  </si>
  <si>
    <t>Springer Link</t>
  </si>
  <si>
    <t>https://link.springer.com/article/10.1007%2Fs12061-021-09411-5</t>
  </si>
  <si>
    <t>Multiscale Contextual Poverty in the Netherlands: Within and Between-Municipality Inequality</t>
  </si>
  <si>
    <t>Petrovic, Ana, David Manley &amp; Maarten van Ham</t>
  </si>
  <si>
    <t>https://link.springer.com/article/10.1007%2Fs12061-021-09394-3</t>
  </si>
  <si>
    <t>The Path-Dependency of Low-Income Neighbourhood Trajectories: An Approach for Analysing Neighbourhood Change</t>
  </si>
  <si>
    <t>Zwiers, Merle,Reinout Kleinhans &amp; Maarten van Ham</t>
  </si>
  <si>
    <t>https://link.springer.com/article/10.1007%2Fs12061-016-9189-z</t>
  </si>
  <si>
    <t>Inequality, Reordering and Divergent Growth: Processes of Neighbourhood Change in Dutch Cities</t>
  </si>
  <si>
    <t>Modai-Snir, Tal &amp; Maarten van Ham</t>
  </si>
  <si>
    <t>IZA Institute of Labor Economics</t>
  </si>
  <si>
    <t>https://docs.iza.org/dp11883.pdf</t>
  </si>
  <si>
    <t>Prijzengids 2013-2014</t>
  </si>
  <si>
    <t>NIBUD</t>
  </si>
  <si>
    <t>Landelijke effectevaluatie wet tijdelijk huisverbod</t>
  </si>
  <si>
    <t>Vaan, K.B.M. de, G.H.J. Homburg &amp; M. Timmermans</t>
  </si>
  <si>
    <t>Wet tijdelijk huisverbod: procesmatige en juridische knelpunten</t>
  </si>
  <si>
    <t>Vaan, K.B.M. de, G.H.J. Homburg &amp; A. Schreijenberg</t>
  </si>
  <si>
    <t>The self-reinforcing effects of population decline: An analysis of differences in moving behaviour between rural neighbourhoods with declining and stable populations</t>
  </si>
  <si>
    <t>Elshof, Hans, Leo van Wissen &amp; Clara H. Mulder</t>
  </si>
  <si>
    <t>Journal of Rural Studies 36: 285-299</t>
  </si>
  <si>
    <t>ECORYS</t>
  </si>
  <si>
    <t>Individual perceptions of local crime risk</t>
  </si>
  <si>
    <t>Salm, Martin &amp; Ben Vollaard</t>
  </si>
  <si>
    <t>CentER working paper</t>
  </si>
  <si>
    <t>http://papers.ssrn.com/sol3/papers.cfm?abstract_id=2531332</t>
  </si>
  <si>
    <t>Leren over het lokale inbraakrisico. Verslag van een onderzoek</t>
  </si>
  <si>
    <t>Centrum voor Criminaliteitspreventie en Veiligheid</t>
  </si>
  <si>
    <t>http://www.hetccv.nl/binaries/content/assets/ccv/webwinkel/leren_lokaal_inbraakrisico_onderzoek.pdf</t>
  </si>
  <si>
    <t>Arbeidsveiligheid van buitenlanders in Nederland. Een analyse van ernstige ongevallen in 2007-2009.</t>
  </si>
  <si>
    <t>Berkhout, P.H.G. &amp; M. Damen</t>
  </si>
  <si>
    <t>RIGO Research en Advies</t>
  </si>
  <si>
    <t>Lopen buitenlanders in Nederland meer kans op een bedrijfsongeval?</t>
  </si>
  <si>
    <t>Safety, Reliability and Risk Analysis: beyond the horizon. Serious occupational accidents of non-Dutch workers in The Netherlands</t>
  </si>
  <si>
    <t>Berkhout, P.H.G., M. Damen, L. Belamy, M. Mud, H.J. Manuel &amp; J. Oh</t>
  </si>
  <si>
    <t>MKB en Ondernemerschap: Actieve ondernemingen en vestigingen (online dataset)</t>
  </si>
  <si>
    <t>http://data.ondernemerschap.nl/WebIntegraal/userif.aspx?SelectDataset=15&amp;SelectSubset=48&amp;Country=NL</t>
  </si>
  <si>
    <t>Monitor Inkomens Ondernemers. Editie 2011</t>
  </si>
  <si>
    <t>Ruis, Arjan &amp; Sjaak Vendrig</t>
  </si>
  <si>
    <t>http://www.ondernemerschap.nl/sys/cftags/assetnow/design/widgets/site/ctm_getFile.cfm?file=A201207.pdf&amp;perId=0</t>
  </si>
  <si>
    <t>Adaptive behaviour in urban space: Residential mobility in response to social distance</t>
  </si>
  <si>
    <t>Musterd, S., Van Gent, W.P.C., Das, M. &amp; Latten, J.J.</t>
  </si>
  <si>
    <t>Urban Studies. DOI: 10.1177/0042098014562344</t>
  </si>
  <si>
    <t>UvA_FMG</t>
  </si>
  <si>
    <t>http://usj.sagepub.com/content/early/2014/12/08/0042098014562344</t>
  </si>
  <si>
    <t>Te veel of te weinig inkomen voor de buurt? Dan een grotere kans om te verhuizen.</t>
  </si>
  <si>
    <t>Latten, J.J., M. Das, S. Musterd &amp; W.P.C. van Gent</t>
  </si>
  <si>
    <t>Bevolkingstrends</t>
  </si>
  <si>
    <t>http://www.cbs.nl/NR/rdonlyres/FC1A7314-CCF2-4E29-B746-B1CED6A0512E/0/20140104b15art.pdf</t>
  </si>
  <si>
    <t>Onderwijs mogelijk maken. Twee eeuwen invloed van studiefinanciering op de toegankelijkheid van het onderwijs in Nederland (1815-2015).</t>
  </si>
  <si>
    <t>Marchand, Wouter</t>
  </si>
  <si>
    <t>The impact of female sex on long-term survival of patients with severe atherosclerosis undergoing endarterectomy</t>
  </si>
  <si>
    <t xml:space="preserve">Vrijenhoek JE, Haitjema S, de Borst GJ, de Vries JP, Vaartjes I, Moll FL, Pasterkamp G &amp;, den Ruijter HM_x000D_
</t>
  </si>
  <si>
    <t>Atherosclerosis</t>
  </si>
  <si>
    <t>https://www.atherosclerosis-journal.com/article/S0021-9150(14)01442-7/fulltext</t>
  </si>
  <si>
    <t xml:space="preserve">Women Undergoing Coronary Angiography for Myocardial Infarction or Who Present With Multivessel Disease Have a Poorer Prognosis Than Men. Angiology. </t>
  </si>
  <si>
    <t xml:space="preserve">Gijsberts CM, Santema BT, Asselbergs FW, de Kleijn DP, Voskuil M, Agostoni P, Cramer MJ, Vaartjes I, Hoefer IE, Pasterkamp G &amp; den Ruijter HM. </t>
  </si>
  <si>
    <t>Arthero express</t>
  </si>
  <si>
    <t>https://www.ncbi.nlm.nih.gov/pubmed/26351289</t>
  </si>
  <si>
    <t>Winst- en verliesgevende verzekerden</t>
  </si>
  <si>
    <t>De economische effecten van internationalisering in het hoger onderwijs</t>
  </si>
  <si>
    <t>Langetermijneffecten van re-integratie</t>
  </si>
  <si>
    <t>Lammers, Marloes, Lucy Kok &amp; Conny Wunsch</t>
  </si>
  <si>
    <t>Langetermijneffecten re-integratie: Verschillen naar migratieachtergrond</t>
  </si>
  <si>
    <t>Kroon, Lennart, Marloes Lammers &amp; William Luiten</t>
  </si>
  <si>
    <t>Loopbaanmonitor Onderwijs 2012</t>
  </si>
  <si>
    <t>Leenen, H. van</t>
  </si>
  <si>
    <t>http://www.regioplan.nl/publicaties/slug/type/rapporten/slug/loopbaanmonitor_onderwijs_2012</t>
  </si>
  <si>
    <t>Micro-level dynamics of social assistance receipt: Evidence from four European countries</t>
  </si>
  <si>
    <t xml:space="preserve">Königs Sebastian_x000D_
_x000D_
_x000D_
_x000D_
_x000D_
_x000D_
_x000D_
_x000D_
_x000D_
_x000D_
_x000D_
_x000D_
_x000D_
_x000D_
_x000D_
  </t>
  </si>
  <si>
    <t>UniOxford_Economics</t>
  </si>
  <si>
    <t>https://www.oecd-ilibrary.org/social-issues-migration-health/are-recipients-of-social-assistance-benefit-dependent_5jxrcmgpc6mn-en</t>
  </si>
  <si>
    <t>Internationale oriëntatie van bedrijven en baanzekerheid van werknemers, In R. van Gaalen,A. Goudswaard, J. Sanders &amp; W. Smits (red.), Dynamiek op de Nederlandse arbeidsmarkt ( pp 175-184.)</t>
  </si>
  <si>
    <t>Korvorst, M., Ben Kriechel en Wendy Smits</t>
  </si>
  <si>
    <t>CBS/TNO</t>
  </si>
  <si>
    <t>CBS
TNO_Arbeid</t>
  </si>
  <si>
    <t>Op achterstand. Discriminatie van niet-westerse migranten op de arbeidsmarkt</t>
  </si>
  <si>
    <t>Andriessen, I. , E. Nievers en J. Dagevos</t>
  </si>
  <si>
    <t>https://www.narcis.nl/publication/RecordID/oai:scp.nl:ecd37c2f-6f96-418a-9dfe-2625b5908c92</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</si>
  <si>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</si>
  <si>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</si>
  <si>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</si>
  <si>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</si>
  <si>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</si>
  <si>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</si>
  <si>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</si>
  <si>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</si>
  <si>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Reële EPC. Een methode voor de beoordeling van de energieprestatie van ieuwbouwwoningen in de praktijk.</t>
  </si>
  <si>
    <t>Menkveld, M, J. Sipma, E. Cozijnsen &amp; K. Leidelmeijer</t>
  </si>
  <si>
    <t>ECN/RIGO</t>
  </si>
  <si>
    <t>https://www.ecn.nl/publicaties/ECN-E--12-063</t>
  </si>
  <si>
    <t>Re-employment rates of older unemployed workers: decomposing the effect of bith cohorts and policy changes</t>
  </si>
  <si>
    <t>Koning, Pierre &amp; Max Raterink</t>
  </si>
  <si>
    <t>The Economist</t>
  </si>
  <si>
    <t>Werkhervatting door oudere werklozen</t>
  </si>
  <si>
    <t>Raterink, M. &amp; P. Koning</t>
  </si>
  <si>
    <t>De lonen in de Nederlandse publieke sector in internationaal perspectief</t>
  </si>
  <si>
    <t>Koning, Jaap de, Paul de Hek &amp; Jose Gravesteijn</t>
  </si>
  <si>
    <t>Lonen in de Nederlandse publieke sector in internationaal perspectief</t>
  </si>
  <si>
    <t>ESB, 99(4683)</t>
  </si>
  <si>
    <t>Return Migration of Foreign Students</t>
  </si>
  <si>
    <t>Wang, Qi</t>
  </si>
  <si>
    <t xml:space="preserve">Microsimulatiemodel voor belastingen, sociale zekerheid, loonkosten en koopkracht </t>
  </si>
  <si>
    <t>Romijn, Gerbert, Joke Goes, Peter Dekker, Miriam Gielen &amp; Frank van Es</t>
  </si>
  <si>
    <t>MIMOSI</t>
  </si>
  <si>
    <t>https://www.cpb.nl/sites/default/files/publicaties/download/mimosi-microsimulatiemodel-voor-belastingen-sociale-zekerheid-loonkosten-en-koopkracht.pdf</t>
  </si>
  <si>
    <t>Drieluik Excellentie - De doorstroom van excellente leerlingen in het primair onderwijs.</t>
  </si>
  <si>
    <t>Kerkhof, D., Korlaar, L., &amp; Veens, E.</t>
  </si>
  <si>
    <t>Dialogic</t>
  </si>
  <si>
    <t>http://www.dialogic.nl/component/option,com_dialogic/project,2011.118/task,project/</t>
  </si>
  <si>
    <t>Drieluik Excellentie - De doorstroom van excellente leerlingen in het voortgezet onderwijs.</t>
  </si>
  <si>
    <t>Does price deregulation in a competitive hospital marketdamage quality?</t>
  </si>
  <si>
    <t>Roos, Anne-Fleur, Owen O'Donnell,  Frederik T. Schut, Eddy Van Doorslaerd, Raf Van Gestel &amp; Marco Varkevisser</t>
  </si>
  <si>
    <t>Ex post innovation profile of LBO targets: Evidence from CIS data for the Netherlands</t>
  </si>
  <si>
    <t>Nadant, A.L. le &amp; Perdreau, F.</t>
  </si>
  <si>
    <t>Strategic Change 02/2014; 23:93-105. DOI: 10.1002/jsc.1</t>
  </si>
  <si>
    <t>UniCaen_Base</t>
  </si>
  <si>
    <t>Inflluence of different information sources to innovation performance: evidence from France, Netherlands and Croatia</t>
  </si>
  <si>
    <t>Pejic Bach, Mirjana, Andjelko Lojpur &amp; Sanja Pekovic</t>
  </si>
  <si>
    <t>Paper for ICES 2014 conference</t>
  </si>
  <si>
    <t>UniZagreb_Economics</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</si>
  <si>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</si>
  <si>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</si>
  <si>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</si>
  <si>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</si>
  <si>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VAAM: Vraag Aanbod Analyse Monitor</t>
  </si>
  <si>
    <t>www.nivel.nl/vaam</t>
  </si>
  <si>
    <t>Financieringsmonitor topsectoren 2013-1</t>
  </si>
  <si>
    <t>Braaksma, Rob, Wim Verhoeven, Lia Smit, Tommy Span</t>
  </si>
  <si>
    <t>https://www.parlementairemonitor.nl/9353000/1/j9vvij5epmj1ey0/vjauefsvlfzc</t>
  </si>
  <si>
    <t>How immigrants adapt their smoking behaviour: comparative analysis among Turkish immigrants in Germany and the Netherlands</t>
  </si>
  <si>
    <t>Reiss, Katharina, Odile Sauzet, Jürgen Breckenkamp, Jacob Spallek &amp; Oliver Razum</t>
  </si>
  <si>
    <t>BMC Public Health, 14:844</t>
  </si>
  <si>
    <t>UniBielefeld</t>
  </si>
  <si>
    <t>Sterftekans na beroerte blijft hoger.</t>
  </si>
  <si>
    <t>Rutten-Jacobs, Loes</t>
  </si>
  <si>
    <t>JAMA</t>
  </si>
  <si>
    <t>Samen starten. De bedrijfsontwikkeling van teamstarters vergeleken met die van solostarters.</t>
  </si>
  <si>
    <t>Brummelkamp, G.W. &amp; N.G.L. Timmermans</t>
  </si>
  <si>
    <t>http://www.ondernemerschap.nl/sys/cftags/assetnow/design/widgets/site/ctm_getFile.cfm?file=A201218.pdf&amp;perId=0</t>
  </si>
  <si>
    <t>Nieuwsbrief Arbeidsmarkt Prognose Overijssel.</t>
  </si>
  <si>
    <t>ETIL</t>
  </si>
  <si>
    <t>http://www.overijssel.nl/thema%27s/economie/ruimte-ondernemen/human-capital/arbeidsmarktgegevens/</t>
  </si>
  <si>
    <t>Topsectoren in Limburg, een grafische nulmeting van de stand van zaken in Limburg en Nederland.</t>
  </si>
  <si>
    <t>Faun, H.M.F.G.M. &amp; J.J.L. Meuwissen</t>
  </si>
  <si>
    <t>http://www.onderzoeksbanklimburg.nl/onderzoeksbank/onderzoek/topsectoren-in-limburg-nulmeting</t>
  </si>
  <si>
    <t>Schattingen van de omvang van huiselijk geweld in Nederland Vangst-hervangstschattingen 2010 2011</t>
  </si>
  <si>
    <t>Heijden, van der Peter G.M., Maarten J.L.F. Cruyff &amp; Ger H.C. van Gils</t>
  </si>
  <si>
    <t xml:space="preserve">Faculteit Sociale Wetenschappen: Departement Methoden en Technieken </t>
  </si>
  <si>
    <t>https://dspace.library.uu.nl/bitstream/handle/1874/314898/72._HG_rapportage_2014_def.pdf?sequence=1</t>
  </si>
  <si>
    <t>Weterings, A., Diodato, D. &amp; M. van den Berge</t>
  </si>
  <si>
    <t>Over.Werk, Tijdschrift van het Steunpunt WSE, 24(4), 42-50</t>
  </si>
  <si>
    <t>http://www.pbl.nl/sites/default/files/cms/publicaties/PBL_2014_De-veerkracht-van-regionale-arbeidsmarkten_1524.pdf</t>
  </si>
  <si>
    <t>The resilience of regional labour markets to economic shocks: exploring the role of interactions among firms and workers</t>
  </si>
  <si>
    <t>Diodato, D. &amp; A. Weterings</t>
  </si>
  <si>
    <t>Journal of Economic Geography, first published online August 18, 2014</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</si>
  <si>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</si>
  <si>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</si>
  <si>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</si>
  <si>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</si>
  <si>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De verdeelde triomf. Verkenning van stedelijk.economische ongelijkheid en opties voor beleid. Ruimtelijke Verkenningen 2016.</t>
  </si>
  <si>
    <t xml:space="preserve">Buitelaar, Edwin, Anet Weterings, Otto Raspe, Olaf Jonkeren &amp; Willem Boterman </t>
  </si>
  <si>
    <t>http://www.pbl.nl/sites/default/files/cms/publicaties/PBL_2016_De verdeelde triomf_1777.pdf</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</si>
  <si>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</si>
  <si>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</si>
  <si>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</si>
  <si>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</si>
  <si>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</si>
  <si>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</si>
  <si>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</si>
  <si>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</si>
  <si>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</si>
  <si>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Koopkracht, een kwestie van kwartjes</t>
  </si>
  <si>
    <t>Gielen, Miriam &amp; Mathijn Wilkens</t>
  </si>
  <si>
    <t>http://www.cpb.nl/sites/default/files/publicaties/download/cpb-policy-brief-2014-11-koopkracht-een-kwestie-van-kwartjes.pdf</t>
  </si>
  <si>
    <t>Uitvoeringsmonitor WWB Den Haag</t>
  </si>
  <si>
    <t xml:space="preserve">Berkhout, A., M. Groenewoud, G.H.J. Homburg, L. Mallee &amp; R.C. van Waveren_x000D_
_x000D_
</t>
  </si>
  <si>
    <t>http://www.regioplan.nl/publicaties/slug/type/rapporten/slug/uitvoeringsmonitor_wwb_den_haag</t>
  </si>
  <si>
    <t>Are the rich more selfish than te poor, or do they just have more money? A natural field experiment</t>
  </si>
  <si>
    <t>Andreoni James, Nikos Nikiforakis &amp; Jan Stoop</t>
  </si>
  <si>
    <t>National Bureau of Economic Research</t>
  </si>
  <si>
    <t>EUR</t>
  </si>
  <si>
    <t>Lessons from microeconometric R&amp;D subsidy studies for macro-modelling of innovation policy</t>
  </si>
  <si>
    <t>Beyer, Mila, Dirk Czarnitzki, Elena Huergo, Pierre Mohnen, Sebastian Pacher, Tuomas Takalo &amp; Otto Toivanen</t>
  </si>
  <si>
    <t>SIMPATIC working paper no. 04</t>
  </si>
  <si>
    <t>On the spatial differentiation in industrial dynamics. The case of the Netherlands (1994-2005)</t>
  </si>
  <si>
    <t>Capasso, M., Cefis, E. &amp; Frenken, K.</t>
  </si>
  <si>
    <t>Reconciling quantile autoregressions of firm size and variance-size scaling</t>
  </si>
  <si>
    <t>Capasso, M., Cefis, E. &amp; Sapio, A.</t>
  </si>
  <si>
    <t>Small Business Economics 41(3): 609-632</t>
  </si>
  <si>
    <t>Welfare effects of European R&amp;D support policies</t>
  </si>
  <si>
    <t>Czarnitzki, Dirk, Elena Huergo, Mila Köhler, Pierre Mohnen, Sebastian Pacher, Tuomas Takalo &amp; Otto Toivanen</t>
  </si>
  <si>
    <t>https://papers.ssrn.com/sol3/papers.cfm?abstract_id=3055069</t>
  </si>
  <si>
    <t>Evaluatie Uitdagerskrediet en Innovatiekrediet</t>
  </si>
  <si>
    <t>Jong, Philip de (APE), Maartje Gielen (APE) &amp; Mirjam van Praag</t>
  </si>
  <si>
    <t>http://www.rijksoverheid.nl/documenten-en-publicaties/rapporten/2013/08/23/evaluatie-uitdagerskrediet-en-innovatiekrediet.html</t>
  </si>
  <si>
    <t>Monitor Technische Arbeidsmarkt 2013, SEO-rapport 2013-61</t>
  </si>
  <si>
    <t>Volkerink, M., Berkhout, E., Bisschop, P &amp; Heyma, A.</t>
  </si>
  <si>
    <t>Financial position and house price determination: An empirical study of income and wealth effects</t>
  </si>
  <si>
    <t>Steegmans, Joep Steegmans &amp; Wolter Hassink</t>
  </si>
  <si>
    <t>Journal of Housing Economics</t>
  </si>
  <si>
    <t>Decreasing house prices and householdmobility:An empirical study on loss aversion and negative equity</t>
  </si>
  <si>
    <t xml:space="preserve">Steegmans, Joep Steegmans &amp; Wolter Hassink_x000D_
</t>
  </si>
  <si>
    <t>Journal of Regional Science</t>
  </si>
  <si>
    <t xml:space="preserve">House Prices and household mobility in the Netherlands: Empirical analyses of Financial Characteristics of the household </t>
  </si>
  <si>
    <t>Steegmans, Joep</t>
  </si>
  <si>
    <t>Utrecht School of Economics Dissertation</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</si>
  <si>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</si>
  <si>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</si>
  <si>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</si>
  <si>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</si>
  <si>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Arbeidsongevallen bij jonge nieuwkomers. Ongevalscijfers over arbeidsongevallen bij jongeren 15-24 jaar</t>
  </si>
  <si>
    <t>VeiligheidNL</t>
  </si>
  <si>
    <t>VNL</t>
  </si>
  <si>
    <t>Arbeidsongevallen in de bouw. Ongevalscijfers 2011</t>
  </si>
  <si>
    <t>Arbeidsongevallen. Ongevalscijfers</t>
  </si>
  <si>
    <t>Het betere werk. Economische effecten van een nieuw gevechtsvliegtuig.</t>
  </si>
  <si>
    <t>Bisschop, Paul, Carl Koopmans, Rogier Lieshout, Jurriaan Prins &amp; Maikel Volkerink</t>
  </si>
  <si>
    <t>Effect deelname ESF-projecten op werk/opleiding en strafrechtelijke recidive</t>
  </si>
  <si>
    <t>Weijters, G., Noordhuizen, S., Verweij, S., Wartna, B.S.J. &amp; Vergouw, S.J.</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</si>
  <si>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</si>
  <si>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</si>
  <si>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</si>
  <si>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MKB en Ondernemersschap: Resultatenrekeningen MKB sectoren (online dataset)</t>
  </si>
  <si>
    <t>http://data.ondernemerschap.nl/WebIntegraal/userif.aspx?SelectDataset=3&amp;SelectSubset=46&amp;Country=NL</t>
  </si>
  <si>
    <t>Aantallen geregistreerde en niet-geregistreerde burgers uit MOE-landen die in Nederland verblijven</t>
  </si>
  <si>
    <t>Van der Heijden, P.G.M., M. Cruyff en G. van Gils</t>
  </si>
  <si>
    <t>Bewegen op het werk. Een verkenning van kosten en baten.</t>
  </si>
  <si>
    <t>Berkhout, Peter, Martin Damen &amp; Rebecca Wouters</t>
  </si>
  <si>
    <t>RIGO Research en Advies BV</t>
  </si>
  <si>
    <t>Vraag en aanbod onderwijspersoneel MBO</t>
  </si>
  <si>
    <t>Lubberman, Jos, Carolien van Rens , Marjolijn Hovius &amp; Menno Wester</t>
  </si>
  <si>
    <t>ITS</t>
  </si>
  <si>
    <t>INBURGERING EN PARTICIPATIE. De bijdrage van inburgering aan de participatie van migranten in de Nederlandse samenleving</t>
  </si>
  <si>
    <t>Witvliet, Miranda, Miranda, Marja Paulussen-Hoogeboom, Arend Odé &amp; Eline Boersema</t>
  </si>
  <si>
    <t xml:space="preserve">http://www.regioplan.nl/publicaties/slug/type/rapporten/slug/volgsysteem_effecten_inburgering_x000D_
</t>
  </si>
  <si>
    <t>EFFICIENCY OF HEALTH INVESTMENT: EDUCATION OR INTELLIGENCE?</t>
  </si>
  <si>
    <t>Bijwaard, Govert E &amp; Hans van Kippersluis</t>
  </si>
  <si>
    <t>Health Economics Published by John Wiley &amp; Sons Ltd.</t>
  </si>
  <si>
    <t>Energielabels en het gemeten energiegebruik van utiliteitsgebouwen</t>
  </si>
  <si>
    <t xml:space="preserve">Hoes, E.C.M, M.E. Spiekman&amp;  T. Bulavskaya_x000D_
</t>
  </si>
  <si>
    <t>TNO rapport R10916</t>
  </si>
  <si>
    <t>TNO_Energie</t>
  </si>
  <si>
    <t>Naar Nationale Veiligheidsindices</t>
  </si>
  <si>
    <t>Vergouw S.J., P.W. Jennissen, G. Weijters &amp; P.R. Smit</t>
  </si>
  <si>
    <t>WODC, Cahier 2014-14</t>
  </si>
  <si>
    <t>Is there a risk of growing fast? A study of the relationship between firm growth and firm exit</t>
  </si>
  <si>
    <t>Kok, Jan de, Haibo Zhou, Peter van der Zwan &amp; Chantal Hartog</t>
  </si>
  <si>
    <t>http://www.ondernemerschap.nl/index.cfm/12,html?nxt=ctm_publikatie&amp;bestelnummer=H201413</t>
  </si>
  <si>
    <t>Wie heeft schuld? Een kwantitatieve analyse van schulden bij uitkeringsgerechtigden</t>
  </si>
  <si>
    <t>Zwinkels, Wim</t>
  </si>
  <si>
    <t>UWV</t>
  </si>
  <si>
    <t>Epsilon</t>
  </si>
  <si>
    <t>http://www.uwv.nl/overuwv/kennis-cijfers-en-onderzoek/kennis-onderzoeken/wie-heeft-schuld--een-kwantitatieve-analyse-van-schulden-bij-uitkeringsgerechtigden.aspx</t>
  </si>
  <si>
    <t>Praktijk en effecten van Bovenwettelijke CAO-aanvullingen ZW, loondoorbetaling bij ziekte, WIA en WW</t>
  </si>
  <si>
    <t>Cuelenaere, Drs. B., Drs. W.S. Zwinkels &amp;  A. A. Oostveen, MSc</t>
  </si>
  <si>
    <t>Epsilon research</t>
  </si>
  <si>
    <t xml:space="preserve">http://epsilon-research.nl/publicaties_x000D_
_x000D_
</t>
  </si>
  <si>
    <t>MKB en Ondernemerschap: Investeringen MKB (online dataset)</t>
  </si>
  <si>
    <t>http://data.ondernemerschap.nl/WebIntegraal/userif.aspx?SelectDataset=2&amp;SelectSubset=145&amp;Country=NL</t>
  </si>
  <si>
    <t>Arbeidsongevallen in Nederland 2011</t>
  </si>
  <si>
    <t>Venema, Anita, Heleen den Besten, Marloes van der Klauw &amp; Jan Fekke Ybema</t>
  </si>
  <si>
    <t xml:space="preserve">The impact of house price shocks on the savings of Dutch homeowners and renters </t>
  </si>
  <si>
    <t xml:space="preserve">Bijlsma, M., &amp; Mocking, R. </t>
  </si>
  <si>
    <t>https://www.cpb.nl/publicatie/de-invloed-van-huizenprijsschokken-op-besparingen-van-nederlandse-huizenbezitters-en</t>
  </si>
  <si>
    <t xml:space="preserve">House Price Shocks and Household Savings: Evidence from Dutch Administrative Data </t>
  </si>
  <si>
    <t xml:space="preserve">van Beers, N., Bijlsma, M., &amp; Mocking, R. </t>
  </si>
  <si>
    <t>https://www.cpb.nl/publicatie/huizenprijsschokken-en-spaargedrag-van-huishoudens-resultaten-op-basis-van-nederlandse-administratieve-data</t>
  </si>
  <si>
    <t xml:space="preserve">Monitor Technische Arbeidsmarkt 2013_x000D_
_x000D_
</t>
  </si>
  <si>
    <t>Volkerink, Maikel, Ernest Berkhout, Paul Bisschop &amp; Arjan Heyma</t>
  </si>
  <si>
    <t>Flexbarometer</t>
  </si>
  <si>
    <t>Ernest de Vroome</t>
  </si>
  <si>
    <t>TNO_Arbeid</t>
  </si>
  <si>
    <t>http://www.flexbarometer.nl/</t>
  </si>
  <si>
    <t>Rapportage woningmarktregio</t>
  </si>
  <si>
    <t>Wegstapel, Joost</t>
  </si>
  <si>
    <t>Atrivé</t>
  </si>
  <si>
    <t>Atrivé_Onderzoek</t>
  </si>
  <si>
    <t>Evaluatie Ouderschapsplan. Een eerste verkenning</t>
  </si>
  <si>
    <t>Voert, M.J. ter &amp; T. Geurts</t>
  </si>
  <si>
    <t>Mobiliteitsbalans 2013</t>
  </si>
  <si>
    <t>KiM</t>
  </si>
  <si>
    <t>Kennisinstituut voor Mobiliteitsbeleid (KiM), Min. van Infrastructuur en Milieu</t>
  </si>
  <si>
    <t>Mobiliteitsbeeld 2014</t>
  </si>
  <si>
    <t>Kennisinstituut voor Mobiliteitsbeleid (KiM), Mini.van Infrastructuur en Milieu</t>
  </si>
  <si>
    <t>http://kimnet.nl/publicatie/mobiliteitsbeeld-2014</t>
  </si>
  <si>
    <t>Actualisatie van keuzemodellen voor het NRM/LMS</t>
  </si>
  <si>
    <t>Willigers, Jasper, Michiel de Bok &amp; Marits Pieters</t>
  </si>
  <si>
    <t>Brievenbusmaatschappijen. De impect van bijzondere financiële instellingen op de Nederlandse economie.</t>
  </si>
  <si>
    <t>Baarsma, Barbara, Marco Kerste &amp; Jarst Weda</t>
  </si>
  <si>
    <t>Uit de schaduw van het bankwezen. Feiten en cijfers over bijzondere financiële instellingen en het schaduwbankwezen.</t>
  </si>
  <si>
    <t>Kerste, Marco, Barbara Baarsma, Jarst Weda, Nicole Rosenboom &amp; Ward Rougoor</t>
  </si>
  <si>
    <t>De verandering in het aandeel jeugdige verdachten in Amsterdam 2005 tot en met 2011. Op zoek naar verklaringen</t>
  </si>
  <si>
    <t>Weijters G. &amp; A.M. van der Laan</t>
  </si>
  <si>
    <t>WODC, Cahier 2014-9</t>
  </si>
  <si>
    <t>Labour mobility, skill-relatedness and new plant survival across different development stages of an industry</t>
  </si>
  <si>
    <t xml:space="preserve">Cappelli, R., Boschma, R. &amp; Weterings, A. </t>
  </si>
  <si>
    <t>SAGE Journals</t>
  </si>
  <si>
    <t>https://journals.sagepub.com/doi/abs/10.1177/0308518X18812466</t>
  </si>
  <si>
    <t>Zicht op zorggebruik</t>
  </si>
  <si>
    <t xml:space="preserve">Plaisier, Inger en Mirjam de Klerk_x000D_
</t>
  </si>
  <si>
    <t>\\mspv1f\cvb2\CvB_Docum\4. MiDaS\4.1 Productie\4.1.1 Contracten\4.1.1.3 Contracten OS en RA\7400-7499\7454_SCP\Documenten\Relatiebeheer\Zicht op zorggebruik.pdf</t>
  </si>
  <si>
    <t xml:space="preserve">Een rijke buurman trekt je niet omhoog </t>
  </si>
  <si>
    <t>Miltenburg, Emily</t>
  </si>
  <si>
    <t>Artikel in NRC.NEXT</t>
  </si>
  <si>
    <t>UvA_FMG_AISSR</t>
  </si>
  <si>
    <t>Labour market participation of Sub-Saharan Africans in the Netherlands: the limits of the human capital approach</t>
  </si>
  <si>
    <t>Confurius, Diane, Ruben Gowricharn &amp; Jaco Dagevos</t>
  </si>
  <si>
    <t>Journal of Ethnic and Migration Studies</t>
  </si>
  <si>
    <t>TIU
UvA_FMG_AISSR</t>
  </si>
  <si>
    <t>https://www.tandfonline.com/doi/full/10.1080/1369183X.2018.1497956</t>
  </si>
  <si>
    <t>Confurius, Diana, Ruben Gowricharn &amp; Jaco Dagevos</t>
  </si>
  <si>
    <t>https://doi.org/10.1080/1369183X.2018.1497956</t>
  </si>
  <si>
    <t>(On)beperkt sportief 2013 : monitor sport- en beweegdeelname van mensen met een handicap</t>
  </si>
  <si>
    <t>Heijden, A. van, Dool, R. van den, Lindert, C. van, Breedveld, K.</t>
  </si>
  <si>
    <t>Mulier Instituut/ Arko Sports Media</t>
  </si>
  <si>
    <t>Mulier</t>
  </si>
  <si>
    <t>De sector Economie in beeld. Een analyse van opleidingen en arbeidsmarkt van de hbo-sector Economie. Nijmegen: ITS</t>
  </si>
  <si>
    <t>Lubberman, J., Vermeulen, H., Hovius, M., Rossen, L., Elfering, S., Sombekke, E. &amp; Rens, C. van</t>
  </si>
  <si>
    <t>http://cdho.nl/page/downloads/Rapport_sectorstudie_economie_20130919.pdf</t>
  </si>
  <si>
    <t>Korte-en langetermijneffecten van de ISD-maatregel</t>
  </si>
  <si>
    <t>Tollenaar, N., van der Laan, A. M., &amp; Beijersbergen, K. A.</t>
  </si>
  <si>
    <t>WODC.</t>
  </si>
  <si>
    <t>https://repository.wodc.nl/bitstream/handle/20.500.12832/141/cahier-2014-10-volledige-tekst-nw_tcm28-72940.pdf?sequence=2&amp;isAllowed=y</t>
  </si>
  <si>
    <t>Representativeness of the LifeLines Cohort Study</t>
  </si>
  <si>
    <t>Klijs, Bart, Salome Scholtens, Jornt J. Mandemakers, Harold Snieder, Ronald P. Stolk &amp; Nynke Smidt</t>
  </si>
  <si>
    <t>https://journals.plos.org/plosone/article?id=10.1371/journal.pone.0137203</t>
  </si>
  <si>
    <t>Gradual Retirement in the Netherlands: An Analysis Using Administrative Data. Research on Aging</t>
  </si>
  <si>
    <t>Bloemen, Hans, Stefan Hochguertel &amp; Jochem Zweerink</t>
  </si>
  <si>
    <t>The Causal Effect of Retirement on Mortality: Evidence from Targeted Incentives to retire early. Health Economics</t>
  </si>
  <si>
    <t>Does job loss kill you? Evidence from administrative data. Journal of Health Economics</t>
  </si>
  <si>
    <t>Joint Retirement of Couples: Evidence from a Natural Experiment. Economic Inquiry</t>
  </si>
  <si>
    <t>Gradual Retirement: A Pathway with a Future?</t>
  </si>
  <si>
    <t>Of partners voor gelijktijdige pensionering kiezen</t>
  </si>
  <si>
    <t>De economische effecten van buitenlandse promovendi</t>
  </si>
  <si>
    <t>Van Elk, R., Rud, I. &amp; Wouterse, B</t>
  </si>
  <si>
    <t>http://www.cpb.nl/sites/default/files/publicaties/download/cpb-policy-brief-2016-01-de-economische-effecten-van-buitenlandse-promovendi.pdf</t>
  </si>
  <si>
    <t>Income differences between PhDs and Masters: evidence from the Netherlands</t>
  </si>
  <si>
    <t xml:space="preserve">Wouterse, B., Van der Wiel, K. &amp; Van der Steeg, M. </t>
  </si>
  <si>
    <t>https://link.springer.com/article/10.1007/s10645-017-9304-9</t>
  </si>
  <si>
    <t>Stay rates of foreign PhD graduates in the Netherlands</t>
  </si>
  <si>
    <t xml:space="preserve">Rud, I., Wouterse, B. &amp; Van Elk, R. </t>
  </si>
  <si>
    <t>http://www.cpb.nl/en/publication/stay-rates-of-foreign-phd-graduates-in-the-netherlands</t>
  </si>
  <si>
    <t>Jaarrapport integratie 2013. Participatie van migranten op de arbeidsmarkt</t>
  </si>
  <si>
    <t>Huijnk, W., Gijsberts, M. &amp; Dagevos, J.</t>
  </si>
  <si>
    <t>Omvang en prestaties van het MKB in de topsectoren</t>
  </si>
  <si>
    <t>Fris, P.</t>
  </si>
  <si>
    <t>http://www.ondernemerschap.nl/index.cfm/12,html?nxt=ctm_publikatie&amp;bestelnummer=A201416</t>
  </si>
  <si>
    <t>Can selective migration explain why health is worse in regions with population decline? :A study on migration and self-rated health in the Netherlands</t>
  </si>
  <si>
    <t xml:space="preserve">Dijkstra, Aletta, Eva U.B. Kibele, Antonia Verweij, Fons van der Lucht &amp; Fanny Janssen </t>
  </si>
  <si>
    <t>EUPHA</t>
  </si>
  <si>
    <t xml:space="preserve">http://eurpub.oxfordjournals.org/content/25/6/944_x000D_
</t>
  </si>
  <si>
    <t>Profiling, Auditing and Public Policy: Applications in Labor and Health Economics</t>
  </si>
  <si>
    <t>Vriend, Sandra</t>
  </si>
  <si>
    <t>https://research.vu.nl/en/publications/profiling-auditing-and-public-policy-applications-in-labor-and-he</t>
  </si>
  <si>
    <t>Audit rates and compliance: a field experiment in care provision</t>
  </si>
  <si>
    <t xml:space="preserve">Lindeboom, M., B. van der Klaauw &amp; S. Vriend </t>
  </si>
  <si>
    <t>https://research.vu.nl/en/publications/audit-rates-and-compliance-a-field-experiment-in-care-provision</t>
  </si>
  <si>
    <t>Audit regimes and long-term care</t>
  </si>
  <si>
    <t xml:space="preserve">Lindeboom, M. B. van der Klaauw &amp; S. Vriend </t>
  </si>
  <si>
    <t>https://personal.vu.nl/b.vander.klaauw/AuditTiming.pdf</t>
  </si>
  <si>
    <t>Proeftuin Meten is Weten</t>
  </si>
  <si>
    <t>https://personal.vu.nl/b.vander.klaauw/EindrapportCIZ.pdf</t>
  </si>
  <si>
    <t>Beheersing van de Nederlandse taal onder recente migranten uit nieuwe EU-lidstaten en traditionele migratielanden</t>
  </si>
  <si>
    <t>Gijsberts, M. &amp; M. Lubbers</t>
  </si>
  <si>
    <t>Sociologie, 10, 27-48</t>
  </si>
  <si>
    <t>Een vergelijking van de arbeidsmarktpositie van Polen en Bulgaren voor en na migratie naar Nederland</t>
  </si>
  <si>
    <t>Lubbers, M. &amp; M. Gijsberts</t>
  </si>
  <si>
    <t>Mens en Maatschappij, 88: 426-446</t>
  </si>
  <si>
    <t>Langer in Nederland. Ontwikkelingen in de leefsituatie van Poolse en Bulgaarse migranten.</t>
  </si>
  <si>
    <t>Nieuw in Nederland. Het leven van recent gemigreerde Bulgaren en Polen.</t>
  </si>
  <si>
    <t>Gijsberts, M. &amp; L. Lubbers</t>
  </si>
  <si>
    <t>Decision-tree analysis of factors influencing rainfall-related building structure and content damage</t>
  </si>
  <si>
    <t>Spekkers, M. H., M. Kok, F. H. L. R. Clemens &amp; J. A. E. ten Veldhuis</t>
  </si>
  <si>
    <t>Nat. Hazards Earth Syst. Sci., 14, 2531-2547</t>
  </si>
  <si>
    <t>Startende ondernemers in Leiden</t>
  </si>
  <si>
    <t>Heuts, Lars, Heidi Witteman-van Leenen &amp; Jos Mevissen</t>
  </si>
  <si>
    <t>http://www.regioplan.nl/publicaties/slug/type/rapporten/slug/startende_ondernemers_in_leiden</t>
  </si>
  <si>
    <t>De staat van Nederland Innovatieland. R&amp;D: impuls voor economische groei.</t>
  </si>
  <si>
    <t>Marshanden, Walter, Marcel de Heide, Olaf Koops &amp; Tom van der Horst</t>
  </si>
  <si>
    <t>Return to the business R&amp;D expenditures in the Netherlands</t>
  </si>
  <si>
    <t>Poliakov, E.V. &amp; Bulavskaya, T.</t>
  </si>
  <si>
    <t>TNO Working paper sessies</t>
  </si>
  <si>
    <t>http://repository.tudelft.nl/view/tno/uuid%3Ac2279dd8-9954-466e-92d3-c083c4d3b1a8/</t>
  </si>
  <si>
    <t>Do internationally adopted children in the Netherlands use more medication than their non-adopted peers?</t>
  </si>
  <si>
    <t>Ginkel, Joost R. van, Femmie Juffer, Marian J. Bakermans-Kranenburg1 &amp; Marinus H. van IJzendoorn</t>
  </si>
  <si>
    <t>Tijdschrift European Journal of Pediatrics</t>
  </si>
  <si>
    <t>UL_FSW</t>
  </si>
  <si>
    <t>Hypercoagulability and the risk of recurrence in young women with myocardial infarction or ischaemic stroke: a cohort study</t>
  </si>
  <si>
    <t xml:space="preserve">Maino A, Algra A, Peyvandi F, Rosendaal F.R &amp; Siegerink B. </t>
  </si>
  <si>
    <t>BMC Cardiovasc Disord</t>
  </si>
  <si>
    <t>https://www.ncbi.nlm.nih.gov/pmc/articles/PMC6407236/</t>
  </si>
  <si>
    <t>Recurrence and Mortality in Young Women With Myocardial Infarction or Ischemic Stroke: Long-term Follow-up of the Risk of Arterial Thrombosis in Relation to Oral contraceptives (RATIO)</t>
  </si>
  <si>
    <t xml:space="preserve">Maino A, Siegerink B, Algra A, Peyvandi F &amp; Rosendaal FR. _x000D_
</t>
  </si>
  <si>
    <t xml:space="preserve">JAMA Intern Med </t>
  </si>
  <si>
    <t>Prijzengids voor de bijzondere bijstand 2014-2015</t>
  </si>
  <si>
    <t>Nibud</t>
  </si>
  <si>
    <t>Financieringsmonitor 2014-1. Onderzoek naar de financiering van het Nederlandse bedrijfsleven</t>
  </si>
  <si>
    <t>Braaksma, Rob, Wim Verhoeven,  Lia Smit &amp; Tommy Span</t>
  </si>
  <si>
    <t>Analyse mogelijke verbeteringen van het verdeelmodel voor het inkomensdeel van de Participatiewet (memo voor het ministerie van SZW)</t>
  </si>
  <si>
    <t>Soede, A. &amp; M. Versantvoort</t>
  </si>
  <si>
    <t>Verdelen op niveaus. Een multiniveaumodel voor de verdeling van het inkomensdeel van de Participatiewet voor gemeenten</t>
  </si>
  <si>
    <t>Kostenverschillen in de jeugdzorg; Een verklaring van verschillen in kosten tussen gemeenten</t>
  </si>
  <si>
    <t xml:space="preserve">Michiel Ras, Evert Pommer, Klarita Sadiraj_x000D_
</t>
  </si>
  <si>
    <t>http://www.scp.nl/Publicaties/Alle_publicaties/Publicaties_2014/Kostenverschillen_in_de_jeugdzorg</t>
  </si>
  <si>
    <t>Gebruik en kosten van jeugdzorg door jeugdigenmet een Turkse of Marokkaanse achtergrond</t>
  </si>
  <si>
    <t>Sadiraj, Klarita, Freek Bucx &amp; Michiel Ras</t>
  </si>
  <si>
    <t>Cumulaties in de jeugdhulp</t>
  </si>
  <si>
    <t>Sadiraj, Klarita, Michiel Ras &amp; Evert Pommer</t>
  </si>
  <si>
    <t>Jeugdzorg: verschil tussen budget en contract</t>
  </si>
  <si>
    <t>Sadiraj, Klarita &amp; Evert Pommer</t>
  </si>
  <si>
    <t>Verdeling historische middelen jeugdzorg</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</si>
  <si>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</si>
  <si>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</si>
  <si>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</si>
  <si>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Wijkaanpak maakt gezonder</t>
  </si>
  <si>
    <t>Stronks, Karien</t>
  </si>
  <si>
    <t>Tijdschrift voor Sociale Vraagstukken</t>
  </si>
  <si>
    <t>http://perssupport.nl/apssite/binaries/content/assets/persberichten/2013/12/18/TSV+04+Karien+Stronkspdf</t>
  </si>
  <si>
    <t>Hollands Kroon Uitkomsten Woningmarkt-onderzoek</t>
  </si>
  <si>
    <t>Wegstapel, Joost &amp; Janine Boers</t>
  </si>
  <si>
    <t>http://www.hollandskroon.nl/portal/zoeken_41213/?trefwoord=atrive&amp;onlycollection=Hele+website&amp;searchgsa=Vind</t>
  </si>
  <si>
    <t>Foreign Direct Investment and Entrepreneurship</t>
  </si>
  <si>
    <t xml:space="preserve">Rosenkranz, S., Weitzel, U., &amp; Danakol, S. H. </t>
  </si>
  <si>
    <t>Radboud Universiteit Nijmegen</t>
  </si>
  <si>
    <t>RUN</t>
  </si>
  <si>
    <t>Foreign direct investment via M&amp;A and domestic entrepreneurship: blessing or curse?</t>
  </si>
  <si>
    <t xml:space="preserve">Seçil Hülya Danakol, Saul Estrin, Paul Reynolds &amp; Utz Weitzel _x000D_
</t>
  </si>
  <si>
    <t>https://link.springer.com/article/10.1007/s11187-016-9792-z</t>
  </si>
  <si>
    <t>Wage and competition channels of foreign direct investment and new firm entry</t>
  </si>
  <si>
    <t xml:space="preserve">Marzieh Abolhassani &amp; Seçil Hülya Danakol _x000D_
</t>
  </si>
  <si>
    <t>https://link.springer.com/article/10.1007%2Fs11187-018-0115-4</t>
  </si>
  <si>
    <t>Microbleeds, mortality and stroke in Alzheimer's disease: the MISTRAL studie</t>
  </si>
  <si>
    <t>Benedictus, M.R., N.D. Prins, J.D.C. Goos, Ph. Scheltens, F. Barkhof, W.M. van der Flier</t>
  </si>
  <si>
    <t>JAMA Neurology</t>
  </si>
  <si>
    <t>Controlegroep Programma Groeiversnellers. Ontwikkelingen van omzet en werknemers 2011.</t>
  </si>
  <si>
    <t>Verhoeven, Wim &amp; Arjan Ruis</t>
  </si>
  <si>
    <t>Ernstige arbeidsongevallen 1999-2011. Trends en ontwikkelingen</t>
  </si>
  <si>
    <t>Berkhout, P.H.G., M. Damen, C.B. Ameling &amp; V.M. Sol</t>
  </si>
  <si>
    <t>RIVM rapport 110010002/2014</t>
  </si>
  <si>
    <t>Monitor Inkomens Ondernemers. Editie 2012</t>
  </si>
  <si>
    <t>Vendrig, Sjaak</t>
  </si>
  <si>
    <t>http://www.ondernemerschap.nl/pdf-ez/A201329.pdf</t>
  </si>
  <si>
    <t xml:space="preserve">Voortgangsrapportage wijkaanpak 2013_x000D_
</t>
  </si>
  <si>
    <t>Evaluatie Eurostars en Eureka 2008-2012, Panteia: Zoetermeer</t>
  </si>
  <si>
    <t>Prince, Y., N. Tiggeloove, P. Gibcus, T. Span, M. Linssen &amp; R. Braaksma</t>
  </si>
  <si>
    <t>http://www.rijksoverheid.nl/documenten-en-publicaties/rapporten/2014/09/16/evaluatie-eurostars-en-eureka-2008-2012-eindrapportage.html</t>
  </si>
  <si>
    <t>Actieve ondernemingen en vestigingen</t>
  </si>
  <si>
    <t>Financiering MKB (incl. prognoses)</t>
  </si>
  <si>
    <t>http://data.ondernemerschap.nl/WebIntegraal/userif.aspx?SelectDataset=4&amp;SelectSubset=163&amp;Country=NL</t>
  </si>
  <si>
    <t>Investeringen MKB</t>
  </si>
  <si>
    <t>Resultatenrekeningen MKB sectoren</t>
  </si>
  <si>
    <t>Zorgatlas</t>
  </si>
  <si>
    <t>Mulder, Maarten &amp; Frank den Hertog</t>
  </si>
  <si>
    <t>https://www.volksgezondheidenzorg.info/</t>
  </si>
  <si>
    <t>Energy performance and capital expenditures in manufacturing industries</t>
  </si>
  <si>
    <t>Brinkerink, Jasper, Andrea Chegut &amp; Wilko Letterie</t>
  </si>
  <si>
    <t>Expansionary investment activities: Assessing equipment and buildings in productivity</t>
  </si>
  <si>
    <t xml:space="preserve">Brinkerink, J., Chegut, A., &amp; Letterie, W. </t>
  </si>
  <si>
    <t>Ethnic Inequalities in Rectal Cancer Care in a Universal Access Healthcare System: A Nationwide Register-Based Study</t>
  </si>
  <si>
    <t>Elferink, Marloes, Majda Lamkaddem, Evelien Dekker, Pieter J. Tanis, Otto Visser &amp; Marie-Louise Essink-Bot</t>
  </si>
  <si>
    <t>UMC_UvA</t>
  </si>
  <si>
    <t>Ethnic differences in colon cancer care in the Netherlands: a nationwide registry-based study</t>
  </si>
  <si>
    <t>Lamkaddem M,  M. A. G. Elferink, M. C. Seeleman, E. Dekker, C. J. A. Punt, O. Visser &amp;  M.L. Essink-Bot</t>
  </si>
  <si>
    <t>Assessing the effects of disability insurance experience rating. The case of The Netherlands</t>
  </si>
  <si>
    <t>Groot Nynke de &amp; Pierre Koning</t>
  </si>
  <si>
    <t>A burden too big to bear? The effect ofexperience-rated disability insurancepremiums on firm bankruptcies andemployment</t>
  </si>
  <si>
    <t>Groot, Nynke de &amp; Pierre Koning</t>
  </si>
  <si>
    <t>https://onlinelibrary.wiley.com/doi/epdf/10.1111/sjoe.12460</t>
  </si>
  <si>
    <t>The interplaybetweenneighbourhoodcharacteristics:Thehealth impact of changes in _x000D_
social cohesion,disorder and unsafety feelings</t>
  </si>
  <si>
    <t xml:space="preserve">Rijsbroek Annemarie, Mariël Droomers, Wim Hardyns, Peter P.Groenewegen &amp; Karien Stronks </t>
  </si>
  <si>
    <t>Social safety,self-ratedgeneralhealthandphysicalactivity: Changes in area crime,areas afety feelings and the role of social cohesion</t>
  </si>
  <si>
    <t>Ruijsbroek Annemarie , Mariël Droomers, Peter P.Groenewegen, Wim Hardyns &amp; Karien Stronks</t>
  </si>
  <si>
    <t>Maatschappelijke effecten van het wetsvoorstel Hervorming Kindregelingen voor gezinnen met kinderen.</t>
  </si>
  <si>
    <t>Hoff, Stella &amp; Arjan Soede</t>
  </si>
  <si>
    <t>Testosterone and the Gender Wage Gap</t>
  </si>
  <si>
    <t>Gielen, Anne C., Jessica Holmes &amp; Caitlin Myers</t>
  </si>
  <si>
    <t>http://ftp.iza.org/dp7575.pdf</t>
  </si>
  <si>
    <t>Succesvol zelfstandig</t>
  </si>
  <si>
    <t>Ruis, Arjan &amp; Paul Vroonhof</t>
  </si>
  <si>
    <t>Koppeling van cao-codes aan de NEA: Beschrijving van de succesvolle koppeling en eerste resultaten</t>
  </si>
  <si>
    <t>Venema, Anita &amp; Ernest de Vroome</t>
  </si>
  <si>
    <t>http://www.monitorarbeid.tno.nl/nieuws/nationale-enquete-arbeidsomstandigheden-verrijkt-met-cao-registraties</t>
  </si>
  <si>
    <t>EU migranten in de Gemeentelijke Basis Administratie (GBA)</t>
  </si>
  <si>
    <t>Hoppesteyn, Marco</t>
  </si>
  <si>
    <t>EU-migranten in de BRP</t>
  </si>
  <si>
    <t>Monitor: EU Arbeidsmigratie 2014</t>
  </si>
  <si>
    <t>Gemeenten en marktpartijen in regio alkmaar bewegen mee met veranderende woningmarkt</t>
  </si>
  <si>
    <t>http://www.atrive.nl/visie-en-resultaat/projecten/gemeenten-en-marktpartijen-in-regio-alkmaar-bewegen-mee-met-veranderende-woningmarkt.aspx</t>
  </si>
  <si>
    <t>Lokale Staat van het Onderwijs in Almere 2012/2013</t>
  </si>
  <si>
    <t>Onderzoek &amp; Statistiek, Gemeente Almere</t>
  </si>
  <si>
    <t>GemAlmere_BAO_OS</t>
  </si>
  <si>
    <t>Monitor vrouwelijk en etnisch ondernemerschap 2013</t>
  </si>
  <si>
    <t>Span, Tommy, Sophie Doove &amp; Lia Smit</t>
  </si>
  <si>
    <t>Kennissite MKB en Ondernemerschap</t>
  </si>
  <si>
    <t>veranderend Noord &amp; artikel Agora</t>
  </si>
  <si>
    <t>Booi, Hester</t>
  </si>
  <si>
    <t>Gemeente Amsterdam</t>
  </si>
  <si>
    <t>http://www.ois.amsterdam.nl/nieuwsarchief</t>
  </si>
  <si>
    <t>Woningmarkt regio Amsterdam steeds verder uit balans</t>
  </si>
  <si>
    <t>https://onderzoek.amsterdam.nl/artikel/woningmarkt-regio-amsterdam-steeds-verder-uit-balans</t>
  </si>
  <si>
    <t>Beweging in cao’s. Een verkenning van ontwikkelingen in decentralisatie, differentiatie,_x000D_
duurzame inzetbaarheid en mobiliteit.</t>
  </si>
  <si>
    <t>Volkerink, M., E. Berkhout, P. Bisschop &amp; J. van der Voort</t>
  </si>
  <si>
    <t>Antilliaanse Nederlanders 2013: De positie op de terreinen van onderwijs, arbeid en uitkering en criminaliteit</t>
  </si>
  <si>
    <t>Boom, J. de, P. van Wensveen, P. Hermus, A. Weltevrede &amp; M. van San</t>
  </si>
  <si>
    <t>Marokkaanse Nederlanders 2013: De positie op de terreinen van onderwijs, arbeid en uitkering en criminaliteit.</t>
  </si>
  <si>
    <t>Nationaal programma Rotterdam Zuid</t>
  </si>
  <si>
    <t>Krimpen, Marisol van, Astrid Kroos, Mattijs de Mooij, Karín Oostenbrink-Fraai, Marco Pastors &amp; Evronique Smits</t>
  </si>
  <si>
    <t>Programmabureau NPRZ</t>
  </si>
  <si>
    <t>Dat smaakt naar meer! Innovatie in het Nederlandse levensmiddelen-mkb</t>
  </si>
  <si>
    <t>Galen , Michiel van, Katja Logatcheva &amp; Elsje Oosterkamp</t>
  </si>
  <si>
    <t>WUR_LEI</t>
  </si>
  <si>
    <t>Monitor Voedselverspilling. Update 2009-2012.</t>
  </si>
  <si>
    <t>Soethoudt, Han &amp; Hilke Bos-Brouwers</t>
  </si>
  <si>
    <t>Wageningen UR Food &amp; Biobased Research</t>
  </si>
  <si>
    <t>Settlement patterns of international knowledge workers in The Netherlands.</t>
  </si>
  <si>
    <t>Sleutjes, Bart</t>
  </si>
  <si>
    <t>HELP-INTERNATIONAL REPORT NR. 4</t>
  </si>
  <si>
    <t>De-standardisation and differentiation of retirement trajectories in the context of extended working lives in the Netherlands</t>
  </si>
  <si>
    <t xml:space="preserve">Riekhoff, Aart-Jan </t>
  </si>
  <si>
    <t>Economic and Industrial Democracy</t>
  </si>
  <si>
    <t>UniTampere_Social_Sciences</t>
  </si>
  <si>
    <t>Institutional and socio-economic drivers of work-to-retirement trajectories in the Netherlands</t>
  </si>
  <si>
    <t>Cambridge University Press</t>
  </si>
  <si>
    <t>Kansen voor allochtone BBL'ers. Een verkenning van problemen en barrières.</t>
  </si>
  <si>
    <t>Elfering, S., Kuijk, J. van &amp; Mommers, A.</t>
  </si>
  <si>
    <t>http://www.ru.nl/its/afgerond-onderzoek/onderwijsloopbanen/vergroten-instroom/</t>
  </si>
  <si>
    <t>Grensoverschrijdend aanbod van personeel. Verschuivingen in nationaliteit en contractvormen op de Nederlandse arbeidsmarkt 2001-2011.</t>
  </si>
  <si>
    <t>Berkhout, Ernest, Paul Bisschop &amp; Maikel Volkerink</t>
  </si>
  <si>
    <t>http://www.seo.nl/pagina/article/grensoverschrijdend-aanbod-van-personeel/</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</si>
  <si>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</si>
  <si>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</si>
  <si>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</si>
  <si>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Verdeling van het participatiebudget over gemeenten</t>
  </si>
  <si>
    <t>Tempelman, Caren, Gerard Marlet, Caroline Berden, Clemens van Woerkens &amp; Lucy Kok</t>
  </si>
  <si>
    <t>Een lang tekort. Langdurige armoede in Nederland</t>
  </si>
  <si>
    <t xml:space="preserve">Wildeboer Schut, Jean Marie &amp; Stella Hoff  </t>
  </si>
  <si>
    <t>https://www.scp.nl/Publicaties/Alle_publicaties/Publicaties_2016/Een_lang_tekort</t>
  </si>
  <si>
    <t>Op eigen benen? Samenhang van jeugdzorg met het gebruik van WMO-zorg en nkomensondersteuning vanaf het achttiende levensjaar</t>
  </si>
  <si>
    <t>Non, Marielle</t>
  </si>
  <si>
    <t>http://www.cpb.nl/publicatie/op-eigen-benen-samenhang-van-jeugdzorg-met-het-gebruik-van-wmo-zorg-en-inkomensondersteuning</t>
  </si>
  <si>
    <t>Vervolgrapportage decentralisaties in het sociaal domein</t>
  </si>
  <si>
    <t xml:space="preserve">Non, Marielle_x000D_
</t>
  </si>
  <si>
    <t>http://www.cpb.nl/publicatie/vervolgrapportage-decentralisaties-in-het-sociaal-domein</t>
  </si>
  <si>
    <t>The relation between the location of a residential youth care facility and the local demand_x000D_
for income support</t>
  </si>
  <si>
    <t xml:space="preserve">Zeeuw, Luka de </t>
  </si>
  <si>
    <t xml:space="preserve">Aanvaarding van hulp in relatie tot slachtofferkenmerken: Een analyse van verrijkte cliëntgegevens van Slachtofferhulp Nederland_x000D_
</t>
  </si>
  <si>
    <t>Leferink, S. &amp; Wessel, F. van</t>
  </si>
  <si>
    <t>Slachtofferhulp Nederland</t>
  </si>
  <si>
    <t>https://www.wodc.nl/onderzoeksdatabase/2524-voorspellers-hulpafname-shn.aspx</t>
  </si>
  <si>
    <t>The effect of adherence to statin therapy on cardiovascular mortality: quantification of unmeasured bias using falsification end-points</t>
  </si>
  <si>
    <t>Bijlsma J. Maarten, Stijn Vansteelandt, Fanny Janssen &amp; Eelko Hak</t>
  </si>
  <si>
    <t>BMC Public Health</t>
  </si>
  <si>
    <t>Association Between Statin Use and Cardiovascular Mortality at the Population Level:_x000D_
An Ecologic Study</t>
  </si>
  <si>
    <t>Bijlsma Maarten J., Fanny Janssen, Jens Bos, Pieter W. Kamphuisen, Stijn Vansteelandt &amp; Eelko Hak</t>
  </si>
  <si>
    <t>Effect of vaccination programmes on mortality burden among children and young adults in the Netherlands during the 20th century: a historical analysis</t>
  </si>
  <si>
    <t>Wijhe, Maarten van, Scott A McDonald, Hester E de Melker, Maarten J Postma &amp; Jacco Wallinga</t>
  </si>
  <si>
    <t>Eff ect of vaccination programmes on mortality burden among children and young adults in the Netherlands during the 20th century: a historical analysis</t>
  </si>
  <si>
    <t>The Lancet Infectious Diseases (website)</t>
  </si>
  <si>
    <t xml:space="preserve">http://thelancet.com/journals/laninf/article/PIIS1473-3099(16)00027-X/fulltext_x000D_
</t>
  </si>
  <si>
    <t>Personeel en opleiden in verpleeghuizen</t>
  </si>
  <si>
    <t>Brink, Marjolein &amp; Cisca Joldersma</t>
  </si>
  <si>
    <t>KIWA</t>
  </si>
  <si>
    <t>Long-Term Care, Wealth and Housing</t>
  </si>
  <si>
    <t>Bockarjova, Marija, Johan Polder &amp; Jan Rouwendal</t>
  </si>
  <si>
    <t xml:space="preserve">Arbeidsmarktrapportage 2017_x000D_
</t>
  </si>
  <si>
    <t>Hulle, René van</t>
  </si>
  <si>
    <t xml:space="preserve">http://www.arbeidsmarkt.incijfers.nl/_x000D_
</t>
  </si>
  <si>
    <t>Buurtintegratie</t>
  </si>
  <si>
    <t>http://www.buurtintegratie.nl/</t>
  </si>
  <si>
    <t>De onderkant van de arbeidsmarkt in 2025</t>
  </si>
  <si>
    <t>Graaf-Zijl Marloes de, Edith Josten, Stefan Boeters, Evelien Eggink, Jonneke Bolhaar, _x000D_
Ingrid Ooms, Adri den Ouden &amp; Isolde Woittiez</t>
  </si>
  <si>
    <t>De financiële positie van het midden- en kleinbedrijf in Nederland</t>
  </si>
  <si>
    <t>CPB op verzoek van het ministerie van Economische Zaken</t>
  </si>
  <si>
    <t>http://www.cpb.nl/publicatie/de-financiele-positie-van-het-midden-en-kleinbedrijf-in-nederland</t>
  </si>
  <si>
    <t>Comparison of Site of Death, Health Care Utilization, and Hospital Expenditures for Patients Dying With Cancer n 7 Developed Countries</t>
  </si>
  <si>
    <t>Oosterveld, Mariska</t>
  </si>
  <si>
    <t>UMC_VU_EMGO_SG</t>
  </si>
  <si>
    <t>Internationaal onderzoek: zorg in de laatste levensfase in hier beter en goedkoper dan elders. Kankerpatiënt in Nederland goed arf</t>
  </si>
  <si>
    <t>Volkskrant 20 januari</t>
  </si>
  <si>
    <t>Relating cause of death with place of care and healthcare costs in the last year of life for patients who died from cancer, chronic obstructive pulmonary disease, heart failure and dementia: A descriptive study using registry data</t>
  </si>
  <si>
    <t>Plas van der Annicka GM, Mariska G Oosterveld-Vlug, H Roeline W Pasman &amp; Bregje D Onwuteaka-Philipsen</t>
  </si>
  <si>
    <t>SAGEPUB</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</si>
  <si>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</si>
  <si>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</si>
  <si>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</si>
  <si>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Trends en ontwikkelingen in de technische installatiebranche 2016</t>
  </si>
  <si>
    <t>Vermeulen, Hedwig, John Warmerdam, Sanne Elfering, Roelof Schellingerhout, Wouter de Wit, Ellen van de Wetering, Lieselotte Rossen &amp; Carolien van Rens</t>
  </si>
  <si>
    <t>Evaluatie wet inburgering buitenland</t>
  </si>
  <si>
    <t>Odé, A., M.C. Paulussen-Hoogeboom, J. Stouten &amp; M. Witvliet</t>
  </si>
  <si>
    <t>Regioplan. Publicatienummer 13261</t>
  </si>
  <si>
    <t>http://www.regioplan.nl/publicaties/slug/type/rapporten/slug/taalniveau_en_afhakers_basisexamen_inburgering_buitenland</t>
  </si>
  <si>
    <t>VluchtelingenWerk IntegratieBarometer 2014. Een onderzoek naar de integratie van vluchtelingen in Nederland.</t>
  </si>
  <si>
    <t>Witkamp, Bertine, Marja Paulussen-Hoogeboom, Suzanne Slotboom &amp; Janneke Stouten</t>
  </si>
  <si>
    <t>VluchtelingenWerk Nederland</t>
  </si>
  <si>
    <t>Buitenspel. De uitvoering voor jongeren in de WW of bijstand</t>
  </si>
  <si>
    <t>InspectieSZW</t>
  </si>
  <si>
    <t>De WWB voor jongeren in cijfers. H3-5</t>
  </si>
  <si>
    <t>Gemeentelijke uitvoering van de zoekperiode voor jongeren in de WWB</t>
  </si>
  <si>
    <t>Zuurbier, Hubert, Sandhya Bodol, Huub Eijkelkamp, Justine Ruitenherg &amp; Ron von Duuren</t>
  </si>
  <si>
    <t>Sociaal bestek april/mei</t>
  </si>
  <si>
    <t>De uitvoering voor jongeren in de WW of bijstand</t>
  </si>
  <si>
    <t>Zuurbier, Hubert.</t>
  </si>
  <si>
    <t>Buitenspel</t>
  </si>
  <si>
    <t>Uitvoering van de Wwb voor jongeren (18-27 jaar)</t>
  </si>
  <si>
    <t xml:space="preserve">Uitvoering van de WW en WWB voor jongeren </t>
  </si>
  <si>
    <t>De WWB voor jongeren in cijfers</t>
  </si>
  <si>
    <t>Zuurbier, Hubert</t>
  </si>
  <si>
    <t>De boete belicht</t>
  </si>
  <si>
    <t>MinSZW</t>
  </si>
  <si>
    <t>https://www.inspectieszw.nl/publicaties/rapporten/2014/11/15/de-boete-belicht</t>
  </si>
  <si>
    <t xml:space="preserve">Are estimates of intergenerational mobility biased by non-response? Evidence from the Netherlands_x000D_
</t>
  </si>
  <si>
    <t>Golsteyn, Bart &amp; Stefa Hirsch</t>
  </si>
  <si>
    <t>Social Choice and Welfare</t>
  </si>
  <si>
    <t>UM</t>
  </si>
  <si>
    <t xml:space="preserve">https://link.springer.com/article/10.1007/s00355-018-1138-0_x000D_
</t>
  </si>
  <si>
    <t>Rapportage sport 2014</t>
  </si>
  <si>
    <t>Tiessen-Raaphorst, Annet</t>
  </si>
  <si>
    <t>http://www.scp.nl/Publicaties/Alle_publicaties/Publicaties_2015/Rapportage_Sport_2014</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</si>
  <si>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</si>
  <si>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</si>
  <si>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</si>
  <si>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</si>
  <si>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Stapelingsmonitor</t>
  </si>
  <si>
    <t>Jong, Idske de</t>
  </si>
  <si>
    <t>Motivated or not for searching a job? The determinants of competitiveness:thematic collection of papers of international significance.</t>
  </si>
  <si>
    <t>Juznik, Laura</t>
  </si>
  <si>
    <t>University of Nis, Faculty of Economics, str. 93-106, graf. prikazi, tabele</t>
  </si>
  <si>
    <t>UniNovoMesto_Business</t>
  </si>
  <si>
    <t>COBISS.SI-ID 514321271</t>
  </si>
  <si>
    <t>Landelijke inventarisatie rookoverlast. Ervaren maatregelen op de werkvloer.</t>
  </si>
  <si>
    <t>Fettelaar, Daan &amp; Lieselotte Rossen</t>
  </si>
  <si>
    <t>Dynamics in car ownership: the role of entry into parenthood</t>
  </si>
  <si>
    <t>Oakil A.T.M., Manting D. &amp; Nijland H.</t>
  </si>
  <si>
    <t>De terminants of car ownership among young households in the Netherlands: the role of  urbanization and demographic and economic characteristics,</t>
  </si>
  <si>
    <t>Oakil A.T.M., Manting D. &amp; Nijland H</t>
  </si>
  <si>
    <t>The role of individual characteristics in car ownership shortly after relationship dissolution, Transportation 45, 1871-1882</t>
  </si>
  <si>
    <t xml:space="preserve">Oakil A.T.M., Manting D. &amp; Nijland H. </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</si>
  <si>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</si>
  <si>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</si>
  <si>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</si>
  <si>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</si>
  <si>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</si>
  <si>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</si>
  <si>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</si>
  <si>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UvA_FEB_TIER</t>
  </si>
  <si>
    <t>https://stemeducationjournal.springeropen.com/track/pdf/10.1186/s40594-021-00318-8.pdf</t>
  </si>
  <si>
    <t xml:space="preserve">What’s the difference? A gender perspective on understanding educational inequalities in all-cause and cause-specific mortality </t>
  </si>
  <si>
    <t>Hedel Karen van, Frank J. van Lenthe, Joost Oude Groeniger &amp; Johan P. Mackenbach</t>
  </si>
  <si>
    <t>Urban population density and mortality in a compact Dutch city: 23-year follow-up of the Dutch GLOBE study</t>
  </si>
  <si>
    <t>Beenackers, Mariëlle A, Joost Oude Groenigera, Carlijn B.M. Kamphuis &amp;  Frank J. Van Lenthe</t>
  </si>
  <si>
    <t>Health and Place</t>
  </si>
  <si>
    <t>https://www.uwv.nl/overuwv/Images/UWV_Schulden_Kwantitatief eindrapport.pdf</t>
  </si>
  <si>
    <t>Een normatieve kijk op de rol van daderkenmerken bij straftoemetingsbeslissingen</t>
  </si>
  <si>
    <t>Wingerden, S.G.C. van &amp; Wermink, H.T</t>
  </si>
  <si>
    <t>Trema: Tijdschrift voor de Rechterlijke Macht, 38(1), 6-16</t>
  </si>
  <si>
    <t>UL_Law</t>
  </si>
  <si>
    <t>Etnisch Gerelateerde Verschillen in de Straftoemeting</t>
  </si>
  <si>
    <t>Wermink, H., Wingerden, S.G.C. van, Wilsem, J.A. van &amp; Nieuwbeerta, P</t>
  </si>
  <si>
    <t>Den Haag: Raad voor de Rechtspraak</t>
  </si>
  <si>
    <t>https://www.rechtspraak.nl/Organisatie/Publicaties-En-Brochures/Researchmemoranda/Pages/default.aspx</t>
  </si>
  <si>
    <t>Worden allochtonen zwaarder gestraft? Onderzoek naar etnische verschillen in gevangenisstrafbeslissingen in Nederland</t>
  </si>
  <si>
    <t>Panopticon.</t>
  </si>
  <si>
    <t>Zwaarder gestraft?</t>
  </si>
  <si>
    <t>Wingerden, dr. mr. S.G.C. ( Sigrid) van &amp; dr. H.T. ( Hilde) Wermink</t>
  </si>
  <si>
    <t>Sdu Uitgevers bv, Den Haag</t>
  </si>
  <si>
    <t>https://www.rechtspraak.nl/SiteCollectionDocuments/research-memoranda-2016-02.pdf</t>
  </si>
  <si>
    <t>Descendants of Hardship: Prevalence, Drivers and Scarring Effects of Social Exclusion in Childhood</t>
  </si>
  <si>
    <t>Vrooman J. (Cok), Stella J.M. Hoff &amp; Maurice Guiaux</t>
  </si>
  <si>
    <t>Young, online and connectd: The impact of everyday Internet use of_x000D_
Dutch adolescents on social cohesion</t>
  </si>
  <si>
    <t>Schols, Marjon</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</si>
  <si>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</si>
  <si>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</si>
  <si>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</si>
  <si>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</si>
  <si>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Geslacht als factor van succes in het mbo?</t>
  </si>
  <si>
    <t>MinOCW</t>
  </si>
  <si>
    <t>https://www.onderwijsincijfers.nl/themas/archief/geslacht-als-factor-van-succes-in-het-mbo</t>
  </si>
  <si>
    <t>Arbeidsmobiliteit tussen grootteklassen</t>
  </si>
  <si>
    <t>Kok, Jan de &amp; Pieter Fris</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</si>
  <si>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</si>
  <si>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</si>
  <si>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</si>
  <si>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Terugval in recidive. Exploratie van de daling in de recidivecijfers van jeugdigen en ex-gedetineerden bestraft in de periode 2002-2010. WODC. Cahier 2014-16.</t>
  </si>
  <si>
    <t>Wartna, B.S.J., N. Tollenaar, S. Verweij, M. Timmermans, M. Witvliet, G.H.J. Homburg</t>
  </si>
  <si>
    <t>WODC, Den Haag</t>
  </si>
  <si>
    <t>\\mspv1f\cvb2\CvB_Docum\4. MiDaS\4.1 Productie\4.1.1 Contracten\4.1.1.3 Contracten OS en RA\7600-7699\7630_WODC\Relatiebeheer\Cahier 2014-16_O&amp;A Recidivetrends_def 12nov.pdf</t>
  </si>
  <si>
    <t>Bedrijfsoverdrachten: een overschat probleem? Omvang en effecten van bedrijfsoverdrachten, -overnames en -beëindigingen</t>
  </si>
  <si>
    <t>Ruis, A., L. Smit, T. Span, R. Braaksma &amp; Y. Prince</t>
  </si>
  <si>
    <t>Onderzoek naar effectiviteit inzet re-integratieinstrumenten DWI</t>
  </si>
  <si>
    <t>Bolhaar, Jonneke, Nadine Ketel &amp; Bas van der Klaauw</t>
  </si>
  <si>
    <t>Gemeente Amsterdan en VU</t>
  </si>
  <si>
    <t>Flexible Wages or Flexible Workers? A Decomposition of Wage Bill Adjustment by Dutch Firms, 2006-2013</t>
  </si>
  <si>
    <t>Deelen, Anja</t>
  </si>
  <si>
    <t>https://www.springer.com/journal/10645</t>
  </si>
  <si>
    <t>Labour market effects of job displacement for prime-age and older workers</t>
  </si>
  <si>
    <t>Deelen, Anja, Marloes de Graaf-Zijl &amp; Wiljan van den Berge</t>
  </si>
  <si>
    <t>https://izajole.springeropen.com/track/pdf/10.1186/s40172-018-0063-x.pdf</t>
  </si>
  <si>
    <t>Monitor Inkomens Ondernemers</t>
  </si>
  <si>
    <t>Vendrig, J.P. &amp; J. Snoei</t>
  </si>
  <si>
    <t>Kans op werk</t>
  </si>
  <si>
    <t>Stichting Samenwerking Beroepsonderwijs Bedrijfsleven</t>
  </si>
  <si>
    <t>Perspectief op werk. Onderzoek naar het arbeidsperspectief in relatie tot de uittstroombestemming van leerlingen uit het praktijkonderwijs</t>
  </si>
  <si>
    <t>Woude, Selle L., van der</t>
  </si>
  <si>
    <t>Selle van der Woude</t>
  </si>
  <si>
    <t>Verschil in Nederland</t>
  </si>
  <si>
    <t xml:space="preserve">Vrooman Cok, Mérove Gijsberts &amp; Jeroen Boelhouwer </t>
  </si>
  <si>
    <t>https://www.scp.nl/Publicaties/Alle_publicaties/Publicaties_2014/Verschil_in_Nederland</t>
  </si>
  <si>
    <t>De hoofdzaken van het Sociaal en Cultureel Rapport 2014</t>
  </si>
  <si>
    <t>Vrooman Cok, Mérove Gijsberts &amp; Jeroen Boelhouwer</t>
  </si>
  <si>
    <t>https://www.scp.nl/Publicaties/Alle_publicaties/Publicaties_2014/De_hoofdzaken_van_het_Sociaal_en_Cultureel_Rapport_2014</t>
  </si>
  <si>
    <t>Koopkrachtontwikkeling postactieven</t>
  </si>
  <si>
    <t>Vermeulen, Hedwig, Lilian Woudstra, Ferdi van Wersch &amp; Marloes Lammers</t>
  </si>
  <si>
    <t>http://www.anbo.nl/sites/default/files/uploads/koopkrachtontwikkeling_postactieven.pdf</t>
  </si>
  <si>
    <t xml:space="preserve">Schijn bedriegt: een onderzoek naar de prevalentie en verschijningsvormen van schijnrelaties. </t>
  </si>
  <si>
    <t xml:space="preserve">Kulu-Glasgow, I., Liu, W.Y.J., Jennissen, R.P.W., Smit, M., Beenakkers, E.M.T., Haerden, M, Niehof, J. &amp; Stelk, A.M. </t>
  </si>
  <si>
    <t>https://www.wodc.nl/onderzoeksdatabase/2494-schijnhuwelijken.aspx</t>
  </si>
  <si>
    <t>Schijnhuwelijken en schijnrelaties</t>
  </si>
  <si>
    <t xml:space="preserve">Jennissen, R.P.W., Kulu-Glasgow, I., Liu, W.Y.J., Niehof, T.&amp; Smit, M. </t>
  </si>
  <si>
    <t>https://www.wodc.nl/onderzoeksdatabase/2494a-schijnhuwelijken-en-schijnrelaties.aspx</t>
  </si>
  <si>
    <t>For love or for papers? Sham marriages among Turkish (potential) migrants and gender implications</t>
  </si>
  <si>
    <t xml:space="preserve">Kulu-Glasgow, I., Smit M. &amp;  Jennissen, R.P.W. </t>
  </si>
  <si>
    <t>Weglek van bètatechnisch potentieel.De aansluiting van bètatechnisch onderwijs_x000D_
naar de bètatechnische arbeidsmarkt in kaart</t>
  </si>
  <si>
    <t>Berkhout, E. &amp; M. Volkerink</t>
  </si>
  <si>
    <t>SEO-Discussion paper nr. 81</t>
  </si>
  <si>
    <t>Waardering van baankenmerken. Vrouw-man verschillen in niet-geldelijke baankenmerken en salaris.</t>
  </si>
  <si>
    <t>Berkhout, Ernest</t>
  </si>
  <si>
    <t>The effect of introducing a Loan-to-Value limit on home ownership</t>
  </si>
  <si>
    <t>Biesenbeek, Cindy, Mauro Mastrogiacomo, Rob Alessie &amp; Jakob de Haan</t>
  </si>
  <si>
    <t>DNB</t>
  </si>
  <si>
    <t>DNB_EBO/FS/TB</t>
  </si>
  <si>
    <t>https://www.dnb.nl/publicaties/publicaties-onderzoek/working-paper-2022/741-the-effect-of-introducing-a-loan-to-value-limit-on-home-ownership/</t>
  </si>
  <si>
    <t>Geen pensioen en geen huis? Het effect van LTV-limieten op de vermogensopbouw van zelfstandigen</t>
  </si>
  <si>
    <t>Mastrogiacomo, Mauro &amp; Cindy Biesenbeek</t>
  </si>
  <si>
    <t>https://www.netspar.nl/publicatie/geen-pensioen-en-geen-huis-het-effect-van-ltv-limieten-op-de-vermogensopbouw-van-zelfstandigen/</t>
  </si>
  <si>
    <t xml:space="preserve">The Effect of Unemployment on Interregional Migration in the Netherlands </t>
  </si>
  <si>
    <t>Biesenbeek, Cindy</t>
  </si>
  <si>
    <t>https://www.dnb.nl/media/r2dft0yw/working_paper_no_753.pdf</t>
  </si>
  <si>
    <t>Regulering van het middenhuursegment een analyse naar de effecten op het rendement</t>
  </si>
  <si>
    <t>Regt, Robert de, Edi Vording &amp; Cindy Biesenbeek</t>
  </si>
  <si>
    <t>https://www.dnb.nl/media/fskfkwh4/dnb-analyse-regulering-van-het-middenhuursegment.pdf</t>
  </si>
  <si>
    <t>Physical activity levels of adults with various physical disabilities</t>
  </si>
  <si>
    <t>Hollander, Ellen L. &amp; Karin I. Proper</t>
  </si>
  <si>
    <t>Inzoomen op betaalbaarheid: Woonlasten in de regio Rotterdam</t>
  </si>
  <si>
    <t>Kromhout, Steven, Wilma Bakker &amp; René Schulenberg</t>
  </si>
  <si>
    <t>Met big data inspelen op woonwensen en woongedrag van ouderen: praktische inzichten voor ontwerp en beleid</t>
  </si>
  <si>
    <t>Ossokina, Ioulia V. &amp; Theo A. Arentze</t>
  </si>
  <si>
    <t>TU/e_BE</t>
  </si>
  <si>
    <t>https://www.netspar.nl/assets/uploads/P20201026_Netspar-Design-Paper-159-WEB.pdf</t>
  </si>
  <si>
    <t>SVB realiseert lager niet-gebruik. Niet-gebruik in de AIO in 2011 vergeleken met 2005</t>
  </si>
  <si>
    <t>Olieman, R.</t>
  </si>
  <si>
    <t>SVB</t>
  </si>
  <si>
    <t>SVB_CROS</t>
  </si>
  <si>
    <t>Evaluatie Wet Eindtoetsing PO, tussenrapportage</t>
  </si>
  <si>
    <t xml:space="preserve">Oomens, Margot, Frank Scholten &amp; Hans Luyten </t>
  </si>
  <si>
    <t>Universiteit Twente (BMS)</t>
  </si>
  <si>
    <t>UT_BMS</t>
  </si>
  <si>
    <t>Evaluatie Wet Eindtoetsing PO, eindrapportage</t>
  </si>
  <si>
    <t>Effectonderzoek: Pilot startgroepen voor peuters</t>
  </si>
  <si>
    <t>Veer, Ilona, Hans Luyten, Cathy van Tuijl &amp; Peter Sleegers</t>
  </si>
  <si>
    <t>Afwegingskader voor woningbouwontwikkeling - Bijlage woningmarktanalyse</t>
  </si>
  <si>
    <t xml:space="preserve">Tiggeloven, Pim &amp; Bram Klouwen </t>
  </si>
  <si>
    <t>Companen</t>
  </si>
  <si>
    <t>http://bri.aadr.nl/index.php?simaction=content&amp;pagid=&amp;onderdeel=bri&amp;stukid=80369&amp;mediumid=1&amp;action</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</si>
  <si>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</si>
  <si>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</si>
  <si>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</si>
  <si>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</si>
  <si>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Risicogroepen richting arbeid: Jongeren uit praktijkonderwijs en (v)so</t>
  </si>
  <si>
    <t>Donker, Afke &amp; Daphne Kann-Weedage</t>
  </si>
  <si>
    <t>NJI</t>
  </si>
  <si>
    <t>NJI_Monitoring</t>
  </si>
  <si>
    <t>https://www.nji.nl/nl/Download-NJi/Publicatie-NJi/Risicogroepen-richting-arbeid.pdf</t>
  </si>
  <si>
    <t>Hoe doet u het? Monitor AOJ brengt onderwijs en jeugdhulp samen</t>
  </si>
  <si>
    <t>Donker, Afke</t>
  </si>
  <si>
    <t>https://monitoraoj.nl/</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</si>
  <si>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</si>
  <si>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</si>
  <si>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</si>
  <si>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</si>
  <si>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</si>
  <si>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</si>
  <si>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</si>
  <si>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Verschillenanalyse met betrekking tot de Jeugdwet voor de jeugdzorgregio Zuidoost-Utrecht en de gemeente Zeist</t>
  </si>
  <si>
    <t>Vooral moeders gaan iets meer werken als kind naar school gaat</t>
  </si>
  <si>
    <t>Berge, Wiljan van de</t>
  </si>
  <si>
    <t>https://www.nu.nl/werk/5752386/cpb-vooral-moeders-gaan-iets-meer-werken-als-kind-naar-school-gaat.html</t>
  </si>
  <si>
    <t>Verklaren verschillen in vaardigheden de verschillen in schooladvies naar sociaaleconomische status?</t>
  </si>
  <si>
    <t>Zumbuehl, Maria, Nihal Chehber &amp; Rik Dillingh</t>
  </si>
  <si>
    <t>http://www.cpb.nl/verklaren-verschillen-vaardigheden-de-verschillen-schooladvies-naar-sociaaleconomische-status</t>
  </si>
  <si>
    <t>Basismonitor Onderwijs Nationaal Programma Rotterdam Zuid 2015</t>
  </si>
  <si>
    <t>Boom, J. de, L. Roode, P. van Wensveen &amp; P.A. de Graaf_x000D_</t>
  </si>
  <si>
    <t>Risbo, Erasmus Universiteit, gemeente Rotterdam</t>
  </si>
  <si>
    <t>\\cbsp.nl\Productie\Primair\MDS\Werk\Midas\4.1 Productie\4.1.1 Contracten\4.1.1.3 Contracten OS en RA\7600-7699\7665_Gem_Rotterdam_O&amp;BI\Relatiebeheer\Basismonitor%20onderwijs%20NPRZ%202015kwp_k.pdf</t>
  </si>
  <si>
    <t>Basismonitor Onderwijs Nationaal Programma Rotterdam Zuid 2016</t>
  </si>
  <si>
    <t>Risbo, Erasmus Universiteit OBI, gemeente Rotterdam</t>
  </si>
  <si>
    <t>http://www.rotterdam.nl/citoscoresopzuidindelift</t>
  </si>
  <si>
    <t>Basismonitor Onderwijs Nationaal Programma Rotterdam Zuid: Verklarende analyse</t>
  </si>
  <si>
    <t>Boom J. de,  A.L. Roode, P. van Wensveen, P.A. de Graaf, Risbo, Erasmus Universiteit &amp;OBI, gemeente Rotterdam</t>
  </si>
  <si>
    <t>Risbo, Erasmus Universiteit</t>
  </si>
  <si>
    <t>\\cbsp.nl\Productie\Primair\MDS\Werk\Midas\4.1 Productie\4.1.1 Contracten\4.1.1.3 Contracten OS en RA\7600-7699\7665_Gem_Rotterdam_O&amp;BI\Relatiebeheer\Basismonitor_NPRZ_Verklarende_analyse _31mei2017.pdf</t>
  </si>
  <si>
    <t xml:space="preserve">Basismonitor Onderwijs Nationaal Programma Rotterdam Zuid (School)loopbanen_x000D_
</t>
  </si>
  <si>
    <t xml:space="preserve">Boom, J. de, L. Roode, P. van Wensveen &amp; P.A. de Graaf_x000D__x000D_
</t>
  </si>
  <si>
    <t xml:space="preserve">Basismonitor Onderwijs Nationaal Programma Rotterdam Zuid 2017_x000D_
</t>
  </si>
  <si>
    <t xml:space="preserve">Boom, J. de, L. Roode, P. van Wensveen &amp; P.A. de Graaf_x000D_
</t>
  </si>
  <si>
    <t xml:space="preserve">Basismonitor Onderwijs Nationaal Programma Rotterdam Zuid 2018 </t>
  </si>
  <si>
    <t xml:space="preserve">Boom, J. de,  A. L. Roode,  P. van Wensveen &amp; P. A. de Graaf  </t>
  </si>
  <si>
    <t>Basismonitor Onderwijs Nationaal Programma Rotterdam Zuid_x000D_
(School)loopbanen 2019</t>
  </si>
  <si>
    <t>Boom, J. de, A.L. Roode, P. van Wensveen,  A.E.M. Bus &amp; P.A. de Graaf</t>
  </si>
  <si>
    <t>Basismonitor Onderwijs Nationaal Programma Rotterdam Zuid 2019</t>
  </si>
  <si>
    <t>Boom, J. de,  A.L. Roode,  P. van Wensveen,  P. A. de Graaf &amp; I. Vogel</t>
  </si>
  <si>
    <t>https://www.nprz.nl/over-nprz/onze-documenten/onderwijsmonitor</t>
  </si>
  <si>
    <t>Basismonitor Onderwijs Nationaal Programma Rotterdam Zuid (School)loopbanen 2020</t>
  </si>
  <si>
    <t>Boom, J. de,  A.L. Roode, P. van Wensveen,  P.A. de Graaf, A.M. Weltevrede &amp;  I. Vogel_x000D_</t>
  </si>
  <si>
    <t>Basismonitor Onderwijs Nationaal Programma Rotterdam Zuid: (School)loopbanen, Tabellenrapport</t>
  </si>
  <si>
    <t>Boom, J. de, P. van Wensveen, A.L. Roode &amp; P.A. de Graaf</t>
  </si>
  <si>
    <t xml:space="preserve">Onderwijsachterstandenindicatoren in het basisonderwijs NPRZ: Ontwikkeling van de onderwijsachterstandenindicatoren in de periode 2011-2020_x000D__x000D_
</t>
  </si>
  <si>
    <t>Boom, J. de, P. van Wensveen, A.L. Roode &amp; I. Vogel</t>
  </si>
  <si>
    <t>Risbo, Erasmus Universiteit en O&amp;BI, Gemeente Rotterdam</t>
  </si>
  <si>
    <t>Basismonitor Onderwijs Nationaal Programma - Rotterdam Zuid 2021</t>
  </si>
  <si>
    <t>Boom, J. de, P. Van Wensveen, A.L. Roode, P.A. de Graaf &amp; I. Vogel</t>
  </si>
  <si>
    <t xml:space="preserve">Schooladviezen basisonderwijs nader bekeken, NPRZ - Notitie (30 mei 2022) </t>
  </si>
  <si>
    <t>Boom, J. de,  A.L. Roode, P. van Wensveen &amp; I. Vogel</t>
  </si>
  <si>
    <t>Basismonitor Onderwijs Nationaal Programma Rotterdam Zuid; School)loopbanen 2022</t>
  </si>
  <si>
    <t>Boom, J. de, P. van Wensveen, A.M. Wellevrede (Risbo, Erasmus Universiteit),  A.L. Roode, P.A. de Graaf &amp; I. Vogel (OBI, gemeneente Rotterdam</t>
  </si>
  <si>
    <t>file:///F:/Downloads/Basismonitor+NPRZ+schoolloopbanen+2022.def.pdf</t>
  </si>
  <si>
    <t>De veranderende geografie van Nederland</t>
  </si>
  <si>
    <t>Tordoir, Prof. dr. P., Drs. A. Poorthuis &amp; Dr. P. Renooy</t>
  </si>
  <si>
    <t>ministerie van Binnenlandse Zaken en Koninkrijksrelaties.</t>
  </si>
  <si>
    <t xml:space="preserve">https://www.rijksoverheid.nl/documenten/rapporten/2015/03/18/de-veranderende-geografie-van-nederland_x000D_
</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</si>
  <si>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</si>
  <si>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</si>
  <si>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</si>
  <si>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Verdeling detacheringen en uitzendingen over inlenende werkgevers, tweemeting</t>
  </si>
  <si>
    <t>Scholte, R., L. Kroon, L. Kok &amp; J. Witteman</t>
  </si>
  <si>
    <t>http://www.seo.nl/pagina/article/verdeling-detacheringen-en-uitzendingen-over-inlenende-werkgevers-tweemeting/</t>
  </si>
  <si>
    <t>Verdeling detacheringen en uitzendingen over inlenende werkgevers:_x000D_
Viermeting in verband met de Wet banenafspraak en quotum arbeidsbeperkten</t>
  </si>
  <si>
    <t>Kroon, Lennart, William Luiten &amp; Lucy Kok</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</si>
  <si>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</si>
  <si>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</si>
  <si>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</si>
  <si>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flowbca: A flow-based cluster algorithm in Stata</t>
  </si>
  <si>
    <t>Meekes, J. &amp; Hassink, W. H. J</t>
  </si>
  <si>
    <t xml:space="preserve">Stata Journal </t>
  </si>
  <si>
    <t>https://www.stata-journal.com/article.html?article=st0535</t>
  </si>
  <si>
    <t>The role of the housing market in workers' resilience to job displacement after firm bankruptcy</t>
  </si>
  <si>
    <t xml:space="preserve">Meekes, J. &amp; Hassink, W. H. J., </t>
  </si>
  <si>
    <t xml:space="preserve">Journal of Urban Economics </t>
  </si>
  <si>
    <t>https://authors.elsevier.com/a/1YBAdLPdAfmNz</t>
  </si>
  <si>
    <t>MRA &amp; Kerncijfers gebieden</t>
  </si>
  <si>
    <t xml:space="preserve">Jong, Idske de </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</si>
  <si>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</si>
  <si>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</si>
  <si>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</si>
  <si>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Sterke Schouders in Rotterdam. Editie 2016</t>
  </si>
  <si>
    <t>Onderzoek en Business Intelligence (OBI), Gemeente Rotterdam</t>
  </si>
  <si>
    <t>\\cbsp.nl\Productie\Primair\MDS\Werk\Midas\4.1 Productie\4.1.1 Contracten\4.1.1.3 Contracten OS en RA\7600-7699\7682_Gem_Rotterdam O&amp;BI\Relatiebeheer\5077 Sterke Schouders 2016.pdf</t>
  </si>
  <si>
    <t>Monitor voor de programma’s ‘Elke jongere telt’ en ‘Jongeren aan de slag’ onderdeel_x000D_
arbeidsmarktanalyse 2016</t>
  </si>
  <si>
    <t>Roode, Annemarie Roode &amp; Paul de Graaf</t>
  </si>
  <si>
    <t>In opdracht van cluster Maatschappelijke ontwikkeling, themanetwerk</t>
  </si>
  <si>
    <t>Risicojongeren cohortanalyse 2012 en achtergrondanalyse 2014</t>
  </si>
  <si>
    <t>Roode Annemarie &amp; Paul de Graaf</t>
  </si>
  <si>
    <t>Onderzoek en Business Intelligence (OBI)</t>
  </si>
  <si>
    <t>Sterke schouders in Rotterdam</t>
  </si>
  <si>
    <t>Feitenkaart: Opleidingsniveau Rotterdam op gebieds- en buurtniveau 2016</t>
  </si>
  <si>
    <t>Feitenkaart: Opleidingsniveau Rotterdam op gebieds- en buurtniveau 2017</t>
  </si>
  <si>
    <t>Opleidingsniveau Rotterdam op gebieds- en buurtniveau 2018* (voorlopige cijfers)</t>
  </si>
  <si>
    <t>Gemeente Rotterdam O&amp;BI</t>
  </si>
  <si>
    <t>Staat van Rotterdamse groepen</t>
  </si>
  <si>
    <t>https://onderzoek010.nl/document/Staat-van-Rotterdamse-groepen-/531</t>
  </si>
  <si>
    <t>Tabellenboek: behorende bij Staat van Rotterdamse groepen</t>
  </si>
  <si>
    <t>https://onderzoek010.nl/documents</t>
  </si>
  <si>
    <t>Feitenkaart: Financiële welvaart Rotterdam op gebieds- en buurtniveau 2017 en 2018</t>
  </si>
  <si>
    <t>https://onderzoek010.nl/documents/Werk-en-inkomen</t>
  </si>
  <si>
    <t>Feitenkaart: Opleidingsniveau Rotterdam op gebieds- en buurtniveau 2018 (definitieve cijfers)</t>
  </si>
  <si>
    <t>Feitenkaart: Opleidingsniveau Rotterdam op gebieds- en buurtniveau 2019 (voorlopige cijfers)</t>
  </si>
  <si>
    <t>Vrouwenemancipatie: Next Level</t>
  </si>
  <si>
    <t>Koendjbiharie, Rocher</t>
  </si>
  <si>
    <t>http://www.onderzoek010.nl/</t>
  </si>
  <si>
    <t xml:space="preserve">Sterke schouders in Rotterdam </t>
  </si>
  <si>
    <t>Feitenkaart: Opleidingsniveau Rotterdam op gebieds- en buurtniveau 2019, 2e druk (definitieve cijfers)</t>
  </si>
  <si>
    <t>Feitenkaart: Opleidingsniveau Rotterdam op gebieds- en buurtniveau 2020* (voorlopige cijfers)</t>
  </si>
  <si>
    <t>Feitenkaart: Laag opgeleiden in Rotterdam op gebieds- en buurtniveau 2019</t>
  </si>
  <si>
    <t>https://onderzoek010.nl/documents/Onderwijs</t>
  </si>
  <si>
    <t>Feitenkaart Sterke schouders in Rotterdam. Editie 2021</t>
  </si>
  <si>
    <t>Feitenkaart Sterke schouders in Rotterdam. Editie 2022</t>
  </si>
  <si>
    <t>https://onderzoek010.nl/</t>
  </si>
  <si>
    <t>Feitenkaart Opleidingsniveau Rotterdam op gebieds- en buurtniveau 2020, 2e druk (definitieve cijfers)</t>
  </si>
  <si>
    <t>Feitenkaart Opleidingsniveau Rotterdam op gebieds- en buurtniveau 2021 (voorlopige cijfers)</t>
  </si>
  <si>
    <t>Feitenkaart EU-arbeidsmigranten 2022</t>
  </si>
  <si>
    <t>The effects of supported housing for individuals with mental disorders</t>
  </si>
  <si>
    <t>Vargas Lopes, Francisca, Pieter Bakx, Sam Harper, Bastian Ravesteijn &amp; Tom van Ourti</t>
  </si>
  <si>
    <t>National Library of Medicine</t>
  </si>
  <si>
    <t>An explorative study of school performance and antipsychotic medication</t>
  </si>
  <si>
    <t>Schans J. van der, S. Vardar, R. Çiçek, H. J. Bos, P. J. Hoekstra, T. W. de Vries &amp; E. Hak</t>
  </si>
  <si>
    <t>BMC Psychiatry</t>
  </si>
  <si>
    <t>Verjaardagseffect blijkt klein</t>
  </si>
  <si>
    <t>Kabátek, Jan</t>
  </si>
  <si>
    <t>UniMelbourne</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</si>
  <si>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</si>
  <si>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</si>
  <si>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</si>
  <si>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</si>
  <si>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Trouwen op Valentijnsdag is vragen om ellende</t>
  </si>
  <si>
    <t xml:space="preserve">Ribar, David </t>
  </si>
  <si>
    <t>de Gelderlander</t>
  </si>
  <si>
    <t>http://www.gelderlander.nl/algemeen/specials/gezond-en-wetenschap/trouwen-op-valentijnsdag-is-vragen-om-ellende-1.6531187</t>
  </si>
  <si>
    <t>Technisch rapport bij het COOL5-18 bestandenproject voor het voortgezet onderwijs (tweede versie)</t>
  </si>
  <si>
    <t>Timmermans, Anneke &amp; Djurre Zijsling</t>
  </si>
  <si>
    <t>ROG_GMW_GION</t>
  </si>
  <si>
    <t>Let's talk about value: Grasping the concept of value in a population health_x000D_
management context</t>
  </si>
  <si>
    <t>Vries, Eline Frouke de</t>
  </si>
  <si>
    <t>Kostenverschillen in de jeugdzorg</t>
  </si>
  <si>
    <t xml:space="preserve">Michiel Ras,  Evert Pommer,  Klarita Sadiraj_x000D_
</t>
  </si>
  <si>
    <t>Overall rapportage sociaal domein 2015_WEB</t>
  </si>
  <si>
    <t xml:space="preserve">Pommer, Evert &amp; Jeroen Boelhouwer </t>
  </si>
  <si>
    <t>https://www.scp.nl/Publicaties/Alle_publicaties/Publicaties_2016/overall_rapportage_sociaal_domein_2015</t>
  </si>
  <si>
    <t xml:space="preserve">De Zeeuwse Arbeidsmarkt: </t>
  </si>
  <si>
    <t>Reep, Els van der &amp; Dick van der Wouw</t>
  </si>
  <si>
    <t>ZB Planbureau Zeeland</t>
  </si>
  <si>
    <t>Planbureau Zeeland</t>
  </si>
  <si>
    <t>https://www.dezb.nl/dam/planbureau/bestanden/publicaties/2019/publicatie-zeeuwse-arbeidsmarkt-def.pdf</t>
  </si>
  <si>
    <t xml:space="preserve">WAO-hervorming in de jaren negentig heeft ook intergenerationeel effect </t>
  </si>
  <si>
    <t xml:space="preserve">Gielen, Anne &amp; Gordon B. Dahl </t>
  </si>
  <si>
    <t xml:space="preserve">Intergenerational Spillovers in Disability Insurance </t>
  </si>
  <si>
    <t>Dahl, Gordon B. &amp; Anne C.Gielen</t>
  </si>
  <si>
    <t>Nederland verloor tijdens de vorige crisis koppositie inkomensmobiliteit</t>
  </si>
  <si>
    <t>Gielen, Anne &amp; Hans van Kippersluis</t>
  </si>
  <si>
    <t>Aanpassing financieringssystematiek kinderopvang</t>
  </si>
  <si>
    <t>Gielen, Miriam &amp; Jelte Haagsma</t>
  </si>
  <si>
    <t>Ministerie SZW_FEZ</t>
  </si>
  <si>
    <t>https://www.rijksoverheid.nl/documenten/kamerstukken/2018/04/25/kamerbrief-aanpassing-financieringssystematiek-kinderopvang</t>
  </si>
  <si>
    <t>Kabinetsbesluit nieuwe financieringssystematiek kinderopvang</t>
  </si>
  <si>
    <t>https://www.rijksoverheid.nl/documenten/kamerstukken/2015/06/05/kabinetsbesluit-nieuwe-financieringssystematiek-kinderopvang</t>
  </si>
  <si>
    <t>Is the Availability of Informal Care Associated with a Lower Uptake in Formal Home Care? An Application to Personal Care in the Netherlands</t>
  </si>
  <si>
    <t>Duell, Daisy, MariëlleNon, Anne Marieke Braam, Lara Leloup &amp; France Portrait</t>
  </si>
  <si>
    <t>Journal of Long-Term Care</t>
  </si>
  <si>
    <t>Co-payments in long-term home care: do they affect the use of care?</t>
  </si>
  <si>
    <t>Non, Mariëlle</t>
  </si>
  <si>
    <t>Keuzeruimte in de langdurige zorg: Veranderingen in het samenspel van zorgpartijen en cliënten</t>
  </si>
  <si>
    <t xml:space="preserve">Non, Mariëlle Ab van der Torre (SCP), Esther Mot, Evelien Eggink (SCP), Pieter Bakx (EUR) &amp; Rudy Douven </t>
  </si>
  <si>
    <t>Tax arbitrage incentives for mortgage prepayment behavior:Evidence from Dutch micro data</t>
  </si>
  <si>
    <t>Groot, Stefan Groot &amp; Arjan Lejour</t>
  </si>
  <si>
    <t>CPB Achtergronddocument: Het financieel vermogen in box 3: verdeling en belasting</t>
  </si>
  <si>
    <t>Floor, Erik, Stefan Groot &amp; Arjan Lejour</t>
  </si>
  <si>
    <t>Explosieve stijging in huurtoeslaggebruik uitgelicht</t>
  </si>
  <si>
    <t>Hassink, Wolter &amp; Zweerink, Jochem</t>
  </si>
  <si>
    <t>https://esb.nu/esb/20022196/explosieve-stijging-in-huurtoeslaggebruik-uitgelicht</t>
  </si>
  <si>
    <t>Inzichten in de kenmerken van scheefwoners</t>
  </si>
  <si>
    <t>https://esb.nu/esb/20030497/inzichten-in-de-kenmerken-van-scheefwoners</t>
  </si>
  <si>
    <t>Housing careers and the Great Recession</t>
  </si>
  <si>
    <t>Hassink, Wolter &amp;  Zweerink, Jochem</t>
  </si>
  <si>
    <t>https://doi.org/10.1016/j.jhe.2020.101745</t>
  </si>
  <si>
    <t>Leefbaarometer 2.0 (diverse deelpublicaties)</t>
  </si>
  <si>
    <t>Leidelmeijer, Kees, Gerard Marlet, Roderik Ponds, René Schulenberg, Clemens van Woerkens m.m.v. Maarten van Ham</t>
  </si>
  <si>
    <t>Rigo en Atlas voor Gemeenten</t>
  </si>
  <si>
    <t>http://leefbaarometer.nl/page/Publicaties</t>
  </si>
  <si>
    <t>WOR 736 Buitenlandse seizoenarbeiders</t>
  </si>
  <si>
    <t>Tempelman, Caren &amp; Marloes Lammers</t>
  </si>
  <si>
    <t xml:space="preserve">Gewogen risico Deel 1: Communiceren over recidive in zedenzaken_x000D_
</t>
  </si>
  <si>
    <t xml:space="preserve">Dettmeijer, Corinne </t>
  </si>
  <si>
    <t>BNRM</t>
  </si>
  <si>
    <t>https://www.nationaalrapporteur.nl/actueel/2017/communicatie-over-recidiverisico-zedendelinquenten-verstoord.aspx</t>
  </si>
  <si>
    <t xml:space="preserve">Gewogen risico Deel 2: Behandeling opleggen aan zedendelinquenten_x000D_
</t>
  </si>
  <si>
    <t>Development and validation of a risk model for long-term mortality after percutaneous coronary intervention: The IDEA-BIO Study.</t>
  </si>
  <si>
    <t>Boven N van, van Domburg R.T, Kardys I, Umans V.A, Akkerhuis KM, Lenzen M.J, Valgimigli M, Daemen J, Zijlstra F, Boersma E. &amp; van Geuns R.J.</t>
  </si>
  <si>
    <t>NCBI PubMed</t>
  </si>
  <si>
    <t>Conformability in everolimus-eluting bioresorbable scaffolds compared with metal platform coronary stents in long lesions</t>
  </si>
  <si>
    <t>Fam J.M., Ishibashi Y, Felix C, Zhang B.C., Diletti R., van Mieghem N., Regar E, van Domburg R., Onuma Y, &amp; van Geuns R.J..</t>
  </si>
  <si>
    <t>Impact of Relative Conditional Survival Estimates on Patient Prognosis After Percutaneous Coronary Intervention.</t>
  </si>
  <si>
    <t>Baart S.J., van Domburg R.T., Janssen-Heijnen M.L.G., Deckers J.W., Akkerhuis K.M., Daemen J., van Geuns R.J., Boersma E., &amp; Kardys I.</t>
  </si>
  <si>
    <t>Occurrence and predictors of acute stent recoil-A comparison between the xience prime cobalt chromium stent and the promus premier platinum chromium stent.</t>
  </si>
  <si>
    <t>van Bommel R.J., Lemmert M.E., van Mieghem N.M., van Geuns R.J., van Domburg R.T. &amp; Daemen J.</t>
  </si>
  <si>
    <t>Effect of catheter-based renal denervation on left ventricular function, mass and (un)twist with two-dimensional speckle tracking echocardiography.</t>
  </si>
  <si>
    <t>Feyz L., van Dalen B.M., Geleijnse M.L., Van Mieghem N.M., van Domburg R.T. &amp; Daemen J.</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</si>
  <si>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</si>
  <si>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</si>
  <si>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Woningbehoefteonderzoek 2015</t>
  </si>
  <si>
    <t>Klouwen Bram, Jeroen Lijzenga &amp; Roy Nieuwenhuis</t>
  </si>
  <si>
    <t>http://www.regiogroningenassen.nl/publicaties/kwaliteit-stad-en-land?layout=table&amp;start=15</t>
  </si>
  <si>
    <t>Onverklaard slachtofferschap van woninginbraken</t>
  </si>
  <si>
    <t xml:space="preserve">Roorda, Willemijn, Wendy Buysse, &amp; Paul van Soomeren </t>
  </si>
  <si>
    <t>DSP-groep</t>
  </si>
  <si>
    <t>DSP</t>
  </si>
  <si>
    <t>https://www.dsp-groep.nl/projecten/onverklaarde-woninginbraken/</t>
  </si>
  <si>
    <t>Brandstof voor innovatief vermogen. Financiering innovatief MKB in RIS-3 sectoren in Zuid Holland</t>
  </si>
  <si>
    <t>Dijk, Rob van, Damo Holt, Floris van der Veen, Petra Gibcus, Lia Smit &amp; Tommy Span</t>
  </si>
  <si>
    <t>http://www.kansenvoorwest2.nl/nl/nieuws/brandstof-voor-innovatief-vermogen/</t>
  </si>
  <si>
    <t>Ontwikkeling energiekentallen utiliteitsgebouwen</t>
  </si>
  <si>
    <t xml:space="preserve">Sipma, J.M &amp;  Rietkerk, M.D.A. </t>
  </si>
  <si>
    <t xml:space="preserve">ECN Beleidsstudies </t>
  </si>
  <si>
    <t>https://www.ecn.nl/publicaties/ECN-E--15-068</t>
  </si>
  <si>
    <t>De invloed van onderwaterhypotheken op de mobiliteit van huishoudens</t>
  </si>
  <si>
    <t>Veldhuizen, Sander van, Benedikt Vogt &amp; Bart Voogt</t>
  </si>
  <si>
    <t>https://www.cpb.nl/publicatie/de-invloed-van-onderwaterhypotheken-op-de-mobiliteit-van-huishoudens</t>
  </si>
  <si>
    <t>Arbeidsmobiliteit van onder water huishoudens</t>
  </si>
  <si>
    <t>Morescalchi, Andrea, Sander van Veldhuizen, Bart Voogt &amp; Benedikt Vogt</t>
  </si>
  <si>
    <t>https://www.cpb.nl/publicatie/arbeidsmobiliteit-van-onder-water-huishoudens</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</si>
  <si>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</si>
  <si>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</si>
  <si>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</si>
  <si>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</si>
  <si>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</si>
  <si>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</si>
  <si>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Duurzaamheid schuldentrajecten, De financiële positie van ex-schuldenaren</t>
  </si>
  <si>
    <t>Kok, L., C. Berden, M. Lammers, R. Scholte &amp; M. Von Bergh</t>
  </si>
  <si>
    <t>ministerie van SZW</t>
  </si>
  <si>
    <t>De vraag naar logopedie</t>
  </si>
  <si>
    <t>Scholte, Robert &amp; Lucy Kok</t>
  </si>
  <si>
    <t>Notitie bevindingen m.b.t. verdeelmodel WWB</t>
  </si>
  <si>
    <t>Everhardt Tom &amp; Leo Aarts</t>
  </si>
  <si>
    <t>Vierde meting van de monitor nazorg ex-gedetineerden</t>
  </si>
  <si>
    <t>Beerthuizen M.G.C.J., K.A. Beijersbergen, S. Noordhuizen &amp; G. Weijters</t>
  </si>
  <si>
    <t>Wetenschappelijk Onderzoek- en Documentatiecentrum</t>
  </si>
  <si>
    <t>Monitor nazorg ex-gedetineerden 5e meting</t>
  </si>
  <si>
    <t>Weijters, G., Rokven, J.J. &amp; Verweij, S.</t>
  </si>
  <si>
    <t>https://www.wodc.nl/onderzoeksdatabase/2698-monitor-nazorg-2016-(5e-meting).aspx</t>
  </si>
  <si>
    <t>Verschil in recidivetrends onder jeugdigen; inzicht in ontwikkelingen in recidive onder verschillende groepen jeugdige justitiabelen</t>
  </si>
  <si>
    <t xml:space="preserve">Boschman, S., Piersma, T., Weijters, G., Tollenaar, N. &amp; Teerlink, M. </t>
  </si>
  <si>
    <t>https://repository.wodc.nl/bitstream/handle/20.500.12832/3161/Cahier%202022-01-volledige-tekst.pdf?sequence=1&amp;isAllowed=y</t>
  </si>
  <si>
    <t>Re-integratiebeleid en recidive: lessen uit internationaal onderzoek</t>
  </si>
  <si>
    <t xml:space="preserve">Boschman, S., Verweij, S., Teerlink, M., &amp; Weijters, G. </t>
  </si>
  <si>
    <t>https://repository.wodc.nl/bitstream/handle/20.500.12832/3073/Reintegratiebeleid-en-recidive-volledige-tekst.pdf?sequence=1&amp;isAllowed=y</t>
  </si>
  <si>
    <t>Werken aan werk; een evaluatie van penitentiaire arbeid</t>
  </si>
  <si>
    <t xml:space="preserve">Teerlink, M., Boschman, S., &amp; Weijters, G. </t>
  </si>
  <si>
    <t>https://repository.wodc.nl/bitstream/handle/20.500.12832/3041/2927-werken-aan-werk-volledige%20tekst.pdf?sequence=1&amp;isAllowed=y</t>
  </si>
  <si>
    <t>Monitor nazorg ex-gedetineerden 6e meting</t>
  </si>
  <si>
    <t xml:space="preserve">Boschman, S., Teerlink, M., &amp; Weijters, G. </t>
  </si>
  <si>
    <t>https://repository.wodc.nl/bitstream/handle/20.500.12832/3015/Cahier-2020-19-volledige%20tekst.pdf?sequence=1&amp;isAllowed=y</t>
  </si>
  <si>
    <t>Verschil in recidivetrends onder jeugdige justitiabelen</t>
  </si>
  <si>
    <t xml:space="preserve">Boschman, S., Piersma, T.W., &amp; Weijters, G. </t>
  </si>
  <si>
    <t>https://ccv-secondant.nl/platform/article/verschil-in-recidivetrends-onder-jeugdige-justitiabelen-1</t>
  </si>
  <si>
    <t>Basisvoorwaarden op orde? Minder recidive en meer kans op werk</t>
  </si>
  <si>
    <t xml:space="preserve">Boschman, S. Teerlink, M &amp; Weijters, G </t>
  </si>
  <si>
    <t>Evaluatie innovatiebox 2010-2012</t>
  </si>
  <si>
    <t>Hertog Pim den, Arthur Vankan, Bart Verspagen (MERIT), Pierre Mohnen (MERIT), _x000D_
Leonique Korlaar, Bram Erven, Matthijs Janssen &amp; Bert Minne</t>
  </si>
  <si>
    <t>Evaluating the innovation box tax policy instrument in the Netherlands</t>
  </si>
  <si>
    <t>Mohnen, P,  Arthur Vankan &amp; Bart Verspagen</t>
  </si>
  <si>
    <t>Oxford Review of Economic Policy</t>
  </si>
  <si>
    <t>Ouderenmishandeling in Nederland: Inzicht in kennis over omvang en achtergrond van ouderen die slachtoffer zijn van ouderenmishandeling</t>
  </si>
  <si>
    <t xml:space="preserve">Plaisier, Inger &amp; Mirjam de Klerk </t>
  </si>
  <si>
    <t>Ontwikkeling Woonzorgwijzer Fase 1: Voorlopig ontwerp</t>
  </si>
  <si>
    <t>Rossum, Froukje van, Kees Leidelmeijer &amp; Wilma Bakker</t>
  </si>
  <si>
    <t>Ministerie van BZK, DG Wonen en Bouwen</t>
  </si>
  <si>
    <t>CBS-data analystics transportdata</t>
  </si>
  <si>
    <t>Davydenko, I.Y., M. Zhang &amp; L.A. Tavasszy</t>
  </si>
  <si>
    <t>CBS_SVV</t>
  </si>
  <si>
    <t>Vrachtauto’s zijn toch beter benut? Een eerste kijk naar gewicht, volume en oppervlakte benutting in Nederlands wegvervoer</t>
  </si>
  <si>
    <t xml:space="preserve">Davydenko, I.Y. &amp; L.A. Tavasszy </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</si>
  <si>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</si>
  <si>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</si>
  <si>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</si>
  <si>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</si>
  <si>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</si>
  <si>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A DATA-DRIVEN PROCEDURE TO DETERMINE THE BUNCHING WINDOW - AN APPLICATION TO THE NETHERLANDS</t>
  </si>
  <si>
    <t>Dekker Vincent, Kristina Strohmaier &amp; Nicole Bosch</t>
  </si>
  <si>
    <t>University of Hohenheim</t>
  </si>
  <si>
    <t>UniHohenheim</t>
  </si>
  <si>
    <t>Gevolgen belastinghervorming voor de detailhandel</t>
  </si>
  <si>
    <t>Bangma Klaas, Pieter Fris &amp; Wim Verhoeven</t>
  </si>
  <si>
    <t>https://www.speelgoedenhobby.nl/websites/sovd_speelgoed/files/Bijlage_-_Panteia_-_Rapportage_gevolgen_belastingherziening_voor_de_detailhandel.pdf</t>
  </si>
  <si>
    <t>Migratiestromen in Noordoost Groningen</t>
  </si>
  <si>
    <t>Bouwmeester, Harry &amp; Cor Lamain</t>
  </si>
  <si>
    <t>TU Delft</t>
  </si>
  <si>
    <t>De sociale staat van Nederland 2015</t>
  </si>
  <si>
    <t>Bijl Rob, Jeroen Boelhouwer, Evert Pommer &amp; Iris Andriessen</t>
  </si>
  <si>
    <t>https://www.scp.nl/Publicaties/Alle_publicaties/Publicaties_2015/De_sociale_staat_van_Nederland_2015</t>
  </si>
  <si>
    <t>Braindrain in Noord-Brabant: De migratie van Noord-Brabantse hoger opgeleiden in beeld</t>
  </si>
  <si>
    <t>Mariën, Hans, Rob Vink &amp; Frank Cörvers</t>
  </si>
  <si>
    <t>IVA Onderwijs</t>
  </si>
  <si>
    <t>Gezondheid en arbeidsparticipatie rond de AOW-leeftijd - Verwachte ontwikkelingen tot 2040</t>
  </si>
  <si>
    <t xml:space="preserve">Noordt, M. van der, F. van der Lucht, J.J. Polder, H.B.M. Hilderink &amp; M.H.D. Plasmans_x000D_
_x000D_
</t>
  </si>
  <si>
    <t>https://www.rivm.nl/bibliotheek/rapporten/2019-0219.pdf</t>
  </si>
  <si>
    <t>Over de relatie tussen laaggeletterdheid en armoede</t>
  </si>
  <si>
    <t>Christoffels Ingrid, Pieter Baay (ecbo) Ineke Bijlsma &amp; Mark Levels (ROA)</t>
  </si>
  <si>
    <t>ECBO</t>
  </si>
  <si>
    <t>https://www.lezenenschrijven.nl/uploads/editor/WEB_SLS_Rapport_Armoede.pdf</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</si>
  <si>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</si>
  <si>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</si>
  <si>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</si>
  <si>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Benutten van informeel leren : Aanvullende analyses bij onderzoek Leven lang leren: perspectief vanuit het beroep</t>
  </si>
  <si>
    <t>Kans, Karel, Ingrid Christoffels, Joris Brekelmans, Rob Schipperheyn &amp; Joris Cuppen</t>
  </si>
  <si>
    <t>https://ecbo.nl/onderzoekspublicatie/benutten-van-informeel-leren/</t>
  </si>
  <si>
    <t>Income and wealth during the course of life</t>
  </si>
  <si>
    <t>Kooiman, Thomas, Marcel Lever, Emma van de Meerendonk &amp; Jason Rhuggenaath</t>
  </si>
  <si>
    <t>https://www.cpb.nl/inkomen-en-vermogen-blijft-tijdens-pensioen-stabiel</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</si>
  <si>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</si>
  <si>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</si>
  <si>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</si>
  <si>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Woningmarktanalyse 2015</t>
  </si>
  <si>
    <t>Wissink, Jeroen, Bert van 't Land &amp; Diana Boertien</t>
  </si>
  <si>
    <t>Ontwikkeling van ruimtelijke verschillen in Nederland</t>
  </si>
  <si>
    <t xml:space="preserve">Leidelmeijer, Kees, René Schulenberg &amp; Betty Noordhuizen </t>
  </si>
  <si>
    <t>In Fact</t>
  </si>
  <si>
    <t>https://www.rijksoverheid.nl/documenten/rapporten/2015/11/16/ontwikkeling-van-ruimtelijke-verschillen-in-nederland</t>
  </si>
  <si>
    <t xml:space="preserve">Mulder, Maarten </t>
  </si>
  <si>
    <t>Dispensing of psychotropic medication among 400,000 immigrants in The Netherlands</t>
  </si>
  <si>
    <t xml:space="preserve">Termorshuizen, Fabian Termorshuizen, Jean-Paul Selten &amp; Eibert R. Heerdink_x000D_
</t>
  </si>
  <si>
    <t>Soc Psychiatry Psychiatr Epidemiol</t>
  </si>
  <si>
    <t>https://pubmed.ncbi.nlm.nih.gov/28616632/</t>
  </si>
  <si>
    <t>Kern- en performance indicatoren</t>
  </si>
  <si>
    <t>Span, Tommy, Rutger Kok &amp;  Pieter Fris</t>
  </si>
  <si>
    <t>https://www.panteia.nl/uploads/sites/2/2016/12/C11255-Nieuwe-bedrijfstypologie-mkb-Kern-en-performance-indicatoren.pdf</t>
  </si>
  <si>
    <t>Inkomenseffecten brutering van de bijstand</t>
  </si>
  <si>
    <t>Ellwanger, Nils, Maaike van Asselt &amp; Leo Aarts</t>
  </si>
  <si>
    <t>https://www.tweedekamer.nl/kamerstukken/brieven_regering/detail?id=2016Z23015&amp;did=2016D47061</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</si>
  <si>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</si>
  <si>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</si>
  <si>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The impact of a disability insurance reform on work resumption and benefit substitution</t>
  </si>
  <si>
    <t>Kantarc, Tunga, Jan-Maarten van Sonsbeek &amp; Yi Zhang</t>
  </si>
  <si>
    <t>Jeugdzorg: verschil tussen budget en contract in de regio Zuidoost Noord-Brabant</t>
  </si>
  <si>
    <t>Sadiraj, Klarita</t>
  </si>
  <si>
    <t>http://www.scp.nl/Publicaties/Alle_publicaties/Publicaties_2015/Jeugdzorg_verschil_tussen_budget_en_contract_in_de_regio_Zuidoost_Noord_Brabant</t>
  </si>
  <si>
    <t>Sterfte aan chronische hepatitis B en C in Nederland</t>
  </si>
  <si>
    <t>Hofman, Robine, Wilma J. Nusselder, Irene K. Veldhuijzen &amp; Jan Hendrik Richardus</t>
  </si>
  <si>
    <t>Nederlands Tijdschriften voor Geneeskunde</t>
  </si>
  <si>
    <t>Nederlands Tijdschrift Geneeskunde</t>
  </si>
  <si>
    <t>Daklozen overlijden het vaakst door suïcide of moord</t>
  </si>
  <si>
    <t>Slockers, Marcel T., Wilma J. Nusselder, Judith Rietjens &amp; Ed F. van Beeck</t>
  </si>
  <si>
    <t>Ex-ante kapitaalmarktanalyse Noordvleugel</t>
  </si>
  <si>
    <t xml:space="preserve">Dijk, R. van, D. Holt, F. van der Veen, P. Gibcus &amp; T. Span, </t>
  </si>
  <si>
    <t>Rebel &amp; Panteia</t>
  </si>
  <si>
    <t>https://www.panteia.nl/onderzoeken/ex-ante-kapitaalmarktanalyse-noordvleugel/</t>
  </si>
  <si>
    <t>Bedrijfsfinanciering tijdens en na de crisis</t>
  </si>
  <si>
    <t>Span, Tommy, Rutger Kok &amp; Wim Verhoeven</t>
  </si>
  <si>
    <t>https://www.google.nl/url?sa=t&amp;rct=j&amp;q=&amp;esrc=s&amp;source=web&amp;cd=4&amp;ved=0ahUKEwiT05LYxpDWAhXKLMAKHY30DksQFgg-MAM&amp;url=https%3A%2F%2Fwww.rijksoverheid.nl%2Fbinaries%2Frijksoverheid%2Fdocumenten%2Frapporten%2F2016%2F02%2F12%2Fbedrijfsfinanciering-tijdens-en-na-de-crisis%2Fbedrijfsfinanciering-tijdens-en-na-de-crisis.pdf&amp;usg=AFQjCNHKQFVGcPc52JUz9h7RqIsNapABSg</t>
  </si>
  <si>
    <t xml:space="preserve">Rotterdamse groepen 2017: Een monitor van de maatschappelijke positie van Rotterdamse groepen _x000D_
 _x000D_
 </t>
  </si>
  <si>
    <t xml:space="preserve">Boom, J. de &amp; P. van Wensveen </t>
  </si>
  <si>
    <t xml:space="preserve">The impact of urban regeneration programmes on health and health-related behaviour: Evaluation of the Dutch District Approach 6.5 years from the start_x000D_
</t>
  </si>
  <si>
    <t>Ruijsbroek, Annemarie, Albert Wong, Anton E. Kunst, Carolien van den Brink, Hans A. M. van Oers, Mariël Droomers &amp; Karien Stronks</t>
  </si>
  <si>
    <t>https://rivm.openrepository.com/handle/10029/621347</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</si>
  <si>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</si>
  <si>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</si>
  <si>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</si>
  <si>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</si>
  <si>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</si>
  <si>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</si>
  <si>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https://journals.plos.org/plosone/article?id=10.1371/journal.pone.0270367</t>
  </si>
  <si>
    <t>The effect of trastuzumab-based chemotherapy in small node-negative HER2-positive breast cancer</t>
  </si>
  <si>
    <t xml:space="preserve">Eamshorst, Mette S. van, Margriet van der Heiden-van der Loo, Gwen M. H. E. Dackus, _x000D_
Sabine C. Linn &amp; Gabe S. Sonke_x000D_
</t>
  </si>
  <si>
    <t xml:space="preserve">https://link.springer.com/article/10.1007/s10549-016-3878-9_x000D_
</t>
  </si>
  <si>
    <t>UniFrankfurt_Goethe</t>
  </si>
  <si>
    <t>Werkloos toezien?</t>
  </si>
  <si>
    <t xml:space="preserve">Merens, Ans &amp; Edith Josten  </t>
  </si>
  <si>
    <t xml:space="preserve">http://www.scp.nl/Nieuws/Vrouwen_gaan_iets_meer_uren_werken_als_hun_man_werkloos_wordt_x000D_
</t>
  </si>
  <si>
    <t>Evaluatie microfinanciering</t>
  </si>
  <si>
    <t>Kerste, Marco, Jarst Weda, Ward Rougoor, Nicole Rosenboom &amp; Cindy Biesenbeek</t>
  </si>
  <si>
    <t xml:space="preserve">SEO </t>
  </si>
  <si>
    <t>Mobiliteit binnen de perken</t>
  </si>
  <si>
    <t>Strockmeijer, Anita, Paul de Beer &amp; Jaco Dagevos</t>
  </si>
  <si>
    <t>Boom</t>
  </si>
  <si>
    <t>UWV_SBK_Kenniscentrum</t>
  </si>
  <si>
    <t>Armoede in Kaart 2016</t>
  </si>
  <si>
    <t xml:space="preserve">Hoff, S., J.M. Wildeboer Schut, B. Goderis &amp; C. Vrooman </t>
  </si>
  <si>
    <t>Circular Atlas. A quantitative model to provide insight on the material in- and out-streams from Dutch industries as part of the Circular Atlas.</t>
  </si>
  <si>
    <t>Rombouts, Anneke</t>
  </si>
  <si>
    <t>De opbrengst van bestuurlijke samenwerking UvA-HvA</t>
  </si>
  <si>
    <t>Welie, Liesbeth van</t>
  </si>
  <si>
    <t>Berenschot</t>
  </si>
  <si>
    <t>UvA_FEB</t>
  </si>
  <si>
    <t>Bedrijfsinvesteringen sinds crisis sterker beïnvloed door schuldpositie bedrijf</t>
  </si>
  <si>
    <t>Winter, Jasper de, Maikel Volkerink &amp; Carlijn Eijking</t>
  </si>
  <si>
    <t>Het spaaroverschot van Nederlandse bedrijven ontrafeld</t>
  </si>
  <si>
    <t>Butler, Bas, Krit Carlier, Guido Schotten &amp; Maikel Volkerink</t>
  </si>
  <si>
    <t>https://www.dnb.nl/binaries/OS_dec_2019_tcm46-386466.pdf</t>
  </si>
  <si>
    <t>639 - Measuring trends and persistence in capital and labor misallocation</t>
  </si>
  <si>
    <t xml:space="preserve">Winter, Jasper de </t>
  </si>
  <si>
    <t>https://www.dnb.nl/nieuws/publicaties-dnb/dnb-working-papers/Workingpapers2019/dnb384353.jsp</t>
  </si>
  <si>
    <t>Misallocatie van kapitaal en arbeid in de Nederlandse economie toegenomen</t>
  </si>
  <si>
    <t>Winter, Jasper de</t>
  </si>
  <si>
    <t>Measuring trends and persistence in capital and labor misallocation</t>
  </si>
  <si>
    <t>Bun, Maurice &amp;  Jasper de Winter</t>
  </si>
  <si>
    <t>DNB: toename bedrijven in acute geldnood door corona beperkt</t>
  </si>
  <si>
    <t>De financiële positie van het Nederlandse mkb één jaar na de Covid-19 uitbraak</t>
  </si>
  <si>
    <t>Winter, Jasper de &amp; Maikel Volkerink</t>
  </si>
  <si>
    <t>Wijziging Gebruikelijkloonregeling</t>
  </si>
  <si>
    <t>Rosenboom, N. &amp; . Smits</t>
  </si>
  <si>
    <t>Reumatische aandoeningen in Nederland</t>
  </si>
  <si>
    <t>Sloot Rosa, Linda Flinterman, Marianne Heins, Maaike Lafeber, Hennie Boeije, René Poos, Petra Eysink, Mark Nielen &amp; Joke Korevaar</t>
  </si>
  <si>
    <t>https://www.nivel.nl/node/2430?database=ChoicePublicat&amp;priref=1002985</t>
  </si>
  <si>
    <t>Deelname aan de bovenschoolse voorzieningen Transferium en Stop</t>
  </si>
  <si>
    <t>Koopman Pjotr &amp; Marieke Buisman</t>
  </si>
  <si>
    <t>Afstroom, opstroom en schoolwisselingen</t>
  </si>
  <si>
    <t>Voorzieningen verdeeld. Profijt van de overheid</t>
  </si>
  <si>
    <t>Olsthoorn, Martin, Evert Pommer, Michiel Ras, Ab van der Torre &amp; Jean Marie Wildeboer Schut</t>
  </si>
  <si>
    <t>De regionale mobiliteit en binding van medisch specialisten: Het belang van opleiden en onderwijs voor de regionale gezondheidszorg.</t>
  </si>
  <si>
    <t>Venhorst, V., Daams, M. &amp; van Dijk, J.</t>
  </si>
  <si>
    <t>http://hdl.handle.net/11370/64f906f1-9dae-46c0-89af-1185e092016f</t>
  </si>
  <si>
    <t>Twee decennia internationaal georiënteerde studenten in de studie geneeskunde: Ontwikkelingen rond in- en uitstroom in Nederland: Verslag van een pilot met data van het Centraal Bureau voor de Statistiek</t>
  </si>
  <si>
    <t xml:space="preserve">Stunnenberg, Y., Pols, J., Venhorst, V., &amp; Bos, N. </t>
  </si>
  <si>
    <t>URSI Research Report; Vol. 372</t>
  </si>
  <si>
    <t>https://hdl.handle.net/11370/07e37211-5ac5-45f8-9f75-2a2716e7181f</t>
  </si>
  <si>
    <t>Vergrijzing en extramuralisering op de woningmarkt. Senioren en groepen met beperkingen.</t>
  </si>
  <si>
    <t>Iersel Johan van &amp; Kees Leidelmeijer</t>
  </si>
  <si>
    <t xml:space="preserve">https://www.rijksoverheid.nl/documenten/rapporten/2016/05/18/vergrijzing-en-extramuralisering-op-de-woningmarkt </t>
  </si>
  <si>
    <t>Zelfstandigen en arbeidsongeschiktheid</t>
  </si>
  <si>
    <t>Berkhout, E. &amp; R. Euwals</t>
  </si>
  <si>
    <t>http://www.cpb.nl/publicatie/zelfstandigen-en-arbeidsongeschiktheid</t>
  </si>
  <si>
    <t>Zelfstandigen en hun alternatieven voor sociale zekerheid</t>
  </si>
  <si>
    <t>http://www.cpb.nl/publicatie/zelfstandigen-en-hun-alternatieven-voor-sociale-zekerheid</t>
  </si>
  <si>
    <t>De Staat van het Onderwijs</t>
  </si>
  <si>
    <t>Inspectie van het Onderwijs</t>
  </si>
  <si>
    <t>MinOCW_Inspectie_Kennis</t>
  </si>
  <si>
    <t>De Staat van het Onderwijs 2016</t>
  </si>
  <si>
    <t>\\cbsp.nl\Productie\Primair\MDS\Werk\Midas\4.1 Productie\4.1.1 Contracten\4.1.1.3 Contracten OS en RA\7800-7899\7830_OCW_Inspectie\Relatiebeheer\Publicaties 2016</t>
  </si>
  <si>
    <t xml:space="preserve">Selectie: Meer dan cijfers alleen </t>
  </si>
  <si>
    <t>https://www.onderwijsinspectie.nl/documenten/rapporten/2017/07/07/selectie-meer-dan-cijfers-alleen</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</si>
  <si>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</si>
  <si>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</si>
  <si>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Inspectie van het onderwijs</t>
  </si>
  <si>
    <t>https://www.onderwijsinspectie.nl/documenten/rapporten/2018/04/11/rapport-de-staat-van-het-onderwijs</t>
  </si>
  <si>
    <t>Economische kansen Nederlandse cybersecurity-sector</t>
  </si>
  <si>
    <t>Hendriks, A., D. Brandt, K. Turk (VKA),  V. Kocsis, D. in 't Veld &amp; T. Smits</t>
  </si>
  <si>
    <t>VKA</t>
  </si>
  <si>
    <t>http://www.seo.nl/pagina/article/economische-kansen-nederlandse-cybersecurity-sector/</t>
  </si>
  <si>
    <t>Monitor Jongeren Op Gezond Gewicht 2015</t>
  </si>
  <si>
    <t xml:space="preserve">Reijgersberg Niels, Ine Pulles, Koen Breedveld &amp; Ellen de Hollander </t>
  </si>
  <si>
    <t>Mulier Instituut/RIVM</t>
  </si>
  <si>
    <t>https://jongerenopgezondgewicht.nl/media/uploads/resultreports/monitor-2015_5a85b8403e8ba.pdf</t>
  </si>
  <si>
    <t>Werkt de JOGG-aanpak? Veranderingen in overgewicht en beweeggedrag bij kinderen en jongeren</t>
  </si>
  <si>
    <t>Blokstra, A., M. Schipper, E.L. de Hollander &amp; T.M. Schurink-van ’t Klooster</t>
  </si>
  <si>
    <t>https://www.rivm.nl/nieuws/daling-overgewicht-in-jogg-buurten</t>
  </si>
  <si>
    <t>Dynamiek van corporatiehuurders. Longitudinaal onderzoek in drie stedelijke regio</t>
  </si>
  <si>
    <t>Kromhout, Steven</t>
  </si>
  <si>
    <t>https://www.corpovenista.nl/wp-content/uploads/Dynamiek-van-corporatiehuurders-def.pdf</t>
  </si>
  <si>
    <t>42% corporatiehuurders vertrekt binnen 5 jaar</t>
  </si>
  <si>
    <t>https://www.rigo.nl/42-corporatiehuurders-vertrekt-binnen-5-jaar/</t>
  </si>
  <si>
    <t>Sociale huur: Toch wel doorstroming</t>
  </si>
  <si>
    <t>https://www.nul20.nl/dossiers/toch-wel-doorstroming</t>
  </si>
  <si>
    <t>Increased colon cancer risk after severe Salmonella infection</t>
  </si>
  <si>
    <t>Mughini-Gras, Lapo, Michael Schaapveld, Jolanda Kramers, Sofie Mooij, E. Andra Neefjes-Borst, Wilfrid van Pelt &amp; Jacques Neefjes</t>
  </si>
  <si>
    <t>Occupational exposure and risk of colon cancer: a nationwide registry study with emphasis on occupational exposure to zoonotic gastrointestinal pathogens</t>
  </si>
  <si>
    <t>Duijster, Janneke, Lapo Mughini-Gras,  Jacques Neefjes &amp; Eelco Franz</t>
  </si>
  <si>
    <t>Occupational risk of salmonellosis and campylobacteriosis: a nationwide population-based _x000D_
registry study</t>
  </si>
  <si>
    <t>Duijster, Janneke W., Eelco Franz, Jacques J.C. Neefjes &amp; Lapo Mughini-Gras</t>
  </si>
  <si>
    <t>Severe Salmonella spp. or Campylobacter spp. Infection and the Risk of Biliary Tract Cancer: A Population-Based Study</t>
  </si>
  <si>
    <t>Elise de Savornin Lohman, Janneke Duijster, Bas Groot Koerkamp, Rachel van der Post, _x000D_
Eelco Franz, Lapo Mughini-Gras &amp; Philip de Reuver</t>
  </si>
  <si>
    <t>MDPI</t>
  </si>
  <si>
    <t>Regionale spreiding van geletterdheid in Nederland</t>
  </si>
  <si>
    <t xml:space="preserve">Bijlsma I., J. van den Brakel, R. van der Velden &amp;  J. Allen </t>
  </si>
  <si>
    <t>Universiteit Maastricht ROA</t>
  </si>
  <si>
    <t>Landelijke monitor studentenhuisvesting</t>
  </si>
  <si>
    <t>Hulle René van, Lies Hooft, Bert Marchal, Jamie Zwaneveld &amp; Maarten Vijncke</t>
  </si>
  <si>
    <t>Monitor studenhuisvesting</t>
  </si>
  <si>
    <t>https://studentenhuisvesting.incijfers.nl/mosaic/lms/voorwoord</t>
  </si>
  <si>
    <t>Waarom het gebruik van huurtoeslag steeg terwijl het economisch beter ging</t>
  </si>
  <si>
    <t>https://www.abfresearch.nl/nieuws/waarom-het-gebruik-van-huurtoeslag-steeg-terwijl-het-economisch-beter-ging/</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</si>
  <si>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</si>
  <si>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</si>
  <si>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</si>
  <si>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Syswov 2023 (Systeem Woningvoorraad)</t>
  </si>
  <si>
    <t>https://syswov.datawonen.nl/</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</si>
  <si>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</si>
  <si>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</si>
  <si>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</si>
  <si>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</si>
  <si>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 xml:space="preserve">Mortality, readmission and length of stay have different relationships using hospital-level versus patient-level data: an example of the ecological fallacy affecting hospital performance indicators </t>
  </si>
  <si>
    <t xml:space="preserve">Hofstede, Stefanie N, Leti van Bodegom-Vos, Dionne S Kringos, Ewout Steyerberg &amp;_x000D_
Perla J Marang-van de Mheen_x000D_
</t>
  </si>
  <si>
    <t xml:space="preserve">BMJ </t>
  </si>
  <si>
    <t>http://qualitysafety.bmj.com/content/early/2017/10/06/bmjqs-2017-006776</t>
  </si>
  <si>
    <t>Ranking hospitals: do we gain reliability by using composite rather than individual indicators?</t>
  </si>
  <si>
    <t xml:space="preserve">Marang, Perla </t>
  </si>
  <si>
    <t>Verschuivingen, concurrentie en verdringing</t>
  </si>
  <si>
    <t>Heyma, A., Zwetsloot, J. &amp; Gautier, P.</t>
  </si>
  <si>
    <t>http://www.seo.nl/pagina/article/verschuivingen-concurrentie-en-verdringing/</t>
  </si>
  <si>
    <t>Monitor Investeren in de toekomst Ouderen en langer zelfstandig wonen</t>
  </si>
  <si>
    <t xml:space="preserve">Leidelmeijer, Kees, Johan van Iersel &amp; Dik Leering </t>
  </si>
  <si>
    <t>https://www.rijksoverheid.nl/documenten/rapporten/2017/04/18/rapport-%CB%9D-monitor-investeren-in-de-toekomst-2017-%CB%9D</t>
  </si>
  <si>
    <t xml:space="preserve">Gevolgen van de kostendelersregeling in Amsterdam_x000D_
</t>
  </si>
  <si>
    <t>Kruis, MSc. G., &amp; drs. R.C. van Waveren</t>
  </si>
  <si>
    <t>De arbeidsmarkt aan de grens met en zonder grensbelemmeringen</t>
  </si>
  <si>
    <t>Verstraten, Paul</t>
  </si>
  <si>
    <t>Understanding employment decentralization by estimating the spatial scope of gglomeration economies</t>
  </si>
  <si>
    <t>Verstraten, Paul, Gerard Verweij &amp; Peter Zwaneveld</t>
  </si>
  <si>
    <t>Why do wages grow faster in urban areas?</t>
  </si>
  <si>
    <t>Verstraten, Paul, Gerard verweij &amp; Peter Zwaneveld</t>
  </si>
  <si>
    <t>https://www.cpb.nl/sites/default/files/omnidownload/CPB-Discussion-Paper-377-why-do-wages-grow-faster-in-urban-areas.pdf</t>
  </si>
  <si>
    <t>The scope of the external return to higher education</t>
  </si>
  <si>
    <t>https://www.cpb.nl/sites/default/files/omnidownload/CPB-Discussion-Paper-381-The-scope-of-the-external-return-to-higher-education.pdf</t>
  </si>
  <si>
    <t>Complexities in the spatial scope of agglomeration economies</t>
  </si>
  <si>
    <t>Verstraten, Paul, Gerard verweij &amp; Peter J. Zwaneveld</t>
  </si>
  <si>
    <t>https://www.cpb.nl/sites/default/files/omnidownload/CPB-Discussion-Paper-376-complexities-in-the-spatial-scope-of-agglomeration-economies.pdf</t>
  </si>
  <si>
    <t>The efects of a tax deduction for lifelong learning expenditures</t>
  </si>
  <si>
    <t>Berge, Wiljan van den, Egbert Jongen &amp; Karen van der Wiel</t>
  </si>
  <si>
    <t>https://doi.org/10.1007/s10797-022-09736-y</t>
  </si>
  <si>
    <t>Evaluatie aftrekpost scholingsuitgaven</t>
  </si>
  <si>
    <t>https://www.cpb.nl/publicatie/evaluatie-aftrekpost-scholingsuitgaven</t>
  </si>
  <si>
    <t>Using Tax Deductions to Promote Lifelong Learning: Real ans Schifting Responses</t>
  </si>
  <si>
    <t>https://www.cpb.nl/</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</si>
  <si>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</si>
  <si>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</si>
  <si>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</si>
  <si>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</si>
  <si>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Income inequality and psychological distress at neighbourhood and municipality level</t>
  </si>
  <si>
    <t xml:space="preserve">Erdem, Özcan, F.J. van Lenthe Frank &amp;  A. Burdorf Alex  </t>
  </si>
  <si>
    <t>Gemeene Rotterdan en OBI</t>
  </si>
  <si>
    <t>https://repub.eur.nl/pub/115516</t>
  </si>
  <si>
    <t>Collateral Damage? Decreasing House Prices and Entrepreneurial Lending</t>
  </si>
  <si>
    <t>Mocking, Remco, Benedikt Vogt &amp; Wolter Hassink</t>
  </si>
  <si>
    <t>https://www.cpb.nl/en/publication/collateral-damage-decreasing-house-prices-and-entrepreneurial-lending</t>
  </si>
  <si>
    <t>Home Ownership and Home Equity Promote Entrepreneurial Activity</t>
  </si>
  <si>
    <t>Hassink, Wolter (UU), Matteo Millone (DNB), Remco Mocking (Ministry of Finance) &amp; Benedikt Vogt (CPB)</t>
  </si>
  <si>
    <t>https://www.cpb.nl/sites/default/files/omnidownload/CPB-Discussion-Paper-420-Home-Ownership-and-Home-Equity-Promote-Entrepreneurial-Activity.pdf</t>
  </si>
  <si>
    <t>Als werk weinig opbrengt: Werkende armen in vijf Europese landen_x000D_
en twintig Nederlandse gemeenten</t>
  </si>
  <si>
    <t>Vrooman, Cok, Edith Josten, Stella Hoff, Lisa Putman &amp; Jean Marie Wildeboer Schut</t>
  </si>
  <si>
    <t>https://www.scp.nl/Publicaties/Alle_publicaties/Publicaties_2018/Als_werk_weinig_opbrengt</t>
  </si>
  <si>
    <t>Werkende armen en het gemeentelijk beleid</t>
  </si>
  <si>
    <t xml:space="preserve">Hoff, Stella &amp; Lisa Putman _x000D_
</t>
  </si>
  <si>
    <t>https://link.springer.com/article/10.1007%2Fs41196-018-0147-y</t>
  </si>
  <si>
    <t>Selecting Indicators to Measure Energy Poverty</t>
  </si>
  <si>
    <t>Rademaekers Koen, Jessica Yearwood, Alipio Ferreira (Trinomics), Steve Pye, Ian Hamilton, Paolo Agnolucci, David Grover (UCL), Jiøí Karásek &amp; Nataliya Anisimova (SEVEn)</t>
  </si>
  <si>
    <t>Trinomics B.V.</t>
  </si>
  <si>
    <t>Trinomics</t>
  </si>
  <si>
    <t>https://ec.europa.eu/energy/sites/ener/files/documents/Selecting Indicators to Measure Energy Poverty.pdf</t>
  </si>
  <si>
    <t>The reproduction of benefit receipt: Disentangling the intergenerational transmission</t>
  </si>
  <si>
    <t xml:space="preserve">Boschman, S., Maas, I., Kristiansen, M.H., &amp; Vrooman, J.C. </t>
  </si>
  <si>
    <t>Social Science Research</t>
  </si>
  <si>
    <t>https://www.sciencedirect.com/science/article/pii/S0049089X18301789</t>
  </si>
  <si>
    <t>Refugees’ Transition from Welfare to Work: A Quasi-Experimental Approach of the Impact of the Neighbourhood Context</t>
  </si>
  <si>
    <t>Kristiansen, Marcus H., Ineke Maas, Sanne Boschman &amp; J. Cok Vrooman</t>
  </si>
  <si>
    <t>https://research.vu.nl/en/publications/refugees-transition-from-welfare-to-work-a-quasi-experimental-app</t>
  </si>
  <si>
    <t>From social assistance to self-sufficiency: Low income work as a stepping stone</t>
  </si>
  <si>
    <t xml:space="preserve">Boschman, S., Maas, I., Vrooman, J.C., &amp; Kristiansen, M.H. </t>
  </si>
  <si>
    <t>European Sociological Review</t>
  </si>
  <si>
    <t>https://academic.oup.com/esr/article/37/5/766/6146751</t>
  </si>
  <si>
    <t>Werken naast de bijstand vergroot de kans op duurzame financiële zelfstandigheid</t>
  </si>
  <si>
    <t xml:space="preserve">Boschman, S., Maas, I., Kristiansen, M. &amp; Vrooman, C. </t>
  </si>
  <si>
    <t>Tijdschrift voor arbeidsmarktvraagstukken. 37 (3), pp 418-421</t>
  </si>
  <si>
    <t>https://www.uu.nl/nieuws/werken-naast-de-bijstand-een-springplank-naar-financiele-zelfstandigheid</t>
  </si>
  <si>
    <t xml:space="preserve">Waarom is een uitkering hebben toch zo erfelijk? </t>
  </si>
  <si>
    <t>Sociale vraagstukken</t>
  </si>
  <si>
    <t>In de etalage intergenerationele overdracht van uitkeringsontvangst: Waarom de appel niet ver van de boom valt</t>
  </si>
  <si>
    <t>Mens en Maatschappij, 94 (2), pp. 233-253</t>
  </si>
  <si>
    <t>https://www.aup-online.com/content/journals/10.5117/MEM2019.2.005.INDE</t>
  </si>
  <si>
    <t xml:space="preserve">Contacts with Benefits: How Social Networks Affect Benefit Receipt Dynamics in the Netherlands </t>
  </si>
  <si>
    <t xml:space="preserve">Kristiansen, M.H. </t>
  </si>
  <si>
    <t>Doctoral dissertation, Utrecht University</t>
  </si>
  <si>
    <t>file:///F:/Downloads/proefschriftkristiansenhighres%20-%205fe34cb302e0f.pdf</t>
  </si>
  <si>
    <t xml:space="preserve">Staat van arbeidsveiligheid 2018 </t>
  </si>
  <si>
    <t>Ministerie SZW_Werk en Inkomen</t>
  </si>
  <si>
    <t>https://www.inspectieszw.nl/staat-van-arbeidsveiligheid-2018</t>
  </si>
  <si>
    <t>Aangifte- en meldingsbereidheid: Trends en determinanten</t>
  </si>
  <si>
    <t>Van de Weijer, S.G.A., &amp; Bernasco W.</t>
  </si>
  <si>
    <t>https://www.wodc.nl/onderzoeksdatabase/2674-aangiftebereidheid.aspx</t>
  </si>
  <si>
    <t xml:space="preserve">Determinants of reporting cybercrime: A comparison between identity theft, consumer fraud, and hacking </t>
  </si>
  <si>
    <t xml:space="preserve">Van de Weijer, S.G.A., Leukfeldt, E.R., &amp; Bernasco, W. </t>
  </si>
  <si>
    <t>https://journals.sagepub.com/doi/10.1177/1477370818773610</t>
  </si>
  <si>
    <t xml:space="preserve">Gezondheidsverkenning omwonenden van landbouwpercelen </t>
  </si>
  <si>
    <t xml:space="preserve">Simões M., M. Brouwer, E. Krop, A. Huss, R. Vermeulen, C. Baliatsas, J. IJzermans, R. Verheij, N. Janssen, M. Marra, A. Wijga, &amp; A.G. Rietveld </t>
  </si>
  <si>
    <t>Waardecreatie in bedrijven</t>
  </si>
  <si>
    <t xml:space="preserve">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 </t>
  </si>
  <si>
    <t>Samenwerken met TNO heeft positieve impact op bedrijven</t>
  </si>
  <si>
    <t xml:space="preserve">Boonman, Hetty, Marcel de Heide, Jinxue Hu &amp; Evgueni Poliakov </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</si>
  <si>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</si>
  <si>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</si>
  <si>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https://link.springer.com/article/10.1007%2Fs10552-019-01204-z</t>
  </si>
  <si>
    <t>Uitzendmonitor 2016</t>
  </si>
  <si>
    <t>Vermeulen, Hedwig, Wouter de Wit, Bianca van Leest &amp; Lieselotte Rossen</t>
  </si>
  <si>
    <t>KBA</t>
  </si>
  <si>
    <t>KBA_Freihov</t>
  </si>
  <si>
    <t>OpleidingsMonitor Flexbranche 2017</t>
  </si>
  <si>
    <t>Wouter de Wit, Hedwig Vermeulen, Pieter Aalders, Joost van der Horst &amp; Annet Jager</t>
  </si>
  <si>
    <t>KBA Nijmegen</t>
  </si>
  <si>
    <t>http://www.stoof-online.nl/fileadmin/user_upload/OpleidingsMonitor_Flexbranche_2017_web.pdf</t>
  </si>
  <si>
    <t>Trends en Ontwikkelingen in de technische installatiebranche 2018: Bedrijvigheid, arbeidsmarkt en beroepsopleiding in de periode tot 2022</t>
  </si>
  <si>
    <t>Vermeulen, Hedwig, Paul den Boer, Timo Verhaegh, Wouter de Wit, Joost van der Horst &amp;_x000D_
Lieselotte Rossen</t>
  </si>
  <si>
    <t>Wit, Wouter de, Hedwig Vermeulen, Pieter Aalders, Joost van der Horst &amp; Annet Jager</t>
  </si>
  <si>
    <t>Disentangling the effect of household debt on consumption</t>
  </si>
  <si>
    <t>Teulings, Rutger, Bram Wouterse &amp; Kan Ji</t>
  </si>
  <si>
    <t>https://link.springer.com/article/10.1007/s00181-023-02428-4</t>
  </si>
  <si>
    <t>Inequity in postpartum healthcare provision at home and its association with subsequent healthcare expenditure</t>
  </si>
  <si>
    <t xml:space="preserve">Lagendijk, Jacqueline,  Eric A.P. Steegers &amp; Jasper V. Been  </t>
  </si>
  <si>
    <t>https://academic.oup.com/eurpub/advance-article/doi/10.1093/eurpub/ckz076/5476568</t>
  </si>
  <si>
    <t>Ongelijkheid in de afname van kraamzorg</t>
  </si>
  <si>
    <t>Ernst-Smelt, H.E. &amp; J. Lagendijk</t>
  </si>
  <si>
    <t>Did an urban perinatal health programme in Rotterdam, the Netherlands, reduce adverse perinatal outcomes? Register-based retrospective cohort study</t>
  </si>
  <si>
    <t xml:space="preserve"> Jonge, Hendrik CC de, Jacqueline Lagendijk, Unnati Saha,  Jasper V Been &amp; Alex Burdorf</t>
  </si>
  <si>
    <t>Kosten en baten van maatschappelijke (re-) integratie van volwassen en jeugdige (ex) geditineerden</t>
  </si>
  <si>
    <t>Koning, Jaap de, José Gravesteijn, Paul de Hek &amp; Daisy de Vries</t>
  </si>
  <si>
    <t>Komst AZC leidt niet tot meer criminaliteit</t>
  </si>
  <si>
    <t>Achbari, W.</t>
  </si>
  <si>
    <t>Reportage wijk verkeek zich op komst opvangcentrum</t>
  </si>
  <si>
    <t>Ernstig verkeersgewonden 2015: Schatting van het aantal ernstig verkeersgewonden in 2015</t>
  </si>
  <si>
    <t>Bos, Drs. N.M., dr. S. Houwing &amp; dr. H.L. Stipdonk</t>
  </si>
  <si>
    <t>SWOV</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</si>
  <si>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</si>
  <si>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</si>
  <si>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</si>
  <si>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</si>
  <si>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</si>
  <si>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</si>
  <si>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</si>
  <si>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</si>
  <si>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</si>
  <si>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</si>
  <si>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</si>
  <si>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</si>
  <si>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</si>
  <si>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 xml:space="preserve">Eens een dief, altijd een dief? Een verkenning rond het meten van de effectiviteit van de Verklaring Omtrent het Gedrag_x000D_
</t>
  </si>
  <si>
    <t>Kruize, P. &amp; Gruter, P.</t>
  </si>
  <si>
    <t>Ateno</t>
  </si>
  <si>
    <t xml:space="preserve">Symbolism Matters: The Effect of Same-Sex Marriage Legalization on Partnership Stability_x000D_
</t>
  </si>
  <si>
    <t>Chen, Shuai &amp; Jan C. van Ours</t>
  </si>
  <si>
    <t>EUR_ESE
TIU_TiSEM</t>
  </si>
  <si>
    <t xml:space="preserve">http://ftp.iza.org/dp12516.pdf_x000D_
</t>
  </si>
  <si>
    <t>Influenza vaccination in the elderly: 25 years follow-up of a randomized controlled trial. No impact on long-term mortality</t>
  </si>
  <si>
    <t xml:space="preserve">Ruud Andreas Fritz Verhees, Carel Thijs, Ton Ambergen, Geert Jan Dinant &amp; Johannes Andreas Knottnerus  </t>
  </si>
  <si>
    <t>UM_FHML</t>
  </si>
  <si>
    <t>https://journals.plos.org/plosone/article?id=10.1371/journal.pone.0216983</t>
  </si>
  <si>
    <t>Contributions to the evidence base for reducing the impact of influenza in primary care</t>
  </si>
  <si>
    <t>Andreas, Ruud &amp; Fritz Verhees</t>
  </si>
  <si>
    <t>https://cris.maastrichtuniversity.nl/en/publications/contributions-to-the-evidence-base-for-reducing-the-impact-of-inf</t>
  </si>
  <si>
    <t>Optimalisering van werk loont</t>
  </si>
  <si>
    <t>Koning Jaap de, Paul de Hek &amp; Elisa de Vleeschouwer</t>
  </si>
  <si>
    <t>Faculteit der Sociale Wetenschappen</t>
  </si>
  <si>
    <t>Invloed van migratieachtergrond bijstandsgerechtigden op netto-effectiviteit van WerkLoont</t>
  </si>
  <si>
    <t>Hek, Paul de &amp; Jaap de Koning</t>
  </si>
  <si>
    <t>https://www.seor.nl/migratieachtergrond-en-effectiviteit-werkloont/</t>
  </si>
  <si>
    <t>Fiscaliteit en de rechtsvorm van ondernemingen</t>
  </si>
  <si>
    <t>Bosch, Nicole &amp; Arjan Lejour</t>
  </si>
  <si>
    <t>https://www.cpb.nl/sites/default/files/omnidownload/CPB-Policy-Brief-2017-12-Fiscaliteit-en-de-rechtsvorm-van-ondernemingen.pdf</t>
  </si>
  <si>
    <t xml:space="preserve">Ondernemers switchen nauwelijks van rechtsvorm; Belastingdruk dga’s sterk afhankelijk van winstinhouding </t>
  </si>
  <si>
    <t xml:space="preserve">Bosch, Nicole, Francois Laffont &amp; Arjan Lejour </t>
  </si>
  <si>
    <t>https://www.cpb.nl/publicatie/fiscaliteit-en-de-rechtsvorm-van-ondernemingen</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</si>
  <si>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</si>
  <si>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</si>
  <si>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</si>
  <si>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</si>
  <si>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</si>
  <si>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</si>
  <si>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</si>
  <si>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</si>
  <si>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</si>
  <si>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Home ownership under changing labour and housing market conditions: tenure references and outcomes among freelancers and flex workers</t>
  </si>
  <si>
    <t>Dol, Kees &amp; Harry Boumeester</t>
  </si>
  <si>
    <t xml:space="preserve">International Journal of Housing Policy </t>
  </si>
  <si>
    <t>https://www.tandfonline.com/doi/full/10.1080/19491247.2017.1331594</t>
  </si>
  <si>
    <t>Minder eigenwoningbezit door flexibilisering van de arbeidsmarkt, In: Socialisme en Democratie</t>
  </si>
  <si>
    <t>Boumeester, Harry &amp; Kees Dol</t>
  </si>
  <si>
    <t>Wiardi Beckman Stichting</t>
  </si>
  <si>
    <t>http://dnpprepo.ub.rug.nl/10483/</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</si>
  <si>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</si>
  <si>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</si>
  <si>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</si>
  <si>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</si>
  <si>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 xml:space="preserve">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gebiedsanalyses_x000D_
</t>
  </si>
  <si>
    <t>Jong de Idske</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</si>
  <si>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</si>
  <si>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</si>
  <si>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Amsterdam in Cijfers, Stadsdelen in Cijfers, Staat van de Stad, diversiteit in het onderwijs _x000D_
gebiedsanalyses, diversiteitsmonitor, armoede rekenkamer</t>
  </si>
  <si>
    <t>Cohen, Lotje</t>
  </si>
  <si>
    <t>Waar wonen de Amsterdamse leraren en onderwijsondersteuners?</t>
  </si>
  <si>
    <t>https://www.ois.amsterdam.nl/datavisualisatie/woon-werkstromen-onderwijspersoneel/</t>
  </si>
  <si>
    <t>Firm heterogeneity and exports in the Netherlands: Identifying export potential beyond firm productivity</t>
  </si>
  <si>
    <t>Brakman, Steven, Harry Garretsen, Raoul van Maarseveen &amp; Peter Zwaneveld</t>
  </si>
  <si>
    <t>Evaluatie MKB Innovatiestimuleringsregeling Topsectoren (MIT), 2013 - 2016</t>
  </si>
  <si>
    <t xml:space="preserve">Zuijdam, F., M. Ploeg, J. Schipper, J. Vermeer, S. van der Werff &amp; J. Zwetsloot </t>
  </si>
  <si>
    <t xml:space="preserve">Technopolis Group &amp; SEO </t>
  </si>
  <si>
    <t>Overall and disease-specific survival of Hodgkin lymphoma survivors who subsequently developed gastrointestinal cancer</t>
  </si>
  <si>
    <t xml:space="preserve">Rigter,  L.S., M. Schaapveld, C.P.M. Janus, A.D.G. Krol, R.W.M. van der Maazen, J. Roesink, J.M. Zijlstra, G.W. van Imhoff, P.M.P. Poortmans, M. Beijert, P.J. Lugtenburg, O. Visser, P. Snaebjornsson, A.M. van Eggermond, B.M.P. Aleman,  F.E. van Leeuwen &amp; M.E. van Leerdam </t>
  </si>
  <si>
    <t>Onderzoek overheadkosten bij ziekenhuizen</t>
  </si>
  <si>
    <t>Fris, Pieter, Rutger Kok &amp; Jos Jooren</t>
  </si>
  <si>
    <t>http://www.panteia.nl/Nieuwsoverzicht-Panteia/~/media/7 Panteia/Files/Ontwikkeling overheadkosten ziekenhuizen.ashx</t>
  </si>
  <si>
    <t>Perspectief WSW onder de Participatiewet</t>
  </si>
  <si>
    <t>Kok, Lucy, Lennart Kroon, Marloes Lammers &amp; William Luiten</t>
  </si>
  <si>
    <t>Jonggehandicapten onder de Participatiewet</t>
  </si>
  <si>
    <t xml:space="preserve">Kok, Lucy, Lennart Kroon, Marloes Lammers, Rosanne Oomkens, Tom Geijsen &amp; Michiel Linssen </t>
  </si>
  <si>
    <t>Kok, Lucy, Lennart Kroon, Marloes Lammers, Marjolein Sax (Panteia), Auke Witkamp (Panteia), Natasha Stroeker (Panteia), Pierre Koning (VU), Maarten Lindeboom (VU)_x000D_
Mirjam Engelen (Panteia) &amp; Michiel Linssen (Panteia)</t>
  </si>
  <si>
    <t>Eindrapport: Jonggehandicapten onder de Participatiewet</t>
  </si>
  <si>
    <t>Kok, Lucy, Lennart Kroon, Marloes Lammers, Rosanne Oomkens (Panteia), Michiel Linssen (Panteia), Pierre Koning (VU), Maarten Lindeboom (VU), Marjolein Sax (De Beleidsonderzoekers), Auke Witkamp (Verwonderzoek) &amp; Mirjam Engelen (De eleidsonderzoekers)</t>
  </si>
  <si>
    <t>Tweede rapportage: Perspectief Wsw onder de Participatiewet</t>
  </si>
  <si>
    <t>Tweede rapportage: Jonggehandicapten onder de Participatiewet</t>
  </si>
  <si>
    <t>Kok, Lucy, Lennart Kroon, Marloes Lammers, Rosanne Oomkens (Panteia), Tom Geijsen (Panteia), Michiel Linssen (Panteia), Pierre Koning (VU), Maarten Lindeboom (VU), Willliam Luiten, Marjolein Sax (De Beleidsonderzoekers) &amp; Auke Witkamp (Verwonderzoek)</t>
  </si>
  <si>
    <t xml:space="preserve">Nationaal cohort onderzoek Onderwijs_x000D_
</t>
  </si>
  <si>
    <t>NRO</t>
  </si>
  <si>
    <t>Nationaal Regieorgaan Onderwi jsonderzoek (NRO)</t>
  </si>
  <si>
    <t>Samen op weg naar een startkwalificatie</t>
  </si>
  <si>
    <t xml:space="preserve">Heemskerk, I.M.C.C., Eck, E. van, Buisman, M. &amp; Sligte, H. </t>
  </si>
  <si>
    <t>https://kohnstamminstituut.nl/rapport/samen-op-weg-naar-een-startkwalificatie/</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</si>
  <si>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</si>
  <si>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</si>
  <si>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 xml:space="preserve">Long Run Returns to Education: Does Schooling Lead to an Extended Old Age?" </t>
  </si>
  <si>
    <t xml:space="preserve">Kippersluis, van H., O. O'Donnell &amp; E. van Doorslaer </t>
  </si>
  <si>
    <t>Journal of Human Resources</t>
  </si>
  <si>
    <t>http://jhr.uwpress.org/content/46/4/695.short</t>
  </si>
  <si>
    <t>Long-term and spillover effects of health shocks on employment and income</t>
  </si>
  <si>
    <t>García-Gómez, P., Van Kippersluis, H., O'Donnell, O., &amp; Van Doorslaer, E</t>
  </si>
  <si>
    <t>http://jhr.uwpress.org/content/48/4/873.short</t>
  </si>
  <si>
    <t>The kids are alright - Labour market effects of unexpected parental hospitalisations in the Netherlands</t>
  </si>
  <si>
    <t xml:space="preserve">Rellstab, S., Bakx, P., García-Gómez, P., &amp; van Doorslaer, E. </t>
  </si>
  <si>
    <t>Journal of Health Economics</t>
  </si>
  <si>
    <t>https://www.sciencedirect.com/science/article/pii/S0167629618304442</t>
  </si>
  <si>
    <t>Earnings responses to disability benefit cuts</t>
  </si>
  <si>
    <t xml:space="preserve">Garcia Mandico, S., Garcia-Gomez, P., Gielen, A., &amp; O'Donnell, O. </t>
  </si>
  <si>
    <t xml:space="preserve">Tinbergen Institute </t>
  </si>
  <si>
    <t>Op de Drempel van Arbeidsongeschiktheid</t>
  </si>
  <si>
    <t>Van Deursen, C., Koning, P., García-Gómez, P. &amp; Ruimallo Herl, C</t>
  </si>
  <si>
    <t>Kenniscentrum UWV</t>
  </si>
  <si>
    <t>Patient cost-sharing, mental health care and inequalities: A
population-based natural experiment at the transition to adulthood</t>
  </si>
  <si>
    <t>Vargas Lopes, Francisca, Carlos J. Riumallo Herl, Johan P. Mackenbach &amp; Tom van Ourti</t>
  </si>
  <si>
    <t>https://www.sciencedirect.com/science/article/pii/S0277953622000442</t>
  </si>
  <si>
    <t>Evaluatie giftenaftrek</t>
  </si>
  <si>
    <t xml:space="preserve">Brenenraedts, Reg, Arthur Vankan, Jasper Veldman, Yordi Rienstra, Frank Bongers, Maartje Gielen &amp; Leonie Gercama </t>
  </si>
  <si>
    <t>https://www.rijksoverheid.nl/documenten/rapporten/2017/01/27/bijlage-evaluatie-giftenaftrek</t>
  </si>
  <si>
    <t>Van sociale werkvoorziening naar participatiewet: Hoe is het de mensen op de Wsw.wachtlijst vergaan?</t>
  </si>
  <si>
    <t>Sadiraj, Klarita, Stella Hoff &amp; Maroesjka Versantvoort</t>
  </si>
  <si>
    <t xml:space="preserve">Evaluatie ESB-regeling </t>
  </si>
  <si>
    <t xml:space="preserve">Bleeker, Y. MSc., drs. J.J. van der Wel &amp; drs. L. Mallee </t>
  </si>
  <si>
    <t>https://www.regioplan.nl/project/evaluatie-esb-regeling/</t>
  </si>
  <si>
    <t>Gelijke kansen in het onderwijs</t>
  </si>
  <si>
    <t>Jonker, Herman</t>
  </si>
  <si>
    <t>Ministerie OWC</t>
  </si>
  <si>
    <t>https://www.ocwincijfers.nl/onderwijs/dashboard-gelijke-kansen</t>
  </si>
  <si>
    <t>Ministerie OCW_DUO</t>
  </si>
  <si>
    <t>Mapping Maastricht: Cultural and creative industries 2009-2016</t>
  </si>
  <si>
    <t>Pownall, Rachel, prof. dr. A.J., Anouk Duivenvoorden, MSc &amp; Marina Gertsberg, MSc</t>
  </si>
  <si>
    <t>Universiteit Maastricht</t>
  </si>
  <si>
    <t>http://www.made2measure.org/mappingmaastricht</t>
  </si>
  <si>
    <t>113 Zelfmoord preventie</t>
  </si>
  <si>
    <t>113Online</t>
  </si>
  <si>
    <t>Bijstandsduur Syriërs en Eri-treeërs</t>
  </si>
  <si>
    <t>Vriend, Sandra &amp; Siemen van der Werff</t>
  </si>
  <si>
    <t>Healthcare Expenditure Prediction with Neighbourhood Variables – A Random Forest Model</t>
  </si>
  <si>
    <t>Mohnen, Sigrid, Adriënne H. Rotteveel, Gerda Doornbos &amp; Johan J. Polder</t>
  </si>
  <si>
    <t>https://doi.org/10.1515/spp-2019-0010</t>
  </si>
  <si>
    <t>Cheaper and More Haircuts After VAT Cut? Evidence From the Netherlands</t>
  </si>
  <si>
    <t>Jongen, Egbert, Arjan Lejourz &amp; Gabriella Massenz</t>
  </si>
  <si>
    <t xml:space="preserve">https://www.cpb.nl/sites/default/files/omnidownload/CPB-Discussion-Paper-368-Cheaper-and-more-haircuts-after-VAT-Cut.pdf_x000D_
</t>
  </si>
  <si>
    <t>Goedkoper geknipt, maar niet vaker:de effecten van de btw-verlaging voor kappers</t>
  </si>
  <si>
    <t>https://www.cpb.nl/publicatie/goedkoper-geknipt-maar-ook-vaker-de-btw-verlaging-voor-kappersdiensten</t>
  </si>
  <si>
    <t>Oververhitting op de Nederlandse huizenmarkt?</t>
  </si>
  <si>
    <t>Groot, Stefan, Benedikt Vogt, Karen van der Wiel &amp; Machiel van Dijk</t>
  </si>
  <si>
    <t>https://www.cpb.nl/publicatie/cpb-risicorapportage-financiele-markten-2018#docid-159508</t>
  </si>
  <si>
    <t>Multiprobleemgezinnen per provincie en gemeente</t>
  </si>
  <si>
    <t>Kann-Weedage, D., Zoon, M., Addink, A., van Boven, J., Berger, M. &amp; de Wilde, E.J</t>
  </si>
  <si>
    <t>https://www.nji.nl/Multiprobleemgezinnen-per-provincie-en-gemeente</t>
  </si>
  <si>
    <t>Aantal en kosten van multiprobleemgezinnen in Almelo</t>
  </si>
  <si>
    <t>Kann-Weedage Daphne, Mariska Zoon, Anne Addink, José van Boven, Marianne Berger &amp; Erik Jan de Wilde</t>
  </si>
  <si>
    <t>https://www.nji.nl/nl/Download-NJi/Publicatie-NJi/Rapport-Aantal-en-kosten-van-multiprobleemgezinnen-in-Almelo.pdf</t>
  </si>
  <si>
    <t>Sportdeelname en accommodatiegebruik in Limburg : onderzoek naar de huidige en toekomstige sportdeelname en accommodatiegebruik in de provincie Limburg (2016)</t>
  </si>
  <si>
    <t>Dool, R. van den &amp; Hoekman, R.</t>
  </si>
  <si>
    <t>Mulier instituut</t>
  </si>
  <si>
    <t>Waarborgt de WTOS de financiële toegankelijkheid van het onderwijs?</t>
  </si>
  <si>
    <t xml:space="preserve">Berg, Emina van den, Lieke Megens, Arjan van den Meijden &amp; Pjotr Koopman </t>
  </si>
  <si>
    <t>Kohnstamm Instistuut</t>
  </si>
  <si>
    <t>Geschikt voor de arbeidsmarkt: Mogelijkheden om de arbeidsparticipatie in de WIA te bevorderen</t>
  </si>
  <si>
    <t>Murre, Joyce &amp; Wim Zwinkels</t>
  </si>
  <si>
    <t>SZW</t>
  </si>
  <si>
    <t>https://www.rijksoverheid.nl/documenten/rapporten/2017/04/26/interdepartementaal-beleidsonderzoek-%E2%80%9Cgeschikt-voor-de-arbeidsmarkt</t>
  </si>
  <si>
    <t>Monitor Sociale Veerkracht 2018</t>
  </si>
  <si>
    <t xml:space="preserve">Haar, van der Marleen, Claasje Beyen, Mariëlle Blanken, John Dagevos, Rens Mulder, Sanne Paenen, Ruben Smeets, Loet Verhoeven, Patrick Vermeulen &amp; Koen Vinckx </t>
  </si>
  <si>
    <t>Het PON</t>
  </si>
  <si>
    <t>TIU_TiSEM_Telos</t>
  </si>
  <si>
    <t>Sociale veerkracht Tabellenboek</t>
  </si>
  <si>
    <t>De prijs van flexibel werk</t>
  </si>
  <si>
    <t>Volkerink, Maikel, David &amp; Cindy Biesenbeek</t>
  </si>
  <si>
    <t>Tijdschrift voor Arbeidsvraagstukken</t>
  </si>
  <si>
    <t xml:space="preserve">https://doi.org/10.5117/TVA2021.2.007.VOLK_x000D_
</t>
  </si>
  <si>
    <t>Het aanvragen van een verklaring omtrent het gedrag door jongeren als dilemma</t>
  </si>
  <si>
    <t>Boekhoorn, Paul, Timo Verhaegh &amp; Maarten Wolbers</t>
  </si>
  <si>
    <t>https://www.kbanijmegen.nl/doc/pdf/Eindrapport onderzoek Dark number VOG.pdf</t>
  </si>
  <si>
    <t>NEET is een slechte indicator van kwetsbaarheid</t>
  </si>
  <si>
    <t xml:space="preserve">Alexander Dicks &amp; Mark Levels </t>
  </si>
  <si>
    <t>ROA</t>
  </si>
  <si>
    <t>https://esb.nu/kort/20037598/neet-is-een-slechte-indicator-van-kwetsbaarheid</t>
  </si>
  <si>
    <t>Evaluatie fiscale ondernemersregelingen</t>
  </si>
  <si>
    <t xml:space="preserve">Weel B, ter, Sandra Vriend, Tom Smits, Joost Witteman &amp; Nicole Rosenboom_x000D_
</t>
  </si>
  <si>
    <t xml:space="preserve">Verdringingseffecten binnen het het Nederlandse Zorgstelsel </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</si>
  <si>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</si>
  <si>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</si>
  <si>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</si>
  <si>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Impact of Raising the Retirement Age on Firms</t>
  </si>
  <si>
    <t>Hut, Stefan</t>
  </si>
  <si>
    <t>niet bekend</t>
  </si>
  <si>
    <t>UniBrown_Economics</t>
  </si>
  <si>
    <t>Verdeelmodel inkomensdeel Participatiewet 2017</t>
  </si>
  <si>
    <t>Tempelman C., M. Lammers, S. Vriend &amp; T. Smits</t>
  </si>
  <si>
    <t>http://www.seo.nl/pagina/article/verdeelmodel-inkomensdeel-participatiewet-2017/</t>
  </si>
  <si>
    <t>Geschillen in het MKB; Over het verloop van conflicten bij bedrijven tot tien werkzame personen_x000D_</t>
  </si>
  <si>
    <t>Geurts, T. &amp; M.J. ter Voort</t>
  </si>
  <si>
    <t>CBS_DVO</t>
  </si>
  <si>
    <t>https://repository.wodc.nl/handle/20.500.12832/229</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</si>
  <si>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</si>
  <si>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</si>
  <si>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</si>
  <si>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Leefbaarheid in Nederland 2018</t>
  </si>
  <si>
    <t>Leidelmeijer, Kees, Marten Middeldorp &amp; Gerard Marlet</t>
  </si>
  <si>
    <t>https://leefbaarometer.nl/resources/Leefbaarheid%20in%20Nederland%202018.pdf</t>
  </si>
  <si>
    <t>Wat verdient een overheids- of onderwijswerknemer ten opzichte van de marktsector</t>
  </si>
  <si>
    <t>Werff, S. van der, C. Biesenbeek, A. Heyma &amp; L. Megens</t>
  </si>
  <si>
    <t>http://www.seo.nl/pagina/article/wat-verdient-een-overheids-of-onderwijswerknemer-ten-opzichte-van-de-marktsector/</t>
  </si>
  <si>
    <t>Wat een leraar in het primair onderwijs verdient</t>
  </si>
  <si>
    <t>Weff, S. van der, C. Biesenbeek &amp; A. Heyma</t>
  </si>
  <si>
    <t>http://www.seo.nl/pagina/article/wat-een-leraar-in-het-primair-onderwijs-verdient/</t>
  </si>
  <si>
    <t>Wat een leraar in het voortgezet onderwijs verdient</t>
  </si>
  <si>
    <t>Werff, S. van der, C. Biesenbeek &amp; A. Heyma</t>
  </si>
  <si>
    <t>http://www.seo.nl/pagina/article/wat-een-leraar-in-het-voortgezet-onderwijs-verdient/</t>
  </si>
  <si>
    <t>Effects of Early Retirement Policy Changes on Working until Retirement: Natural experiment</t>
  </si>
  <si>
    <t>Boot, Cécile R.L. Micky Scharn, Allard J. van der Beek, Lars L. Andersen, Chris T.M. Elbers &amp; Maarten Lindeboom</t>
  </si>
  <si>
    <t>Kinderen overtreffen hun ouders minder vaak in inkomen</t>
  </si>
  <si>
    <t>Janssen, Paulien, René Schulenberg, Daniël van Vuuren &amp; Manuel Buitenhuis</t>
  </si>
  <si>
    <t>Vermogensongelijkheid: het is de demografie!?</t>
  </si>
  <si>
    <t>Schulenberg, René</t>
  </si>
  <si>
    <t>Oorzaken van de toename in de primaireinkomensongelijkheid</t>
  </si>
  <si>
    <t>Schulenberg, René &amp; Manuel Buitenhuis</t>
  </si>
  <si>
    <t>Effectiviteit re-integratiebeleid gemeente Stichtse Vecht</t>
  </si>
  <si>
    <t>Zandvliet, Kees, Peter van Nes &amp; Elisa de Vleeschouwer</t>
  </si>
  <si>
    <t>http://seor.nl/publicatie/effectiviteit-re-integratiebeleid-gemeente-stichtse-vecht</t>
  </si>
  <si>
    <t>Inkomenspositie ouderen</t>
  </si>
  <si>
    <t>Scholte, Robert &amp; Marloes Lammers</t>
  </si>
  <si>
    <t>FNV</t>
  </si>
  <si>
    <t>Rapport: expats krijgen te veel belastingvoordelen in Nederland</t>
  </si>
  <si>
    <t>http://www.volkskrant.nl/economie/rapport-expats-krijgen-te-veel-belastingvoordelen-in-nederland~a4500630/</t>
  </si>
  <si>
    <t>Evaluatie 30%-regeling</t>
  </si>
  <si>
    <t>Vankan, ir. Arthur, ir. ing. Reg Brennenraedts MBA, dr. Pim den Hertog, ir. Menno Driesse,_x000D_
ir. Jasper Veldman &amp; Yordi Rienstra MSc</t>
  </si>
  <si>
    <t>Doorontwikkeling WoonZorgwijzer Van ontwerp naar operationeel model</t>
  </si>
  <si>
    <t>Leidelmeijer, Kees, Johan van Iersel &amp; Froukje van Rossum</t>
  </si>
  <si>
    <t>https://infact.eu/images/PDF/WZ-Wijzer/WZ-wijzer - 3 - operationeel model.pdf</t>
  </si>
  <si>
    <t>Kosten en opbrengsten terugbrengen AOW-leeftijd naar 65 jaar</t>
  </si>
  <si>
    <t>Koning, Jaap de, Arie Gelderblom, José Gravesteijn &amp; Elisa de Vleeschouwer</t>
  </si>
  <si>
    <t>http://seor.nl/publicatie/kosten-en-opbrengsten-terugbrengen-aow-leeftijd-naar-65-jaar</t>
  </si>
  <si>
    <t>Kennissynthese: Werken in de maatschappelijke ondersteuning in Nederland: nu en in de toekomst</t>
  </si>
  <si>
    <t>Batenburg, Ronald, Mieke Rijken, Simone Versteeg &amp; Elize Vis</t>
  </si>
  <si>
    <t xml:space="preserve">Evaluatie Small Business Innovation Research (SBIR)_x000D_
</t>
  </si>
  <si>
    <t xml:space="preserve">Bongers, Frank, Pieter Jan de Boer, Matthijs Janssen, Jessica Steur, Jasper Veldman &amp; Bart Verspagen </t>
  </si>
  <si>
    <t>https://www.dialogic.nl/file/2018/05/Dialogic-Eindrapport-Evaluatie-SBIR.pdf</t>
  </si>
  <si>
    <t>Wie sporten er meer in Nederland? Een onderzoek naar verschillen in sportdeelname voor individuele en gemeentekenmerken</t>
  </si>
  <si>
    <t>Gooskens, Wendy</t>
  </si>
  <si>
    <t>Monitor sportuitgaven gemeenten. Een overzicht van de ontwikkelingen (2010-2017)</t>
  </si>
  <si>
    <t>Dool, Remko van den &amp; Remco Hoekman</t>
  </si>
  <si>
    <t>Mulier Instituut</t>
  </si>
  <si>
    <t>Verfijning bijstandsverdeelmodel 2018</t>
  </si>
  <si>
    <t xml:space="preserve">Caren Tempelman, Sandra Vriend, Lennart Kroon, Gerard Marlet &amp; Clemens van Woerkens </t>
  </si>
  <si>
    <t>Tempelman Caren, Sandra Vriend, Lennart Kroon, Gerard Marlet (Atlas voor Gemeenten) &amp; Clemens van Woerkens (Atlas voor gemeenten)</t>
  </si>
  <si>
    <t>Risicoverevening:Onderzoek cliëntprofielen wijkverpleging</t>
  </si>
  <si>
    <t>Schipper, Esther, Jan Reitsma, Loes Koster &amp; Wijnand van Plaggenhoef</t>
  </si>
  <si>
    <t xml:space="preserve">Significant </t>
  </si>
  <si>
    <t>APE_Significant</t>
  </si>
  <si>
    <t>Sectoranalyse onderwijs</t>
  </si>
  <si>
    <t>Lubberman, drs. H.J.H., H.J. Rossing, MSc, A. Leemans, MSC &amp; dr. M.C. Paulussen-Hoogeboom</t>
  </si>
  <si>
    <t>https://www.regioplan.nl/project/sectoranalyse-onderwijs-2/</t>
  </si>
  <si>
    <t>Studie &amp; Werk 2018: De arbeidsmarktpositie van hbo- en wo-alumni</t>
  </si>
  <si>
    <t>Bisschop, Paul, Jelle Zwetsloot &amp; Siemen van der Werff</t>
  </si>
  <si>
    <t>Studie &amp; Werk 2018: De arbeidsmarktpositie van hbo- en wo-alumni: Statistische bijlage: tabellen hbo’ers</t>
  </si>
  <si>
    <t xml:space="preserve">Studie &amp; Werk 2018: De arbeidsmarktpositie van hbo- en wo-alumni Statistische bijlage: tabellen wo’ers_x000D_
</t>
  </si>
  <si>
    <t>Studie &amp; Werk 2019: De arbeidsmarktpositie van hbo- en wo-alumni</t>
  </si>
  <si>
    <t>Bisschop, Paul &amp; Jelle Zwetsloot</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</si>
  <si>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</si>
  <si>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</si>
  <si>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</si>
  <si>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RUG_FSE</t>
  </si>
  <si>
    <t>https://pubmed.ncbi.nlm.nih.gov/30147377/</t>
  </si>
  <si>
    <t>Kans op en effecten van kleuterbouwverlenging voor jonge en oudere kinderen en verschillen naar sociale en etnische achtergrond</t>
  </si>
  <si>
    <t xml:space="preserve">Veen, I. van der &amp; Karssen, M. </t>
  </si>
  <si>
    <t>Sleutelmomenten jonge kind. Wat is een goed aanbod voor doelgroepkinderen? Drie deelonderzoeken gebundeld</t>
  </si>
  <si>
    <t xml:space="preserve">Veen, A., Veen, I. van der, Karssen &amp; M. Weijers, D. </t>
  </si>
  <si>
    <t>Prevalence of child maltreatment in the Netherlands: An update and cross-time comparison</t>
  </si>
  <si>
    <t xml:space="preserve">Van Berkel, S.R.,  Prevoo, M.J.L., Linting, M., Pannebakker, F.D. &amp; Alink, L.R.A. </t>
  </si>
  <si>
    <t>https://www.researchgate.net/publication/339598901_Prevalence_of_child_maltreatment_in_the_Netherlands_An_update_and_cross-time_comparison</t>
  </si>
  <si>
    <t>Nationale Prevalentiestudie Kinderen en Jeugdigen</t>
  </si>
  <si>
    <t xml:space="preserve">Alink, L.R.A., Prevoo, M., Berkel, S. van, Linting, M., Klein Velderman, M.&amp; Pannebakker, F. </t>
  </si>
  <si>
    <t>https://www.wodc.nl/binaries/2668G_volledige_tekst_tcm28-373868.pdf</t>
  </si>
  <si>
    <t>Experimenting with dropout prevention policies</t>
  </si>
  <si>
    <t xml:space="preserve">Bolhaar, Jonneke, Sander Gerritsen, Sonny Kuijpers &amp; Karen van der Wiel </t>
  </si>
  <si>
    <t>Gevolgen flexibele AOW-leeftijd</t>
  </si>
  <si>
    <t>Kok, lucy, Lennart Kroon, Marloes Lammers, Arthur van Soest (Universiteit Tilburg) &amp;_x000D_
Bas ter Weel</t>
  </si>
  <si>
    <t>Do house prices matter for household consumption? CPB Discussion Paper</t>
  </si>
  <si>
    <t>Zhang, L.</t>
  </si>
  <si>
    <t>https://www.cpb.nl/sites/default/files/omnidownload/cpb-discussion-paper-do-house-prices-matter-for-household-consumption.pdf</t>
  </si>
  <si>
    <t>Huishoudens met hoge hypotheek bezuinigen tijdens een recessie</t>
  </si>
  <si>
    <t>Teulings, R. &amp; L. Zhang</t>
  </si>
  <si>
    <t>Koplopers en volgers: geen divergentie in Nederland</t>
  </si>
  <si>
    <t>Meijerink, Gerdien, Leon Bettendorf &amp; Harro van Heuvelen</t>
  </si>
  <si>
    <t>De gevolgen van de coronacrisis voor Nederlandse bedrijven en banken</t>
  </si>
  <si>
    <t>Soederhuizen, Beau , Leon Be_x001F_ endorf, Harro van Heuvelen, Bert Kramer &amp; Sander Lammers</t>
  </si>
  <si>
    <t>https://www.cpb.nl/de-gevolgen-van-de-coronacrisis-voor-nederlandse-bedrijven-en-banken</t>
  </si>
  <si>
    <t>Nationaal Cohortonderzoek Onderwijs</t>
  </si>
  <si>
    <t>CBS_SAL</t>
  </si>
  <si>
    <t>https://www.cbs.nl/nl-nl/maatwerk/2019/50/nationaal-cohortonderzoek-onderwijs-2019</t>
  </si>
  <si>
    <t>Evaluatie Agroregelingen met POP2 financiering en fijnstofmaatregelen</t>
  </si>
  <si>
    <t>Doornbos, Holmer, Simon Bremer, Ralph Kohlmann, &amp; Dominique Reumkens</t>
  </si>
  <si>
    <t>Berenschot_BEA</t>
  </si>
  <si>
    <t xml:space="preserve">Verlofregelingen arbeid en zorg naar type arbeidsrelatie_x000D_
</t>
  </si>
  <si>
    <t>Epsilon Research</t>
  </si>
  <si>
    <t>https://www.rijksoverheid.nl/documenten/rapporten/2018/05/30/verlofregelingen-arbeid-en-zorg-naar-type-arbeidsrelatie</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</si>
  <si>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</si>
  <si>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</si>
  <si>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</si>
  <si>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Intergenerational continuity of crime among children of organized crime offenders in the Netherlands</t>
  </si>
  <si>
    <t>Dijk, Meintje van, Veroni Eichelsheim, Edward Kleemans, Melvin Soudijn &amp; Steve van de Weijer</t>
  </si>
  <si>
    <t>VU_Rechtsgeleerdheid</t>
  </si>
  <si>
    <t>https://link.springer.com/article/10.1007/s10611-021-09970-1</t>
  </si>
  <si>
    <t>Non-Bunching at Kinks and Notches in Cash Transfers</t>
  </si>
  <si>
    <t>Bosch, Nicole, Egbert Jongen, Wouter Leenders &amp; Jan Möhlmann</t>
  </si>
  <si>
    <t>https://www.cpb.nl/sites/default/files/omnidownload/DP%20Bosch%20et%20al%202019%20-reduced.pdf</t>
  </si>
  <si>
    <t>Gebruik (en niet-gebruik) van toeslagen in Nederland Empirische analyse van huurtoeslag en kindgebonden budget</t>
  </si>
  <si>
    <t>Berkhout, Ernest, Nicole Bosch &amp; Patrick Koot</t>
  </si>
  <si>
    <t>Instroom en doorstroom in het kader van een diverse studentenpopulatie; aanmeldgedrag en studiesucces van verschillende groepen</t>
  </si>
  <si>
    <t>Wijngaards-de Meij, Leoniek &amp; Lientje Maas</t>
  </si>
  <si>
    <t>Mobiliteitsbeleid onder de loep</t>
  </si>
  <si>
    <t>Matthijs van den Wijngaard</t>
  </si>
  <si>
    <t>MinI&amp;W_KiM</t>
  </si>
  <si>
    <t>Family Complexity and Parents’ Migration: The Role of Repartnering and Distance to Non-Resident Children</t>
  </si>
  <si>
    <t>Van der Wiel, Roselinde, Niels Kooiman &amp; Clara H. Mulder</t>
  </si>
  <si>
    <t>Naar een nieuw onderwijsresultatenmodel voor het primair onderwijs: een nieuwe maat voor de leerlingenpopulatie</t>
  </si>
  <si>
    <t>https://www.onderwijsinspectie.nl/onderwerpen/onderwijsresultaten-primair-onderwijs/naar-een-nieuw-onderwijsresultatenmodel</t>
  </si>
  <si>
    <t>Beyond plausibly exogenous</t>
  </si>
  <si>
    <t xml:space="preserve">Kippersluis, Hans, &amp; Cornelius A. Rietveld </t>
  </si>
  <si>
    <t>The Econometrics Journal</t>
  </si>
  <si>
    <t>UniHongKong_Baptist_Economics</t>
  </si>
  <si>
    <t>https://onlinelibrary.wiley.com/doi/epdf/10.1111/ectj.12113</t>
  </si>
  <si>
    <t>Notitie Arbeidsmarktbehoefte masteropleiding Law &amp; Finance</t>
  </si>
  <si>
    <t>Koopmans Carl, Cindy Biesenbeek &amp; Emina van den Berg</t>
  </si>
  <si>
    <t>http://www.seo.nl/pagina/article/notitie-arbeidsmarktbehoefte-masteropleiding-law-finance/</t>
  </si>
  <si>
    <t>Regionale plaatsing vergunninghouders en kans op werk</t>
  </si>
  <si>
    <t>Gerritsen, Sander, Mark Kattenberg &amp; Wouter Vermeulen</t>
  </si>
  <si>
    <t>Vergunninghouders trekken weg uit dunbevolkte gebieden</t>
  </si>
  <si>
    <t>Benut big data bij regionale plaatsing van asielmigranten met een verblijfsvergunning</t>
  </si>
  <si>
    <t>Doorstroom naar het mbo en succes in het mbo van jongeren uit praktijkonderwijs, vmbo-b en vso</t>
  </si>
  <si>
    <t>Koopman, Pjotr &amp; Guuske Ledoux</t>
  </si>
  <si>
    <t>Konstamm</t>
  </si>
  <si>
    <t>Delinquent Development, Employment and Income in a Sample of Dutch Organized Crime Offenders: Shape, Content, and Correlates of Delinquent Trajectories from Age 12 to 65</t>
  </si>
  <si>
    <t>Geest, Victor van der, M. Vere van Koppen &amp; Edward R. Kleemans</t>
  </si>
  <si>
    <t>Vrije Universiteit Amsterdam</t>
  </si>
  <si>
    <t>https://doi.org/10.1007/978-3-030-36639-1_13</t>
  </si>
  <si>
    <t xml:space="preserve">Employment and organized crime: A longitudinal analysis. European Journal of Criminology </t>
  </si>
  <si>
    <t>Koppen, van M.V., Van der Geest, V., Kleemans, E.R. &amp; Kruisbergen, E.W</t>
  </si>
  <si>
    <t>Employment and crime: A longitudinal follow-up of organized crime offenders</t>
  </si>
  <si>
    <t>Koppen, Vera van, Victor van der Geest, Edward Kleemans &amp; Edwin Kruisbergen</t>
  </si>
  <si>
    <t>Eerst kopen of eerst verkopen? Een empirische analyse van de strategieën van doorstromers op de woningmarkt</t>
  </si>
  <si>
    <t>Rouwendal, Jan, Florian Sniekers &amp; Or Levkovich</t>
  </si>
  <si>
    <t>Factsheet 1: Kenmerken van de populatie en gebruik van ziekenhuis- en huisartsenzorg</t>
  </si>
  <si>
    <t>Oosterveld, Mariska, An Reyners, Marianne Heins, Manon Boddaert, Yvonne Engels, Agnes van der Heide, Bregje Onwuteaka-Philipsen, Robert Verheij &amp; Anneke Francke</t>
  </si>
  <si>
    <t>https://nivel.nl/nl/publicatie/factsheet-1-kenmerken-van-de-populatie-en-gebruik-van-ziekenhuis-en-huisartsenzorg</t>
  </si>
  <si>
    <t>Factsheet 2: Acute zorg in het ziekenhuis en van de huisartsenpost</t>
  </si>
  <si>
    <t>Factsheet 3: Voorschrijven van medicatie door de huisarts</t>
  </si>
  <si>
    <t>https://www.nivel.nl/sites/default/files/bestanden/1003839.pdf</t>
  </si>
  <si>
    <t>Factsheet 4: IC opnamen en andere potentieel niet-passende behandelingen in het ziekenhuis</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</si>
  <si>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</si>
  <si>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</si>
  <si>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</si>
  <si>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Onderwijsstromen Den Haag in beeld 2019</t>
  </si>
  <si>
    <t>Bisschop, Paul &amp; Koen van der Ven</t>
  </si>
  <si>
    <t>http://www.seo.nl/pagina/article/onderwijsstromen-den-haag-in-beeld-2019/</t>
  </si>
  <si>
    <t>Onderwijsstromen Den Haag in beeld 2020</t>
  </si>
  <si>
    <t>https://www.seo.nl/publicaties/onderwijsstromen-den-haag-in-beeld/</t>
  </si>
  <si>
    <t>Bergbeklimmers in het onderwijs</t>
  </si>
  <si>
    <t>https://www.onderwijsincijfers.nl/themas/transities-in-het-onderwijs/bergbeklimmers-in-het-onderwijs-extreem-stapelen</t>
  </si>
  <si>
    <t>Doorstroom van het mbo naar het hbo: doorstroomkansen en studiesucces over de tijd</t>
  </si>
  <si>
    <t>https://www.onderwijsincijfers.nl/themas/transities-in-het-onderwijs/doorstroom-van-mbo-naar-hbo</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</si>
  <si>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</si>
  <si>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</si>
  <si>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</si>
  <si>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</si>
  <si>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Monitor Verkeersveiligheid 2019: meer verkeersdoden en meer ernstig verkeersgewonden in 2018</t>
  </si>
  <si>
    <t>Aarts, Letty</t>
  </si>
  <si>
    <t>https://www.swov.nl/nieuws/monitor-verkeersveiligheid-2019-meer-verkeersdoden-en-meer-ernstig-verkeersgewonden-2018</t>
  </si>
  <si>
    <t>De sociale staat van Nederland</t>
  </si>
  <si>
    <t>Wennekers, Annemarie, Jeroen Boelhouwer, Cretien van Campen &amp; Rob Bijl</t>
  </si>
  <si>
    <t>https://digitaal.scp.nl/ssn2018/</t>
  </si>
  <si>
    <t xml:space="preserve">Gemeten gas- en elektriciteitsintensiteiten gebouwen binnen de utiliteitssector </t>
  </si>
  <si>
    <t>Sipma, Jeffrey</t>
  </si>
  <si>
    <t>https://twitter.com/ecn</t>
  </si>
  <si>
    <t>Nieuwe benchmarkmethodiek energiegebruik kantoren</t>
  </si>
  <si>
    <t>http://publications.tno.nl/publication/34635012/6tXviw/TNO-2019-P11713.pdf</t>
  </si>
  <si>
    <t>Het daadwerkelijk energieverbruik van gelabelde en niet-gelabelde restaurants</t>
  </si>
  <si>
    <t>https://repository.tudelft.nl/view/tno/uuid:6d1f96c7-c436-4c26-883c-a73758ed59d0</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</si>
  <si>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</si>
  <si>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</si>
  <si>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</si>
  <si>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Regionale innovatie</t>
  </si>
  <si>
    <t>Broek, Jos van den, Timo Maas &amp;  Jasper Deuten</t>
  </si>
  <si>
    <t>Rathenau Instituut</t>
  </si>
  <si>
    <t>Rathenau</t>
  </si>
  <si>
    <t>Proefschrift: Cardiovascular disease and second cancer risk in testicular cancer survivors.</t>
  </si>
  <si>
    <t>Rözer-Groot, Harmke</t>
  </si>
  <si>
    <t>Rapport bij de Nationale Verklaring 2019: Oordeel bij de verantwoording van lidstaat Nederland over Europese fondsen in gedeeld beheer</t>
  </si>
  <si>
    <t>ARK</t>
  </si>
  <si>
    <t>https://www.rekenkamer.nl/publicaties/rapporten/2019/05/15/rapport-bij-de-nationale-verklaring-2019</t>
  </si>
  <si>
    <t>De zin van promoveren: Loopbanen en arbeidsmarktperspectieven van gepromoveerden</t>
  </si>
  <si>
    <t>Koier, Elizabeth &amp; Jos de Jonge</t>
  </si>
  <si>
    <t xml:space="preserve">Beleidsevaluatie subsidieregeling indirecte emissiekosten ETS </t>
  </si>
  <si>
    <t xml:space="preserve">Tieben, B. &amp; D. in 't Veld </t>
  </si>
  <si>
    <t>http://www.seo.nl/pagina/article/beleidsevaluatie-subsidieregeling-indirecte-emissiekosten-ets/</t>
  </si>
  <si>
    <t>Influenza burden and influenza vaccination in cancer</t>
  </si>
  <si>
    <t>Wumkes, Miriam Lauren</t>
  </si>
  <si>
    <t>Utrecht University</t>
  </si>
  <si>
    <t>https://www.narcis.nl/publication/RecordID/oai%3Adspace.library.uu.nl%3A1874%2F371372/id/5/Language/NL/uquery/wumkes/coll/publication</t>
  </si>
  <si>
    <t>Analyse financieel nadeel Asten</t>
  </si>
  <si>
    <t>CEBEON</t>
  </si>
  <si>
    <t>https://raad.asten.nl/uploads/tx_windcorsa/04_C_Eindrapport_onderzoek_Cebeon_medicijngebruik_incl._Vektis.pdf</t>
  </si>
  <si>
    <t>De relatie tussen de Amsterdamse woningmarkt en het lerarentekort</t>
  </si>
  <si>
    <t>Groot, J. MSc, A. Leemans, MSc, drs. H.J.H. Lubberman &amp; H.J. Rossing, MSc</t>
  </si>
  <si>
    <t>https://www.regioplan.nl/publicaties/rapporten/de_relatie_tussen_de_amsterdamse_woningmarkt_en_het_lerarentekort</t>
  </si>
  <si>
    <t>Geld mag geen drempel zijn. Evaluatie van de Tijdelijke regeling voorziening leermiddelen voor mbo-deelnemers uit minimagezinnen</t>
  </si>
  <si>
    <t>Berg, E. van den, L. Megens, A.L. van der Vegt &amp; F. Scholten</t>
  </si>
  <si>
    <t>Vaststellen bijstandsbudgetten 2018</t>
  </si>
  <si>
    <t xml:space="preserve">Tempelman, Caren, Sandra Vriend &amp; Gerard Marlet </t>
  </si>
  <si>
    <t>Migrants and Global Value Chains: Evidence from Dutch Firms</t>
  </si>
  <si>
    <t>Erbahar, Aksel &amp; Omer Tarik Gencosmanoglu</t>
  </si>
  <si>
    <t>Effectively involving low-SES parents in human capital development</t>
  </si>
  <si>
    <t>Haelermans, C. &amp; J. Ghysels</t>
  </si>
  <si>
    <t>https://doi.org/10.26481/umaror.2019008</t>
  </si>
  <si>
    <t xml:space="preserve">BRIDGE: De brug van school naar werk_x000D_
</t>
  </si>
  <si>
    <t>Gelderblom, Arie, Paul de Hek, Jaap de Koning, Romain Rey, Arie-Jan van der Toorn &amp;_x000D_
Elisa de Vleeschouwer</t>
  </si>
  <si>
    <t>https://www.seor.nl/evaluatie-bridge/</t>
  </si>
  <si>
    <t>The BRIDGE project Journal No 5</t>
  </si>
  <si>
    <t>Adams, E.</t>
  </si>
  <si>
    <t>Individual placement and support and employment in personality disorders: a registry based cohort study</t>
  </si>
  <si>
    <t>Juurlink, T.T., F. Lamers, H.J.F. van Marle, W. Zwinkels, M.A. Spijkerman, A.T.F. Beekman &amp; J.R. Anema</t>
  </si>
  <si>
    <t>https://pubmed.ncbi.nlm.nih.gov/35300624/</t>
  </si>
  <si>
    <t>NEET-rate en risico’s per arbeidsregio</t>
  </si>
  <si>
    <t>https://monitoraoj.nl/arbeidsregio1/</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</si>
  <si>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</si>
  <si>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</si>
  <si>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</si>
  <si>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</si>
  <si>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</si>
  <si>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</si>
  <si>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Jongeren zonder werk en opleiding</t>
  </si>
  <si>
    <t>Tuenter, Thijs &amp; Afke Donker</t>
  </si>
  <si>
    <t>https://www.16-27.nl/jongeren-zonder-werk-en-opleiding</t>
  </si>
  <si>
    <t>In gesprek over cijfers</t>
  </si>
  <si>
    <t>https://www.16-27.nl/cijfers</t>
  </si>
  <si>
    <t xml:space="preserve">Psychische problematiek </t>
  </si>
  <si>
    <t>https://www.16-27.nl/cijfers/psychische-problematiek</t>
  </si>
  <si>
    <t>Jeugdzorg en politiecontact</t>
  </si>
  <si>
    <t>https://www.16-27.nl/cijfers/jeugdzorg-en-politiecontact</t>
  </si>
  <si>
    <t>Waarde van cultuur 2020</t>
  </si>
  <si>
    <t>Vankan, Arthur, Femke Nieuwenhuis-van W.k, Nick Jelicic, Peter Rom.n,_x000D_
Titia Lelie &amp; Wouter Koppers</t>
  </si>
  <si>
    <t>Telos</t>
  </si>
  <si>
    <t>https://regioprofielbrabant.nl/wp-content/uploads/2020/06/Waarde-van-cultuur-2020.pdf</t>
  </si>
  <si>
    <t>Waarde van Cultuur 2018</t>
  </si>
  <si>
    <t>Broers, Bo, Rogier Brom, Britte van Dalen, Jenneke Harings,_x000D_
Ruben Smeets &amp; Henk Vinken</t>
  </si>
  <si>
    <t>https://regioprofielbrabant.nl/wp-content/uploads/2019/09/WAARDE-VAN-CULTUUR_BINNENWERKCOVER.pdf</t>
  </si>
  <si>
    <t>Krasse knarren kúnnen kraken</t>
  </si>
  <si>
    <t>Schilder, Frans, Femke Daalhuizen &amp; Carola de Groot</t>
  </si>
  <si>
    <t>https://themasites.pbl.nl/krasse-knarren/</t>
  </si>
  <si>
    <t>Zorg om banen in de ouderenzorg</t>
  </si>
  <si>
    <t>Daalhuizen, Femke, Carola de Groot &amp; Hans van Amsterdam</t>
  </si>
  <si>
    <t>https://themasites.pbl.nl/zorg-om-banen-in-de-ouderenzorg/</t>
  </si>
  <si>
    <t>Aanpassen of verkassen? Langer zelfstandig in een geschikte woning</t>
  </si>
  <si>
    <t>Groot, Carola de, Marieke van der Staak, Femke Daalhuizen &amp; George de Kam (RuG)</t>
  </si>
  <si>
    <t>https://themasites.pbl.nl/aanpassen-of-verkassen/</t>
  </si>
  <si>
    <t>Langer zelfstandig wonen in een geschikte woonomgeving</t>
  </si>
  <si>
    <t>Daalhuizen, Femke, Carola de Groot &amp; George de Kam</t>
  </si>
  <si>
    <t>https://themasites.pbl.nl/langer-zelfstandig-wonen/</t>
  </si>
  <si>
    <t>Koopman, Pjotr &amp; Marieke Buisman</t>
  </si>
  <si>
    <t>The Working Poor in Urban Areas: Effective policy initiatives</t>
  </si>
  <si>
    <t>Giest, Sarah, José Miotto &amp; Wessel Kraaij</t>
  </si>
  <si>
    <t>UL_W&amp;N_LIACS</t>
  </si>
  <si>
    <t>https://static1.squarespace.com/static/560bd9e7e4b067a54c36b111/t/59b18553e5dd5b4656861fa7/1504806228772/D4P_ConferencePaper_Final.pdf</t>
  </si>
  <si>
    <t>Robust Estimation using Aggregated Data for Urban policy making (READ-URBAN)</t>
  </si>
  <si>
    <t>Kraaij, Wessel</t>
  </si>
  <si>
    <t>UL_LIACS</t>
  </si>
  <si>
    <t>https://www.universiteitleiden.nl/en/research/research-projects/science/liacs-read-urban</t>
  </si>
  <si>
    <t>Effect van wijkteams op het gebruik van ouderenzorg</t>
  </si>
  <si>
    <t>Lambregts, Timo &amp; Anne-Fleur Roos</t>
  </si>
  <si>
    <t xml:space="preserve">https://www.cpb.nl/effect-van-wijkteams-op-het-gebruik-van-ouderenzorg_x000D__x000D_
</t>
  </si>
  <si>
    <t>Gemeentelijke trends in het gebruik van Wmo-ouderenzorg</t>
  </si>
  <si>
    <t>Douven, Rudy, Timo Lambregts, Minke Remmerswaal &amp; Marianne Tenand</t>
  </si>
  <si>
    <t>https://www.cpb.nl/gemeentelijke-trends-in-het-gebruik-van-wmo-ouderenzorg</t>
  </si>
  <si>
    <t>Demografie en de woningmarkt De gevolgen van het toenemend aantal alleenstaanden voor de woningmarkt</t>
  </si>
  <si>
    <t xml:space="preserve">Buys, André &amp; Michelle Hu_x000D_
</t>
  </si>
  <si>
    <t>http://www.rigo.nl/</t>
  </si>
  <si>
    <t>Zorglandschap en zorggebruik in een veranderende eerste lijn</t>
  </si>
  <si>
    <t xml:space="preserve">Flinterman, L., Groenewegen, P. &amp; Verheij, R. </t>
  </si>
  <si>
    <t>https://www.nivel.nl/nl/publicatie/zorglandschap-en-zorggebruik-een-veranderende-eerste-lijn</t>
  </si>
  <si>
    <t>Sociaal-economisch brandrisico</t>
  </si>
  <si>
    <t>Naber, Nick, Vincent Oskam, Rogier Piek &amp; Sietse de Ruiter</t>
  </si>
  <si>
    <t>VRRotterdam</t>
  </si>
  <si>
    <t>VRRotterdam_Onderzoek_Analyse</t>
  </si>
  <si>
    <t>https://vr-rr.nl/over/cijfers-publicaties/</t>
  </si>
  <si>
    <t>Studie in cijfers</t>
  </si>
  <si>
    <t>diverse</t>
  </si>
  <si>
    <t>SSB</t>
  </si>
  <si>
    <t>SBB_ABD</t>
  </si>
  <si>
    <t>Dashboard; kwetsbare ouderen</t>
  </si>
  <si>
    <t>GGD_BrabantScan</t>
  </si>
  <si>
    <t>GGD_HartvoorBrabant_Onderzoek</t>
  </si>
  <si>
    <t>https://brabantscan.nl/dashboard/volwassenen--18--jaar-/kwetsbare-ouderen</t>
  </si>
  <si>
    <t>Kansenkaart: In welke wijken hebben kinderen de beste kans om armoede achter zich te latem?</t>
  </si>
  <si>
    <t>https://kansenkaart.nl/</t>
  </si>
  <si>
    <t>In de wieg al op achterstand: bij baby’s van 4 maanden is de ongelijkheid reeds te zien</t>
  </si>
  <si>
    <t>Kraats, Coen van de &amp; Bastian Ravesteijn</t>
  </si>
  <si>
    <t>Volkskrant</t>
  </si>
  <si>
    <t>https://www.volkskrant.nl/nieuws-achtergrond/in-de-wieg-al-op-achterstand-bij-baby-s-van-4-maanden-is-de-ongelijkheid-reeds-te-zien~b22e4803/</t>
  </si>
  <si>
    <t>Grenzen aan een leven lang leren</t>
  </si>
  <si>
    <t>Ralf Maslowski &amp; Ria Vogels</t>
  </si>
  <si>
    <t>Armoede van generatie op generatie in de Veenkoloniën - 2019</t>
  </si>
  <si>
    <t>https://sociaalplanbureaugroningen.nl/wordpress/wp-content/uploads/2019/10/Feitenblad-generatie-armoede-Veenkoloni%C3%ABn-10-oktober-2019.pdf</t>
  </si>
  <si>
    <t>Armoede van generatie op generatie in de Veenkoloniën</t>
  </si>
  <si>
    <t>https://sociaalplanbureaugroningen.nl/wordpress/wp-content/uploads/2018/11/feitenblad-armoede-van-generatie-op-generatie_oktober-2018.pdf</t>
  </si>
  <si>
    <t>De kloof tussen arm en rijk: Vermogensongelijkheid in de Veenkoloniën</t>
  </si>
  <si>
    <t>https://www.rug.nl/frw/news/2022/de-kloof-tussen-arm-en-rijk-vermogensongelijkheid-in-de-veenkolonien</t>
  </si>
  <si>
    <t>Dé arme bestaat niet</t>
  </si>
  <si>
    <t>Edzes, Arjen, Sanne Visser, Dirk Strijker &amp; Richard Rijnks</t>
  </si>
  <si>
    <t>https://armoedegroningen.nl/de-arme-bestaat-niet/</t>
  </si>
  <si>
    <t>Feitenblad; Problematische schulden in de Veenkoloniën</t>
  </si>
  <si>
    <t>Endendijk, Marcel &amp; Jessy Snip</t>
  </si>
  <si>
    <t>https://armoedegroningen.nl/kennisbank/feitenblad-problematische-schulden-in-de-veenkolonien-rug-oktober-2020/</t>
  </si>
  <si>
    <t xml:space="preserve">De invloed van migratie op armoede en de sociaaleconomische structuur van de Veenkolonien _x000D_
</t>
  </si>
  <si>
    <t>Merx, Erik, Tialda Haartsen, Arjen Edzes, Sander van Lanen &amp; Erik Meij</t>
  </si>
  <si>
    <t>https://research.rug.nl/en/publications/de-invloed-van-migratie-op-armoede-en-de-sociaaleconomische-struc</t>
  </si>
  <si>
    <t>Het ligt in de verwachting dat problemen toenemen</t>
  </si>
  <si>
    <t>Merx, Erik, Arjen Edzes &amp; Sanne Visser</t>
  </si>
  <si>
    <t>https://research.rug.nl/nl/publications/het-ligt-in-de-verwachting-dat-problemen-toenemen</t>
  </si>
  <si>
    <t>Voorkomen is beter dan saneren</t>
  </si>
  <si>
    <t>Merx, Erik</t>
  </si>
  <si>
    <t>https://research.hanze.nl/nl/publications/voorkomen-is-beter-dan-saneren</t>
  </si>
  <si>
    <t>De structurele oorzaken van problematische schulden in de Veenkoloniën</t>
  </si>
  <si>
    <t>https://frw.studenttheses.ub.rug.nl/3360/</t>
  </si>
  <si>
    <t>Problematische schulden in de Veenkoloniën</t>
  </si>
  <si>
    <t xml:space="preserve">https://www.youtube.com/watch?v=B_qSiTypJvk&amp;list=PLdsMpUardfwoi1rA33tjD8MpnChnLgA22&amp;index=3 </t>
  </si>
  <si>
    <t>Armoede in de Veenkoloniën (in cijfers)</t>
  </si>
  <si>
    <t xml:space="preserve">https://www.youtube.com/watch?v=_fLy5gjDqyY&amp;list=PLdsMpUardfwoi1rA33tjD8MpnChnLgA22&amp;index=2 </t>
  </si>
  <si>
    <t>Single-Parent Families and Adolescent Crime: Unpacking the Role of Parental Separation, Parental Decease, and Being Born to a Single-Parent Family</t>
  </si>
  <si>
    <t>Kroese, Janique, Wim Bernasco, Aart C. Liefboer &amp; Jan Rouwendal</t>
  </si>
  <si>
    <t>https://doi.org/10.1007/s40865-021-00183-7</t>
  </si>
  <si>
    <t>Broken homes and crime</t>
  </si>
  <si>
    <t>Kroese, Janique</t>
  </si>
  <si>
    <t>https://research.vu.nl/en/publications/broken-homes-and-crime-differential-effects-of-parental-separatio</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</si>
  <si>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</si>
  <si>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</si>
  <si>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</si>
  <si>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</si>
  <si>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</si>
  <si>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</si>
  <si>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</si>
  <si>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</si>
  <si>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</si>
  <si>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</si>
  <si>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</si>
  <si>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ADAM33 gene polymorphisms and mortality. A prospective cohort study</t>
  </si>
  <si>
    <t>Figarska SM, Vonk JM, van Diemen CC, Postma DS &amp; Boezen HM</t>
  </si>
  <si>
    <t>https://www.rug.nl/research/portal/publications/adam33-gene-polymorphisms-and-mortality(23b34c0f-ad7b-4a83-a759-601f09a28c0e).html</t>
  </si>
  <si>
    <t>https://journals.plos.org/plosone/article?id=10.1371/journal.pone.0058636</t>
  </si>
  <si>
    <t>Dyspnea severity, changes in dyspnea status and mortality in the general population: the Vlagtwedde/Vlaardingen study</t>
  </si>
  <si>
    <t>Figarska SM, Boezen HM &amp; Vonk JM</t>
  </si>
  <si>
    <t>https://www.rug.nl/research/portal/publications/pub(cc1762c6-3434-4ad7-a9fe-804138f92f82).html</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</si>
  <si>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</si>
  <si>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</si>
  <si>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</si>
  <si>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</si>
  <si>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</si>
  <si>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</si>
  <si>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https://www.rug.nl/research/portal/files/23584844/Chapter_7.pdf</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</si>
  <si>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</si>
  <si>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</si>
  <si>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</si>
  <si>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Longitudinal changes in airway hyperresponsiveness and COPD mortality</t>
  </si>
  <si>
    <t>Teferra AA, Vonk JM &amp; Boezen HM</t>
  </si>
  <si>
    <t>https://www.ncbi.nlm.nih.gov/pubmed/31699839</t>
  </si>
  <si>
    <t>Dashboard ’Zicht op Ondermijning’ online</t>
  </si>
  <si>
    <t>https://www.cbs.nl/nl-nl/corporate/2019/51/dashboard-zicht-op-ondermijning-online</t>
  </si>
  <si>
    <t>Opnieuw beginnen. Achtergronden van positieverschillen tussen Syrische statushouders</t>
  </si>
  <si>
    <t xml:space="preserve">Miltenburg, Emily, Jaco Dagevos &amp; Willem Huijnk </t>
  </si>
  <si>
    <t>https://www.scp.nl/publicaties/publicaties/2019/05/16/opnieuw-beginnen</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</si>
  <si>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</si>
  <si>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</si>
  <si>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</si>
  <si>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Understanding spatio-temporal electricity demand at different urban scales: A data-driven approach</t>
  </si>
  <si>
    <t>Voulis, Nina, Martijn Warnier &amp; Frances M.T. Brazier</t>
  </si>
  <si>
    <t>Opbrengsten van outreachend toeleiden: een onderzoek naar het Wijkbanenplan in Den Haag</t>
  </si>
  <si>
    <t xml:space="preserve">Bleeker, Y. &amp; Rossing, H. </t>
  </si>
  <si>
    <t>Evaluation of the career guidance programme BRIDGE in South Rotterdam</t>
  </si>
  <si>
    <t>Koning, Jaap de, Arie Gelderblom, Paul de Hek, Arie-Jan van der Toorn &amp; Elisa de Vleeschouwer</t>
  </si>
  <si>
    <t>https://www.seor.nl/evaluation-of-bridge-(working-paper)/</t>
  </si>
  <si>
    <t>BRIDGE: De brug van onderwijs naar werk</t>
  </si>
  <si>
    <t>Hek, Paul de, Jaap de Koning, Elisa de Vleeschouwer &amp; Arie Gelderblom</t>
  </si>
  <si>
    <t>https://www.seor.nl/bridge/</t>
  </si>
  <si>
    <t>Developing a clinical prediction rule for repeated consultations with functional somatic symptoms in primary care: a cohort study</t>
  </si>
  <si>
    <t>Holtman, Gea A., Huibert Burger, Robert A. Verheij, Hans Wouters, Marjolein Y. Berger, Judith G.M. Rosmalen &amp; Peter FM Verhaak</t>
  </si>
  <si>
    <t>Sequentie analyse - ICT sector Rotterdam Rijnmond</t>
  </si>
  <si>
    <t>Bejta, Liridon &amp; Robbin Zuiderwijk</t>
  </si>
  <si>
    <t>Ministerie OCW</t>
  </si>
  <si>
    <t>GemRotterdam_O&amp;BI
MinOCW_Inspectie_Kennis</t>
  </si>
  <si>
    <t>De dikke samenleving: waarom we verleiding niet kunnen weerstaan</t>
  </si>
  <si>
    <t xml:space="preserve">Van den Bemd, M. </t>
  </si>
  <si>
    <t>http://www.de-focus.nl/maatschappij_en_cultuur/de-dikke-samenleving-waarom-we-verleiding-niet-kunnen-weerstaan/</t>
  </si>
  <si>
    <t>Hoger opgeleiden leven gezonder</t>
  </si>
  <si>
    <t xml:space="preserve">Vaessen, R. </t>
  </si>
  <si>
    <t>https://universonline.nl/2019/03/07/hoger-opgeleiden-leven-gezonder</t>
  </si>
  <si>
    <t xml:space="preserve">Dik door de maatschappij? </t>
  </si>
  <si>
    <t>http://www.telos.nl/nieuws/nieuwssocialeduurzaamheid/1291609.aspx</t>
  </si>
  <si>
    <t>Onto a ‘default Dutch lifestyle’: Measuring, testing, and applying the default American lifestyle in the context of the Netherlands</t>
  </si>
  <si>
    <t>Van den Bemd, M.</t>
  </si>
  <si>
    <t>http://www.telos.nl/Publicaties/PublicatiesRapporten/HandlerDownloadFiles.ashx?idnv=1291598</t>
  </si>
  <si>
    <t>Remigratie in perspectief: Evaluatie wijziging Remigratiewet 2014</t>
  </si>
  <si>
    <t>Bakker, Linda, Jan Reitsma, Esther van de Kuilen &amp; Wijnand van Plaggenhoef</t>
  </si>
  <si>
    <t>Significant</t>
  </si>
  <si>
    <t>https://www.rijksoverheid.nl/documenten/rapporten/2018/11/05/evaluatie-wetswijziging-remigratie-eindrapport</t>
  </si>
  <si>
    <t>Identifying subgroups of high-need, high-cost, chronically ill patients in primary care: A latent class analysis</t>
  </si>
  <si>
    <t>Smeets, Rowan G. M.,  Arianne M. J. Elissen, Marielle E. A. L. Kroese, Niels Hameleers &amp;_x000D_
Dirk Ruwaard</t>
  </si>
  <si>
    <t>Universiteit Maastricht_Fac Health, Medicine and L</t>
  </si>
  <si>
    <t>Chronische zorg over een andere boeg</t>
  </si>
  <si>
    <t>Wijck, Frank van</t>
  </si>
  <si>
    <t>https://www.de-eerstelijns.nl/2020/06/chronische-zorg-over-een-andere-boeg/</t>
  </si>
  <si>
    <t>Association Between Population Density and Genetic Risk for Schizophrenia</t>
  </si>
  <si>
    <t>Colodro-Conde, Lucía &amp; John B. Whitfield</t>
  </si>
  <si>
    <t>Jama Network</t>
  </si>
  <si>
    <t>https://jamanetwork.com/journals/jamapsychiatry/article-abstract/2685919</t>
  </si>
  <si>
    <t>Evaluatie Innovatiekrediet 2012 - 2017</t>
  </si>
  <si>
    <t>Hof, Bert, Stijn Zegel, Tom Smits, Koen van der Ven, Lisanne Saes &amp; Ward Rougoor</t>
  </si>
  <si>
    <t>http://www.seo.nl/pagina/article/evaluatie-innovatiekrediet-2012-2017/</t>
  </si>
  <si>
    <t>Monitor gebruik minimaregelingen</t>
  </si>
  <si>
    <t>Gemeente Eindhoven</t>
  </si>
  <si>
    <t>https://www.eindhoven.nl/monitor-gebruik-minimaregelingen?origin=/stad-en-wonen/stad/eindhoven-in-cijfers/feiten-en-cijfers-van-eindhoven%3Fview%3D7</t>
  </si>
  <si>
    <t xml:space="preserve">How does delayed retirement affect mortality and health? </t>
  </si>
  <si>
    <t>Zulkarnain, Alice &amp; Matthew S. Rutledge</t>
  </si>
  <si>
    <t>UniBoston</t>
  </si>
  <si>
    <t>UniBoston_College_CRR</t>
  </si>
  <si>
    <t>Toelichting en handleiding SIB Gemeente Rotterdam</t>
  </si>
  <si>
    <t>Zwetsloot, Jelle &amp; Siemen van der Werff</t>
  </si>
  <si>
    <t>http://www.seo.nl/pagina/article/toelichting-en-handleiding-sib-gemeente-rotterdam/</t>
  </si>
  <si>
    <t>Dynamiek in buurten in de regio Amsterdam en ogeving</t>
  </si>
  <si>
    <t>https://www.rigo.nl/dashboard-dynamiek-in-buurten/</t>
  </si>
  <si>
    <t>Can your house keep you out of a nursing home?</t>
  </si>
  <si>
    <t>Maaike Diepstraten, Rudy Douven &amp; Bram Woutsere</t>
  </si>
  <si>
    <t>https://www.cpb.nl/en/can-your-house-keep-you-out-nursing-home</t>
  </si>
  <si>
    <t>Long-term care use after a stroke or femoral fracture and the role of family caregivers</t>
  </si>
  <si>
    <t>Doutsen A. van der Burg, Maaike Diepstraten &amp; Bram Wouterse</t>
  </si>
  <si>
    <t>https://bmcgeriatr.biomedcentral.com/articles/10.1186/s12877-020-01526-7</t>
  </si>
  <si>
    <t>De positie op de arbeidsmarkt van personen met een niet westerse migratieachtergrond</t>
  </si>
  <si>
    <t xml:space="preserve">Van der Werff, S., Biesenbeek, C. &amp; Zwetsloot, J. </t>
  </si>
  <si>
    <t>http://www.seo.nl/pagina/article/de-positie-op-de-arbeidsmarkt-van-personen-met-een-niet-westerse-migratieachtergrond/</t>
  </si>
  <si>
    <t>Kansen bekeken</t>
  </si>
  <si>
    <t>Ponds, R., Middeldorp, M., Tempelman, C. &amp; Vriend, S</t>
  </si>
  <si>
    <t>https://www.atlasvoorgemeenten.nl/publicaties/recent</t>
  </si>
  <si>
    <t>De scp-methode voor het meten van armoede: Herijking en revisie</t>
  </si>
  <si>
    <t>Goderis, Benedikt, Bart van Hulst, Jean Marie Wildeboer Schut &amp; Michiel Ras</t>
  </si>
  <si>
    <t>The School Career of Children With Hearing Loss in Different Primary Educational ettings A Large Longitudinal Nationwide Study</t>
  </si>
  <si>
    <t>Straaten, Tirza F.K. van der, Jeroen J. Briaire, Evelien Dirks, Wim Soede, Carolien Rieffe &amp; Johan H.M. Frijns</t>
  </si>
  <si>
    <t>Verwachte potentiële resterende baanduur bij ontslag</t>
  </si>
  <si>
    <t>https://www.magontslag.nl/content/toelichtingseo.pdf</t>
  </si>
  <si>
    <t>Hét mkb bestaat niet</t>
  </si>
  <si>
    <t>Span, Tommy, Jouke Wortelboer &amp; Beleidsanalyseteam (BAT) van DG B&amp;I</t>
  </si>
  <si>
    <t>RVO_CBS</t>
  </si>
  <si>
    <t>https://www.cbs.nl/nl-nl/maatwerk/2018/26/het-mkb-bestaat-niet</t>
  </si>
  <si>
    <t>Als ondernemer uit de WW</t>
  </si>
  <si>
    <t xml:space="preserve">Hek, Paul de, Elisa de Vleeschouwer &amp; Arjan Ruis </t>
  </si>
  <si>
    <t>https://www.seor.nl/als-ondernemer-uit-de-ww/index.html</t>
  </si>
  <si>
    <t>Relative importance of perceived physical and social neighborhood characteristics for depression: a machine learning approach</t>
  </si>
  <si>
    <t>Helbich, Marco, Julian Hagenauer &amp; Hannah Roberts</t>
  </si>
  <si>
    <t xml:space="preserve">Is suicide mortality associated with neighbourhood social fragmentation and deprivation? A Dutch register-based case-control study using individualised neighbourhoods </t>
  </si>
  <si>
    <t>Hagedoorn, Paulien, Peter P Groenewegen, Hannah Roberts &amp; Marco Helbich</t>
  </si>
  <si>
    <t>Greenery exposure and suicide mortality later in life: A longitudinal registerbased_x000D_
case-control study</t>
  </si>
  <si>
    <t>Helbicha, Marco, Rory C. O'Connor, Marc Nieuwenhuijsen &amp; Paulien Hagedoorn</t>
  </si>
  <si>
    <t>Longitudinal exposure assessments of neighbourhood effects in health research: What can be learned from people’s residential histories?</t>
  </si>
  <si>
    <t>Hagedoorn, Paulien &amp; Marco Heilbich</t>
  </si>
  <si>
    <t>Multiple environmental exposures along daily mobility paths and depressive symptoms: A smartphone-based tracking study</t>
  </si>
  <si>
    <t>Robberts, Hannah &amp; Marco Helbich</t>
  </si>
  <si>
    <t>Perceived neighbourhood characteristics and depressive symptoms:Potential mediators and the moderating role of employment status</t>
  </si>
  <si>
    <t>Roberts, Hannah, Caspar van Lissa &amp; Marco Helbich</t>
  </si>
  <si>
    <t>Can’t see the wood for the trees? An assessment of street view- and satellite-derived greenness measures in relation to mental health</t>
  </si>
  <si>
    <t>Helbich, Marco, Ronald Poppe, Daniel Oberski, Maarten Zeylmans van Emmichoven &amp; Raoul Schram</t>
  </si>
  <si>
    <t>https://www.sciencedirect.com/science/article/pii/S0169204621001444?via%3Dihub</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</si>
  <si>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</si>
  <si>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</si>
  <si>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</si>
  <si>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Daily space-time activities, multiple environmental exposures, and anxiety_x000D_
symptoms: A cross-sectional mobile phone-based sensing study</t>
  </si>
  <si>
    <t>Lan, Yuliang, Hannah Roberts, Mei-Po Kwan &amp; Marco Heilbich</t>
  </si>
  <si>
    <t>https://pubmed.ncbi.nlm.nih.gov/35439503/</t>
  </si>
  <si>
    <t>Location Sorting and Endogenous Amenities:Evidence from Amsterdam</t>
  </si>
  <si>
    <t>Almagroy, Milena &amp;Tomás Domínguez-Iino</t>
  </si>
  <si>
    <t>University New York</t>
  </si>
  <si>
    <t>CEMFI
UniNewYork_Economics</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</si>
  <si>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</si>
  <si>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</si>
  <si>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De rol van binnenlandse verhuizingen in groeiende inkomensverschillen tussen gebieden binnen Noord-Nederland</t>
  </si>
  <si>
    <t>Elshof, Hans</t>
  </si>
  <si>
    <t>CMO Groningen</t>
  </si>
  <si>
    <t>CMOGroningenDrenthe_Onderzoek</t>
  </si>
  <si>
    <t>https://sociaalplanbureaugroningen.nl/wordpress/wp-content/uploads/2020/02/Eindrapport-De-rol-van-binnenlandse-verhuizingen-in-groeiende-inkomens....pdf</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</si>
  <si>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</si>
  <si>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</si>
  <si>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</si>
  <si>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Verhuiskansen op de Nijmeegse woning-markt 2015-2016</t>
  </si>
  <si>
    <t>Boumeester, dr.  H.,&amp; G. Marien</t>
  </si>
  <si>
    <t>https://pure.tudelft.nl/portal/files/62854503/Verhuiskansen_op_de_Nijmeegse_woningmarkt_2015_2016.pdf</t>
  </si>
  <si>
    <t>Kenmerken van leerlingen in het speciaal basisonderwijs tussen 2008 en 2018</t>
  </si>
  <si>
    <t>Vaststellen van de bijstandsbudgetten 2019</t>
  </si>
  <si>
    <t>Tempelman, Caren, Sandra Vriend &amp; Lennart Kroon</t>
  </si>
  <si>
    <t xml:space="preserve">Analyse regionale patronen budgetmutaties </t>
  </si>
  <si>
    <t xml:space="preserve">Tempelman, Caren, Sandra Muilwijk-Vriend, Gerard Marlet &amp; Clemens van Woerkens </t>
  </si>
  <si>
    <t xml:space="preserve">The association of comorbidity with Parkinson’s disease-related hospitalizations </t>
  </si>
  <si>
    <t>Hommel, Adrianus, Jesse Krijthe, Sirwan Darweesh &amp; Bastiaan Bloem</t>
  </si>
  <si>
    <t>https://pubmed.ncbi.nlm.nih.gov/36333237/</t>
  </si>
  <si>
    <t>Kinderen met Downsyndroom in het onderwijs</t>
  </si>
  <si>
    <t>Koopman, Pjotr, Pauline van Eck, Anke de Boer, Marjolein Bomhof, Rianne Exalto, Gert de Graaf &amp; Guuske Ledoux</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</si>
  <si>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</si>
  <si>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</si>
  <si>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</si>
  <si>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LHBT-monitor 2018: De leefsituatie van lesbische, homoseksuele, biseksuele en transgender personen in Nederland</t>
  </si>
  <si>
    <t>Beusekom Gabriël van &amp; Lisette Kuyper</t>
  </si>
  <si>
    <t>Bijlage LHBT-monitor 2018: De leefsituatie van lesbische, homoseksuele, biseksuele en transgender personen in Nederland</t>
  </si>
  <si>
    <t>Zelfstandig in en uit de bijstand</t>
  </si>
  <si>
    <t>Kok, Lucy, Lennart Kroon, Robert Scholte &amp; Caren Tempelman</t>
  </si>
  <si>
    <t>http://www.seo.nl/pagina/article/zelfstandig-in-en-uit-de-bijstand/</t>
  </si>
  <si>
    <t>Eindevaluatie Valorisatieprogramma</t>
  </si>
  <si>
    <t xml:space="preserve">Janssen, M., Den Hertog, P., Korlaar, L., De Haas van Dorsser, S. &amp;  De Boer, P.J. </t>
  </si>
  <si>
    <t>https://www.rijksoverheid.nl/documenten/rapporten/2018/06/30/eindevaluatie-valorisatieprogramma</t>
  </si>
  <si>
    <t>Flexible labour market and trade unions: Surprising career paths of Dutch sub-Saharan Africans</t>
  </si>
  <si>
    <t>Confurius, Diane, Herman van de Werfhorst, Jaco Dagevos &amp; Ruben Gowricharn</t>
  </si>
  <si>
    <t>BJIR</t>
  </si>
  <si>
    <t>https://onlinelibrary.wiley.com/doi/10.1111/bjir.12718</t>
  </si>
  <si>
    <t>Werking en effectiviteit van de NHG</t>
  </si>
  <si>
    <t>Rougoor, W., Witteman, J. &amp; Hers, J.</t>
  </si>
  <si>
    <t>http://www.seo.nl/pagina/article/werking-en-effectiviteit-van-de-nhg/</t>
  </si>
  <si>
    <t>Doelgroepen voor de NHG</t>
  </si>
  <si>
    <t>Hers, J., Witteman, J. &amp; Rougoor, W.</t>
  </si>
  <si>
    <t>http://www.seo.nl/pagina/article/doelgroepen-voor-de-nhg/</t>
  </si>
  <si>
    <t>Modellen voor bestendig inkomen</t>
  </si>
  <si>
    <t>Hers, J., Rougoor, W., Muilwijk-Vriend, S., Verheuvel, N. &amp; Ernst, L.</t>
  </si>
  <si>
    <t>http://www.seo.nl/pagina/article/modellen-voor-bestendig-inkomen/</t>
  </si>
  <si>
    <t>Mensen in de bijstand: eerst helpen met schulden, daarna pas met werk</t>
  </si>
  <si>
    <t xml:space="preserve">Oomkens, Rosanne </t>
  </si>
  <si>
    <t>https://www.panteia.nl/nieuws/mensen-in-de-bijstand-eerst-helpen-met-schulden-daarna-pas-met-werk/</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</si>
  <si>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</si>
  <si>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</si>
  <si>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BMJ Open</t>
  </si>
  <si>
    <t>UMC_RUG_Eurocat</t>
  </si>
  <si>
    <t>https://pubmed.ncbi.nlm.nih.gov/34183346/</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</si>
  <si>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</si>
  <si>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</si>
  <si>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</si>
  <si>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</si>
  <si>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</si>
  <si>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</si>
  <si>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</si>
  <si>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</si>
  <si>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</si>
  <si>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</si>
  <si>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</si>
  <si>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</si>
  <si>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</si>
  <si>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</si>
  <si>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</si>
  <si>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Accuracy of congenital anomaly coding in live birth children recorded in European health care databases, a EUROlinkCAT study</t>
  </si>
  <si>
    <t xml:space="preserve">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 </t>
  </si>
  <si>
    <t>European Journal of Epidemiology</t>
  </si>
  <si>
    <t>Doorsluisland NL doorgelicht</t>
  </si>
  <si>
    <t>Lejour, Arjan, Jan Möhlmann &amp; Maarten van ’t Riet</t>
  </si>
  <si>
    <t>CBS_DBD
CPB</t>
  </si>
  <si>
    <t>https://www.cpb.nl/doorsluisland-nl-doorgelicht</t>
  </si>
  <si>
    <t>The immeasurable tax gains by Dutch shell companies</t>
  </si>
  <si>
    <t>Lejour, Arjan, Jan Möhlmann &amp; Maarten van 't Riet</t>
  </si>
  <si>
    <t>International Tax and Public Finance 29, 2022, 316-357</t>
  </si>
  <si>
    <t>https://link.springer.com/article/10.1007/s10797-021-09669-y</t>
  </si>
  <si>
    <t>Veel financiële routes van Nederland naar doorsluislanden</t>
  </si>
  <si>
    <t>https://esb.nu/kort/20052105/veel-financiele-routes-van-nederland-naar-doorsluislanden</t>
  </si>
  <si>
    <t>Belastingmaatregelen tegen NL doorsluisland, voldoende impact?</t>
  </si>
  <si>
    <t>Weekblad voor Fiscaal Recht 7276</t>
  </si>
  <si>
    <t>https://research.tilburguniversity.edu/en/publications/belastingmaatregelen-tegen-nl-doorsluisland-voldoende-impact</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</si>
  <si>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</si>
  <si>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</si>
  <si>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</si>
  <si>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</si>
  <si>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CPB Policy Brief 2019/1</t>
  </si>
  <si>
    <t>http://www.cpb.nl/doorsluisland-nl-doorgelicht</t>
  </si>
  <si>
    <t>Arbeidsmarktstatus tussen de 65ste verjaardag en de AOW_x0002_leeftijd: verschillen tussen _x000D_
opleidingsgroepen</t>
  </si>
  <si>
    <t>Nusselder, Wilma, Marti Rado &amp; Dorly Deeg</t>
  </si>
  <si>
    <t>Monitor Beleidsmaatregelen 2017-2018</t>
  </si>
  <si>
    <t xml:space="preserve">Broek, Anja van den, Kyra de Korte, Joris Cuppen, Froukje Wartenbergh, Joyce Bendig-Jacobs, José Mulder &amp; Anouk Helleger </t>
  </si>
  <si>
    <t>ResearchNed</t>
  </si>
  <si>
    <t>https://www.rijksoverheid.nl/binaries/rijksoverheid/documenten/rapporten/2018/06/29/monitor-beleidsmaatregelen-2017-2018/monitor-beleidsmaatregelen-2017-2018.pdf</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</si>
  <si>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</si>
  <si>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</si>
  <si>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Studieduur en –rendement van zwangere mbo-ers</t>
  </si>
  <si>
    <t>https://www.cbs.nl/nl-nl/maatwerk/2018/44/studieduur-en-rendement-van-zwangere-mbo-ers</t>
  </si>
  <si>
    <t>Thriving in Times of Technological Change: How tasks, skills and meaning shape careers_x000D_
in the 21st century labour market</t>
  </si>
  <si>
    <t>Cnossen, Femke</t>
  </si>
  <si>
    <t>RUG_FEB</t>
  </si>
  <si>
    <t>https://research.rug.nl/en/publications/thriving-in-times-of-technological-change-how-tasks-skills-and-me</t>
  </si>
  <si>
    <t>Huishoudens in Almere met een laag inkomen: Wat zijn hun eigenschappen?</t>
  </si>
  <si>
    <t>Kets, Anne &amp; Klaske Grimmerink</t>
  </si>
  <si>
    <t>Gemeente Almere</t>
  </si>
  <si>
    <t>http://www.almere.nl/over-almere/feiten-en-cijfers/</t>
  </si>
  <si>
    <t>Armoede niet in beeld, overzicht op basis van CBS-data</t>
  </si>
  <si>
    <t>The Impact of Import Competition and Export Opportunities on the Dutch Labour Market</t>
  </si>
  <si>
    <t>Euwals, Rob, Gerrit Hugo van Heuvelen, Gerdien Meijerink, Jan Möhlmann &amp; Simone Rabaté</t>
  </si>
  <si>
    <t>https://link.springer.com/article/10.1007/s10645-022-09409-5</t>
  </si>
  <si>
    <t>Jeugdhulp in 2015, 2016 en 2017</t>
  </si>
  <si>
    <t>Donker, Afke, Erik Jan de Wilde, Monique Malmberg &amp;Tom van Yperen</t>
  </si>
  <si>
    <t>https://www.nji.nl/sites/default/files/2022-02/Jeugdhulp-in-2015-2016-en-2017.pdf</t>
  </si>
  <si>
    <t>Baanaspecten die werken in het openbaar bestuur aantrekkelijk maken</t>
  </si>
  <si>
    <t>Heyma, Arjan &amp; Paul Bisschop</t>
  </si>
  <si>
    <t xml:space="preserve">https://kennisopenbaarbestuur.nl/media/256821/34.pdf_x000D_
</t>
  </si>
  <si>
    <t>Short-run shock, long-run consequences? The impact of grandparental death on educational outcomes</t>
  </si>
  <si>
    <t>Stans, R.A.</t>
  </si>
  <si>
    <t>UniBonn_IAME</t>
  </si>
  <si>
    <t>https://doi.org/10.1016/j.econedurev.2022.102310</t>
  </si>
  <si>
    <t>Kwaliteit van data over voorschoolse educatie in BRON</t>
  </si>
  <si>
    <t>Veen, I. van der, Koopman, P.N.J. &amp; Veen, A.</t>
  </si>
  <si>
    <t>https://kohnstamminstituut.nl/rapport/kwaliteit-van-data-over-voorschoolse-educatie-in-bron/</t>
  </si>
  <si>
    <t>Woononderzoek Midden-Limburg 2018-2030</t>
  </si>
  <si>
    <t xml:space="preserve">Dose–response association between moderate to vigorous physical activity and incident morbidity and mortality for individuals with a different cardiovascular health status: A cohort study among 142,493 adults from the Netherlands_x000D_
</t>
  </si>
  <si>
    <t xml:space="preserve">Bakker, Esmee A., Duck-chul Lee, Maria T. E. Hopman, Eline J. Oymans, Paula M. Watson, Paul D. Thompson, Dick H. J. Thijssen &amp; Thijs. M. H. Eijsvogels_x000D_
</t>
  </si>
  <si>
    <t>Effectiviteit van de ISD-maatregel</t>
  </si>
  <si>
    <t>Tollenaar, N., M.G.C.J. Beerthuizen, K.H. Drieschner &amp; A.M. van der Laan</t>
  </si>
  <si>
    <t>Do doctors improve the health care of their parents? Evidence from admission lotteries</t>
  </si>
  <si>
    <t>Artmann, Elisabeth, Hessel Oosterbeek &amp;  Bas van der Klaauw</t>
  </si>
  <si>
    <t>https://personal.vu.nl/b.vander.klaauw/ParentalHealth.pdf</t>
  </si>
  <si>
    <t>Online Appendix to "Do doctors improve the health care of their parents? Evidence from admission lotteries"</t>
  </si>
  <si>
    <t xml:space="preserve"> Artmann, Elisabeth,  Hessel Oosterbeek &amp; Bas van der Klaauw</t>
  </si>
  <si>
    <t>https://www.aeaweb.org/content/file?id=12904</t>
  </si>
  <si>
    <t>Kansenongelijkheid</t>
  </si>
  <si>
    <t>Luijer, Niels</t>
  </si>
  <si>
    <t>Gemeente Zaanstad</t>
  </si>
  <si>
    <t>GemZaanstad_Onderzoek en Statistiek</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</si>
  <si>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</si>
  <si>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</si>
  <si>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</si>
  <si>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</si>
  <si>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Effectmeting verbeterd VKO</t>
  </si>
  <si>
    <t>Paradies, G.L., L. Dreijerink &amp; M. Menkveld</t>
  </si>
  <si>
    <t>Energy.nl</t>
  </si>
  <si>
    <t>https://energy.nl/publications/effectmeting-verbeterd-vko/</t>
  </si>
  <si>
    <t>Gezondheidsproblemen in WW en bijstand</t>
  </si>
  <si>
    <t>Muilwijk-Vriend, Sandra, Caren Tempelman, Lennart Kroon &amp; Marloes Lammers</t>
  </si>
  <si>
    <t>Armoede in Kaart</t>
  </si>
  <si>
    <t xml:space="preserve">Goderis, B.V.G., S. Hoff &amp; B. van Hulst </t>
  </si>
  <si>
    <t>Armoede in kaart</t>
  </si>
  <si>
    <t xml:space="preserve">Hoff, S., B. van Hulst &amp;  B. Goderis </t>
  </si>
  <si>
    <t>Gender-related factors and out-of-hospital cardiac arrest incidence in women and men: analysis of a population-based cohort study in the Netherlands</t>
  </si>
  <si>
    <t xml:space="preserve">Smits, Robin L.A., Laura H. van Dongen, Marieke T. Blom, Hanno L. Tan &amp; Irene G.M. van Valkengoed </t>
  </si>
  <si>
    <t>https://pubmed.ncbi.nlm.nih.gov/35777920/</t>
  </si>
  <si>
    <t xml:space="preserve">Extensive enrollment of young handicapped in the Participation Law </t>
  </si>
  <si>
    <t xml:space="preserve">Naaktgeboren, E.A. </t>
  </si>
  <si>
    <t>https://thesis.eur.nl/</t>
  </si>
  <si>
    <t xml:space="preserve">Persbericht Onderzoekers: Immigratie zet overheidfinanciën onder druk_x000D_
</t>
  </si>
  <si>
    <t xml:space="preserve">Beek, Jan van de </t>
  </si>
  <si>
    <t>http://www.demo-demo.nl/</t>
  </si>
  <si>
    <t>Grenzeloze verzorgingsstaat: De gevolgen van immigratie voor de overheidsfinanciën</t>
  </si>
  <si>
    <t>Beek, Jan van de, Hans Rodenburg, Joop hartog &amp; Gerrit Kreffer</t>
  </si>
  <si>
    <t xml:space="preserve">Woonlastenonderzoek Drenthe 2018 </t>
  </si>
  <si>
    <t xml:space="preserve">Wissink, Jeroen &amp; Martin Bleijenburg </t>
  </si>
  <si>
    <t>https://www.lefier.nl/media/1689/rapportage-woonlastenonderzoek-drenthe-2018.pdf</t>
  </si>
  <si>
    <t>Notitie nadere duiding bij het onderzoek Marktmechanismen op de Eindhovense woningmarkt.</t>
  </si>
  <si>
    <t>Marktmechanismen op de Eindhovense woningmarkt_x000D_</t>
  </si>
  <si>
    <t>Lijzenga, Jeroen, Roy Nieuwenhuis &amp; Vera Gijsbers</t>
  </si>
  <si>
    <t>Aanbieden rapport Marktmechanismen op de Eindhovense Woningmarkt</t>
  </si>
  <si>
    <t>https://eindhoven.parlaeus.nl/user/bdocument/action=view/id=933</t>
  </si>
  <si>
    <t>Verhuizingen Den Haag in 2015</t>
  </si>
  <si>
    <t>Gemeente Den Haag</t>
  </si>
  <si>
    <t>https://denhaag.incijfers.nl/Jive?workspace_guid=4afdd234-39cf-41fa-b0a5-1f50bc8c9c6c</t>
  </si>
  <si>
    <t>Karakteristieken en tarieven zzp’ers</t>
  </si>
  <si>
    <t>Heyma, Arjan, Koen van der Ven, Cindy Biesenbeek, Jelle Zwetsloot &amp; Marieke Meij</t>
  </si>
  <si>
    <t>http://www.seo.nl/pagina/article/karakteristieken-en-tarieven-zzpers/</t>
  </si>
  <si>
    <t>Toegankelijkheid en (on)gelijke kansen aan de UvA</t>
  </si>
  <si>
    <t>Karssen, M., Boogaard, M., Verbeek, F. &amp; Roeleveld, J.</t>
  </si>
  <si>
    <t>Measuring Income and Wealth Effects on Private-Label Demand with Matched Administrative Data</t>
  </si>
  <si>
    <t>Brancatelli, Calogero, Adrian Fritzsche, Roman Inderst &amp; Thomas Otter</t>
  </si>
  <si>
    <t>https://papers.ssrn.com/sol3/papers.cfm?abstract_id=3642646</t>
  </si>
  <si>
    <t>Income and Consumption over the Business Cycle: Evidence from Matched Administrative Data</t>
  </si>
  <si>
    <t>Brancatelli, Calogero &amp; Roman Inderst</t>
  </si>
  <si>
    <t>https://papers.ssrn.com/sol3/papers.cfm?abstract_id=3923786</t>
  </si>
  <si>
    <t>Labour Market Trajectories of the Self-employed in the Netherlands</t>
  </si>
  <si>
    <t xml:space="preserve">Beusch, Elisabeth &amp; Arthur van Soest _x000D_
</t>
  </si>
  <si>
    <t>Tilburg University TiSEM</t>
  </si>
  <si>
    <t>https://link.springer.com/article/10.1007/s10645-020-09358-x?wt_mc=Internal.Event.1.SEM.ArticleAuthorOnlineFirst&amp;utm_source=ArticleAuthorOnlineFirst&amp;utm_medium=email&amp;utm_content=AA_en_06082018&amp;ArticleAuthorOnlineFirst_20200208</t>
  </si>
  <si>
    <t>Assortative Matching on Income</t>
  </si>
  <si>
    <t>Chiappori, Pierre_André, Carlo Fioro, Alfred Galichon &amp; Stefano Verzillo</t>
  </si>
  <si>
    <t>JRC</t>
  </si>
  <si>
    <t>EU_JRC</t>
  </si>
  <si>
    <t>http://humcap.uchicago.edu/RePEc/hka/wpaper/Chiappori_Fiorio_Galichon_etal_2022_assortative-matching-income.pdf</t>
  </si>
  <si>
    <t>Impact of Drug-Gene-Interaction, Drug-Drug-Interaction, and Drug-Drug-Gene-Interaction on (es) Citalopram Therapy: The PharmLines Initiative</t>
  </si>
  <si>
    <t>Bahar, Muh. Akbar, Pauline Lanting, Jens H. J. Bos, Rolf H. Sijmons, Eelko Hak&amp;  Bob Wil_x000B_ert</t>
  </si>
  <si>
    <t>Journal of Personalized Medicne</t>
  </si>
  <si>
    <t xml:space="preserve">Arbeidsmarkt Schiphol 2016_x000D_
</t>
  </si>
  <si>
    <t>Zandvliet, Kees &amp; Elisa de Vleeschouwer</t>
  </si>
  <si>
    <t>https://www.seor.nl/Cms_Media/S1167-Arbeidsmarkt-Schiphol-2016---Rapport-aanvullende-werkzaamheden.pdf</t>
  </si>
  <si>
    <t>Adjuvant chemotherapy in small node-negative triplenegative breast cancer</t>
  </si>
  <si>
    <t>Tessa G. Steenbruggen, Erik van Werkhoven, Mette S. van Ramshorst, Vincent O. Dezentje, Marleen Kok, Sabine C. Linn, Sabine Siesling  &amp; Gabe S. Sonke</t>
  </si>
  <si>
    <t>Fysieke, financieeleconomische en kennisrelaties tussen REOS-toplocaties</t>
  </si>
  <si>
    <t>Rienstra, Gerlof, Walter Manshanden, Olaf Koops, Maarten van Leeuwen &amp; Oscar Oudega</t>
  </si>
  <si>
    <t>Rienstra Beleidsonderzoek</t>
  </si>
  <si>
    <t>Rienstra</t>
  </si>
  <si>
    <t>Structural reform in the Netherlands 2013-2018</t>
  </si>
  <si>
    <t>Meindert, Lars, Mathijs Hageraats, Patrick de Bas, Stephanie Bouman, Martin van der Ende &amp; Laura Heidecke</t>
  </si>
  <si>
    <t>Ecorys</t>
  </si>
  <si>
    <t>Arbeidsmigranten in West_x0002_Friesland_x000D_</t>
  </si>
  <si>
    <t>Meulen, Gerwin van der &amp; Suzanne Steegman</t>
  </si>
  <si>
    <t>Decisio</t>
  </si>
  <si>
    <t>file:///F:/Downloads/DOC-20-262545%20-%20Kwantitatief%20onderzoek.pdf</t>
  </si>
  <si>
    <t>Onderzoek huisvesting arbeidsmigranten Overijssel</t>
  </si>
  <si>
    <t>Meulen, Gerwin vander &amp; Suzanne Steegman</t>
  </si>
  <si>
    <t>https://decisio.nl/wp-content/uploads/Provincie-Overijssel_Onderzoek-huisvesting-arbeidsmigranten_20012020.pdf</t>
  </si>
  <si>
    <t>Arbeidsmigranten in de Utrechtse gemeenten_x000D_</t>
  </si>
  <si>
    <t>Klouwen, Bram, Koen Klouwen, Valentine Reijers_x000D_ (Companen), Gerwin van der Meulen &amp; Pim van der Zwet (Decisio)</t>
  </si>
  <si>
    <t>Companen en Decisio</t>
  </si>
  <si>
    <t>https://www.stateninformatie.provincie-utrecht.nl/documenten/Ingekomen-stukken-van-GS-naar-PS/1-Rapport-Arbeidsmigranten-in-de-Utrechtse-gemeenten-Companen-Decisio-april-2021.pdf</t>
  </si>
  <si>
    <t>Onderzoek internationale werknemers in Limburg</t>
  </si>
  <si>
    <t>Bleker, Sylvia, Daan van Gent, Lilian Tilburgs, Gerwin van der Meulen_x000D_ (Decisio), Koen Klouwen &amp; Ellen Ootes (Companen)</t>
  </si>
  <si>
    <t>Decisio en Companen</t>
  </si>
  <si>
    <t>file:///F:/Downloads/rapportage_provincie_limburg_onderzoek_internationale_werknemers_1.pdf</t>
  </si>
  <si>
    <t>Onderzoek huisvesting arbeidsmigranten De Liemers: Gemeenten Montferland, Westervoort &amp; Zevenaar</t>
  </si>
  <si>
    <t>Klouwen, Bram, Koen Klouwen (Companen), Suzanne Steegman (Desicio)</t>
  </si>
  <si>
    <t>https://pvdaduiven.nl/images/bestanden/Notitie-onderzoek-huisvesting-arbeidsmigranten-in-de-Liemers.pdf</t>
  </si>
  <si>
    <t>Onderzoek naar internationalisering van het onderwijs, in opdracht van de regio Utrecht</t>
  </si>
  <si>
    <t>Gent, Daan van &amp; Pim van der Zwet</t>
  </si>
  <si>
    <t>Internationale werknemers en organisaties:Factsheets en dieverse Rapporten/Monitor</t>
  </si>
  <si>
    <t>https://decisio.nl/werkvelden/regionale-en-stedelijke-economie/internationale-werknemers-en-organisaties/</t>
  </si>
  <si>
    <t>Evaluatie WBSO 2011-2017</t>
  </si>
  <si>
    <t xml:space="preserve">Boer, de Ir. Pieter Jan, Dionne Faber MSc, Maartje Gielen MSc, Sam de Haas van Dorsser MSc, Dr. Pim den Hertog, Dr. ir. Matthijs Janssen, Ir. Arthur Vankan &amp; Prof. Bart Verspagen </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</si>
  <si>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</si>
  <si>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</si>
  <si>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London Economics</t>
  </si>
  <si>
    <t>LondonEconomics</t>
  </si>
  <si>
    <t>https://ec.europa.eu/docsroom/documents/32601/attachments/4/translations/en/renditions/native</t>
  </si>
  <si>
    <t>Evaluatie Vroege-fasefinanciering: Onderzoeksrapportage</t>
  </si>
  <si>
    <t>Lieftink, Bente, Edwin Netjes, Eelco Buunk, Hendrik van der Meulen &amp; Koen van Vliet</t>
  </si>
  <si>
    <t>KplusV</t>
  </si>
  <si>
    <t>https://www.kplusv.nl/financieren/evaluatie-vroegefasefinanciering/</t>
  </si>
  <si>
    <t>In-, door- en uitstroom hbo-personeel. Een kwantitatieve analyse.</t>
  </si>
  <si>
    <t xml:space="preserve">Rossing, H. &amp; Lubberman, L. </t>
  </si>
  <si>
    <t>https://www.zestor.nl/sites/default/files/publications/Eindrapport Regioplan In- door- en uitstroom hbo-personeel.pdf</t>
  </si>
  <si>
    <t>Een nieuwe kijk op de Wet Inburgering 2013</t>
  </si>
  <si>
    <t>Roelofs, G., Zweerink, J., Dillingh, R., Magnée, C. &amp; J. Frijters</t>
  </si>
  <si>
    <t>https://www.cpb.nl/sites/default/files/omnidownload/CPB-Notitie-feb2020-Een-nieuwe-kijk-op-de-Wet-Inburgering-2013.pdf</t>
  </si>
  <si>
    <t>Kansrijk integratiebeleid op de arbeidsmarkt</t>
  </si>
  <si>
    <t xml:space="preserve">Jongen, E., Muns, S. , Thijs, C., Boer, Henk-Wim de, Dagevos, J., Dillingh, R., Huijnk, W., Karpinska, K. Klaver, J., Schaper, J., Wilde, T. de &amp; A. Zulkarnian, </t>
  </si>
  <si>
    <t>CPB/SCP</t>
  </si>
  <si>
    <t>https://www.cpb.nl/sites/default/files/omnidownload/Kansrijk_integratiebeleid_op_de_arbeidsmarkt2.pdf</t>
  </si>
  <si>
    <t>Decentrale bekostiging beschermd wonen</t>
  </si>
  <si>
    <t>Eijkel, Remco van &amp; Wouter Vermeulen</t>
  </si>
  <si>
    <t>https://www.cpb.nl/decentrale-bekostiging-beschermd-wonen</t>
  </si>
  <si>
    <t>Decentrale bekostiging beschermd wonen: aanvullende informatie</t>
  </si>
  <si>
    <t>https://www.cpb.nl/sites/default/files/omnidownload/cpb-achtergronddocument-decentrale-bekostiging-van-beschermd-wonen_0.pdf</t>
  </si>
  <si>
    <t>Legitimiteit en pensioenhervormingen</t>
  </si>
  <si>
    <t>Olsthoorn, Martin</t>
  </si>
  <si>
    <t>https://www.scp.nl/publicaties/publicaties/2019/06/11/publiekssamenvatting-legitimiteit-en-pensioenhervormingen</t>
  </si>
  <si>
    <t>Publiekssamenvatting legitimiteit en pensioenhervormingen</t>
  </si>
  <si>
    <t>Olsthoorn, M.</t>
  </si>
  <si>
    <t>Onderzoek bestedingseffect kindregelingen</t>
  </si>
  <si>
    <t>Elsen, M., M. Elshout, K. de Vos &amp; B. Cuelenaere</t>
  </si>
  <si>
    <t>https://www.rijksoverheid.nl/documenten/kamerstukken/2018/12/14/onderzoek-bestedingseffect-kindregelingen</t>
  </si>
  <si>
    <t>Verkennend gezondheidsonderzoek</t>
  </si>
  <si>
    <t>UU_DIER_IRAS</t>
  </si>
  <si>
    <t>https://www.bestrijdingsmiddelen-omwonenden.nl/verkennend-gezondheidsonderzoek</t>
  </si>
  <si>
    <t>Balansen, inkomsten en uitgaven van bfi's</t>
  </si>
  <si>
    <t xml:space="preserve">Witteman, J, Hers, J. &amp; Rougoor, W </t>
  </si>
  <si>
    <t>http://www.seo.nl/uploads/media/2018-86_Balansen__inkomsten_en_uitgaven_van_bfi_s_01.pdf</t>
  </si>
  <si>
    <t>Slechte eigenrisicokeuzes maken de zorgverzekering duurder voor laagopgeleiden</t>
  </si>
  <si>
    <t>Handel, Ben, Jonathan Kolstad, Thomas Minten &amp; Johannes Spinnewijn</t>
  </si>
  <si>
    <t>UniLondonLSE_Economics</t>
  </si>
  <si>
    <t>UniLondenLSE_Economics</t>
  </si>
  <si>
    <t>Evaluatie Wet Eindtoetsing PO. Tussenrapportage</t>
  </si>
  <si>
    <t xml:space="preserve">Oomens, M., Scholten, F. &amp; Luyten, H. </t>
  </si>
  <si>
    <t>Oberon</t>
  </si>
  <si>
    <t>Evaluatie Wet Eindtoetsing PO. Eindrapportage</t>
  </si>
  <si>
    <t>https://www.rijksoverheid.nl/documenten/rapporten/2019/04/30/evaluatie-wet-eindtoetsing-po</t>
  </si>
  <si>
    <t>Evaluatie SEED Capital regeling, Groeifaciliteit en Dutch Venture Initiative</t>
  </si>
  <si>
    <t>Bax, M., F. Bongers,  T. Groot Beumer, M. Janssen,  C. Keizer &amp; P.G.J. Roosenboom</t>
  </si>
  <si>
    <t>https://repub.eur.nl/pub/114049</t>
  </si>
  <si>
    <t>Prettig wonen in Den Haag, 2015-2017</t>
  </si>
  <si>
    <t>CBS en Urban Data Center</t>
  </si>
  <si>
    <t>https://www.cbs.nl/nl-nl/maatwerk/2019/28/prettig-wonen-in-den-haag-2015-2017</t>
  </si>
  <si>
    <t>Evaluatie aanpassing wettelijk minimumjeugdloon</t>
  </si>
  <si>
    <t>Werff, Siemen van der</t>
  </si>
  <si>
    <t>https://www.rijksoverheid.nl/documenten/kamerstukken/2018/12/20/kamerbrief-evaluatie-aanpassing-wettelijk-minimumjeugdloon</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</si>
  <si>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</si>
  <si>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</si>
  <si>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</si>
  <si>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Hoger risico op schuldsanering na levensgebeurtenis</t>
  </si>
  <si>
    <t xml:space="preserve">Meijer, L. &amp; R. Schulenberg </t>
  </si>
  <si>
    <t xml:space="preserve">Gasverbruik in de huursector. Identificatie lage inkomens-hoog gasverbruik </t>
  </si>
  <si>
    <t xml:space="preserve">Jager, Gerard &amp; Jurriën Schuurman </t>
  </si>
  <si>
    <t>Woonbond</t>
  </si>
  <si>
    <t>WKA</t>
  </si>
  <si>
    <t>https://www.woonbond.nl/publicatie/gasverbruik-huursector</t>
  </si>
  <si>
    <t>Belastingontduiking en vermogensongelijkheid</t>
  </si>
  <si>
    <t>Lejour, Arjan, Wouter Leenders, Simon Rabaté &amp; Maarten van ’t Riet</t>
  </si>
  <si>
    <t>Skin autofluorescence of advanced glycation end products and mortality in affective disorders in the Lifelines cohort study: a mediation analysis</t>
  </si>
  <si>
    <t>Hagen, Julia M., Arjen L. Sutterland, Tessa Liefers, Frederike Schirmbeck, Danny M. Cohn, Anja Lok, Hanno L. Tan, Aeilko H. Zwinderman &amp; Lieuwe de Haan</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</si>
  <si>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</si>
  <si>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</si>
  <si>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Association between skin autofluorescence of advanced glycation end products and affective disorders in the lifelines cohort study</t>
  </si>
  <si>
    <t>Prevalentieschatting huiselijk geweld en kindermishandeling met vangst-her-vangst methode</t>
  </si>
  <si>
    <t xml:space="preserve">Heijden, P.G.M., van der, Cruyff, M.J.L.F., Gils, G.H.C. van, &amp; Snippe, J. </t>
  </si>
  <si>
    <t>https://www.wodc.nl/onderzoeksdatabase/2668h-vangst-hervangst-schatting-huiselijk-geweld-en-kindermishandeling.aspx</t>
  </si>
  <si>
    <t>De prevalentie van huiselijk geweld en kindermishandeling in Nederland</t>
  </si>
  <si>
    <t xml:space="preserve">ten Boom, A., K. Wittebrood, L.R.A. Alink, M.J.L.F. Cruyff, R.E. Downes, E.Y.M. van Eijkern, G.H.C. van Gils, P.G.M. van der Heijden, M.J.L. Prevoo, C.C. Ramakers, R. Schellingerhout, J.M. Snippe &amp; D.R. Veenstra  </t>
  </si>
  <si>
    <t>https://www.rijksoverheid.nl/documenten/rapporten/2019/02/05/de-prevalentie-van-huiselijk-geweld-en-kindermishandeling-in-nederland</t>
  </si>
  <si>
    <t>Risico- en beschermende factoren in de kindertijd en vroege adolescentie voor high impact crime in de latere adolescentie en jongvolwassenheid</t>
  </si>
  <si>
    <t>Beerthuizen, M.G.C.J., E.M.C. van Leijsen &amp; A.M. van der Laan</t>
  </si>
  <si>
    <t>https://repository.wodc.nl/handle/20.500.12832/233</t>
  </si>
  <si>
    <t>The Revealed Comparative Advantages of Dutch Cities</t>
  </si>
  <si>
    <t>Hendrich, Tijl, Jennifer Olsen, Steven Brakman (RUG) &amp; Charles van Marrewijk (UU)</t>
  </si>
  <si>
    <t xml:space="preserve">https://www.cpb.nl/en/the-revealed-comparative-advantages-of-dutch-cities_x000D_
</t>
  </si>
  <si>
    <t>Entries and Regional Growth: The Role of Relatedness</t>
  </si>
  <si>
    <t>Hendrich, Tijl, Jennifer Olsen &amp; Judith Bayer</t>
  </si>
  <si>
    <t>https://www.cpb.nl/sites/default/files/omnidownload/CPB-Discussion-Paper-433-Entries-and-Regional-Growth-The-Role-of-Relatedness.pdf</t>
  </si>
  <si>
    <t>Passen en meten - Huren in de Ymere-gemeenten</t>
  </si>
  <si>
    <t>Groenemeijer, L., B. Blijie &amp; S. van Zoelen</t>
  </si>
  <si>
    <t>https://www.abfresearch.nl/nieuws/passen-en-meten-huren-in-de-ymere-gemeenten/</t>
  </si>
  <si>
    <t>Cohortonderzoek COOL5-18</t>
  </si>
  <si>
    <t>Prosecution or Persecution? Extraneous Events and Prosecutorial Decisions</t>
  </si>
  <si>
    <t>Bielen, Samantha &amp; Peter Grajzl</t>
  </si>
  <si>
    <t>UniHasselt</t>
  </si>
  <si>
    <t>The urban - rural education gap: do cities indeed make us smarter?</t>
  </si>
  <si>
    <t>Maarseveen, Raoul</t>
  </si>
  <si>
    <t>Journal of Economic Geography</t>
  </si>
  <si>
    <t>https://doi.org/10.1093/jeg/lbaa033</t>
  </si>
  <si>
    <t>Ouderdomsregelingen ontleed 2019</t>
  </si>
  <si>
    <t>Sociale zekerheid en flexibele arbeidsmarkt: Sociale vangnetten voor werkenden met een flexibel arbeidsverband: de huidige balans</t>
  </si>
  <si>
    <t>Veerkracht in het corporatiebezit: De update: een jaar later, twee jaar verder</t>
  </si>
  <si>
    <t xml:space="preserve">Leidelmeijer, K., J. Frissen &amp; J. van Iersel </t>
  </si>
  <si>
    <t>InFact</t>
  </si>
  <si>
    <t>https://dkvwg750av2j6.cloudfront.net/m/16e458814e279f4a/original/Rapport-Veerkracht-van-het-corporatiebezit-RIGO-30-januari-2020.pdf</t>
  </si>
  <si>
    <t>WoonZorgwijzer 3.0 update 2020 en doorontwikkeling</t>
  </si>
  <si>
    <t>Leidelmeijer, Kees, Joahan van Iersel, Martin van der Beek (Object Vision) &amp; Bart Baas (Baas Geo)</t>
  </si>
  <si>
    <t>https://woonzorgwijzer.nl/files/meta/Woonzorgwijzer_3_update_2020_en_doorontwikkeling.pdf</t>
  </si>
  <si>
    <t>Routine clinical care data from thirteen cardiac outpatient clinics: design of the Cardiology Centers of the Netherlands (CCN) database</t>
  </si>
  <si>
    <t xml:space="preserve">Bots, Sophie H., Klaske R. Siegersma, N. Charlotte Onland-Moret, Folkert W. Asselbergs, G. Aernout Somsen, Igor I. Tulevski, Hester M. den Ruijter &amp; Leonard Hofstra </t>
  </si>
  <si>
    <t>https://bmccardiovascdisord.biomedcentral.com/articles/10.1186/s12872-021-02020-7</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</si>
  <si>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</si>
  <si>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</si>
  <si>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</si>
  <si>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Heart failure medication dosage and survival in women and men seen at outpatient clinics</t>
  </si>
  <si>
    <t>SH Bots Onland-Moret NC, Tulevski II, van der Harst P, Cramer MJM, Asselbergs FW, Somsen GA &amp; den Ruijter HM</t>
  </si>
  <si>
    <t>https://heart.bmj.com/content/107/21/1748</t>
  </si>
  <si>
    <t>Toekomst van werk</t>
  </si>
  <si>
    <t>Gelderblom, Arie, Paul de Hek, José Gravesteijn, Arie-Jan van der Toorn &amp; Yvonne Prince</t>
  </si>
  <si>
    <t>https://www.seor.nl/toekomst-van-werk/index.html</t>
  </si>
  <si>
    <t>A Person Network of the Netherlands</t>
  </si>
  <si>
    <t>Laan, D.J. van der</t>
  </si>
  <si>
    <t>CBS_DRD</t>
  </si>
  <si>
    <t>https://www.cbs.nl/nl-nl/achtergrond/2022/20/a-person-network-of-the-netherlands</t>
  </si>
  <si>
    <t>Ontwikkelingen op de arbeidsmarkt voor medisch en verzorgend personeel</t>
  </si>
  <si>
    <t xml:space="preserve">Werff, Siemen van der, Lucy Kok, Tobias Vervliet &amp; William Luiten </t>
  </si>
  <si>
    <t>http://www.seo.nl/pagina/article/ontwikkelingen-op-de-arbeidsmarkt-voor-medisch-en-verzorgend-personeel/</t>
  </si>
  <si>
    <t>Rapportage onderzoek woninginbraken Almere</t>
  </si>
  <si>
    <t xml:space="preserve">Grimmerink , Klaske, Thomas Westveer, Ellen Westhoff, Jan Reitsma &amp; Bart Geurts </t>
  </si>
  <si>
    <t>Significicant</t>
  </si>
  <si>
    <t>https://veilig.almere.nl/fileadmin/files/almere/subsites/veilig/20190507_Rapportage_onderzoek_woninginbraken_Almere_def.pdf</t>
  </si>
  <si>
    <t>Briefmodel schoolverlaters Den Haag</t>
  </si>
  <si>
    <t>Stroucken, Lieke</t>
  </si>
  <si>
    <t>CBS sector SDI Beleidsstatistiek</t>
  </si>
  <si>
    <t>https://www.cbs.nl/nl-nl/maatwerk/2020/02/briefmodel-schoolverlaters-den-haag</t>
  </si>
  <si>
    <t>Optimal copayments and rationing for public provision: The case of long-term care in the Netherlands</t>
  </si>
  <si>
    <t>Letterie, Rik</t>
  </si>
  <si>
    <t>VU_SBE_Tinbergen</t>
  </si>
  <si>
    <t>https://papers.ssrn.com/sol3/papers.cfm?abstract_id=4317917</t>
  </si>
  <si>
    <t>Monitor Statushouders Groningen 2014-2017</t>
  </si>
  <si>
    <t>Rijsewijk, Loes van &amp; Inge de Vries</t>
  </si>
  <si>
    <t>CBS Urban Data Center Groningen en Onderzoek, Informatie en Statistiek Groningen</t>
  </si>
  <si>
    <t>https://www.cbs.nl/nl-nl/maatwerk/2019/23/monitor-statushouders-groningen-2014-2017</t>
  </si>
  <si>
    <t>Monitor plabeka 2021-2022</t>
  </si>
  <si>
    <t>Tympaan</t>
  </si>
  <si>
    <t>https://www.atlasplabeka.nl/</t>
  </si>
  <si>
    <t>Sex disparities in the effect of statins on lipid parameters; The PharmLines Initiative</t>
  </si>
  <si>
    <t>Nicholas, B. Hunt, Johanna E. Emmens, Sylvi Irawati, Stijn de Vos, Jens H.B. Bos, Bob Wilffert, Eelco Hak &amp; Rudolf A. de Boer</t>
  </si>
  <si>
    <t>Medicine</t>
  </si>
  <si>
    <t xml:space="preserve">http://dx.doi.org/10.1097/MD.0000000000028394_x000D_
</t>
  </si>
  <si>
    <t>Armoedemonitor 2018</t>
  </si>
  <si>
    <t>Altena, Charlotte</t>
  </si>
  <si>
    <t>https://zaanstad.incijfers.nl/news/Monitor-Armoede-in-Zaanstad/53</t>
  </si>
  <si>
    <t>Een Collectieve Selfie 4 Beeldende kunst in cijfers</t>
  </si>
  <si>
    <t>Vinken, Henk &amp; Hans Mariën</t>
  </si>
  <si>
    <t>BKNL</t>
  </si>
  <si>
    <t>Pyrrhula</t>
  </si>
  <si>
    <t>https://www.bkinformatie.nl/artikelen/beeldende-kunst-in-cijfers-collectieve-selfie-4/</t>
  </si>
  <si>
    <t>Presentatie SID</t>
  </si>
  <si>
    <t>Gielen, Maartje</t>
  </si>
  <si>
    <t>APE-Significant</t>
  </si>
  <si>
    <t>Estimation and regionalisation of nationwide parameters for destination and mode choice</t>
  </si>
  <si>
    <t>Essen, Mariska van &amp; Jesse Voorhorst</t>
  </si>
  <si>
    <t>AET</t>
  </si>
  <si>
    <t>Goudappel</t>
  </si>
  <si>
    <t>https://aetransport.org/past-etc-papers/search-all-etc-conference-papers?abstractId=7630&amp;state=b</t>
  </si>
  <si>
    <t>Arbeidsmarktflexibilisering en inkomen in de creatieve industrie</t>
  </si>
  <si>
    <t>Been, Wike &amp; Maarten Keune</t>
  </si>
  <si>
    <t>UvA_law_AIAS</t>
  </si>
  <si>
    <t>UvA_Law_AIAS</t>
  </si>
  <si>
    <t>Nederlandse prijzen veranderen niet heel vaak</t>
  </si>
  <si>
    <t>https://www.dnb.nl/actueel/algemeen-nieuws/dnbulletin-2021/nederlandse-prijzen-veranderen-niet-heel-vaak/</t>
  </si>
  <si>
    <t>Aanzienlijk deel beroepsbevolking kampt met lage digitale vaardigheden</t>
  </si>
  <si>
    <t>Non, Marielle &amp; Milena Dinkova</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</si>
  <si>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</si>
  <si>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</si>
  <si>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</si>
  <si>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Met beleid van start: Over de rol van beleid voor ontwikkelingen in de positie en eefsituatie van Syrische statushouders</t>
  </si>
  <si>
    <t>Huijnk, Willem, Jaco Dagevos, Maja Djundeva, Djamila Schans (WODC) ,Ellen Uiters (RIVM), Annemarie Ruijsbroek (RIVM) &amp; Martine de Mooij (CBS)</t>
  </si>
  <si>
    <t>https://www.scp.nl/publicaties/publicaties/2021/04/08/met-beleid-van-start-over-de-rol-van-beleid-voor-ontwikkelingen-in-de-positie-en-leefsituatie-van-syrische-statushouders</t>
  </si>
  <si>
    <t>Studying the association of diabetes and healthcare cost on distributed data</t>
  </si>
  <si>
    <t>Sun Chang,  Johan van Soest, Annemarie Koster, Simone J.P.M. Eussen, Miranda T. Schram, Coen D.A. Stehouwer, Pieter C. Dagnelie &amp; Michel Dumontier</t>
  </si>
  <si>
    <t>UM_SSE
UMC_UM_CARIM</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</si>
  <si>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</si>
  <si>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</si>
  <si>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UM_SSE</t>
  </si>
  <si>
    <t>https://pubmed.ncbi.nlm.nih.gov/36064113/</t>
  </si>
  <si>
    <t>Symbolism matters: The effect of same-sex marriage legalization on partnership stability</t>
  </si>
  <si>
    <t>Mental health effects of same-sex marriage legalization</t>
  </si>
  <si>
    <t>Chen, Shuaiu &amp; Jan C. van Ours</t>
  </si>
  <si>
    <t>Health Economics</t>
  </si>
  <si>
    <t>Contract Incentives and Boomerang Effects:The Impact of Social Impact Bond Financing</t>
  </si>
  <si>
    <t>Hevenstone, Debra , Alec Fraser, Lukas Hobi, Wojtek Przepiorka &amp; Gemma G. M. Geuke</t>
  </si>
  <si>
    <t>UniBern_AppliedSciences</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</si>
  <si>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</si>
  <si>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</si>
  <si>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Bij elkaar brengen van statushouders en werkgevers</t>
  </si>
  <si>
    <t xml:space="preserve">Mack, A., Odé, A., Witkamp, B., &amp; Witvliet, M. </t>
  </si>
  <si>
    <t>https://www.regioplan.nl/project/bij-elkaar-brengen-van-vergunninghouders-en-werkgevers-in-den-haag/</t>
  </si>
  <si>
    <t>Real-World Effects of Antibiotic Treatment on Acute COPD Exacerbations in Outpatients: _x000D_
A Cohort Study under the PharmLines Initiative</t>
  </si>
  <si>
    <t>Wanga, Yuanyuan, Victor Peraa, H. Marike Boezen, Jan-Willem C. Alffenaard, Bob Wilffert, Rolf H.H. Groenwold &amp; Eelko Hak</t>
  </si>
  <si>
    <t>Do disability benefits hinder work resumption after recovery?</t>
  </si>
  <si>
    <t>Koning, Pierre, Paul Muller &amp; Roger Prudon</t>
  </si>
  <si>
    <t>https://www.sciencedirect.com/science/article/pii/S0167629622000133</t>
  </si>
  <si>
    <t>Beleidsevaluatie Garantstelling Landbouw</t>
  </si>
  <si>
    <t xml:space="preserve">Meurs, Elvira, Bart Witmond, Gert-Jan Wilbers, Harold van der Meulen, Marcel van Asseldonk, Dominique van Wonderen &amp; Haki Pamuk </t>
  </si>
  <si>
    <t>Wageningen_Economic_Research</t>
  </si>
  <si>
    <t>https://edepot.wur.nl/508123</t>
  </si>
  <si>
    <t>Comparing imputation methods using expenditure surveys and unlinkable administrative data: an application to household consumption behaviour in the Netherlands</t>
  </si>
  <si>
    <t>Kastelein, Pim</t>
  </si>
  <si>
    <t>Aanvullende analyse AVI o.b.v. ouders en Zvw-beta-lingsachterstanden</t>
  </si>
  <si>
    <t>Muilwijk-Vriend, Sandra &amp; Lennart Kroon</t>
  </si>
  <si>
    <t>Groot onderhoud aard van inkomen en sociaal-economische status</t>
  </si>
  <si>
    <t>Tempelman, Caren, Sandra Muilwijk-Vriend, Lennart Kroon &amp; Marloes Lammers</t>
  </si>
  <si>
    <t>Planbureaus: politiek kan meer doen tegen ongelijkheid op arbeidsmarkt</t>
  </si>
  <si>
    <t>Wealth, gifts and estate planning at the end of life</t>
  </si>
  <si>
    <t>Sturrock, David, Stefan Groot &amp; Jan Möhlmann</t>
  </si>
  <si>
    <t>https://www.cpb.nl/en/wealth-gifts-and-estate-planning-at-the-end-of-life</t>
  </si>
  <si>
    <t>Door het leenstelsel kiezen minder havisten voor onderwijs- en zorgstudies</t>
  </si>
  <si>
    <t>https://esb.nu/esb/20060197/door-leenstelsel-kiezen-havisten-vaker-studie-met-hoog-verwacht-salaris?utm_source=nieuwsbrief&amp;utm_campaign=esb-wekelijks&amp;utm_medium=email&amp;utm_content=20200716</t>
  </si>
  <si>
    <t>Door leenstelsel kiezen havisten vaker studie met hoog verwacht salaris</t>
  </si>
  <si>
    <t>Karreman, Bas, Zhiling Wand &amp; Frank van Oort</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</si>
  <si>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</si>
  <si>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</si>
  <si>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</si>
  <si>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WMO voorspelmodel</t>
  </si>
  <si>
    <t xml:space="preserve">Stroucken, Lieke </t>
  </si>
  <si>
    <t>https://www.cbs.nl/nl-nl/maatwerk/2020/02/wmo-voorspelmodel</t>
  </si>
  <si>
    <t xml:space="preserve">Financiële Levensloop: Analyse van Inkomens, bestedingen en vermogensopbouw van generaties </t>
  </si>
  <si>
    <t>Boon, Marc, Martin Koning &amp; Radislav Semenov</t>
  </si>
  <si>
    <t>https://www.eib.nl/pdf/Rapport%20'Financ%C3%AFele%20Levensloop'%20-%20december%202021.pdf</t>
  </si>
  <si>
    <t>Duurzame effecten van de werkclub-aanpak</t>
  </si>
  <si>
    <t>Faber, Mart, Dionne Faber, Maartje Gielen, Michiel Blom &amp; Marjolijn Zwanepol</t>
  </si>
  <si>
    <t>https://www.rijksoverheid.nl/documenten/rapporten/2023/01/23/duurzame-effecten-werkclub-aanpak</t>
  </si>
  <si>
    <t>Wonen en werken in de Kop van Noord-Holland</t>
  </si>
  <si>
    <t xml:space="preserve">Wegstapel, Joost_x000D_
</t>
  </si>
  <si>
    <t>https://www.atrive.nl/actueel/projecten/werken-maar-niet-wonen-in-de-kop-van-noord-holland.html</t>
  </si>
  <si>
    <t>Estimating diversity effects in the neighborhood: On the role of ethnic diversity and outgroup-size and their associations with neighborhood cohesion and fear of crime</t>
  </si>
  <si>
    <t>Glas, I., R. Jennissen &amp; G. Engbersen</t>
  </si>
  <si>
    <t>Social Indicators Research</t>
  </si>
  <si>
    <t>WRR</t>
  </si>
  <si>
    <t>file:///F:/Downloads/Estimating_Diversity_Effects_in_the_Neighborhood_O.pdf</t>
  </si>
  <si>
    <t>Samenleven in verscheidenheid. Beleid voor de migratiesamenleving</t>
  </si>
  <si>
    <t>https://www.wrr.nl/publicaties/rapporten/2020/12/14/samenleven-in-verscheidenheid</t>
  </si>
  <si>
    <t xml:space="preserve">Buurtverhoudingen onder druk door diversiteit en korte woonduur? </t>
  </si>
  <si>
    <t>Jenissen, R &amp; I. Glas</t>
  </si>
  <si>
    <t>NIDI-Demos</t>
  </si>
  <si>
    <t>https://nidi.nl/demos/buurtverhoudingen-onder-druk-door-diversiteit-en-korte-woonduur/</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</si>
  <si>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</si>
  <si>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</si>
  <si>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</si>
  <si>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</si>
  <si>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new diversity: Increasing ethnic heterogeneity and its consequences for public governance</t>
  </si>
  <si>
    <t>Bovens, M., Jennissen, R., Engbersen, G. &amp;  Bokhorst, M.</t>
  </si>
  <si>
    <t>JSTOR</t>
  </si>
  <si>
    <t>https://www.jstor.org/stable/j.ctvv417th.15#metadata_info_tab_contents</t>
  </si>
  <si>
    <t xml:space="preserve">Hoe 'divers' is Nederland helemaal? </t>
  </si>
  <si>
    <t>Jenissen, R.</t>
  </si>
  <si>
    <t>Wynia's week</t>
  </si>
  <si>
    <t>https://www.wyniasweek.nl/hoe-divers-is-nederland-helemaal/?pdf=621</t>
  </si>
  <si>
    <t>Etnische diversiteit en onveiligheidsgevoelens in de buurt</t>
  </si>
  <si>
    <t>Glas, I. &amp; R. Jenissen</t>
  </si>
  <si>
    <t>Justitiële Verkenningen</t>
  </si>
  <si>
    <t>https://www.researchgate.net/publication/330166572_Etnische_diversiteit_en_onveiligheidsgevoelens_in_de_buurt</t>
  </si>
  <si>
    <t>Buurtverhoudingen, onveiligheidsgevoelens en de rol van etnische diversiteit</t>
  </si>
  <si>
    <t>Glas, I.</t>
  </si>
  <si>
    <t>https://www.wrr.nl/publicaties/working-papers/2018/05/29/wp-27-buurtverhoudingen-onveiligheidsgevoelens-en-de-rol-van-etnische-diversiteit</t>
  </si>
  <si>
    <t>Verlies van thuisgevoelens en de relatie met de bevolkingssamenstelling in de buurt</t>
  </si>
  <si>
    <t>Mulder. L.</t>
  </si>
  <si>
    <t>https://www.wrr.nl/publicaties</t>
  </si>
  <si>
    <t>De nieuwe verscheidenheid: Toenemende diversiteit naar herkomst in Nederland</t>
  </si>
  <si>
    <t>Jennissen, R., Engbersen, G., Bokhorst, M. &amp; Bovens, M.</t>
  </si>
  <si>
    <t>Verliesgevoelens in relatie tot de multiculturele samenleving onder autochtone Nederlanders</t>
  </si>
  <si>
    <t>Smeekes, A. &amp; L. Mulder</t>
  </si>
  <si>
    <t>Migratiediversiteit beter in beeld.</t>
  </si>
  <si>
    <t>Jennissen, R., Engbersen, G., Bokhorst, M., Leeuw, S. de, Bovens, M. &amp; Mulder, L.</t>
  </si>
  <si>
    <t>Effect verhoging AOW-leeftijd</t>
  </si>
  <si>
    <t>Kok, Lucy, Lennart Kroon, Marloes Lammers, William Luiten, Casper van Ewijk &amp; Bas ter Weel</t>
  </si>
  <si>
    <t>Niet-gebruik van de aanvullende beurs</t>
  </si>
  <si>
    <t>Visser, Derk, Maria Zumbuehl &amp; Stef Konijn</t>
  </si>
  <si>
    <t>https://www.cpb.nl/sites/default/files/omnidownload/CPB-Notitie-Niet-gebruik-van-de-aanvullende-beurs.pdf</t>
  </si>
  <si>
    <t>Niet-gebruik van de aanvullende beurs in het mbo</t>
  </si>
  <si>
    <t>Zumbuehl, Maria &amp; Cécile Magnée</t>
  </si>
  <si>
    <t>https://www.cpb.nl/niet-gebruik-van-de-aanvullende-beurs-in-het-mbo</t>
  </si>
  <si>
    <t>Quantifying the non-take-up of a need-based student grant in the Netherlands</t>
  </si>
  <si>
    <t>Konijn, Stef (SEO), Derk Visser &amp; Maria Zumbuehl (CPB)</t>
  </si>
  <si>
    <t>https://www.seo.nl/publicaties/quantifying-the-non-take-up-of-a-need-based-student-grant-in-the-netherlands/</t>
  </si>
  <si>
    <t>Sportdeelname en lidmaatschap 2012-2020 (Factsheet)</t>
  </si>
  <si>
    <t>Dool, R. van den</t>
  </si>
  <si>
    <t>https://www.kennisbanksportenbewegen.nl/?file=10493&amp;m=1634128676&amp;action=file.download</t>
  </si>
  <si>
    <t>Thuis, de vergeten sportaccommodatie: Sportdeelname in eigen of tuin</t>
  </si>
  <si>
    <t>Dool, Remko van den &amp; Wesley van den Breul</t>
  </si>
  <si>
    <t>https://www.kennisbanksportenbewegen.nl/?file=10475&amp;m=1631798302&amp;action=file.download</t>
  </si>
  <si>
    <t>Overzicht kernindicatoren sport en bewegen</t>
  </si>
  <si>
    <t>https://www.sportenbewegenincijfers.nl/kernindicatoren</t>
  </si>
  <si>
    <t>Sportfan via media en sportfan via bezoek 2012-2020</t>
  </si>
  <si>
    <t>Heijnen, Eva &amp; Paul Hover</t>
  </si>
  <si>
    <t>https://www.kennisbanksportenbewegen.nl/?file=10497&amp;m=1634829118&amp;action=file.download</t>
  </si>
  <si>
    <t>Veilig voelen en meemaken wangedrag in de sport 2012-2020</t>
  </si>
  <si>
    <t>Reitsma, Marieke, Janine van Kalmthout &amp; Agnes Elling_x000D_</t>
  </si>
  <si>
    <t>https://www.kennisbanksportenbewegen.nl/?file=10633&amp;m=1643190894&amp;action=file.download</t>
  </si>
  <si>
    <t>Zwemvaardigheid 2020: zwemdiplomabezit van kinderen</t>
  </si>
  <si>
    <t>Hollander, Eef &amp; Remco Hoekman</t>
  </si>
  <si>
    <t>https://www.kennisbanksportenbewegen.nl/?file=10672&amp;m=1644504062&amp;action=file.download</t>
  </si>
  <si>
    <t>Jaarrapport Duurzame Sportinfrastructuur 2021</t>
  </si>
  <si>
    <t>Hoekman, Remco, Daniëlle Ruikes, Merle Schots, Laura van der Meijde &amp; Nathan Geurink</t>
  </si>
  <si>
    <t>https://www.kennisbanksportenbewegen.nl/?file=10544&amp;m=1637916150&amp;action=file.download</t>
  </si>
  <si>
    <t>Kinderen langer thuis laten wonen</t>
  </si>
  <si>
    <t>Smart start</t>
  </si>
  <si>
    <t>https://programmasmartstart.nl/pilot-heusden/</t>
  </si>
  <si>
    <t>Kansen creëren door het combineren van data en kennis</t>
  </si>
  <si>
    <t>https://programmasmartstart.nl/</t>
  </si>
  <si>
    <t>Wie weet het beter, de docent of de centrale eindtoets?</t>
  </si>
  <si>
    <t>Lek, Kimberley &amp; Rens van de Schoot</t>
  </si>
  <si>
    <t>https://www.tijdschriftdepsycholoog.nl/wetenschap/wie-weet-het-beter-de-docent-of-de-centrale-eindtoets/</t>
  </si>
  <si>
    <t xml:space="preserve">Socioeconomic inequalities in out-of-hours primary care use: an electronic health records linkage study </t>
  </si>
  <si>
    <t xml:space="preserve">Jansen, Tessa, Karin Hek,  François G Schellevis, Anton E Kunst &amp; Robert A Verheij </t>
  </si>
  <si>
    <t>Public Health</t>
  </si>
  <si>
    <t>https://academic.oup.com/eurpub/advance-article-abstract/doi/10.1093/eurpub/ckaa116/5894058?redirectedFrom=fulltext</t>
  </si>
  <si>
    <t>Income-related differences in out-of-hours primary care telephone triage: using national registration data</t>
  </si>
  <si>
    <t>Jansen, Tessa, Karin Hek, François G. Schellevis, Anton E. Kunst &amp; Robert A. Verheij</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</si>
  <si>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</si>
  <si>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</si>
  <si>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</si>
  <si>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</si>
  <si>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</si>
  <si>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</si>
  <si>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Supplementary Appendix</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</si>
  <si>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</si>
  <si>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</si>
  <si>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Supplemental Methods</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</si>
  <si>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</si>
  <si>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</si>
  <si>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</si>
  <si>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Aanvullende analyse uitkomsten verdeelmodel 2020</t>
  </si>
  <si>
    <t>Lammers, Marloes, Lennart Kroon &amp; Sandra Muilwijk-Vriend (Atlas voor gemeenten)</t>
  </si>
  <si>
    <t>Vaststellen van de bijstandsbudgetten 2021: Herschatting en verdeling van de budgetten</t>
  </si>
  <si>
    <t>Lammers, Marloes, Lennart Kroon, Tim Schwartz, Sandra Muilwijk-Vriend (Atlas voor gemeenten), Marten Middeldorp (Atlas voor gemeenten), Francine Burema (Atlas voor gemeenten), Clemens van Woerkens (Atlas voor gemeenten) &amp; Gerard Marlet (Atlas voor gemeenten)</t>
  </si>
  <si>
    <t>Vaststellen van de bijstandsbudgetten 2022</t>
  </si>
  <si>
    <t>Vermeulen, Wouter, Lennart Kroon, Tim Schwartz, Marten Middeldorp (Atlas Research) &amp; Francine (Atlas Research)</t>
  </si>
  <si>
    <t>Bijstandsverdeelmodel 2020: Stabiliteit en regionale patronen</t>
  </si>
  <si>
    <t>Lammers, Marloes, Lennart Kroon, Marten Middeldorp (Atlas Research), Tim Schwartz &amp;_x000D_
Sandra Muilwijk-Vriend (Atlas Research)</t>
  </si>
  <si>
    <t>Onderzoek naar de effecten van het verhogen van de leeftijdsgrens naar gezinshuizen</t>
  </si>
  <si>
    <t>Mol, Yourai, Sjors de Ruiter, Maxime Dekkers &amp; Irene Niessen</t>
  </si>
  <si>
    <t>AEF</t>
  </si>
  <si>
    <t>https://www.tweedekamer.nl/downloads/document?id=566b5ce1-b2b2-4bdf-8917-61e14838eab7&amp;title=Ruimte%20om%20volwassen%20te%20worden.%20Onderzoek%20naar%20de%20effecten%20van%20het%20verhogen%20van%20de%20leeftijdsgrens%20voor%20gezinshuizen%20%20.pdf</t>
  </si>
  <si>
    <t>Meer kansen voor mensen met een arbeidsbeperking? Evaluatie Wet banenafspraak en quotum arbeidsbeperkten</t>
  </si>
  <si>
    <t>Fris, Pieter</t>
  </si>
  <si>
    <t>Panteia_RVB</t>
  </si>
  <si>
    <t>https://www.panteia.nl/onderzoeken/publicaties/meer-kansen-voor-mensen-met-een-arbeidsbeperking-evaluatie-wet-banenafspraak-en-quotum-arbeidsbeperkten/</t>
  </si>
  <si>
    <t>Voltijds hoogbegaafdheidsonderwijs: analyse van de langetermijneffecten</t>
  </si>
  <si>
    <t>Graaf, Djoerd de, Trudie Schils, Desirée Houkema &amp; Henri Bussink</t>
  </si>
  <si>
    <t>https://docplayer.nl/228351522-Voltijds-hoogbegaafd-heidsonderwijs.html</t>
  </si>
  <si>
    <t xml:space="preserve">De langetermijneffecten van plusklassen_x000D_
_x000D_
</t>
  </si>
  <si>
    <t>https://www.seo.nl/publicaties/de-langetermijneffecten-van-plusklassen/</t>
  </si>
  <si>
    <t>Are schools’ qualification and civic outcomes related? The role of schools’ student composition and tracking</t>
  </si>
  <si>
    <t>Mennes, Hester, Herman G. van der Werfhorst, Anne Bert Dijkstra &amp; Anke Munniksma</t>
  </si>
  <si>
    <t>https://journals.sagepub.com/doi/epub/10.1177/17461979221084109</t>
  </si>
  <si>
    <t>Fracture Risk in Trans Women and Trans Men Using Long-Term Gender-Affirming Hormonal Treatment: A Nationwide Cohort Study</t>
  </si>
  <si>
    <t xml:space="preserve">Wiepjes, Chantal M., Christel J.M. de Blok, Annemieke S. Staphorsius, Nienke M. Nota,_x000D_
Mariska C. Vlot, Renate T. de Jongh &amp; Martin den Heijer_x000D_
</t>
  </si>
  <si>
    <t>https://asbmr.onlinelibrary.wiley.com/doi/full/10.1002/jbmr.3862</t>
  </si>
  <si>
    <t xml:space="preserve">Blok, Christel J.M. de, Chantal M. Wiepjes, Nienke M. Nota, Klaartje van Engelen, Muriel A. Adank, Koen M.A. Dreijerink, Ellis Barbé, Inge R.H.M. Konings &amp; Martin den Heijer_x000D_
</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</si>
  <si>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</si>
  <si>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</si>
  <si>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</si>
  <si>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</si>
  <si>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</si>
  <si>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</si>
  <si>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</si>
  <si>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 xml:space="preserve">Lancet Child Adolesc Health </t>
  </si>
  <si>
    <t>https://www.thelancet.com/journals/lanchi/article/PIIS2352-4642(22)00254-1/fulltext</t>
  </si>
  <si>
    <t>Kwart huurders zit financiël klem</t>
  </si>
  <si>
    <t>https://nos.nl/artikel/2301524-kwart-van-alle-huurders-komt-niet-rond.html</t>
  </si>
  <si>
    <t>Hoe gaan mensen om met hoge woonlasten?</t>
  </si>
  <si>
    <t>Verberk, Marjan, Marcel Warnaar &amp; Jasja Bos</t>
  </si>
  <si>
    <t>Inkomenscriteria voor huurders en kopers</t>
  </si>
  <si>
    <t>Bankslapers beter in beeld</t>
  </si>
  <si>
    <t>Van Batenburg-Eddes T., Dujardin M., Dun van L., Brand S., Butte D. &amp; Reijnen A.</t>
  </si>
  <si>
    <t>https://onderzoek010.nl/document/Bankslapers-beter-in-beeld/590</t>
  </si>
  <si>
    <t>Aantallen mensen verdeeld naar inkomen en uitgaven Zvw, Wlz, Wmo</t>
  </si>
  <si>
    <t>Ministerie VWS</t>
  </si>
  <si>
    <t>MinVWS_MEVA_AEB</t>
  </si>
  <si>
    <t>https://www.rijksoverheid.nl/ministeries/ministerie-van-volksgezondheid-welzijn-en-sport/documenten/publicaties/2020/07/06/aantallen-mensen-verdeeld-naar-inkomen-en-uitgaven-zvw-wlz-wmo</t>
  </si>
  <si>
    <t>Religious Barriers to Birth Control Access</t>
  </si>
  <si>
    <t>Marie Olivier &amp; Esmée Zwiers</t>
  </si>
  <si>
    <t>CEPR</t>
  </si>
  <si>
    <t>https://cepr.org/active/publications/discussion_papers/dp.php?dpno=17427</t>
  </si>
  <si>
    <t>Marie, Olivier &amp; Esmée Zwiers</t>
  </si>
  <si>
    <t>https://docs.iza.org/dp16051.pdf</t>
  </si>
  <si>
    <t>Doelgroepenanalyse en customer journeys in de rechtsbijstand</t>
  </si>
  <si>
    <t xml:space="preserve">Faun, Henri </t>
  </si>
  <si>
    <t>https://www.panteia.nl/onderzoeken/publicaties/doelgroepenanalyse-en-customer-journeys-in-de-rechtsbijstand/</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</si>
  <si>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</si>
  <si>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</si>
  <si>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</si>
  <si>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</si>
  <si>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Buurtcijfers 2016 volgens het SMAP-model</t>
  </si>
  <si>
    <t>GGD Hart voor Brabant, GGD West-Brabant, GGD Brabant-Zuidoost</t>
  </si>
  <si>
    <t>Brabantscan</t>
  </si>
  <si>
    <t>GGD_West-Brabant_Onderzoek</t>
  </si>
  <si>
    <t>https://brabantscan.nl/jive?workspace_guid=17268b4d-e453-4067-9af2-0d96fe21003b</t>
  </si>
  <si>
    <t>Risk of psychosis among migrants to the Netherlands by time since arrival</t>
  </si>
  <si>
    <t>Termorshuizen, Fabian &amp; Jean-Paul Setten</t>
  </si>
  <si>
    <t>https://pubmed.ncbi.nlm.nih.gov/35510499/#:~:text=The%20Incidence%20Rate%20Ratios%20(IRRs,after%2010%20or%20more%20years.</t>
  </si>
  <si>
    <t>Onderzoek woningmarkt Noord-Veluwe</t>
  </si>
  <si>
    <t>Wegstapel, drs. J., K. Laarman MSc, &amp; drs. H. Lagas</t>
  </si>
  <si>
    <t>https://www.atrive.nl/actueel/projecten/onderzoek-woningmarkt-noord-veluwe.html</t>
  </si>
  <si>
    <t>Nieuwbouw, stijging en verhuizingen op Zuid: Monitor Wonen 2011</t>
  </si>
  <si>
    <t>Permentier, Matthieu</t>
  </si>
  <si>
    <t>Gem Rotterdam_O&amp;BI</t>
  </si>
  <si>
    <t>Verhuizingen van inkomensgroepen en opleidingsgroepen in Rotterdam Zuid: Een onderzoek naar selectieve verhuizingen in Rotterdam Zuid</t>
  </si>
  <si>
    <t>Stijging op Zuid: Een studie naar economi_x0002_sche en ruimtelijke mobili_x0002_teit onder bewoners in _x000D_
Rotterdam Zuid 2012-2016_x000D_</t>
  </si>
  <si>
    <t>Stijging, verhuizingen en nieuwbouw op Zuid; Monitor wonen 2022</t>
  </si>
  <si>
    <t>Objective environmental exposures correlate differently with recreational and transportation walking: A cross-sectional national study in the Netherlands</t>
  </si>
  <si>
    <t>Wang, Zhiyong, Dick Ettema &amp; Marco Helbich</t>
  </si>
  <si>
    <t>https://www.sciencedirect.com/science/article/pii/S0013935120314882</t>
  </si>
  <si>
    <t>Age as effect modifier of the associations between the physical environment and adults' neighborhood walking in the Netherlands</t>
  </si>
  <si>
    <t>https://www.sciencedirect.com/science/article/pii/S0264275123000069?dgcid=author</t>
  </si>
  <si>
    <t>Komen en Gaan; De uitdijing van de Randstad in oostelijke richting</t>
  </si>
  <si>
    <t>Buys, André  &amp; Michelle Hu</t>
  </si>
  <si>
    <t>https://www.komen-en-gaan.nl/</t>
  </si>
  <si>
    <t>De economische waarde van creditmanagement</t>
  </si>
  <si>
    <t>Rougoor, Ward, Nils Verheuvel, Johannes Hers &amp; Valentijn van Spijker</t>
  </si>
  <si>
    <t>https://www.seo.nl/publicaties/de-economische-waarde-van-creditmanagement/</t>
  </si>
  <si>
    <t xml:space="preserve">Inverdieneffecten pensioen op 65 </t>
  </si>
  <si>
    <t>Linssen, Bart</t>
  </si>
  <si>
    <t>SP_Wetenschappelijk Bureau</t>
  </si>
  <si>
    <t>https://www.sp.nl/achtergrond/inverdieneffecten-pensioen-op-65</t>
  </si>
  <si>
    <t>Met data zoeken naar samenhang tussen naleving en financiële bedrijfskenmerken</t>
  </si>
  <si>
    <t>Groot, Noortje</t>
  </si>
  <si>
    <t>MinIW_ILT</t>
  </si>
  <si>
    <t>MinIW_ILT_ Innovatie en Data Lab</t>
  </si>
  <si>
    <t>https://www.toezine.nl/artikel/348/met-data-zoeken-naar-samenhang-tussen-naleving-en-financiele-bedrijfskenmerken/</t>
  </si>
  <si>
    <t>Sterke toenames in de Particuliere huursector</t>
  </si>
  <si>
    <t>https://denhaag.incijfers.nl/handlers/ballroom.ashx?function=download&amp;id=111</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</si>
  <si>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</si>
  <si>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</si>
  <si>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</si>
  <si>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Onderzoek naar slimmer kopen</t>
  </si>
  <si>
    <t>Blijie, Berry, Dennis Bogers, Ruud Steijvers (ABF Research) &amp; Johan Conijn (Finance Ideas)</t>
  </si>
  <si>
    <t>https://www.trudo.nl/files/shares/trudo/220714_ABF_Rapport_definitief.pdf</t>
  </si>
  <si>
    <t>Eenmalige huurverlaging 2023</t>
  </si>
  <si>
    <t>Brauwers, Gianni &amp; Berry Blijie</t>
  </si>
  <si>
    <t>https://microdata.incijfers.nl/handlers/ballroom.ashx?function=download&amp;id=32</t>
  </si>
  <si>
    <t>Samen of gescheiden naar school. De betekenis van sociale scheiding en ontmoeting in het voortgezet onderwijs</t>
  </si>
  <si>
    <t xml:space="preserve">Vogels, Ria, Monique Turkenburg &amp; Lex Herweijer </t>
  </si>
  <si>
    <t>https://www.scp.nl/publicaties/publicaties/2021/02/04/samen-of-gescheiden-naar-school</t>
  </si>
  <si>
    <t>Risicoprofielen ouderenmishandeling</t>
  </si>
  <si>
    <t>Verbeek, Eline &amp; Maartje Timmermans</t>
  </si>
  <si>
    <t>Witte meiden stromen niet door in/na MBO</t>
  </si>
  <si>
    <t>Roode, Annemarie</t>
  </si>
  <si>
    <t>https://onderzoek010.nl/dashboard/staat-van-het-onderwijs</t>
  </si>
  <si>
    <t>Tweeëntwintig jaar en startgekwalificeerd?</t>
  </si>
  <si>
    <t>Vogel Ineke &amp; Annemarie Roode</t>
  </si>
  <si>
    <t>Segregatiemonitor primair onderwijs</t>
  </si>
  <si>
    <t>Vogel, Ineke &amp; Annemarie Roode</t>
  </si>
  <si>
    <t>Segregatiemonitor voortgezet onderwijs</t>
  </si>
  <si>
    <t>De AOW nivelleert sterk doordat vooral hoge inkomens haar financieren</t>
  </si>
  <si>
    <t>Muns, Sander &amp; Daniël van Vuuren</t>
  </si>
  <si>
    <t>Intergenerational Transmission of Skills (ITS) research project</t>
  </si>
  <si>
    <t>Bles, Per, Roel Bosker (RUG), Tijana Breuer-Prokic, Carla Haelermans, Rick Hanushek (Hoover Institution, Stanford University), Tim Huijts, Babs Jacobs, Madelon Jacobs, Matthijs Kalmijn (NIDI), Suzanne de Leeuw, Mark Levels, Olivier Marie (EUR/ROA), Guido Schwerdt (University of Konstanz), Melline Somers, Sabine van der Veer, Stan Vermeulen, Lynn van Vugt, Dinand Webbink (EUR), Herman van de Werfhorst (UvA), Sanne van Wetten, Simon Wiederhold (KU Eichstaett-Ingolstadt) &amp; Inge de Wolf</t>
  </si>
  <si>
    <t>https://www.roa.nl/research/research-projects/intergenerational-transmission-skills-its-research-project</t>
  </si>
  <si>
    <t>De weg naar werk; een onderzoek naar de uitstroom van ww'ers met een niet-westerse migratieachtergrond</t>
  </si>
  <si>
    <t>Michiel Blom, Annemarijn Onstenk, Ellen Westhoff, Dionne Faber, _x000D_
Sam Huberts, Joeri Athmer en Stefan van der Veen</t>
  </si>
  <si>
    <t>Significant Public</t>
  </si>
  <si>
    <t>https://public.significant-groep.nl/storage/images/employees/Significant-Public-De-weg-naar-werk-Onderzoek-naar-de-uitstroom-van-WWers-met-een-niet-westerse-migratieachtergrond.pdf</t>
  </si>
  <si>
    <t>WIA-aanvragers hebben steeds grotere afstand tot de arbeidsmarkt</t>
  </si>
  <si>
    <t>Koning, Pierre &amp; Heike Vethaak</t>
  </si>
  <si>
    <t>Economische Statistische Berichten</t>
  </si>
  <si>
    <t>Decomposing Employment Trends of Disabled Workers</t>
  </si>
  <si>
    <t>Koning, Pierre &amp; Heike vethaak</t>
  </si>
  <si>
    <t>The BE Journal of Economic Analysis &amp; Policy</t>
  </si>
  <si>
    <t>Evaluatie van de NFIA 2010-2018</t>
  </si>
  <si>
    <t>Meijaard, Joris , Matthijs van Fraassen, Yvonne Prince, Paul de Hek, Thijs Nacken, Bas Karreman, Enrico Pennings &amp; René Belderbos</t>
  </si>
  <si>
    <t>https://www.seor.nl/evaluatie-nfia/</t>
  </si>
  <si>
    <t>Effecten van het Lage-inkomensvoordeel op de arbeidsparticipatie</t>
  </si>
  <si>
    <t>Werff, Siemen van der, Tobias Vervliet &amp; Bas ter Weel</t>
  </si>
  <si>
    <t>http://www.seo.nl/pagina/article/effecten-van-het-lage-inkomensvoordeel-op-de-arbeidsparticipatie/</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</si>
  <si>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</si>
  <si>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</si>
  <si>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Schoolloopbanen van leerlingen met en leerlingen zonder extra ondersteuningsbehoeften in de periode 2014-2018</t>
  </si>
  <si>
    <t>https://www.rijksoverheid.nl/documenten/kamerstukken/2020/07/03/schoolloopbanen-van-leerlingen-met-en-zonder-extra-ondersteuningsbehoeften-periode-2014-2018</t>
  </si>
  <si>
    <t>Kansrijke Start 2019: Invoering van het actieprogramma en een meting van de uitgangssituatie</t>
  </si>
  <si>
    <t>Struijs, Jeroen, Eline de Vries, Anita Suijkerbuijk, Joyce Molenaar, Zoë Scheefhals &amp; Caroline Baan</t>
  </si>
  <si>
    <t>Monitor Kansrijke Start 2020</t>
  </si>
  <si>
    <t>Molenaar, Joyce, Zoë Scheefhals, Eline de Vries &amp; Jeroen Struijs</t>
  </si>
  <si>
    <t>Monitor Kansrijke Start 2021</t>
  </si>
  <si>
    <t>Molenaar, Joyce, Inge Boesveld, Roy Hendrikx, Eline de Vries, Zoë Scheefhals &amp; Jeroen Struijs</t>
  </si>
  <si>
    <t>https://www.rivm.nl/documenten/monitor-kansrijke-start-2021</t>
  </si>
  <si>
    <t>Defining vulnerability subgroups among pregnant women using pre-pregnancy information: a latent class analysis</t>
  </si>
  <si>
    <t>Molenaar, J.M., L. van de Meer, L.C.M. Bertens, E.F. de Vries, A.J.M. Waelpunt, M. Knight, E.A.P. Steegers, J.C. Kiefte-de Jong &amp; J.N. Struijs</t>
  </si>
  <si>
    <t xml:space="preserve">DIAPER: Data-InfrAstructure for ParEnts and childRen_x000D_
</t>
  </si>
  <si>
    <t>Scheefhals, Zoë T.M, Eline F. de Vries, Joyce M. Molenaar, Mattijs E. Numans &amp; Jeroen N. _x000D_
Struijs</t>
  </si>
  <si>
    <t>https://www.rivm.nl/sites/default/files/2021-10/Codeboek%20DIAPER%2020211021.pdf</t>
  </si>
  <si>
    <t>Molenaar, J.M., L van der Meer, L.C.M Bertens, E.F de Vries, A.J.M Waelput, M. Knight, _x000D_
E.A.P. Steegers, J.C. Kiefte-de Jong &amp; J.N. Struijs</t>
  </si>
  <si>
    <t>Eropean journal of Public Health</t>
  </si>
  <si>
    <t>https://academic.oup.com/eurpub/advance-article/doi/10.1093/eurpub/ckac170/6900266</t>
  </si>
  <si>
    <t>Wat is Zicht op Ondermijning?</t>
  </si>
  <si>
    <t>CBS sector DBD</t>
  </si>
  <si>
    <t>https://www.zichtopondermijning.nl/</t>
  </si>
  <si>
    <t>Verdeelmodel BUIG-budget</t>
  </si>
  <si>
    <t>GemDenHaag_SZW_Onderzoek</t>
  </si>
  <si>
    <t>https://www.cbs.nl/nl-nl/maatwerk/2021/12/verdeelmodel-buig-budget</t>
  </si>
  <si>
    <t>Het verband tussen scheiding en ziekteverzuim</t>
  </si>
  <si>
    <t>Wildeman, Ilona, Ernest de Vroome &amp; Mariska Klein Velderman</t>
  </si>
  <si>
    <t>Tijdschrift voor Arbeidsvraagstukken, 37(4), 504-522</t>
  </si>
  <si>
    <t>https://doi.org/10.5117/TVA2021.4.007.WILD</t>
  </si>
  <si>
    <t>Veilig opgroeien en gezond ontwikkelen in armoedegzinnen</t>
  </si>
  <si>
    <t>https://programmasmartstart.nl/pilot-de-voedselbank-gilze-en-rijen/</t>
  </si>
  <si>
    <t>Ervaren discriminatie in Nederland II</t>
  </si>
  <si>
    <t xml:space="preserve">Iris, Andriessen,, Justin Hoegen Dijkhof, Ab van der Torre, Esther van den Berg, Ine Pulles, Jurjen Iedema &amp; Marian de Voogd-Hamelink </t>
  </si>
  <si>
    <t>https://www.scp.nl/publicaties/publicaties/2020/04/02/ervaren-discriminatie-in-nederland-ii</t>
  </si>
  <si>
    <t xml:space="preserve">Study about the Methodology to Measure the Returns on nvestment from Integrated Social Assistance Schemes </t>
  </si>
  <si>
    <t xml:space="preserve">Ende, Martin van der Ph.D., Ágota Scharle, Ph.D., Márton Csillag, Ph.D., Alessandra Cancedda, Ph.D., Laura Heidecke, Anastasia Yagafarova, Nils Verkennis, Anouk Brandsema, Saraï Sapulete, Ph.D., Simone Snoeijenbos, Bori Greskovic &amp; Tamás Molnár </t>
  </si>
  <si>
    <t>https://ec.europa.eu/social/main.jsp?catId=738&amp;langId=en&amp;pubId=8362&amp;furtherPubs=yes</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</si>
  <si>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</si>
  <si>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</si>
  <si>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</si>
  <si>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Financiële kwetsbaarheid van huishoudens met een aflossingsvrije hypotheek</t>
  </si>
  <si>
    <t xml:space="preserve">Loon, E., Nordman, N., Paiman, C., &amp; Weda, J. </t>
  </si>
  <si>
    <t>AFM</t>
  </si>
  <si>
    <t>AFM_Team_Risicoanalyse</t>
  </si>
  <si>
    <t>Woningmarktopgave in krimpregio’s tot 2040; Een modelmatige verkenning met financiële inzichten</t>
  </si>
  <si>
    <t>Heringa, Aafke, Roland Goetgeluk, Perry Hoetjes, Veerle Veraart, Hans van der Reijden, Martin Adler (VU-Amsterdam) &amp; Jos van Ommeren (VU-Amsterdam)</t>
  </si>
  <si>
    <t>Rigo</t>
  </si>
  <si>
    <t>https://www.rijksoverheid.nl/documenten/rapporten/2020/04/14/woningmarktopgave-in-krimpregios-tot-2040-achtergrondrapportage</t>
  </si>
  <si>
    <t>Aan de slag!, Onderzoek naar de begeleiding van jongeren naar werk of school</t>
  </si>
  <si>
    <t>Wiggers, Arjan, Thijs Bosma, Coen Eisma, Souhaib ben Kcouch &amp; Juliette van Adrichem</t>
  </si>
  <si>
    <t>Rekenkamer Den Haag</t>
  </si>
  <si>
    <t>https://www.rekenkamerdenhaag.nl/onderzoeken/participatiewet-jongeren/</t>
  </si>
  <si>
    <t>De gemengde stad</t>
  </si>
  <si>
    <t>Ridder, Jan de, Carlos Cordeiro, Marien van Grondelle, Annemarieke van der Veer &amp; Tessa Gulpers</t>
  </si>
  <si>
    <t>Rekenkamer Metropool Amsterdam</t>
  </si>
  <si>
    <t>Rekenkamer Amsterdam</t>
  </si>
  <si>
    <t>https://www.rekenkamer.amsterdam.nl/onderzoek/publieksonderzoek-2019-de-gemengde-stad/</t>
  </si>
  <si>
    <t>De waarde van combineren data voor de zorg</t>
  </si>
  <si>
    <t>Hoek, Sigrid van, Reinier Bikker &amp; Susan van Dijk</t>
  </si>
  <si>
    <t>https://www.cbs.nl/nl-nl/over-ons/innovatie/project/de-waarde-van-combineren-data-voor-de-zorg</t>
  </si>
  <si>
    <t>Welke inzichten levert het combineren van data op?</t>
  </si>
  <si>
    <t>Leusink, Maarten , Bart Koetzier en Jeroen Adema</t>
  </si>
  <si>
    <t>Vektis</t>
  </si>
  <si>
    <t>https://www.vektis.nl/actueel/welke-inzichten-levert-het-combineren-van-data-op</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</si>
  <si>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</si>
  <si>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</si>
  <si>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https://www.rijksoverheid.nl/documenten/kamerstukken/2020/06/02/aanbiedingsbrief-bij-rapporten-herijking-gemeentefonds</t>
  </si>
  <si>
    <t>Herijking gemeentefonds sociaal domein</t>
  </si>
  <si>
    <t>COVID-19 Zorgdruk Risico</t>
  </si>
  <si>
    <t>AHTI</t>
  </si>
  <si>
    <t>http://covid19zorgdrukrisico.ahti.nl/app/</t>
  </si>
  <si>
    <t>Bevolkingsgroei en potentiële gevolgen voor maatschappelijke voorzieningen: inzichten in de gemeente Barneveld</t>
  </si>
  <si>
    <t>Zoest Rosan van</t>
  </si>
  <si>
    <t>https://ahti.nl/nieuws/bevolkingsgroei-en-potentiele-gevolgen-voor-maatschappelijke-voorzieningen-inzichten-in-de-gemeente-barneveld/</t>
  </si>
  <si>
    <t>Trends &amp; Cijfers 2022; werken in de overheid- en onderwijssectoren</t>
  </si>
  <si>
    <t>MinBZK</t>
  </si>
  <si>
    <t>MinBZK_Beleidsinformatie</t>
  </si>
  <si>
    <t>https://www.kennisopenbaarbestuur.nl/documenten/rapporten/2022/10/01/trends--cijfers-2022</t>
  </si>
  <si>
    <t>De positie van uitzendwerknemers; Ontwikkelingen 1998-2019</t>
  </si>
  <si>
    <t xml:space="preserve">Heyma, A., Donker van Heel, P., Jansen, N. &amp; Meij, M. </t>
  </si>
  <si>
    <t>https://www.seo.nl/publicaties/de-positie-van-uitzendwerknemers-ontwikkelingen-1998-2019/</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</si>
  <si>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</si>
  <si>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</si>
  <si>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</si>
  <si>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</si>
  <si>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</si>
  <si>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Effecten van maatregelen ontslag in de Wet werk en zekerheid</t>
  </si>
  <si>
    <t>Heyma, Arjan, Henri Bussink, Hanneke Bennaars, Mirjam Engelen, Marije Schneider, Barend Barentsen &amp; Marieke Meij</t>
  </si>
  <si>
    <t>Evaluatie Wet werk en zekerheid (Wwz)</t>
  </si>
  <si>
    <t>Heyma, Arjan, Siemen van der Werff, Marloes Lammers, Hanneke Bennaars, Peter Donker van Heel &amp; Mirjam Engelen</t>
  </si>
  <si>
    <t>Onderzoek verfijning tabel vergoedingen bij labelstappen</t>
  </si>
  <si>
    <t>Tiekstra, Chantal, Bram Klouwen &amp; Karianne van den Berg</t>
  </si>
  <si>
    <t>https://dkvwg750av2j6.cloudfront.net/m/3e0d190fc83896c7/original/Onderzoek-vergoedingen-bij-labestappen-Companen-december-2019.pdf</t>
  </si>
  <si>
    <t>Verbeterde vergoedingentabel voor duurzaamheidsinvesteringen</t>
  </si>
  <si>
    <t>https://www.aedes.nl/artikelen/klant-en-wonen/huurbeleid/huurprijsbeleid/verbeterde-vergoedingentabel.html</t>
  </si>
  <si>
    <t>Wat is eerlijke huurverhoging bij verduurzaming?</t>
  </si>
  <si>
    <t>https://www.woonbond.nl/energie/woningverduurzaming/wat-eerlijke-huurverhoging-verduurzaming</t>
  </si>
  <si>
    <t>Onderzoek herijking tabellen vergoedingen bij labelstappen vanwege overgang naar NTA 8800</t>
  </si>
  <si>
    <t>Tiekstra, Chanta, Karianne van den Berg &amp; Bram Klouwen</t>
  </si>
  <si>
    <t>Aedes en de Woonbond</t>
  </si>
  <si>
    <t>file:///F:/Downloads/Companen_Onderzoek-herijking-vergoedingentabel-ivm-NTA8800_Eindrapport.pdf</t>
  </si>
  <si>
    <t>De mensen van</t>
  </si>
  <si>
    <t>UDC</t>
  </si>
  <si>
    <t>https://dashboards.cbs.nl/v2/de_mensen_van/</t>
  </si>
  <si>
    <t>Invloed van migratieachtergrond WW-gerechtigden op netto-effectiviteit van dienstverlening UWV</t>
  </si>
  <si>
    <t>Hek, Paul de, Jaap de Koning &amp; Griet De Lombaerde</t>
  </si>
  <si>
    <t>https://www.seor.nl/invloed-van-migratieachtergrond-ww-gerechtigden/</t>
  </si>
  <si>
    <t>Arbeidsmarkt- en re-integratiepatronen van Wajongers met arbeidsvermogen</t>
  </si>
  <si>
    <t xml:space="preserve">Hek, Paul de, Arie-Jan van der Toorn, Elisa de Vleeschouwer &amp; Henk Bakker </t>
  </si>
  <si>
    <t>https://www.seor.nl/patronen-wajongers/</t>
  </si>
  <si>
    <t>Effectiviteit van de Aanpak 45+ van de gemeente Almere. Deelrapport 5: secundaire analyses klanten met een niet-westerse migratieachtergrond</t>
  </si>
  <si>
    <t>Visee, Hetty &amp; Wim Zwinkels (Epsilon Research)</t>
  </si>
  <si>
    <t>Effectiviteit van de Aanpak 45+ van de gemeente Almere. Deelrapport 4: effectiviteitsanalyse en verklarend onderzoek</t>
  </si>
  <si>
    <t>Visee, hetty, Marjolein Bouterse &amp; Wim Zwinkels (Epsilon Research)</t>
  </si>
  <si>
    <t>Evaluatie van de interventie: De Nieuwe Toekomst op effectiviteit en werkzame mechanismen</t>
  </si>
  <si>
    <t>Bouma, Suzanne, Mickey Steijaert, Sonja van der Kemp &amp; Wim Zwinkels</t>
  </si>
  <si>
    <t>https://atria.nl/nieuws-publicaties/geweld-tegen-vrouwen/nieuwe-toekomst/</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</si>
  <si>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</si>
  <si>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</si>
  <si>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 xml:space="preserve">Springer </t>
  </si>
  <si>
    <t>https://link.springer.com/article/10.1007/s10926-023-10118-2</t>
  </si>
  <si>
    <t>Wetenschappelijke verantwoording doelgroepenanalyse laaggeletterden</t>
  </si>
  <si>
    <t xml:space="preserve">Huijts, T., Bijlsma, I., &amp; Van der Velden, R. </t>
  </si>
  <si>
    <t>http://www.geletterdheidinzicht.nl/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</si>
  <si>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</si>
  <si>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</si>
  <si>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</si>
  <si>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</si>
  <si>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Offspring education outcome at age 12 after induction of labour versus expectant management at term</t>
  </si>
  <si>
    <t>Burger, Renee J. Eva Pajkrt, Ben W. Mol, Wesel Ganzevoort, Sanne J. Gordijn, Joris van der Poel, Christanne de Groot En Anita C. Ravelli</t>
  </si>
  <si>
    <t xml:space="preserve">AJOG </t>
  </si>
  <si>
    <t>https://www.ajog.org/article/S0002-9378(21)02398-X/fulltext</t>
  </si>
  <si>
    <t>Preterm birth is associated with lower academic attainment at age 12 years: A matched cohort study by linkage of population-based datasets</t>
  </si>
  <si>
    <t xml:space="preserve">Beek, Pauline E. van, Aleid G. Leemhuis, Ameen Abu-Hanna, Eva Pajkrt, Cornelieke S.H. Aarnoudse-Moens, Anneloes L. van Baar, Peter Andriessen &amp; Anita C.J. Ravelli </t>
  </si>
  <si>
    <t>The Journal of Pediatrics</t>
  </si>
  <si>
    <t>https://pubmed.ncbi.nlm.nih.gov/35944725/</t>
  </si>
  <si>
    <t>Offspring school performance at age 12 after induction of labor vs non-intervention at term: A linked cohort study</t>
  </si>
  <si>
    <t>Burger, Renée J., Ben W. Mol, Wessel Ganzevoort, Sanne J. Gordijn, Eva Pajkrt, _x000D_
Joris A. M. van der Post, Christianne J.M. de Groot &amp; Anita C.J. Ravelli</t>
  </si>
  <si>
    <t>https://pubmed.ncbi.nlm.nih.gov/36810769/#affiliation-5</t>
  </si>
  <si>
    <t xml:space="preserve">Burger, Renée J., Ben W. Mol, Wessel Ganzevoort, Sanne J. Gordijn, Eva Pajkrt, _x000D_
Joris A.M. van der Post, Christianne J.M. de Groot &amp;  Anita C.J. Ravelli </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</si>
  <si>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</si>
  <si>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</si>
  <si>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</si>
  <si>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</si>
  <si>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</si>
  <si>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</si>
  <si>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PubMed</t>
  </si>
  <si>
    <t>https://pubmed.ncbi.nlm.nih.gov/37259868/</t>
  </si>
  <si>
    <t>Beleidsdoorlichting artikel 11 Studiefinanciering</t>
  </si>
  <si>
    <t>Broek, Anja van den, Joris Cuppen, Kyra de Korte &amp; Jules Warps</t>
  </si>
  <si>
    <t>Research Nederland</t>
  </si>
  <si>
    <t>Duurzame Inzetbaarheid ICT’ers: Eindrapportage</t>
  </si>
  <si>
    <t>Grond, Anna, Wazir Sahebali, Peter Romijn, Jac van der Klink &amp; Jasper Veldman</t>
  </si>
  <si>
    <t>Evaluatie van Nederlandse deelname aan Eurostars, Eureka Clusters en JTI’s, 2013 - 2018</t>
  </si>
  <si>
    <t>Weel, Bas ter, Tom Smits, Nard Koeman &amp; Gerben de Jong</t>
  </si>
  <si>
    <t>https://www.seo.nl/publicaties/evaluatie-van-nederlandse-deelname-aan-eurostars-eureka-clusters-en-jtis-2013-2018/</t>
  </si>
  <si>
    <t>Dashboard: Aantal huisartsassistenten en miedisch decretaresses per 10.000 inwoners</t>
  </si>
  <si>
    <t>Lelie, Titia</t>
  </si>
  <si>
    <t>https://diadashboard.nl/2019-004/overzicht-regio</t>
  </si>
  <si>
    <t>Onderwijsstromen in beeld</t>
  </si>
  <si>
    <t>Roessingh, Sanne &amp; Daniël van Vuuren</t>
  </si>
  <si>
    <t>De Argumentenfabriek</t>
  </si>
  <si>
    <t>https://www.argumentenfabriek.nl/media/3761/onderwijsstromen-in-beeld-tabletboek.pdf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</si>
  <si>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</si>
  <si>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</si>
  <si>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</si>
  <si>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</si>
  <si>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</si>
  <si>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</si>
  <si>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</si>
  <si>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</si>
  <si>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</si>
  <si>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</si>
  <si>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</si>
  <si>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Data Center Toerisme</t>
  </si>
  <si>
    <t>Visser, Evelien &amp; Anke ten Velde</t>
  </si>
  <si>
    <t>NBTC</t>
  </si>
  <si>
    <t>https://www.nbtc.nl/nl/home/activiteiten/intell-insights/data-center-toerisme.htm</t>
  </si>
  <si>
    <t>Overzicht projecten 2020 Data Center Toerisme</t>
  </si>
  <si>
    <t>https://nbtcmagazine.maglr.com/projecten-data-center-toerisme-dct/lopende-projecten</t>
  </si>
  <si>
    <t>Inkomensalternatieven zelfstandigen zonder personeel</t>
  </si>
  <si>
    <t>Grimmius, Ton, Silvia Rossetti, Melanie de Ruiter &amp; Paul Vroonhof</t>
  </si>
  <si>
    <t>https://www.panteia.nl/nieuws/inkomensalternatieven-zelfstandigen-zonder-personeel/</t>
  </si>
  <si>
    <t>Financiële veerkracht zzp’ers in praktijk groter dan vooraf verwacht</t>
  </si>
  <si>
    <t>Rossetti, Silvia, Ton Grimmius &amp; Melanie de Ruiter</t>
  </si>
  <si>
    <t>https://esb.nu/esb/20061635/financiele-veerkracht-zzpers-in-praktijk-groter-dan-vooraf-verwacht</t>
  </si>
  <si>
    <t>Health Insights: verdeling gebruik antidepressiva in Nederland</t>
  </si>
  <si>
    <t>https://ahti.nl/nieuws/health-insights-verdeling-gebruik-antidepressiva-in-nederland/</t>
  </si>
  <si>
    <t>Health Insights: Nederlandse zorgkosten in beeld</t>
  </si>
  <si>
    <t>https://ahti.nl/nieuws/health-insights-nederlandse-zorgkosten-in-beeld/</t>
  </si>
  <si>
    <t>Inzichten over kraamzorggebruik in Amsterdam</t>
  </si>
  <si>
    <t>https://ahti.nl/nieuws/inzichten-over-kraamzorggebruik-in-amsterdam/</t>
  </si>
  <si>
    <t>Health Insights: verdeling gebruik cholesterolverlagers in Nederland</t>
  </si>
  <si>
    <t>https://ahti.nl/nieuws/health-insights-verdeling-gebruik-cholesterolverlagers-in-nederland/</t>
  </si>
  <si>
    <t>Zorg voor pasgeborenen: screening op neonatale hypoglycemie</t>
  </si>
  <si>
    <t>https://ahti.nl/nieuws/zorg-voor-pasgeborenen-screening-op-neonatale-hypoglycemie/</t>
  </si>
  <si>
    <t>Juiste zorg op de juiste plek: kwetsbaarheid in de jonge jaren in beeld</t>
  </si>
  <si>
    <t>Baselmans, Bart &amp; Rosan van Zoest</t>
  </si>
  <si>
    <t>https://ahti.nl/nieuws/juiste-zorg-op-de-juiste-plek-kwetsbaarheid-in-de-jonge-jaren-in-beeld/</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</si>
  <si>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</si>
  <si>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</si>
  <si>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</si>
  <si>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</si>
  <si>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Verbetersignalement: Zorg voor mensen met een licht verstandelijke beperking en een gezondheidsprobleem</t>
  </si>
  <si>
    <t>Hamstra, Gerrit</t>
  </si>
  <si>
    <t>Zorginstituut Nederland</t>
  </si>
  <si>
    <t>Equalis</t>
  </si>
  <si>
    <t>Arbeidsmigranten in Zuid-Holland: ontwikkeling in aantal en herkomstlanden</t>
  </si>
  <si>
    <t>Hek, Paul de, Yvonne Prince &amp; Arie van der Toorn</t>
  </si>
  <si>
    <t>https://www.seor.nl/arbeidsmigranten-zuid-holland/index.html</t>
  </si>
  <si>
    <t>Wijkteams en praktijkondersteuners in de jeugdzorg</t>
  </si>
  <si>
    <t>Benda, Luc, Maaike Diepstraten, Remco van Eijkel &amp; Minke Remmerswaal</t>
  </si>
  <si>
    <t>https://www.cpb.nl/sites/default/files/omnidownload/CPB-Notitie-Wijkteams-en-praktijkondersteuners-in-de-jeugdzorg.pdf</t>
  </si>
  <si>
    <t>Beloning specialisten bij het Rijk</t>
  </si>
  <si>
    <t>Zandvliet, Kees, Arjan Ruis &amp; Elisa de Vleeschouwer</t>
  </si>
  <si>
    <t>https://www.seor.nl/beloning-specialisten-bij-het-rijk/</t>
  </si>
  <si>
    <t>Armoedemonitor gemeente Den Haag, 2017 en 2018</t>
  </si>
  <si>
    <t>https://www.cbs.nl/nl-nl/maatwerk/2020/44/armoedemonitor-gemeente-den-haag-2017-en-2018-</t>
  </si>
  <si>
    <t>Evaluatie experimenten Participatiewet: Effecten op de uitstroom naar werk</t>
  </si>
  <si>
    <t>Boer, Henk-Wim de, Jonneke Bolhaar, Egbert Jongen &amp; Alice Zulkarnain</t>
  </si>
  <si>
    <t>https://www.cpb.nl/evaluatie-experimenten-participatiewet-effecten-op-de-uitstroom-naar-werk#docid-160222</t>
  </si>
  <si>
    <t>Reactie op uitkomsten experimenten Participatiewet</t>
  </si>
  <si>
    <t>MinisterieSZW</t>
  </si>
  <si>
    <t>https://www.rijksoverheid.nl/ministeries/ministerie-van-sociale-zaken-en-werkgelegenheid/documenten/kamerstukken/2020/05/28/kamerbrief-reactie-op-uitkomsten-experimenten-participatiewet</t>
  </si>
  <si>
    <t>Vervolgonderzoek experimenten Participatiewet</t>
  </si>
  <si>
    <t>Verlaat, Timo &amp; Alice Zulkarmain</t>
  </si>
  <si>
    <t>Evaluatie experimenten Participatiewet: effecten op brede baten</t>
  </si>
  <si>
    <t>Verlaat, Timo &amp; Alice Zulkarnain</t>
  </si>
  <si>
    <t>CPB ism SZW</t>
  </si>
  <si>
    <t>https://www.cpb.nl/evaluatie-experimenten-participatiewet-effecten-op-brede-baten#docid-160990</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</si>
  <si>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</si>
  <si>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</si>
  <si>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</si>
  <si>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</si>
  <si>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Inkomensondersteunende toeslagen: Hoe vergaat het bedrijven waar medewerkers toeslagen ontvangen?</t>
  </si>
  <si>
    <t>Scheltinga, Eduard van</t>
  </si>
  <si>
    <t>SP Wetenschappelijk Bureau</t>
  </si>
  <si>
    <t>https://www.sp.nl/sites/default/files/20200804.rapport_inkomensondersteunende_toeslagen.pdf</t>
  </si>
  <si>
    <t>Uitzend-, Zorg en supermarktmedewerkers vaak aangewezen op toeslagen</t>
  </si>
  <si>
    <t>https://www.sp.nl/achtergrond/uitzend-zorg-en-supermarktmedewerkers-vaak-aangewezen-op-toeslagen</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</si>
  <si>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</si>
  <si>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</si>
  <si>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</si>
  <si>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Dadermonitor mensenhandel 2015-2019</t>
  </si>
  <si>
    <t xml:space="preserve">Bolhaar, H.J., M.W. Bleeker, R.H.L. Broere, M. van der Bruggen, S.E. Hageman, S.S.  Mangal, B.J.H. van Oerle &amp; M.M. Rademaker </t>
  </si>
  <si>
    <t>file:///F:/Downloads/Dadermonitor+Mensenhandel+2015-2019.pdf</t>
  </si>
  <si>
    <t>Eindevaluatie Regionaal Investeringsfonds mbo 2014-2018</t>
  </si>
  <si>
    <t>Groot Beumer, Tessa, Sven Maltha, Anna Grond, Elvira Meurs &amp; Abco van Langevelde</t>
  </si>
  <si>
    <t>https://www.dialogic.nl/projecten/eindevaluatie-regionaal-investeringsfonds-mbo/</t>
  </si>
  <si>
    <t>Integratie en vertrek van een recent cohort alleenstaande minderjarige vreemdelingen in Nederland (2014-2019)</t>
  </si>
  <si>
    <t>Afgewezen alleenstaande minderjarige vreemdelingen in Nederland</t>
  </si>
  <si>
    <t>Noyon, Sanne &amp; Isik Kulu-Glasgow</t>
  </si>
  <si>
    <t>Uitvoering Dubbele Kinderbijslag_x0002_Intensieve zorg</t>
  </si>
  <si>
    <t>Cuelenaere, Boukje &amp; Marcia den Uijl_x000D_</t>
  </si>
  <si>
    <t>https://www.rijksoverheid.nl/documenten/kamerstukken/2021/04/29/kamerbrief-met-kabinetsreactie-onderzoeken-dubbele-kinderbijslag-onderwijsredenen-en-intensieve-zorg</t>
  </si>
  <si>
    <t>Medication of Postpartum Depression and Maternal Outcomes:Evidence from Geographic Variation in Dutch Prescribing</t>
  </si>
  <si>
    <t>Currie Janet &amp; Esmée Zwiers</t>
  </si>
  <si>
    <t>The Journal of human resources</t>
  </si>
  <si>
    <t>UniPrinceton_Health and Wellbeing</t>
  </si>
  <si>
    <t>https://jhr.uwpress.org/content/early/2023/06/01/jhr.1021-11986R1</t>
  </si>
  <si>
    <t>Arbeidsmarktmonitor 2020 voor personeel in het HBO</t>
  </si>
  <si>
    <t>https://www.zestor.nl/sites/default/files/publications/Arbeidsmarktmonitor 2020 def.pdf</t>
  </si>
  <si>
    <t>Estimating healthcare expenditures after becoming divorced or widowed using propensity score matching</t>
  </si>
  <si>
    <t>Meulman Iris,  Bette Loef, Niek Stadhouders, Tron Anders Moger, Albert Wong, Johan J Polder &amp;  Ellen Uiters</t>
  </si>
  <si>
    <t>https://pubmed.ncbi.nlm.nih.gov/36251142/</t>
  </si>
  <si>
    <t>Waarde van cultuur: De staat van de culturele sector in Noord-Brabant</t>
  </si>
  <si>
    <t>Koomen, Bianca, Britte van Dalen, Ellen Dingemans, Fenna Bijster, Joanna Kroeze, Rogier Brom &amp; Sophie de Jong</t>
  </si>
  <si>
    <t>KunstLoc Brabant</t>
  </si>
  <si>
    <t>PON_TELOS</t>
  </si>
  <si>
    <t>https://www.kunstlocbrabant.nl/kennis-advies/waarde-van-cultuur-2022-39255</t>
  </si>
  <si>
    <t>Migratiedynamiek op de Waddeneilanden</t>
  </si>
  <si>
    <t>Dagevos, John, Sanne Paenen, Ellen Dingemans &amp; Fenna Bijster</t>
  </si>
  <si>
    <t>Het Pon</t>
  </si>
  <si>
    <t>https://www.waddenacademie.nl/organisatie/publicatie-lijst/publicatie-detail/migratiedynamiek-op-de-waddeneilanden</t>
  </si>
  <si>
    <t>Leefstijlinterventie op de werkplek en de relatie met productiviteit en zorgkosten</t>
  </si>
  <si>
    <t>Remmerswaal, Minke</t>
  </si>
  <si>
    <t>https://www.cpb.nl/leefstijlinterventie-op-de-werkplek-en-de-relatie-met-productiviteit-en-zorgkosten</t>
  </si>
  <si>
    <t>Analyse energiebesparende maatregelen Nationaal Energiebespaarfonds</t>
  </si>
  <si>
    <t>Rovers, Vera, Marijke Menkveld &amp; Tanja Krone_x000D_</t>
  </si>
  <si>
    <t>https://www.rvo.nl/sites/default/files/2021/02/Analyse-energiebesparende-maatregelen-Nationaal-Energiebespaarfonds-TNO-2020.pdf</t>
  </si>
  <si>
    <t>Evaluatie van de Garantie Ondernemingsfinanciering (GO) 2009-2018</t>
  </si>
  <si>
    <t>Hertog, Pim den, Tessa Groot Beumer, Pieter Jan de Boer, Frank Bongers, Matthijs Janssen, Peter Roosenboom (RSM), Wazir Sahebali &amp; Adriaan Smeitink</t>
  </si>
  <si>
    <t>https://www.dialogic.nl/projecten/evaluatie-garantie-ondernemingsfinanciering/</t>
  </si>
  <si>
    <t>Jongeren inclusief; microdata-onderzoek naar participatieachterstanden van jongeren met een chronische aandoening.</t>
  </si>
  <si>
    <t>Gielen, Maartje, Wijnand Plaggenhoef, Joeri Athmer, Leo Aarts &amp; Ilse Kalisvaart</t>
  </si>
  <si>
    <t>https://jongpit.nl/wp-content/uploads/2022/02/Significant-APE-Eindrapport-Jongeren-Inclusief-microdata-DEF.pdf</t>
  </si>
  <si>
    <t>Data geeft inzicht in hoe ziekenhuisopnames onder ouderen voorkomen kunnen worden_x000D_</t>
  </si>
  <si>
    <t>Lucassen, Robert, Patrick Colijn, Maarten Snijders, Pouya Zarbanoui &amp; Danielle Schuitemaker</t>
  </si>
  <si>
    <t>Deloitte</t>
  </si>
  <si>
    <t>Deloitte_AIM</t>
  </si>
  <si>
    <t>https://www2.deloitte.com/content/dam/Deloitte/nl/Documents/public-sector/deloitte-nl-sots-ziekenhuisopnames-ouderen-v28052021.pdf</t>
  </si>
  <si>
    <t>Niet-gebruik van de algemene bijstand: Een onderzoek naar de omvang, kenmerken, langdurigheid en aanpak</t>
  </si>
  <si>
    <t>Impact coronacrisis op het stelsel van Werk en Inkomen</t>
  </si>
  <si>
    <t>Wonen voor Almeerders met Wlz Beschrijving Almeerders met zorg op grond van de Wet_x000D_
langdurige zorg</t>
  </si>
  <si>
    <t>Tuynman, M. &amp; K. Grimmerink</t>
  </si>
  <si>
    <t>https://www.almere.nl/fileadmin/user_upload/OenS/2020/Almeerders_met_Wlz_P2019_059.pdf</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</si>
  <si>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</si>
  <si>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</si>
  <si>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</si>
  <si>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Self-employment career patterns in the Netherlands: exploring individual and regional differences</t>
  </si>
  <si>
    <t>Bay, Franziska &amp; Sierdjan Koster</t>
  </si>
  <si>
    <t>https://rdcu.be/cNWKs</t>
  </si>
  <si>
    <t>Economische zelfstandigheid vrouwen</t>
  </si>
  <si>
    <t xml:space="preserve">https://microdata.incijfers.nl/handlers/ballroom.ashx?function=download&amp;id=22_x000D_
</t>
  </si>
  <si>
    <t>Gezondheidsproblemen personen met een lage sociaal-economische status</t>
  </si>
  <si>
    <t>Schwartz, Tim, William Luiten &amp; Lucy Kok</t>
  </si>
  <si>
    <t>No causal relationship between early motherhood and offspring adolescent offending: empirical evidence from a genetically-informed study</t>
  </si>
  <si>
    <t xml:space="preserve">Weijer, S. van de </t>
  </si>
  <si>
    <t>Psychiatry Research</t>
  </si>
  <si>
    <t>https://www.sciencedirect.com/science/article/pii/S0165178122003821</t>
  </si>
  <si>
    <t xml:space="preserve">Intergenerational continuity of crime: A comparison between children of discordant siblings. </t>
  </si>
  <si>
    <t>Criminal Behaviour and Mental Health</t>
  </si>
  <si>
    <t>https://onlinelibrary.wiley.com/doi/full/10.1002/cbm.2259</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</si>
  <si>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</si>
  <si>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</si>
  <si>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</si>
  <si>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</si>
  <si>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 xml:space="preserve">Examining Mate Similarity for Chronic and Non-chronic </t>
  </si>
  <si>
    <t>Weijer, Steve van de &amp; Brian Boutwell</t>
  </si>
  <si>
    <t>Journal of Developmental and Life-Course Criminology</t>
  </si>
  <si>
    <t>https://link.springer.com/article/10.1007/s40865-022-00197-9</t>
  </si>
  <si>
    <t>Familial concentration of crime in a digital era: Criminal behavior among family members of cyber offenders</t>
  </si>
  <si>
    <t>Weijer, Steve van de &amp; Asier Moneva</t>
  </si>
  <si>
    <t>https://www.sciencedirect.com/science/article/pii/S2451958822000835</t>
  </si>
  <si>
    <t>Kansrijk armoedebeleid</t>
  </si>
  <si>
    <t xml:space="preserve">Olsthoorn, M., P. Koot, S. Hoff, M. Ras, B. van Hulst, J. Wildeboer Schut, J. Arts, B. Goderis, L. Thijssen, M. de Haard, M. Vlekke &amp; E. Verkade </t>
  </si>
  <si>
    <t>https://www.scp.nl/publicaties/publicaties/2020/06/18/kansrijk-armoedebeleid</t>
  </si>
  <si>
    <t>Duurzame banen voor jongvolwassenen met psychische kwetsbaarheden:inzicht in effectieve jobcoaching</t>
  </si>
  <si>
    <t>Lange, Aniek de , Harry Michon, Nicole van Erp &amp; Hans Kroon</t>
  </si>
  <si>
    <t>Trimbos Instituut</t>
  </si>
  <si>
    <t>Trimbos</t>
  </si>
  <si>
    <t>Functiegroepen in de detailhandel non-food</t>
  </si>
  <si>
    <t>https://www.retailinsiders.nl/publicaties/download/rapport-functiegroepen-detailhandel-non-food-2020</t>
  </si>
  <si>
    <t>Functiegroepen in de detailhandel food</t>
  </si>
  <si>
    <t>https://www.retailinsiders.nl/publicaties/download/rapport-functiegroepen-detailhandel-food-2020</t>
  </si>
  <si>
    <t>Functiegroepen in de detailhandel</t>
  </si>
  <si>
    <t>https://www.retailinsiders.nl/publicaties/download/rapport-functiegroepen-detailhandel-totaal-2020</t>
  </si>
  <si>
    <t>Arbeidsmarktmonitor Creatief Vakman 2020</t>
  </si>
  <si>
    <t>https://www.s-bb.nl/nieuws/arbeidsmarktmonitor-creatief-vakman-2020</t>
  </si>
  <si>
    <t>Studeren bij HMC: studie in cijfers (actualisatie)</t>
  </si>
  <si>
    <t>https://www.hmcollege.nl/studeren-bij-hmc/studie-in-cijfers/</t>
  </si>
  <si>
    <t>De agrarische en groene sector in 2019</t>
  </si>
  <si>
    <t>https://www.collandarbeidsmarkt.nl/informatiedashboard/</t>
  </si>
  <si>
    <t>Arbeidsmarktstructuur sector agrarisch en groen in beeld_x000D_</t>
  </si>
  <si>
    <t>https://www.collandarbeidsmarkt.nl/rapporten/</t>
  </si>
  <si>
    <t>De sector netwerkbedrijven in 2018/2019</t>
  </si>
  <si>
    <t>https://netwerkbedrijven.incijfers.nl/</t>
  </si>
  <si>
    <t>Aandrijf- en Automatiseringstechniek</t>
  </si>
  <si>
    <t>Scheeps Industrieel Technisch Onderhoud</t>
  </si>
  <si>
    <t>Maatwerk: kerncijfers voor leden van FME</t>
  </si>
  <si>
    <t>https://www.abfresearch.nl/nieuws/maatwerk-kerncijfers-voor-leden-van-fme/</t>
  </si>
  <si>
    <t>Arbeidsmarktmonitor Gastvrijheidssector</t>
  </si>
  <si>
    <t>https://dashboard.nbtc.nl/dashboard/arbeidsmarktmonitor</t>
  </si>
  <si>
    <t xml:space="preserve">Dashboard: HMC in cijfers_x000D_
</t>
  </si>
  <si>
    <t>ABF_Research</t>
  </si>
  <si>
    <t>https://hmc.incijfers.nl/</t>
  </si>
  <si>
    <t xml:space="preserve">Brancherapport SITO_x000D_
</t>
  </si>
  <si>
    <t>https://abfresearch.nl/publicaties/brancherapport-sito-2/</t>
  </si>
  <si>
    <t>https://abfresearch.nl/publicaties/brancherapport-feda-2/</t>
  </si>
  <si>
    <t>Dashboard: HMC in cijfers</t>
  </si>
  <si>
    <t>https://hmc.incijfers.nl/dashboard/dashboard/Opleiding/</t>
  </si>
  <si>
    <t>Hoe statistiek het schoolexamen verdacht maakte en waarom schoolexamens dat niet verdienen</t>
  </si>
  <si>
    <t xml:space="preserve">Brederode Marion van &amp; Martijn Meeter </t>
  </si>
  <si>
    <t>VU_FGB</t>
  </si>
  <si>
    <t>https://www.scienceguide.nl/2020/05/hoe-statistiek-het-schoolexamen-verdacht-maakte/</t>
  </si>
  <si>
    <t>Predicting retention in higher education from high-stakes exams or school GPA</t>
  </si>
  <si>
    <t>Meeter, Martijn &amp; Marion van Brederode</t>
  </si>
  <si>
    <t>https://psyarxiv.com/h537g/</t>
  </si>
  <si>
    <t>Toch maar geen centrale eindexamens?</t>
  </si>
  <si>
    <t>Meester, Martijn</t>
  </si>
  <si>
    <t>https://www.researchinstitutelearn.nl/leerlingen/toch-maar-geen-centrale-eindexamens/</t>
  </si>
  <si>
    <t>Nationaal Cohortonderzoek moet kansenongelijkheid in het onderwijs anders meten</t>
  </si>
  <si>
    <t>Brederode, Marion van</t>
  </si>
  <si>
    <t>https://www.scienceguide.nl/2020/12/nationaal-cohortonderzoek-moet-kansenongelijkheid-in-het-onderwijs-anders-meten/</t>
  </si>
  <si>
    <t>Brederode, Marion van &amp; Martijn Meeter</t>
  </si>
  <si>
    <t>Tapping into the potential of data for innovation</t>
  </si>
  <si>
    <t>ZEW</t>
  </si>
  <si>
    <t>https://www.oecd.org/publications/firms-going-digital-ee8340c1-en.htm</t>
  </si>
  <si>
    <t>Inequalities in socioeconomic status and health: does it matter where in the Netherlands you live?</t>
  </si>
  <si>
    <t>Kroeze, Jonna</t>
  </si>
  <si>
    <t>Marktordening toeristische sector Amsterdam</t>
  </si>
  <si>
    <t>Tieben, Bert, Nard Koeman &amp; Christiaan Behrens</t>
  </si>
  <si>
    <t>https://www.seo.nl/publicaties/marktordening-toeristische-sector-amsterdam/</t>
  </si>
  <si>
    <t>Do energy-efficiency renovations reduce energy poverty?</t>
  </si>
  <si>
    <t>Roberdel, Vincent P., Ioulia V. Ossokina, Theo A. Arentze</t>
  </si>
  <si>
    <t>MinEZK_RVO_KME</t>
  </si>
  <si>
    <t>School Outcomes of Children Raised by Same-Sex Parents: Evidence from Administrative_x000D_
Panel Data</t>
  </si>
  <si>
    <t>Mazrek, Deni, Kristof De Witte,&amp; Sofie Cabus</t>
  </si>
  <si>
    <t>UniLeuven</t>
  </si>
  <si>
    <t>UniLeuven_KU</t>
  </si>
  <si>
    <t>Korte termijn financiële weerbaarheid van huishoudens</t>
  </si>
  <si>
    <t>Weda, Jarst</t>
  </si>
  <si>
    <t>https://www.afm.nl/nl-nl/professionals/nieuws/2020/juli/financiele-weerbaarheid-huishoudens</t>
  </si>
  <si>
    <t>Minstens 75.000 huishoudens binnen drie maanden in financiële problemen na inkomensverlies</t>
  </si>
  <si>
    <t>https://www.afm.nl/nl-nl/professionals/nieuws/2020/september/stresstest-huishoudens-afm-cpb</t>
  </si>
  <si>
    <t>Stresstest huishoudens</t>
  </si>
  <si>
    <t>Vlekke, Marente, Henk-Wim de Boer, (CPB) Jarst Weda, Alexandra van Geen (AFM)</t>
  </si>
  <si>
    <t>CPB/AFM</t>
  </si>
  <si>
    <t>Cumulative incidence and disease_x0002_specific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</si>
  <si>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</si>
  <si>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Wildeboer Schut, Jean Marie &amp; Michiel Ras</t>
  </si>
  <si>
    <t>https://digitaal.scp.nl/ssn2020/inkomen/</t>
  </si>
  <si>
    <t>Social Capital and Its Returns as an Explanation for Early Labor Market Success of Majority and Minority Members in the Netherlands</t>
  </si>
  <si>
    <t>Baalbergen I. &amp; E. Jaspers</t>
  </si>
  <si>
    <t>Monitor payroll voor de doelgroep banenafspraak en nieuw beschut werk</t>
  </si>
  <si>
    <t>Hek, Paul de, Kees Zandvliet, Arie-Jan van der Toorn, Elisa de Vleeschouwer &amp; Aukje Smit</t>
  </si>
  <si>
    <t>https://www.seor.nl/monitor-payroll-voor-de-doelgroep--banenafspraak/index.html</t>
  </si>
  <si>
    <t>Study supporting the ex post evaluation of the European Globalisation Adjustment Fund _x000D_
(2014-2020)</t>
  </si>
  <si>
    <t xml:space="preserve">Ludden, Vanessa, Lara Jansen, Karin Attström, Elisa Colaiacomo, Fabian Landes, Karun Gelibolyan, Paul de Hek &amp; Arie-Jan van der Toorn </t>
  </si>
  <si>
    <t>https://www.seor.nl/Cms_Media/S1178-Rapport-EGF.pdf</t>
  </si>
  <si>
    <t>The Psychological and Financial Impact of Cybercrime Victimization: A Novel Application of the Shattered Assumptions Theory</t>
  </si>
  <si>
    <t>Borwell, Jildau, Jurjen Jansen &amp; Wouter Stol</t>
  </si>
  <si>
    <t>Open Universiteit</t>
  </si>
  <si>
    <t>OU</t>
  </si>
  <si>
    <t>Normering winstuitkering zorg</t>
  </si>
  <si>
    <t>Kok, Lucy, Celine Odding &amp; Ward Rougoor</t>
  </si>
  <si>
    <t>https://www.seo.nl/publicaties/normering-winstuitkering-zorg/</t>
  </si>
  <si>
    <t>Hybride docenten in het technisch beroepsonderwijs</t>
  </si>
  <si>
    <t>Velden, C.P. van der &amp; M. Bilkes</t>
  </si>
  <si>
    <t>https://www.hybridedocent.nl/wp-content/uploads/sites/30/2021/12/HYBRIDE-DOCENTEN-IN-HET-TECHNISCH-BEROEPSONDERWIJS.pdf</t>
  </si>
  <si>
    <t>Werk aan de winkel; De rol van de werkgever in het re-integratietraject van langdurig werkzoekenden</t>
  </si>
  <si>
    <t>Hamelink, Esther</t>
  </si>
  <si>
    <t>Samen onder dak: Belemeringen voor bijstandsgerechtigden om woonruimte te delen</t>
  </si>
  <si>
    <t>Blom, Michiel, Sam Huberts, Marjolijn Zwanepol, Maartje Gielen, Ellen Westhoff, Joeri Athmer, Ilse Kalisvaart &amp; Wouter Oosterom_x000D_</t>
  </si>
  <si>
    <t>https://www.google.com/url?sa=t&amp;rct=j&amp;q=&amp;esrc=s&amp;source=web&amp;cd=&amp;ved=2ahUKEwitjayM-5_tAhWhsaQKHaDWBD0QFjAAegQIAxAC&amp;url=https%3A%2F%2Fwww.rijksoverheid.nl%2Fbinaries%2Frijksoverheid%2Fdocumenten%2Fpublicaties%2F2020%2F11%2F06%2Fbijlage-1-bij-kabinetsreactie-onderzoek-significant-ape-belemmeringen-woonruimte-delen%2Fbijlage-1-bij-kabinetsreactie-onderzoek-significant-ape-belemmeringen-woonruimte-delen.pdf&amp;usg=AOvVaw26M0R97FNnOL1XqzbxFEIR</t>
  </si>
  <si>
    <t>Extra vangnet voor flexwerkers in verband met de coronomaatregelen</t>
  </si>
  <si>
    <t>Monitor vitaminen, mineralen en paracetamol uit het pakket; eindrapport</t>
  </si>
  <si>
    <t>Brabers, Anne, Marianne Heins, Marloes Meijer, Karin Hek, Roland te Paske, Liset van Dijk &amp; Judith de Jong_x000D_</t>
  </si>
  <si>
    <t>https://www.nivel.nl/sites/default/files/bestanden/1003748.pdf</t>
  </si>
  <si>
    <t>Monitor Palliatieve zorg 2020</t>
  </si>
  <si>
    <t>NZa_EMB</t>
  </si>
  <si>
    <t>https://magazines.nza.nl/nza-specials/2020/03/monitor-pz-2020</t>
  </si>
  <si>
    <t>Peer effects on educational attainment: evidence from the Netherlands</t>
  </si>
  <si>
    <t>Pronk, A.M.R.</t>
  </si>
  <si>
    <t>University Groningen_FEB</t>
  </si>
  <si>
    <t>https://www.openonderzoekgroningen.nl/page/646/peer-effects-on-educational-attainment-evidence-from-the-netherlands</t>
  </si>
  <si>
    <t>Rapport Inkomenspositie van studenten in de beroepsbegeleidende leerweg (2021)</t>
  </si>
  <si>
    <t>Verberk-de Kruik, Marjan &amp; Jasja Bos</t>
  </si>
  <si>
    <t>https://www.nibud.nl/onderzoeksrapporten/rapport-inkomenspositie-van-studenten-in-de-beroepsbegeleidende-leerweg-2021/</t>
  </si>
  <si>
    <t>Pilot Onderwijs Tilburg; Kansen op schoolsucces vergroten</t>
  </si>
  <si>
    <t>https://programmasmartstart.nl/pilot-onderwijs-tilburg/</t>
  </si>
  <si>
    <t xml:space="preserve">The association of specific industry-related air pollution with occurrence of chronic diseases: A register-based study_x000D_
</t>
  </si>
  <si>
    <t xml:space="preserve">Bergstra, Arnold D, Jasper V. Been &amp; Alex Burdorf_x000D_
</t>
  </si>
  <si>
    <t>https://doi.org/10.1016/j.envres.2022.112872</t>
  </si>
  <si>
    <t>Duurzame inzetbaarheid uitzendkrachten 2020</t>
  </si>
  <si>
    <t>Vermeulen, Hedwig &amp; Loes van Druten</t>
  </si>
  <si>
    <t>https://www.doorzaam.nl/over-doorzaam/onderzoeken/onderzoek-duurzame-inzetbaarheid-uitzendkrachten/</t>
  </si>
  <si>
    <t>Werken aan werk</t>
  </si>
  <si>
    <t>Kuppens, Jos, Juno van Esseveldt &amp; Anton van Wijk</t>
  </si>
  <si>
    <t>BureauBeke</t>
  </si>
  <si>
    <t>https://bureaubeke.nl/wp-content/uploads/2021/04/Downloadversie_Bekereeks_Werken_aan_werk.pdf</t>
  </si>
  <si>
    <t>Openbaar vervoer en de coronacrisis Het gebruik van het ov voor en tijdens de coronacrisis en de verwachting voor de middellange termijn</t>
  </si>
  <si>
    <t>Bakker, Peter, Marije Hamersma, Olga Huibregtse &amp; Peter Jorritsma</t>
  </si>
  <si>
    <t>Ministerie I&amp;W</t>
  </si>
  <si>
    <t xml:space="preserve">Regional Coronavirus Hotspots During the COVID-19: Outbreak in the Netherlands_x000D_
</t>
  </si>
  <si>
    <t xml:space="preserve">Hassink, H.J. Wouter, Guyonne Kalb &amp; Jordy Meekes_x000D_
</t>
  </si>
  <si>
    <t xml:space="preserve">https://www.scienceopen.com/document_file/ee3c6aeb-32d4-49dc-8c34-dc920403de81/PubMedCentral/ee3c6aeb-32d4-49dc-8c34-dc920403de81.pdf_x000D_
</t>
  </si>
  <si>
    <t>Beter weten: een beter begin Samen sneller naar een betere zorg rond de zwangerschap</t>
  </si>
  <si>
    <t>Achterberg, P.W. M.M. Harbers, N.A.M. Post &amp; K. Visscher</t>
  </si>
  <si>
    <t>Beleidssignalement maatschappelijke gevolgen coronamaatregelen</t>
  </si>
  <si>
    <t>Muns, Sander, Martin Olsthoorn, Lisette Kuyper &amp; Jan Dirk Vlasblom</t>
  </si>
  <si>
    <t>Bijlage: Kwetsbare groepen op de arbeidsmarkt</t>
  </si>
  <si>
    <t>Muns, Sander, Martin Olsthoorn, Lisette Kuyper &amp; Jan Dirk vlasblom</t>
  </si>
  <si>
    <t xml:space="preserve">Bijlage: Impact arbeidsmarkt per gemeente </t>
  </si>
  <si>
    <t>Brede verkenning toegevoegde waarde van ruimtevaarttechnologie_x000D_</t>
  </si>
  <si>
    <t>Ministerie van EZK/Dialogic</t>
  </si>
  <si>
    <t>https://www.rijksoverheid.nl/documenten/kamerstukken/2020/11/10/kamerbrief-over-brede-verkenning-toegevoegde-waarde-van-ruimtevaarttechnologie</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</si>
  <si>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</si>
  <si>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</si>
  <si>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</si>
  <si>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</si>
  <si>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Jaarrapportage over de ruimtelijke ontwerpsector</t>
  </si>
  <si>
    <t>Kempen, Suzan van, Romy Mathot &amp; Robert C. Kloosterman</t>
  </si>
  <si>
    <t>Centre for Urban Studies/GPIO_UvA</t>
  </si>
  <si>
    <t>IJkingsfactoren t.b.v. veldwerk</t>
  </si>
  <si>
    <t>https://cbsmicrodata.incijfers.nl/</t>
  </si>
  <si>
    <t>Betaalbaarheidsonderzoek: Onderzoek naar de betaalbaarheid van de sociale huurwoningen in het werkgebied van ProWonen</t>
  </si>
  <si>
    <t>Wegstapel, Joost &amp; Hanjo Lagas</t>
  </si>
  <si>
    <t>https://www.atrive.nl/actueel/projecten/dashboard-betaalbaarheidsonderzoek-voor-prowonen.html</t>
  </si>
  <si>
    <t>Eindrapportage Alternatieven voor het toeslagenstelsel</t>
  </si>
  <si>
    <t>https://www.rijksoverheid.nl/documenten/kamerstukken/2020/12/14/aanbiedingsbrief-eindrapportage-alternatieven-voor-het-toeslagenstelsel</t>
  </si>
  <si>
    <t xml:space="preserve">Hoofdstuk 5 Beleidsopties - alternatieven voor het toeslagenstelsel </t>
  </si>
  <si>
    <t>https://www.rijksoverheid.nl/documenten/kamerstukken/2020/12/14/0b-beleidsopties-h5-voor-alternatieven-voor-het-toeslagenstelsel</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</si>
  <si>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</si>
  <si>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</si>
  <si>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Maatregelen financiele beheersbaarheid Jeugdwet</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</si>
  <si>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</si>
  <si>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</si>
  <si>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</si>
  <si>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Evaluatie STiP-regeling</t>
  </si>
  <si>
    <t>Haanstra, Vera, Adriaan Oostveen, Joris Timmerman &amp; Hetty Visee</t>
  </si>
  <si>
    <t>https://www.regioplan.nl/wp-content/uploads/2021/02/20058-Eindrapport-Evaluatie-STiP-Regioplan-18nov2020.pdf</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</si>
  <si>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</si>
  <si>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</si>
  <si>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</si>
  <si>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 xml:space="preserve">The Incidence of Pension Contributions: A Panel Based Analysis of the Impact of Pension Contributions on Labor Cost, Wages and Labor Supply_x000D_
</t>
  </si>
  <si>
    <t xml:space="preserve">Bosch, Nicole, Casper van Ewijk, Maja Micevska Scharf &amp; Sander Muns_x000D_
</t>
  </si>
  <si>
    <t>https://doi.org/10.1007/s10645-022-09401-z</t>
  </si>
  <si>
    <t>The Incidence of Pension Contributions; What matters: marginal or average rates?</t>
  </si>
  <si>
    <t>Bosch, Nicole, Casper van Ewijk, Maja Micevska Scharf &amp; Sander Muns</t>
  </si>
  <si>
    <t>CPB_Netspar</t>
  </si>
  <si>
    <t>https://www.netspar.nl//assets/uploads/P20190114_DP002_VanEwijk.pdf</t>
  </si>
  <si>
    <t>Ontwikkeling van de leefsituatie van volwassen ex-justitiabelen</t>
  </si>
  <si>
    <t>Brand, Eddy, Annelies Jorna &amp; Rianne van Os</t>
  </si>
  <si>
    <t>DJI_Beleid_Analyse</t>
  </si>
  <si>
    <t>Populatieverschillen in geregistreerde COVID-19 prevalentie</t>
  </si>
  <si>
    <t>Jonge, Ester de &amp; Babette van Deursen</t>
  </si>
  <si>
    <t>CEPHIR</t>
  </si>
  <si>
    <t>GGD_ZHZ_ROA</t>
  </si>
  <si>
    <t>Armoede ondersteuning</t>
  </si>
  <si>
    <t>Data Fryslãn</t>
  </si>
  <si>
    <t>https://www.datafriesland.nl/armoede/</t>
  </si>
  <si>
    <t>Armoedemonitor</t>
  </si>
  <si>
    <t>https://www.datafriesland.nl/wereldarmoededag-2020/</t>
  </si>
  <si>
    <t>Nieuwe data-inzichten over huizenbezit en overlevingskansen bieden perspectief voor chronisch zieken</t>
  </si>
  <si>
    <t>https://www2.deloitte.com/nl/nl/pages/public-sector/articles/sots-nieuwe-data-inzichten-over-huizenbezit-en-overlevingskansen-bieden-perspectief-voor-chronisch-zieken.html</t>
  </si>
  <si>
    <t>Life expectancy and insurability of people with chronic conditions</t>
  </si>
  <si>
    <t>https://www2.deloitte.com/content/dam/Deloitte/nl/Documents/public-sector/deloitte-nl-ps-sots-research%20methodology-july-2022.pdf</t>
  </si>
  <si>
    <t>Van vakdocent VO naar bevoegd leraar PO: Verkenning naar de stille reserve aan _x000D_
vakdocenten VO</t>
  </si>
  <si>
    <t>Nuland, Etienne van &amp; Marleen Kools</t>
  </si>
  <si>
    <t>CAOP</t>
  </si>
  <si>
    <t>Onderzoek cao-proces metaalbewerking - deelonderzoek vergelijking FWT-sectoren</t>
  </si>
  <si>
    <t>Bureau Bartels</t>
  </si>
  <si>
    <t>BureauBartels</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</si>
  <si>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</si>
  <si>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</si>
  <si>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</si>
  <si>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De gevolgen van de coronacrisis op arbeidsmigranten in de land- en tuinbouw</t>
  </si>
  <si>
    <t xml:space="preserve">Heyma, A., Luiten, W., Splinter, G. &amp; Puister, L. </t>
  </si>
  <si>
    <t>https://www.seo.nl/publicaties/de-gevolgen-van-de-coronacrisis-op-arbeidsmigranten-in-de-land-en-tuinbouw/</t>
  </si>
  <si>
    <t>Examining neighborhood effects on mental health utilizing a novel two-stage modeling approach</t>
  </si>
  <si>
    <t>Broderie, Ninke W., Hans van Kippersluis, Jasper V. Been, Frank J. van Lenthe &amp; Joost Oude Groeniger</t>
  </si>
  <si>
    <t>EUR_ESSB</t>
  </si>
  <si>
    <t>https://doi.org/10.1016/j.annepidem.2023.04.012</t>
  </si>
  <si>
    <t>Indicatoren arbeidsmarktperspectief mbo</t>
  </si>
  <si>
    <t>Visser, Derk, Annikka Lemmens &amp; Sonny Kuijpers</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</si>
  <si>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</si>
  <si>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</si>
  <si>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</si>
  <si>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</si>
  <si>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</si>
  <si>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</si>
  <si>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</si>
  <si>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</si>
  <si>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 xml:space="preserve">Quickscan Programma Gebiedsgerichte Aanpak Leefbaarheid &amp; Veiligheid </t>
  </si>
  <si>
    <t>SpringCo</t>
  </si>
  <si>
    <t>https://www.kennisopenbaarbestuur.nl/rapporten-publicaties/quickscan-programma-gebiedsgerichte-aanpak-leefbaarheid-veiligheid/</t>
  </si>
  <si>
    <t>De impact van de coronacrisis op de overgang onderwijs-arbeidsmarkt</t>
  </si>
  <si>
    <t>Zwetsloot, Jelle,  Bas ter Weel,  Paul Bisschop,  Koen van der Ven &amp; Maaike van Rooijen (Verwey-Jonker instituut)</t>
  </si>
  <si>
    <t>https://www.seo.nl/publicaties/de-impact-van-de-coronacrisis-op-de-overgang-onderwijs-arbeidsmarkt/</t>
  </si>
  <si>
    <t>Meer Nederlanders zouden kunnen beleggen in plaats van sparen</t>
  </si>
  <si>
    <t>Geen Alexandra van, Johan Bonekamp, Loan van Hoeven &amp; Mark Wielstra</t>
  </si>
  <si>
    <t>AFM_Team_Consumentengedrag</t>
  </si>
  <si>
    <t>https://www.afm.nl/nl-nl/nieuws/2022/maart/meer-nederlanders-beleggen-sparen</t>
  </si>
  <si>
    <t>Comparing Wealth Effects of Saving and Index Investment</t>
  </si>
  <si>
    <t xml:space="preserve">Geen, Alexandra van, Johan Bonekamp, Loan van Hoeven &amp; Mark Wielstra </t>
  </si>
  <si>
    <t>Addendum to ‘Comparing Wealth Effects of Saving and Index Investment’_x000D_</t>
  </si>
  <si>
    <t>Gildeleren als werkgeversdienstverlening</t>
  </si>
  <si>
    <t>Rijn, Monique van, Harm van Lieshout &amp; Louis Polstra</t>
  </si>
  <si>
    <t>Hogeschool Groningen</t>
  </si>
  <si>
    <t>HogeschoolGroningen_MvOCoEO_Arbeidsparticipatie</t>
  </si>
  <si>
    <t>https://www.hanze.nl/nld/onderzoek/kenniscentra/centrum-ondernemerschap/onderzoek/lectoraten/arbeidsparticipatie/projecten/projecten-healthy-ageing/gildeleren-gemeentelijke-werkgeversdienstverlening</t>
  </si>
  <si>
    <t>Schaarse vergunningen en terugverdientijd in de ambulante handel</t>
  </si>
  <si>
    <t>Tieben, Bert, Christiaan Behrens, Nard Koeman &amp; Johan Wolswinkel</t>
  </si>
  <si>
    <t>https://www.seo.nl/publicaties/schaarse-vergunningen-en-terugverdientijd-in-de-ambulante-handel/</t>
  </si>
  <si>
    <t>Verdeelmodel Beschut Werk: Nieuwe verdeling</t>
  </si>
  <si>
    <t>Swart, Lisette, Maartje Gielen, Tom Boersma &amp; Leo Aarts</t>
  </si>
  <si>
    <t>MinSoZaWe</t>
  </si>
  <si>
    <t>https://open.overheid.nl/documenten/ronl-f2bf26b4-a21e-4004-b19a-030638fdfd77/pdf</t>
  </si>
  <si>
    <t>Economische impact van de toegespaste onderzoek organisaties op het Nederlandse bedrijfsleven</t>
  </si>
  <si>
    <t>Jong, Gerben de &amp; Erik Brouwer</t>
  </si>
  <si>
    <t>https://www.seo.nl/publicaties/economische-impact-van-de-toegepast-onderzoek-organisaties-op-het-nederlandse-bedrijfsleven/</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</si>
  <si>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</si>
  <si>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</si>
  <si>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</si>
  <si>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Area-based comparison of risk factors and testing rates to improve sexual health care access: cross-sectional population-based study in a Dutch multicultural area</t>
  </si>
  <si>
    <t>Twisk, Denise E., Abraham Meima, Jan Hendrik Richardus &amp; Hannelore M. Götz</t>
  </si>
  <si>
    <t>https://bmjopen.bmj.com/content/13/5/e069000</t>
  </si>
  <si>
    <t>Quick scan kosten en opbrengsten van een basisregeling voor werkenden</t>
  </si>
  <si>
    <t>Dekker, Fabian, Yvonne Prince &amp; Elisa de Vleeschouwer</t>
  </si>
  <si>
    <t>https://www.seor.nl/quick-scan-basisregeling/</t>
  </si>
  <si>
    <t>Bouwen in balans: onderzoek naar woonbeleid Barendracht</t>
  </si>
  <si>
    <t>Rekenkamer Rotterdam</t>
  </si>
  <si>
    <t>https://www.nvrr.nl/rekenkamerrapport/10123/bouwen-in-balans-onderzoek-naar-woonbeleid-barendrecht/</t>
  </si>
  <si>
    <t>Bouwen in beweging: onderzoek naar woonbeleid Lansingerland</t>
  </si>
  <si>
    <t>https://rekenkamer.rotterdam.nl/onderzoeken/woonbeleid-lansingerland/l-o-20-01-bouwen-in-beweging-onderzoek-naar-woonbeleid-lansingerland/</t>
  </si>
  <si>
    <t>Bouwen in beweging-onderzoek naar woonbeleid Lansingerland</t>
  </si>
  <si>
    <t>https://rekenkamer.rotterdam.nl/onderzoeken/woonbeleid-lansingerland/</t>
  </si>
  <si>
    <t>Bouwen voor elkaar</t>
  </si>
  <si>
    <t>https://rekenkamer.rotterdam.nl/wp-content/uploads/2022/11/A.O.21.03-Bouwen-voor-elkaar.pdf</t>
  </si>
  <si>
    <t>Tijden van transformatie; onderzoek naar Woonbeleid Capelle aan den IJssel vanaf 2013</t>
  </si>
  <si>
    <t>Hek, Paul de, Kees Zandvliet, Elisa de Vleeschouwer &amp; Arie_jan van der Toorn</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</si>
  <si>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</si>
  <si>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</si>
  <si>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</si>
  <si>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UMC_AMC_Huisartsopleiding</t>
  </si>
  <si>
    <t>https://bjgpopen.org/content/early/2022/12/12/BJGPO.2022.0082</t>
  </si>
  <si>
    <t>Evaluatie Smart Industry programma</t>
  </si>
  <si>
    <t xml:space="preserve">Grond, Anna, Pim den Hertog, Matthijs Janssen, Femke Nieuwenhuis, Arthur Vankan &amp;_x000D_
Robbin te Velde_x000D_
_x000D_
</t>
  </si>
  <si>
    <t>https://www.dialogic.nl/wp-content/uploads/2021/04/20210215-Dialogic-2021-Evaluatie-Smart-Industry-programma-final.pdf</t>
  </si>
  <si>
    <t>Evaluatie schenkingsvrijstelling eigen woning: Hulp voor huiseigenaren met vermogende ouders</t>
  </si>
  <si>
    <t>Vermeulen, Wouter, William Luiten, Nils Verheuvel &amp; Ward Rougoor</t>
  </si>
  <si>
    <t>Monitor aanbestedingen in Nederland 2017 - 2019</t>
  </si>
  <si>
    <t>APE_Significant iov MinSZW</t>
  </si>
  <si>
    <t>https://open.overheid.nl/documenten/ronl-aa3fbd0d-5849-4589-b966-1e2156416862/pdf</t>
  </si>
  <si>
    <t>The Fast and The Studious? Ramadan Observance and Student Performance</t>
  </si>
  <si>
    <t>Hanemaaijer, Kyra, Olivier Marie &amp; Marco Musumeci</t>
  </si>
  <si>
    <t>https://tinbergen.nl/discussion-paper/6244/23-023-v-the-fast-and-the-studious-ramadan-observance-and-student-performance</t>
  </si>
  <si>
    <t>Diabetes mellitus in Nederland; Prevalentie en incidentie: heden, verleden en toekomst</t>
  </si>
  <si>
    <t>Nielen, Mark, René Poos &amp; Joke Korevaar</t>
  </si>
  <si>
    <t>https://www.nivel.nl/sites/default/files/bestanden/1003898.pdf</t>
  </si>
  <si>
    <t>Nierschade zorgt voor meer ziekenhuisopnames en sterfte bij patiënten met type 2 diabetes</t>
  </si>
  <si>
    <t>Nielen, M, Horsselenberg, M., Heins &amp; M., Korevaar</t>
  </si>
  <si>
    <t>https://www.nivel.nl/nl/publicatie/nierschade-bij-type-2-diabetes-mellitus-ziektelast-en-sterfte</t>
  </si>
  <si>
    <t>Vormgeving en gerichtheid LKV jongeren</t>
  </si>
  <si>
    <t>Werff, Siemen van der, Lennart kroon &amp; Tim Schwartz</t>
  </si>
  <si>
    <t>https://www.seo.nl/publicaties/vormgeving-en-gerichtheid-lkv-jongeren/</t>
  </si>
  <si>
    <t>Economies of scope in the aggregation of health-related data</t>
  </si>
  <si>
    <t>Höcük, Seyit, Pradeep Kumar, Joris Mulder &amp; Patricia Prüfer</t>
  </si>
  <si>
    <t>https://ec.europa.eu/jrc/en/publication/eur-scientific-and-technical-research-reports/economies-scope-aggregation-health-related-data</t>
  </si>
  <si>
    <t>MPG: microdata analyse. Presentatie SZW/JenV 15-3-2022</t>
  </si>
  <si>
    <t>Veldhuis, Guido, Olaf Visker &amp; Paula van Dommelen</t>
  </si>
  <si>
    <t>https://publications.tno.nl/publication/34639333/BN0L5t/veldhuis-2022-mpg.pdf</t>
  </si>
  <si>
    <t>MPG/MPH: microdata analyse; resultaten 2021/2022 - TNO 2022 P12636</t>
  </si>
  <si>
    <t>https://publications.tno.nl/publication/34640586/djGDQL/TNO-2022-P12636.pdf</t>
  </si>
  <si>
    <t>Braindrain &amp; Braingain Gemeente Breda; resultaten van het onderzoek uitgevoerd door IVA onderwijs</t>
  </si>
  <si>
    <t>http://www.iva-onderwijs.nl/themas/braindrain</t>
  </si>
  <si>
    <t>Evaluatie effectiviteit private re-integratietrajecten gemeente Eindhoven</t>
  </si>
  <si>
    <t xml:space="preserve">Zandvliet, Kees, Elisa de Vleeschouwer &amp; Peter van Nes </t>
  </si>
  <si>
    <t>SEOR/IROKO</t>
  </si>
  <si>
    <t>https://www.seor.nl/evaluatie-effectiviteit-gemeente-eindhoven/</t>
  </si>
  <si>
    <t>Maatwerk: Kinderopvang naar postcode 4-niveau</t>
  </si>
  <si>
    <t>https://www.abfresearch.nl/nieuws/maatwerk-kinderopvang-naar-postcode-4-niveau/</t>
  </si>
  <si>
    <t>Maximaal lenen voor de hypotheek? Een analyse van huishoudens met hoge hypotheekschulden en betalingsachterstanden</t>
  </si>
  <si>
    <t>https://www.afm.nl/nl-nl/nieuws/2022/november/op-hypotheekbedragen</t>
  </si>
  <si>
    <t>Zorgvraag onder (toekomstige) ouderen met een migratieachtergrond</t>
  </si>
  <si>
    <t>Conkova, Nina, Sert, Zilfi, Lindenberg, Jolanda &amp; Talie, Soukaina</t>
  </si>
  <si>
    <t>https://www.leydenacademy.nl/cultuur-sensitieve-zorg/</t>
  </si>
  <si>
    <t>Infographic: RAK project: Verpleeghuiszorg voor de toekomstige Amsterdamse oudere_x000D_
Aandacht voor niet-westerse migranten</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</si>
  <si>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</si>
  <si>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</si>
  <si>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</si>
  <si>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</si>
  <si>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</si>
  <si>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</si>
  <si>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Medical Care Use Among Patients with Monogenic Osteoporosis Due to Rare Variants in LRP5, PLS3, or WNT1</t>
  </si>
  <si>
    <t>Verdonk, S.J.E., S. Storoni, L. Zhytnik, W. Zhong, G. Pals, B.J. van Royen, M.W. Elting, A. Maugeri, E.M.W. Eekhoff &amp; D. Micha</t>
  </si>
  <si>
    <t>https://pubmed.ncbi.nlm.nih.gov/37277619/</t>
  </si>
  <si>
    <t>Effectiviteit re-integratievoorzieningen gemeente Gilze en Rijen. Ridderkerk</t>
  </si>
  <si>
    <t xml:space="preserve">Nes, Peter van, Elisa de Vleeschouwer &amp; Kees Zandvliet </t>
  </si>
  <si>
    <t>https://www.seor.nl/re-integratie-gilze-en-rijen/</t>
  </si>
  <si>
    <t>Leefbaarometer - online informatie over de leefbaarheid in alle buurten en wijken</t>
  </si>
  <si>
    <t>https://www.leefbaarometer.nl/home.php</t>
  </si>
  <si>
    <t>Leefbaarometer meting 2020</t>
  </si>
  <si>
    <t>https://data.overheid.nl/dataset/leefbaarometer-meting-20201</t>
  </si>
  <si>
    <t>Leefbaarometer 3.0: Instrumentontwikkeling</t>
  </si>
  <si>
    <t>Mandemakers, Leidelmeijer, Burema, Halbersma, Middeldorp &amp; Veldkamp</t>
  </si>
  <si>
    <t>Atlas Research en InFact</t>
  </si>
  <si>
    <t>https://www.leefbaarometer.nl/resources/LBM3Instrumentontwikkeling.pdf</t>
  </si>
  <si>
    <t>In Nederland dragen niet de sterkste schouders de zwaarste lasten</t>
  </si>
  <si>
    <t>Lejour, Arjan</t>
  </si>
  <si>
    <t>https://nos.nl/artikel/2422560-cpb-in-nederland-dragen-niet-de-sterkste-schouders-de-zwaarste-lasten</t>
  </si>
  <si>
    <t>Evaluatie PPS-toeslagregeling 2016-2020</t>
  </si>
  <si>
    <t>Vankan, Arthur, Pim den Hertog, Matthijs Janssen, Max Kemman, Adriaan Smeitink, _x000D_
Marenne Massop, Wazir Sahebali &amp; Bart Verspagen (UM)</t>
  </si>
  <si>
    <t>https://www.dialogic.nl/wp-content/uploads/2021/10/bijlage-2-bij-kamerbrief-aanbieding-resultaten-evaluatieonderzoek-pps-toeslagregeling.pdf</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</si>
  <si>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</si>
  <si>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</si>
  <si>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</si>
  <si>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Monitor van gelijke kansen en evenredige posities op de Arbeidsmarkt, ongeacht migratieachtergrond: Eerste editie</t>
  </si>
  <si>
    <t>Monitor Ouderenzorg Trendanalyses deel 2</t>
  </si>
  <si>
    <t>https://puc.overheid.nl/nza/doc/PUC_709708_22/1/</t>
  </si>
  <si>
    <t>Samenloop zorg uit verschillende financieringsstromen</t>
  </si>
  <si>
    <t>NZa</t>
  </si>
  <si>
    <t>https://puc.overheid.nl/nza/doc/PUC_721003_22/1/</t>
  </si>
  <si>
    <t>Ongelijkheid in beeld: een kansarme start bij de geboorte</t>
  </si>
  <si>
    <t>Baselmans, Bart</t>
  </si>
  <si>
    <t>https://ahti.nl/nieuws/ongelijkheid-in-beeld-een-kansarme-start-bij-de-geboorte/</t>
  </si>
  <si>
    <t>Een groene tuin, een gezonde tuin?</t>
  </si>
  <si>
    <t>Vries, Sjerp de, Henk Kramer, Mirjam Smits, Joop Spijker, Robert Verheij, Michel Dückers, Christos Baliatsas &amp; Sytske Wiegersma</t>
  </si>
  <si>
    <t>WENR &amp; NIVEL</t>
  </si>
  <si>
    <t xml:space="preserve">https://www.nivel.nl/sites/default/files/bestanden/1004349.pdf_x000D_
</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</si>
  <si>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</si>
  <si>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</si>
  <si>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</si>
  <si>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</si>
  <si>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</si>
  <si>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</si>
  <si>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 xml:space="preserve">https://medicaljournalssweden.se/actadv/article/view/3933/15936_x000D_
</t>
  </si>
  <si>
    <t>De werking van het concurrentiebeding; eindrapport</t>
  </si>
  <si>
    <t>Bartsch, Merle, Douwe Grijpstra &amp; Tuben Houweling</t>
  </si>
  <si>
    <t>https://www.rijksoverheid.nl/documenten/rapporten/2021/06/25/eindrapport-onderzoek-werking-van-het-concurrentiebeding-panteia</t>
  </si>
  <si>
    <t>Monitor Energiearmoede 2020</t>
  </si>
  <si>
    <t>TNO_CBS</t>
  </si>
  <si>
    <t>https://www.cbs.nl/nl-nl/maatwerk/2023/04/monitor-energiearmoede-2020</t>
  </si>
  <si>
    <t>Woontoegankelijkheidsmonitor van BLG Wonen maakt toegang tot de woningmarkt inzichtelijk</t>
  </si>
  <si>
    <t>Lijzenga, Jeroen &amp; Menno van Setten</t>
  </si>
  <si>
    <t>https://www.companen.nl/wp-content/uploads/2022/01/Artikel-Woontoegankelijkheidsmonitor_bijlage.pdf</t>
  </si>
  <si>
    <t>Afboeking bijstandsschuld nauwelijks effect op werk en mentale gezondheid</t>
  </si>
  <si>
    <t>Bruijn, Ernst-Jan de, Heike Vethaak, Pierre Koning &amp; Marike Knoef</t>
  </si>
  <si>
    <t>https://esb.nu/afboeking-bijstandsschuld-nauwelijks-effect-op-werk-en-mentale-gezondheid/</t>
  </si>
  <si>
    <t>Coronasteun compenseerde flink deel reguliere omzet_x0002_verliezen</t>
  </si>
  <si>
    <t>Schellekens, Menno, Jeroen Wijnen &amp; Anne Li Cnossen</t>
  </si>
  <si>
    <t>MinFin_AFEP</t>
  </si>
  <si>
    <t>file:///F:/Downloads/Schellekens,%20M.,%20J.%20Wijnen%20en%20A.L.%20Cnossen%20(2021)%20-%20ESB%20te%20verschijnen.pdf</t>
  </si>
  <si>
    <t>Ook ondernemingen met omzetgroei ontvingen steun</t>
  </si>
  <si>
    <t>Schellekens, Menno, Rianne 'T Jong &amp; Anne Li Cnossen</t>
  </si>
  <si>
    <t>https://esb.nu/esb/20063394/ook-ondernemingen-met-omzetgroei-ontvingen-steun</t>
  </si>
  <si>
    <t xml:space="preserve">Meer dan alleen taal: Onderzoek naar de effecten en succesfactoren van Project JA+ voor uitkeringsgerechtigden met een taalachterstand </t>
  </si>
  <si>
    <t>Berkhout, Bram, Arend Odé, Hedwig Rossing &amp; Jasper Varwijk</t>
  </si>
  <si>
    <t>Berenschot/Regioplan</t>
  </si>
  <si>
    <t>https://www.rijksoverheid.nl/binaries/rijksoverheid/documenten/publicaties/2021/11/17/onderzoek-pilots-programma-verdere-integratie-op-de-arbeidsmarkt-via/Onderzoeksrapport+Onderzoek+naar+de+effecten+en+succesfactoren+van+Project+JA+voor+uitkeringsgerechtigden+met+een+taalachterstand.pdf</t>
  </si>
  <si>
    <t>Feitenkaart Werkgelegenheid in de energietransitie 2011-2020</t>
  </si>
  <si>
    <t>Feitenkaart Werkgelegenheid in de energietransitie 2011-2020 (tweede druk)</t>
  </si>
  <si>
    <t>Feitenkaart Werkgelegenheid in de energietransitie 2011-2021*</t>
  </si>
  <si>
    <t xml:space="preserve">Gemeente Rotterdam </t>
  </si>
  <si>
    <t>Rapport -  Uitval startende docenten</t>
  </si>
  <si>
    <t>Nuland, Etienne van, Simon Cornel &amp; Jo Scheeren</t>
  </si>
  <si>
    <t>Armoede ramingen september 2022: Armoede daalt door maatregelen kabinet, maar structurele aanpak blijft nodig</t>
  </si>
  <si>
    <t>Wildeboer Schut, Jean Marie &amp; Stella Hoff</t>
  </si>
  <si>
    <t>https://www.scp.nl/publicaties/publicaties/2022/09/20/kennisnotitie-armoede-ramingen-september-2022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</si>
  <si>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</si>
  <si>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</si>
  <si>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</si>
  <si>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Buitenlandse Seizoenarbeiders in de risicoverening: Een onderzoek naar overcompensatie van kosten en oplossingsrichtingen</t>
  </si>
  <si>
    <t>Vermeulen, Wouter, Lennart Kroon &amp; Celine Odding</t>
  </si>
  <si>
    <t>https://www.seo.nl/publicaties/buitenlandse-seizoenarbeiders-in-de-risicoverevening/</t>
  </si>
  <si>
    <t>De staat van het onderwijs</t>
  </si>
  <si>
    <t>MinOCW_Inspectie van het Onderwijs</t>
  </si>
  <si>
    <t>https://www.onderwijsinspectie.nl/onderwerpen/staat-van-het-onderwijs</t>
  </si>
  <si>
    <t>Arbeidsmarktonderzoek Woningcorporaties 2021: Onderzoek onder werkgevers &amp; werknemers naar ontwikkelingen op de sectorale arbeidsmarkt</t>
  </si>
  <si>
    <t>Molleman, Stef, Suna Duysak, Vera Haanstra, Hedwig Rossing &amp; Jos Lubberman_x000D_</t>
  </si>
  <si>
    <t>Arbeidsmarktonderzoek Woningcorporaties 2021: Managementsamenvatting</t>
  </si>
  <si>
    <t>Infographic: Arbeidsmarktonderzoek Woningcorporaties 2021</t>
  </si>
  <si>
    <t>Eindrapport: Arbeidsmarktonderzoek Woningcorporaties 2021</t>
  </si>
  <si>
    <t>Molleman, Stef, Suna Duysak, Vera Haanstra, Hedwig Rossing &amp; Jos Lubberman</t>
  </si>
  <si>
    <t>Stapelen in het voortgezet onderwijs</t>
  </si>
  <si>
    <t>Visser, Derk, Annikka Lemmens, Cécile Magnée &amp; Rik Dillingh</t>
  </si>
  <si>
    <t>https://www.cpb.nl/stapelen-in-het-voortgezet-onderwijs</t>
  </si>
  <si>
    <t>Big Data Analytics and Productivity: A short report on the use of Big Data Analytics in firms_x000D_
based on administrative data from the Netherlands</t>
  </si>
  <si>
    <t>Andres, Raphaela &amp; Thomas Niebel</t>
  </si>
  <si>
    <t>https://ieds-projekt.de/?page_id=1408&amp;lang=en#Publications</t>
  </si>
  <si>
    <t>Monitor ‘Internationale Werknemers</t>
  </si>
  <si>
    <t>Gelijke onderwijskansen in Den Haag</t>
  </si>
  <si>
    <t>Ridder, Demi de &amp; Eelco van Aarsen</t>
  </si>
  <si>
    <t>Ontwikkeling Gelijke Onderwijskansen Den Haag; Meting 2020 Eindrapport</t>
  </si>
  <si>
    <t>Aarsen, Eelco van &amp; Benjamin Bremer</t>
  </si>
  <si>
    <t>https://denhaag.raadsinformatie.nl/document/9633090/1/RIS307504_Bijlage_2</t>
  </si>
  <si>
    <t>Jaarrapport duurzame sportinfrastructuur 2021</t>
  </si>
  <si>
    <t>Hoekman, R.H.A., D. Ruikers, M. Schots, L. van der Meijde &amp; N. Geurink</t>
  </si>
  <si>
    <t>https://www.mulierinstituut.nl/publicaties/26416/jaarrapport-duurzame-sportinfrastructuur-2021/</t>
  </si>
  <si>
    <t>Kerncijfers behoefte aan palliatieve zorg</t>
  </si>
  <si>
    <t>Fransen, Heidi</t>
  </si>
  <si>
    <t>IKNL</t>
  </si>
  <si>
    <t>IKNL_Research</t>
  </si>
  <si>
    <t>https://palliaweb.nl/publicaties/kerncijfers-behoefte-aan-palliatieve-zorg</t>
  </si>
  <si>
    <t>Behoefte aan palliatieve zorg nu per regio inzichtelijk</t>
  </si>
  <si>
    <t>https://palliaweb.nl/nieuws/2022/behoefte-aan-palliatieve-zorg-per-regio-inzicht</t>
  </si>
  <si>
    <t>Partners van langdurig  zieken zijn meer gaan  werken door invoering WIA</t>
  </si>
  <si>
    <t>Sonsbeek, Jan-Maarten van (CPB), Mario Bernasconi, Tunga Kantarci &amp; Arthur van Soest</t>
  </si>
  <si>
    <t>TIU_TiSEM_E&amp;OR</t>
  </si>
  <si>
    <t>https://esb.nu/esb/20069204/partners-van-langdurig-zieken-zijn-meer-gaan-werken-door-invoering-wia</t>
  </si>
  <si>
    <t>Herstel en transitie van het Nederlandse innovatielanschap: Resultaten van de Nederlandse innovatie monitor 2021: eindrapport</t>
  </si>
  <si>
    <t>Jong, Gerben de, Nard Koeman &amp; Stef Konijn</t>
  </si>
  <si>
    <t>Kerncijfers voor leden van FME 2021</t>
  </si>
  <si>
    <t>Grotenhuis Mark &amp; Tobias Molenaar</t>
  </si>
  <si>
    <t>https://abfresearch.nl/publicaties/kerncijfers-voor-leden-van-fme-2021/</t>
  </si>
  <si>
    <t>Discrimatie-index</t>
  </si>
  <si>
    <t>https://www.inclusief010.nl/</t>
  </si>
  <si>
    <t>Dashboard: Integrale arbeidsmarktmonitot Topsectoren</t>
  </si>
  <si>
    <t>Veldman, Jasper</t>
  </si>
  <si>
    <t>https://topsectorenarbeidsmarktmonitor.nl/</t>
  </si>
  <si>
    <t xml:space="preserve">Cohortstudie Participatiewet - Eindrapport_x000D_
</t>
  </si>
  <si>
    <t>Hek, Paul de, Arie-Jan van der Toorn, Mark den Hartog, Elisa de Vleeschouwer &amp; Kees Zandvliet</t>
  </si>
  <si>
    <t>https://www.rijksoverheid.nl/documenten/kamerstukken/2022/06/21/bijlage-iii-eindrapport-cohortstudie-participatiewet</t>
  </si>
  <si>
    <t>Werkend Nederland 2018</t>
  </si>
  <si>
    <t>Burema, Francine, Rein Halbersma &amp; Marten Middeldorp</t>
  </si>
  <si>
    <t>Atlas_Research</t>
  </si>
  <si>
    <t>https://atlasresearch.nl/werkend-nederland-2018/</t>
  </si>
  <si>
    <t>Werkend Nederland 2019</t>
  </si>
  <si>
    <t>https://atlasresearch.nl/werkend-nederland-2019/</t>
  </si>
  <si>
    <t>Werkend nederland 2020</t>
  </si>
  <si>
    <t>https://atlasresearch.nl/werkend-nederland-2020/</t>
  </si>
  <si>
    <t>Werkend Nederland 2021</t>
  </si>
  <si>
    <t>Atlas_research</t>
  </si>
  <si>
    <t>https://atlasresearch.nl/werkend-nederland-2021/</t>
  </si>
  <si>
    <t>Deelname aan sport en bewegen door ouderen</t>
  </si>
  <si>
    <t>Dool, Remko van den &amp; Eva Heijnen</t>
  </si>
  <si>
    <t>https://www.kennisbanksportenbewegen.nl/?file=10795&amp;m=1652275811&amp;action=file.download</t>
  </si>
  <si>
    <t>Deelname sport en bewegen door mensen met een beperking_x000D_</t>
  </si>
  <si>
    <t>Dool, Remko van den, Caroline van Lindert, Saskia van den Berg &amp; Wanda Wendel-Vos</t>
  </si>
  <si>
    <t>https://www.kennisbanksportenbewegen.nl/?file=10607&amp;m=1641999758&amp;action=file.download</t>
  </si>
  <si>
    <t>https://www.blackboxpublishers.com/nl/publications/fitness-markt-trend-rapport-2020-2024/</t>
  </si>
  <si>
    <t>Hover, Paul</t>
  </si>
  <si>
    <t>COVID-19 Zorgdrukrisico dashboard</t>
  </si>
  <si>
    <t>https://healthinsights.ahti.nl/ahticovid/</t>
  </si>
  <si>
    <t>INCODA; Initiative COVID-19 Data (eindrapportage INCODA-project)</t>
  </si>
  <si>
    <t>ZonMw</t>
  </si>
  <si>
    <t>Voor welke zorg wordt de kinder IC ingezet?</t>
  </si>
  <si>
    <t>https://ahti.nl/kinder-ic/</t>
  </si>
  <si>
    <t>Een dataperspectief op ADHD medecatiegebruik bij jongeren</t>
  </si>
  <si>
    <t>https://ahti.nl/adhdmedicatie/</t>
  </si>
  <si>
    <t>Evaluatie jongerencontract Amsterdam: Onderzoek naar de werking en beleving</t>
  </si>
  <si>
    <t>Buys, André, Rosalie Post, Lianne Wittkämper &amp; Roos Hoeve</t>
  </si>
  <si>
    <t>https://www.rigo.nl/wp-content/uploads/2022/06/Evaluatie-jongerencontract_20220330.pdf</t>
  </si>
  <si>
    <t>Mental Health of Children with Same-Sex Parents: Evidence from Longitudinal Population Data</t>
  </si>
  <si>
    <t>Mazrekaj, Deni &amp; Mark Verhagen</t>
  </si>
  <si>
    <t>Measuring equity after decentralization: A heterogenous effect approach to the Dutch decentralization of the social domain</t>
  </si>
  <si>
    <t>Verhagen, Mark</t>
  </si>
  <si>
    <t>Inequalities in Healthcare Use during the COVID-19 Pandemic</t>
  </si>
  <si>
    <t>Frey, Arun, Andrea Tilstra &amp; Mark Donald Verhagen</t>
  </si>
  <si>
    <t>medRxiv</t>
  </si>
  <si>
    <t>https://www.medrxiv.org/content/10.1101/2023.04.26.23289095v1</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</si>
  <si>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</si>
  <si>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</si>
  <si>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</si>
  <si>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Referentieverbruik warmtebehoefte woningen</t>
  </si>
  <si>
    <t>Wijngaart, Ruud van den</t>
  </si>
  <si>
    <t>https://data.overheid.nl/sites/default/files/uploaded_files/5%20Presentatie%20Referentieverbruik%20warmte%20woningen.pdf</t>
  </si>
  <si>
    <t>The risk of psychosis for transgender individuals: a Dutch national cohort study</t>
  </si>
  <si>
    <t>Termorshuizen, Fabian, Annelou L.C. de Vries, Chantal M. Wiepjes &amp; Jean-Paul Selten</t>
  </si>
  <si>
    <t>https://doi.org/10.1017/S0033291723002088</t>
  </si>
  <si>
    <t>Automatische waardeoverdracht kleine pensioenen: Waarom lukt het niet altijd?</t>
  </si>
  <si>
    <t>Luiten, William &amp; Lucy Kok</t>
  </si>
  <si>
    <t>https://www.seo.nl/publicaties/automatische-waardeoverdracht-kleine-pensioenen-waarom-lukt-het-niet-altijd/</t>
  </si>
  <si>
    <t>Vaderschapsverlof verkleint inkomenskloof met moeders niet</t>
  </si>
  <si>
    <t>Kesteren, Justus van, Iris Klinker &amp; Arjan Heyma</t>
  </si>
  <si>
    <t>https://esb.nu/esb.nu/esb/20071997/vaderschapsverlof-verkleint-inkomenskloof-met-moeders-niet</t>
  </si>
  <si>
    <t>Paternity leave and the household income share of mothers</t>
  </si>
  <si>
    <t>https://www.seo.nl/en/publications/the-causal-effect-of-paternity-leave-on-the-gender-earnings-gap-evidence-from-the-netherlands/</t>
  </si>
  <si>
    <t>Uitzendmonitot 2022 light</t>
  </si>
  <si>
    <t>Vervliet, Tobias &amp; Iris Klinker</t>
  </si>
  <si>
    <t>https://www.seo.nl/publicaties/uitzendmonitor-2022-light/</t>
  </si>
  <si>
    <t>Uitzendbranche blijft belangrijke springplank naar werk</t>
  </si>
  <si>
    <t xml:space="preserve">ABU </t>
  </si>
  <si>
    <t>https://www.abu.nl/kennisbank/marktcijfers/uitzendbranche-blijft-belangrijke-springplank-naar-werk/</t>
  </si>
  <si>
    <t>Kinderopvang naar postcode 4-niveau</t>
  </si>
  <si>
    <t>Kleinepier, Tom</t>
  </si>
  <si>
    <t>https://abfresearch.nl/publicaties/maatwerk-kinderopvang-naar-postcode-4-niveau/</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</si>
  <si>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</si>
  <si>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</si>
  <si>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</si>
  <si>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</si>
  <si>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Effect van verbredingsactiviteiten op het inkomen in de land- en tuinbouw</t>
  </si>
  <si>
    <t>Meulen, Harold van der, Marcel van Asseldonk &amp; Jakob Jager</t>
  </si>
  <si>
    <t>https://edepot.wur.nl/579406</t>
  </si>
  <si>
    <t>Resultaten onderzoek naar verschil in zorgkosten tussen zorg met en zonder verblijf in de Wlz</t>
  </si>
  <si>
    <t>MinVWS</t>
  </si>
  <si>
    <t>https://www.rijksoverheid.nl/documenten/kamerstukken/2022/12/12/kamerbrief-over-resultaten-onderzoek-naar-verschil-in-zorgkosten-tussen-zorg-met-en-zonder-verblijf-in-de-wlz</t>
  </si>
  <si>
    <t>De kwaliteit van leven van thuiswonende 75-plussers in Nederland</t>
  </si>
  <si>
    <t xml:space="preserve">Tjoa, Myrte , Niels Vink &amp; Rafael Lizanzu_x000D_
</t>
  </si>
  <si>
    <t>https://www.rijksoverheid.nl/ministeries/ministerie-van-volksgezondheid-welzijn-en-sport/documenten/kamerstukken/2021/12/20/kamerbrief-over-resultaten-onderzoek-naar-dimensies-kwaliteit-van-leven-in-het-kader-van-lerend-evalueren</t>
  </si>
  <si>
    <t>De toekomst van de trustsector</t>
  </si>
  <si>
    <t>Bijlsma M, A. Lensink, M. Pomp, M. Pomp, M. Vlaanderen &amp; J. Witteman</t>
  </si>
  <si>
    <t>www.seo.nl/publicaties/de-toekomst-van-de-trustsector/</t>
  </si>
  <si>
    <t>Uitkomsten van analyses op microdata CBS: Analyses in opdracht van de gemeente Den Haag</t>
  </si>
  <si>
    <t xml:space="preserve">Berenschot </t>
  </si>
  <si>
    <t>https://www.berenschot.nl/strategie-beleid-en-onderzoek/beleidsonderzoek-en-evaluatie/uitkomsten-van-analyses-op-microdata-van-het-cbs</t>
  </si>
  <si>
    <t>De Haagse re-integratieaanpak 2018-2020 onderzocht</t>
  </si>
  <si>
    <t>Berkhout, Bram, Irene van Eldik, Martin Heekelaar, Wouter Verbeek, Paul Schenderling,_x000D_
Mark van der Staaij &amp; Kevin Tjoe Ny</t>
  </si>
  <si>
    <t>https://www.berenschot.nl/nieuws/haagse-re-integratieaanpak-effectiever</t>
  </si>
  <si>
    <t>Effecten van de Blankenburgverbinding voor de regionale woningmarkt</t>
  </si>
  <si>
    <t>Boumeester, Harry, Rosa van der Drift &amp; Harry van der Heijden</t>
  </si>
  <si>
    <t>Tussentijdse evaluatie POP3</t>
  </si>
  <si>
    <t>Bart Witmond, Hannah Schütte, Elvira Meurs, Jelmer Schreurs, Hidde Wedman (Ecorys), Gabe Venema, Harold van der Meulen, Jakob Jager, Marcel van Asseldonk, Ruud van der Meer (Wageningen Economic Research), Froukje Boonstra &amp; Wim Nieuwenhuizen (Wageningen Environmental Research_x000D_)</t>
  </si>
  <si>
    <t>Ecorys ism Wageningen University &amp; Research</t>
  </si>
  <si>
    <t>https://edepot.wur.nl/573767</t>
  </si>
  <si>
    <t>Role of Traditional Cardiovascular Risk Factors after Initiation of Statin Therapy: A PharmLines Inception Cohort Study</t>
  </si>
  <si>
    <t>Steenhuis, Dennis, Stijn de Vos, Jens Bos &amp; Eelko Hak</t>
  </si>
  <si>
    <t>Hindawi</t>
  </si>
  <si>
    <t>https://www.hindawi.com/journals/cdtp/2022/6587165/</t>
  </si>
  <si>
    <t>Kenmerken van (de werkende via) de georganiseerde en ongeorganiseerde uitzendbranche</t>
  </si>
  <si>
    <t>Hartog, Mark den, Yvonne Prince &amp; Arie-Jan van der Toorn</t>
  </si>
  <si>
    <t>https://www.seor.nl/Cms_Media/S1424-Kenmerken-van-de-georganiseerde-en-ongeorganiseerde-uitzendbranche.pdf</t>
  </si>
  <si>
    <t>Schoolloopbanen van leerlingen in gemeenten zoals Oldambt - Rapportage op basis van CBS-Microdata</t>
  </si>
  <si>
    <t>Aarsen, Eelco van &amp; Demi de Ridder</t>
  </si>
  <si>
    <t>10-14 Oost-Groningen; onderzoek naar mogelijkheden tot verbetering naar de onderwijscarrière van 10-14 jarigen</t>
  </si>
  <si>
    <t>Exalto, Rianne, Anne Wester, Eelco van Aarsen &amp; Demi de Ridder</t>
  </si>
  <si>
    <t>Eindrapport programma; Een nieuw bestaan, een nieuwe baan</t>
  </si>
  <si>
    <t>Buimer, Laura, Jeanine Klaver, Adriaan Oostveen &amp; Wiebe Korf</t>
  </si>
  <si>
    <t>https://www.regioplan.nl/wp-content/uploads/2022/07/18128-Eindrapport-EenNieuwBestaanEenNieuweBaan-Regioplan-7juli22.pdf</t>
  </si>
  <si>
    <t>Dashboards voortijdig schoolverlaten (vsv) en jongeren in een kwetsbare positie</t>
  </si>
  <si>
    <t>MinOCW_DUO</t>
  </si>
  <si>
    <t>https://informatieproducten.duo.rijkscloud.nl/public/dashboardvsvopen/</t>
  </si>
  <si>
    <t>Analyse en oplossingsrichtingen arbeidsmartkkrapte in de techniek- en energiesector</t>
  </si>
  <si>
    <t>Weel, Bas ter &amp; Astrid Lensink</t>
  </si>
  <si>
    <t>https://www.seo.nl/publicaties/arbeidsmarktkrapte/</t>
  </si>
  <si>
    <t>Komen, gaan en blijven in corporatiewoningen; Over de levensloop en wooncarrière van huurders</t>
  </si>
  <si>
    <t>Buys, André &amp; Perry Hoetjes</t>
  </si>
  <si>
    <t>https://www.corpovenista.nl/nieuws/uitgelicht/de-sociale-huurwoning-biedt-niet-altijd-ruimte-voor-groei/</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</si>
  <si>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</si>
  <si>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</si>
  <si>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</si>
  <si>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Rechtvaardige algoritmes</t>
  </si>
  <si>
    <t>Hekkelman, Brinn, Mark Kattenberg &amp; Bas Scheer</t>
  </si>
  <si>
    <t>https://www.cpb.nl/rechtvaardige-algoritmes</t>
  </si>
  <si>
    <t>Wonen langs de meetlat: resultaten van het WoonOnderzoek Nederland 2021</t>
  </si>
  <si>
    <t>Stuart-Fox, Michael, Tom Kleinepier, Denise Ligthart &amp; Berry Blijie</t>
  </si>
  <si>
    <t>https://www.volkshuisvestingnederland.nl/documenten/publicaties/2022/06/08/kernpublicatie-van-het-woon2021-onderzoek</t>
  </si>
  <si>
    <t>Make IT Work: The Labor Market Efects of Information Technology Retraining in the Netherlands</t>
  </si>
  <si>
    <t>Inkomenseffecten van woningisolatie naar de isolatiestandaard</t>
  </si>
  <si>
    <t>Mot, Esther, Vincent Schippers, Nghia Phan, René Schulenberg, Elian Griffioen (CPB). Peter Mulder, Casper Tigchelaar &amp; Arjan Zwamborn (TNO)</t>
  </si>
  <si>
    <t>CPB ism TNO</t>
  </si>
  <si>
    <t>https://www.cpb.nl/sites/default/files/omnidownload/CPB-TNO-Publicatie-Inkomenseffecten-van-woningisolatie-naar-de-isolatiestandaard.pdf</t>
  </si>
  <si>
    <t>Evaluatie ESB-regeling</t>
  </si>
  <si>
    <t>Raaijmakers, Niels, Stef Molleman, Johanneke Rog &amp; Jacob van der Wel</t>
  </si>
  <si>
    <t>https://www.rijksoverheid.nl/documenten/rapporten/2023/06/13/eindrapport-evaluatie-esb-regeling</t>
  </si>
  <si>
    <t>Benchmark jongeren in de bijstand</t>
  </si>
  <si>
    <t>Kesteren, Justus van &amp; Iris Klinker</t>
  </si>
  <si>
    <t>https://www.seo.nl/publicaties/benchmark-jongeren-in-de-bijstand/</t>
  </si>
  <si>
    <t>LOB &amp; Kansrijke keuzes in het VBMO</t>
  </si>
  <si>
    <t>Gelderblom, Arie, Daniel Bos, Annette Diender, Mark den Hartog, Jaap de Koning, Arie-Jan van der Toorn &amp; Elisa de Vleeschouwer</t>
  </si>
  <si>
    <t>SEOR ism Instituut Gak</t>
  </si>
  <si>
    <t>https://www.seor.nl/lob-en-kansrijke-keuzes-op-het-vmbo/</t>
  </si>
  <si>
    <t>Nulmeting van de evaluatie van de arbeidsmarkttoelage Nationaal Programma Onderwijs</t>
  </si>
  <si>
    <t>Visser, Derk &amp; Maria Zumbuehl</t>
  </si>
  <si>
    <t>https://www.cpb.nl/nulmeting-van-de-evaluatie-van-de-arbeidsmarkttoelage-nationaal-programma-onderwijs</t>
  </si>
  <si>
    <t>Kans op energiearmoede</t>
  </si>
  <si>
    <t>Matos Fernandez Carlos de</t>
  </si>
  <si>
    <t>Data Fryslan</t>
  </si>
  <si>
    <t>DataFryslan</t>
  </si>
  <si>
    <t xml:space="preserve">https://www.datafriesland.nl/2022/09/09/kans-op-energiearmoede/_x000D_
</t>
  </si>
  <si>
    <t>Energiekosten voorspeller</t>
  </si>
  <si>
    <t>https://www.datafriesland.nl/2022/09/09/energiekosten-voorspeller/</t>
  </si>
  <si>
    <t>Tweede rapport Macromonitor NPO mbo-ho</t>
  </si>
  <si>
    <t>Cuppen, Joris, Roos Geurts, Myrthe Hendrix, Ardita Muja, Maarten Wolbers (ResearchNed)_x000D_
Daniëlle van Helvoirt, Bianca Leest (KBA Nijmegen), Iris van Eijkern, Tyas Prevoo, Harriët Prins, Koen van der Ven (SEO Economisch Onderzoek), Henry Abbink, Frank Cörvers (ROA), Jos Lubberman &amp; Anca Vadanescu (Regioplan)</t>
  </si>
  <si>
    <t>ResearchNed ism SEO, KBA Nijmegen, Regiopolan en ROA</t>
  </si>
  <si>
    <t>https://www.rijksoverheid.nl/documenten/rapporten/2022/11/17/tweede-rapport-macromonitor-nationaal-programma-onderwijs-mbo-en-ho-managementsamenvatting</t>
  </si>
  <si>
    <t>Fiscaal-gefaciliteerde opbouw van individueel pensioenvermogen in de derde pijler</t>
  </si>
  <si>
    <t>Bonekamp, Johan &amp; Loan van Hoeven</t>
  </si>
  <si>
    <t>https://www.afm.nl/~/profmedia/files/doelgroepen/pensioenuitvoerders/2023/pensioenopbouw-derde-pijler.pdf</t>
  </si>
  <si>
    <t>Uittreders in de afbouw</t>
  </si>
  <si>
    <t>Kok, Jeffrey &amp; Sem van Meurs</t>
  </si>
  <si>
    <t>https://www.eib.nl/publicaties/uittreders-in-de-bouw/</t>
  </si>
  <si>
    <t>Effecten persoonlijke dienstverlening WW naar migratieachtergrond</t>
  </si>
  <si>
    <t>Vervliet, Tobias &amp; Arjan Heyma</t>
  </si>
  <si>
    <t>https://www.seo.nl/publicaties/effecten-persoonlijke-dienstverlening-ww-naar-migratieachtergrond/</t>
  </si>
  <si>
    <t>Aedes-benchmark 2022</t>
  </si>
  <si>
    <t>Aedes</t>
  </si>
  <si>
    <t>https://aedes.nl/aedes-benchmark/benchmarkresultaten-en-publicaties</t>
  </si>
  <si>
    <t>Verdiepende analyses in- en uitstroom naar Jeugdhulp</t>
  </si>
  <si>
    <t>Kennispunt Twente</t>
  </si>
  <si>
    <t>https://www.kennispunttwente.nl/publicaties/sociaal-domein/verdiepende-analyses-in-en-uitstroom-naar-jeugdhulp</t>
  </si>
  <si>
    <t>Almagro, Milena &amp; Tomás Domínguez-Iino</t>
  </si>
  <si>
    <t>University of Chicago Booth School of Business</t>
  </si>
  <si>
    <t>CEMFI</t>
  </si>
  <si>
    <t>https://bfi.uchicago.edu/wp-content/uploads/2022/12/BFI_WP_2022-162.pdf</t>
  </si>
  <si>
    <t>Evaluatie Energie_Innovatieregelingen 2012-2021</t>
  </si>
  <si>
    <t xml:space="preserve">Wijk, Femke van, Marenne Massop, Nard Koeman (SEO), Wazir Sahebali, Reg Brennenraedts, Patrick Pieters, Antonia Petrat (SEO), Erik Brouwer (SEO), Matthijs Janssen, Frank Bongers, Pim Verhagen &amp; Jos Nicolai </t>
  </si>
  <si>
    <t>Dialogic io van MinEZK</t>
  </si>
  <si>
    <t>https://www.rijksoverheid.nl/documenten/rapporten/2023/07/11/bijlage-1-eindrapportage-evaluatie-energie-innovatie-regelingen</t>
  </si>
  <si>
    <t>Evaluatie Energie-Investeringsaftrek</t>
  </si>
  <si>
    <t xml:space="preserve">Tieben, Bert, Nard Koeman, Devi Brands (SEO), Martijn Blom, Ward van Santen &amp; Ellen Schep (CE Delft) _x000D_
</t>
  </si>
  <si>
    <t>https://www.rijksoverheid.nl/documenten/rapporten/2023/07/14/bijlage-eindrapport-evaluatie-eia-2017-2021</t>
  </si>
  <si>
    <t>Arbeidsaanbos Infrasector; Huidig en toekomstig arbeidsaanbod vanuit opleidingen, zijinstroom en arbeidsmigratie</t>
  </si>
  <si>
    <t>Vervliet, Tobias, Henri Bussink, Iris Klinker &amp; Arjan Heyma</t>
  </si>
  <si>
    <t>https://www.seo.nl/publicaties/arbeidsaanbod-infrasector/</t>
  </si>
  <si>
    <t>Samenwerking Nederlands Autisme Register en Centraal Bureau voor de Statistiek</t>
  </si>
  <si>
    <t>Nederlands Autisme Register (NAR)</t>
  </si>
  <si>
    <t>https://nar.vu.nl/</t>
  </si>
  <si>
    <t>De markt voor kinderopvang; de rol van private equity binnen de kinderopvangsector</t>
  </si>
  <si>
    <t>Eijkel, Remco van, William Luiten, Wouter Elsenburg &amp; Peter Roosenboom (EUR)</t>
  </si>
  <si>
    <t>https://www.seo.nl/publicaties/de-markt-voor-kinderopvang/</t>
  </si>
  <si>
    <t>Onderzoek naar enkelglas in studentenwoningen</t>
  </si>
  <si>
    <t>https://abfresearch.nl/2022/10/31/onderzoek-naar-enkelglas-in-studentenwoningen/</t>
  </si>
  <si>
    <t>Doelgroeponderzoek kwetsbare werkenden in Almere</t>
  </si>
  <si>
    <t>Schaap, Rosanne, Job Velseboer &amp; Bob van Waveren</t>
  </si>
  <si>
    <t>https://www.regioplan.nl/wp-content/uploads/2023/07/22092-Eindrapport-Doelgroeponderzoek-kwetsbare-werkenden-Almere-Regioplan-07juni23.pdf</t>
  </si>
  <si>
    <t>Evaluatie coronasteun cultuursector</t>
  </si>
  <si>
    <t>Bijlsma, Michiel, Thijs Busschots, Adam Kuczynski (SEO), Sander geurts, Jim Romijn (AEF), Annabel Vaessen, Hajo Meijer &amp; Marieke Buisman (KI)</t>
  </si>
  <si>
    <t>https://www.seo.nl/wp-content/uploads/2023/06/2023-48-Evaluatie-coronasteun-cultuursector-definitief.pdf</t>
  </si>
  <si>
    <t>De economische kansen van de cybersecuritysector</t>
  </si>
  <si>
    <t>Brennenraedts, R.M.F., Pim den Hertog, Sonja Kleter, Jasper Ott, Adriaan Smeitink, Robbin te Velde &amp; Arthur Vankan</t>
  </si>
  <si>
    <t>Dialogic iov MinEZK</t>
  </si>
  <si>
    <t>file:///F:/Downloads/economische-kansen-van-de-cybersecuritysector.pdf</t>
  </si>
  <si>
    <t>Beleidsevaluatie subsidieregeling indirecte emissiekosten EU ETS</t>
  </si>
  <si>
    <t>Tieben, Bert, Devi Brands, Elène Lenders &amp; Nard Koeman</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</si>
  <si>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</si>
  <si>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</si>
  <si>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</si>
  <si>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</si>
  <si>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On the behavioral effects of tax policy</t>
  </si>
  <si>
    <t xml:space="preserve">Massenz, Gabriella </t>
  </si>
  <si>
    <t>IFN</t>
  </si>
  <si>
    <t>https://pure.uvt.nl/ws/portalfiles/portal/72249362/Digital_Thesis_Gabriella_Massenz.pdf</t>
  </si>
  <si>
    <t xml:space="preserve">Instelling </t>
  </si>
  <si>
    <t>Projectnummer</t>
  </si>
  <si>
    <t xml:space="preserve">The future of health care
_x000D_
</t>
  </si>
  <si>
    <t>CPB Policy Brief</t>
  </si>
  <si>
    <t>8097/8738</t>
  </si>
  <si>
    <t>7024/
8506</t>
  </si>
  <si>
    <t>6088/
7282</t>
  </si>
  <si>
    <t xml:space="preserve">IVA </t>
  </si>
  <si>
    <t>https://mindplatform.nl/nieuws/verdiepend-onderzoek-naar-zelfdoding-onder-jongeren</t>
  </si>
  <si>
    <t>https://ahti.nl/wp-content/uploads/2022/11/Eindrapportage-INCODA-nov-22.pdf_x000D_</t>
  </si>
  <si>
    <t xml:space="preserve">https://arbeidsmarktplatformpo.nl/wp-content/uploads/2021/03/Rapport-Verkenning-Van-vakdocent-VO-naar-bevoegd-leraar-PO.pdf_x000D_
</t>
  </si>
  <si>
    <t xml:space="preserve">https://www.cpb.nl/sites/default/files/omnidownload/cpb-notitie-consumptie-oplegger-ESB.pdf_x000D_
</t>
  </si>
  <si>
    <t>7282/
7634</t>
  </si>
  <si>
    <t>7433/
7619</t>
  </si>
  <si>
    <t>woononderzoek_midden-limburg_2018-2030_1-.pdf</t>
  </si>
  <si>
    <t>https://pubmed.ncbi.nlm.nih.gov/35983703/#:~:text=Supported%20housing%20eligibility%20reduces%20the,increases%20in%20the%20long-run</t>
  </si>
  <si>
    <t>http://www.ondernemerschap.nl/index.cfm/12,html?nxt=ctm_publikatie&amp;bestelnummer=A201408</t>
  </si>
  <si>
    <t>www.kansopwerk.nl</t>
  </si>
  <si>
    <t>resilience of regional labour markets to economic shocks: Exploring the role of interactions among firms and workers | Journal of Economic Geography | Oxford Academic (oup.com)</t>
  </si>
  <si>
    <t>https://rekenkamer.rotterdam.nl/wp-content/uploads/2023/05/C.O.21.08-tijden-van-transformatie.pdf</t>
  </si>
  <si>
    <t>8437/
9116</t>
  </si>
  <si>
    <t>Can universal access and competition in long-term care insurance be combined? - PubMed (nih.gov)</t>
  </si>
  <si>
    <t>Journal of Health Economics 30 (2): 425-438</t>
  </si>
  <si>
    <t>https://pubmed.ncbi.nlm.nih.gov/23471150/#:~:text=Results%3A%20In%2Dhospital%20mortality%20was,%25%20(n%20%3D%202052)</t>
  </si>
  <si>
    <t>https://www.socialevraagstukken.nl/waarom-is-een-uitkering-hebben-toch-zo-erfelijk/#:~:text=Door%20bijvoorbeeld%20regionale%20verschillen%20in,om%20een%20uitkering%20te%20ontvangen</t>
  </si>
  <si>
    <t xml:space="preserve">
MinSZW_FEZ</t>
  </si>
  <si>
    <t>160b4942-2b26-4ffe-819e-3ec12433198d (staten-generaal.nl)</t>
  </si>
  <si>
    <t xml:space="preserve">https://www.uu.nl/medewerkers/lwijngaards_x000D_
</t>
  </si>
  <si>
    <t xml:space="preserve">https://doi.org/10.1007/s11205-022-03002-8.
</t>
  </si>
  <si>
    <t>Ontwikkeling van de leefsituatie van volwassen ex-justitiabelen | Rapport | dji.nl</t>
  </si>
  <si>
    <t>https://research.tue.nl/en/publications/do-energy-efficiency-renovations-reduce-energy-poverty</t>
  </si>
  <si>
    <t>7152/7395</t>
  </si>
  <si>
    <t>https://digitaal.scp.nl/armoedeinkaart2018/#:~:text=Armoede%20in%20Kaart%202018%20is,vaakst%20met%20armoede%20te%20maken%3F</t>
  </si>
  <si>
    <t>Introductie | Armoede in kaart: 2019 - SCP</t>
  </si>
  <si>
    <t>7943/8282</t>
  </si>
  <si>
    <t>8231/8325</t>
  </si>
  <si>
    <t>Rotterdam_BRIDGE_ Journal 5.pdf (uia-initiative.eu)</t>
  </si>
  <si>
    <t>8740/8874</t>
  </si>
  <si>
    <t>7457/8243</t>
  </si>
  <si>
    <t>1101/8163</t>
  </si>
  <si>
    <t>Accuracy of congenital anomaly coding in live birth children recorded in European health care databases, a EUROlinkCAT study | SpringerLink</t>
  </si>
  <si>
    <t>8247/8427</t>
  </si>
  <si>
    <t>Tuit, S. and J.C. van Ours</t>
  </si>
  <si>
    <t>8224/9320</t>
  </si>
  <si>
    <t>7904/8441</t>
  </si>
  <si>
    <t>8178/8187</t>
  </si>
  <si>
    <t>7879/8128</t>
  </si>
  <si>
    <t>6089/7596/7879</t>
  </si>
  <si>
    <t>7819/8131</t>
  </si>
  <si>
    <t>7967/8257</t>
  </si>
  <si>
    <t>7830/9010</t>
  </si>
  <si>
    <t>8026/8751</t>
  </si>
  <si>
    <t>8479/9047</t>
  </si>
  <si>
    <t>https://www.nivel.nl/nl/publicatie/factsheet-4-ic-opnamen-en-andere-potentieel-niet-passende-behandelingen-het-ziekenhuis</t>
  </si>
  <si>
    <t>6126/7027</t>
  </si>
  <si>
    <t>6126/7027/7131</t>
  </si>
  <si>
    <t>7523/7765</t>
  </si>
  <si>
    <t>Samenwerkingsorganisatie Beroepsonderwijs Bedrijfsleven | SBB (s-bb.nl)</t>
  </si>
  <si>
    <t>7171/7172</t>
  </si>
  <si>
    <t>7171/7468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</si>
</sst>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Alignment="1"/>
    <xf numFmtId="0" fontId="1" fillId="0" borderId="0" xfId="0" applyFont="1" applyAlignment="1"/>
    <xf numFmtId="0" fontId="1" fillId="0" borderId="0" xfId="0" applyFont="1" applyAlignment="1">
      <alignment horizontal="center"/>
    </xf>
    <xf numFmtId="0" fontId="1" fillId="0" borderId="0" xfId="0" applyFont="1"/>
    <xf numFmtId="0" fontId="2" fillId="0" borderId="0" xfId="1" applyAlignment="1"/>
    <xf numFmtId="0" fontId="3" fillId="0" borderId="0" xfId="0" applyFont="1" applyAlignment="1"/>
    <xf numFmtId="0" fontId="3" fillId="0" borderId="0" xfId="0" applyFont="1" applyAlignment="1">
      <alignment horizontal="center"/>
    </xf>
    <xf numFmtId="0" fontId="2" fillId="0" borderId="0" xfId="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bs.nl/nl-nl/corporate/2019/51/dashboard-zicht-op-ondermijning-online" TargetMode="External"/><Relationship Id="rId671" Type="http://schemas.openxmlformats.org/officeDocument/2006/relationships/hyperlink" Target="http://www.seo.nl/pagina/article/grensoverschrijdend-aanbod-van-personeel/" TargetMode="External"/><Relationship Id="rId769" Type="http://schemas.openxmlformats.org/officeDocument/2006/relationships/hyperlink" Target="https://doi.org/10.1007/s10645-022-09401-z" TargetMode="External"/><Relationship Id="rId976" Type="http://schemas.openxmlformats.org/officeDocument/2006/relationships/hyperlink" Target="https://www.seo.nl/publicaties/de-langetermijneffecten-van-plusklassen/" TargetMode="External"/><Relationship Id="rId21" Type="http://schemas.openxmlformats.org/officeDocument/2006/relationships/hyperlink" Target="https://www.abfresearch.nl/nieuws/toenemende-baankansen-voor-bijna-alle-leeftijden/" TargetMode="External"/><Relationship Id="rId324" Type="http://schemas.openxmlformats.org/officeDocument/2006/relationships/hyperlink" Target="http://www.ois.amsterdam.nl/assets/pdfs/2014_wonen%20in%20de%20regio.pdf" TargetMode="External"/><Relationship Id="rId531" Type="http://schemas.openxmlformats.org/officeDocument/2006/relationships/hyperlink" Target="https://themasites.pbl.nl/zorg-om-banen-in-de-ouderenzorg/" TargetMode="External"/><Relationship Id="rId629" Type="http://schemas.openxmlformats.org/officeDocument/2006/relationships/hyperlink" Target="https://link.springer.com/article/10.1007%2Fs11187-018-0115-4" TargetMode="External"/><Relationship Id="rId170" Type="http://schemas.openxmlformats.org/officeDocument/2006/relationships/hyperlink" Target="https://www.cpb.nl/sites/default/files/publicaties/download/cpb-discussion-paper-234-labour-market-outcomes-older-workers-netherlands.pdf" TargetMode="External"/><Relationship Id="rId836" Type="http://schemas.openxmlformats.org/officeDocument/2006/relationships/hyperlink" Target="http://www.geletterdheidinzicht.nl/" TargetMode="External"/><Relationship Id="rId1021" Type="http://schemas.openxmlformats.org/officeDocument/2006/relationships/hyperlink" Target="https://nidi.nl/demos/buurtverhoudingen-onder-druk-door-diversiteit-en-korte-woonduur/" TargetMode="External"/><Relationship Id="rId268" Type="http://schemas.openxmlformats.org/officeDocument/2006/relationships/hyperlink" Target="https://www.dnb.nl/actueel/algemeen-nieuws/dnbulletin-2021/nederlandse-prijzen-veranderen-niet-heel-vaak/" TargetMode="External"/><Relationship Id="rId475" Type="http://schemas.openxmlformats.org/officeDocument/2006/relationships/hyperlink" Target="https://www.politieenwetenschap.nl/publicatie/politiewetenschap/2021/criminaliteit-en-huiselijk-geweld-twee-kanten-van-dezelfde-medaille-366/" TargetMode="External"/><Relationship Id="rId682" Type="http://schemas.openxmlformats.org/officeDocument/2006/relationships/hyperlink" Target="https://www.seo.nl/publicaties/onderwijsstromen-den-haag-in-beeld/" TargetMode="External"/><Relationship Id="rId903" Type="http://schemas.openxmlformats.org/officeDocument/2006/relationships/hyperlink" Target="https://authors.elsevier.com/sd/article/S2589537021004004" TargetMode="External"/><Relationship Id="rId32" Type="http://schemas.openxmlformats.org/officeDocument/2006/relationships/hyperlink" Target="https://microdata.incijfers.nl/handlers/ballroom.ashx?function=download&amp;id=32" TargetMode="External"/><Relationship Id="rId128" Type="http://schemas.openxmlformats.org/officeDocument/2006/relationships/hyperlink" Target="https://www.cbs.nl/nl-nl/maatwerk/2020/44/armoedemonitor-gemeente-den-haag-2017-en-2018-" TargetMode="External"/><Relationship Id="rId335" Type="http://schemas.openxmlformats.org/officeDocument/2006/relationships/hyperlink" Target="https://link.springer.com/article/10.1007/s12453-020-00245-5" TargetMode="External"/><Relationship Id="rId542" Type="http://schemas.openxmlformats.org/officeDocument/2006/relationships/hyperlink" Target="http://www.regioplan.nl/publicaties/slug/type/rapporten/slug/uitvoeringsmonitor_wwb_den_haag" TargetMode="External"/><Relationship Id="rId987" Type="http://schemas.openxmlformats.org/officeDocument/2006/relationships/hyperlink" Target="https://www.researchinstitutelearn.nl/leerlingen/toch-maar-geen-centrale-eindexamens/" TargetMode="External"/><Relationship Id="rId181" Type="http://schemas.openxmlformats.org/officeDocument/2006/relationships/hyperlink" Target="https://www.cpb.nl/publicatie/de-invloed-van-onderwaterhypotheken-op-de-mobiliteit-van-huishoudens" TargetMode="External"/><Relationship Id="rId402" Type="http://schemas.openxmlformats.org/officeDocument/2006/relationships/hyperlink" Target="https://www.onderwijsincijfers.nl/themas/transities-in-het-onderwijs/bergbeklimmers-in-het-onderwijs-extreem-stapelen" TargetMode="External"/><Relationship Id="rId847" Type="http://schemas.openxmlformats.org/officeDocument/2006/relationships/hyperlink" Target="https://pubmed.ncbi.nlm.nih.gov/37259868/" TargetMode="External"/><Relationship Id="rId1032" Type="http://schemas.openxmlformats.org/officeDocument/2006/relationships/hyperlink" Target="https://www.wrr.nl/publicaties" TargetMode="External"/><Relationship Id="rId279" Type="http://schemas.openxmlformats.org/officeDocument/2006/relationships/hyperlink" Target="https://www.eib.nl/pdf/Rapport%20'Financ%C3%AFele%20Levensloop'%20-%20december%202021.pdf" TargetMode="External"/><Relationship Id="rId486" Type="http://schemas.openxmlformats.org/officeDocument/2006/relationships/hyperlink" Target="http://data.ondernemerschap.nl/WebIntegraal/userif.aspx?SelectDataset=2&amp;SelectSubset=145&amp;Country=NL" TargetMode="External"/><Relationship Id="rId693" Type="http://schemas.openxmlformats.org/officeDocument/2006/relationships/hyperlink" Target="https://kennisopenbaarbestuur.nl/media/256821/34.pdf" TargetMode="External"/><Relationship Id="rId707" Type="http://schemas.openxmlformats.org/officeDocument/2006/relationships/hyperlink" Target="https://www.seo.nl/publicaties/de-impact-van-de-coronacrisis-op-de-overgang-onderwijs-arbeidsmarkt/" TargetMode="External"/><Relationship Id="rId914" Type="http://schemas.openxmlformats.org/officeDocument/2006/relationships/hyperlink" Target="https://www.sciencedirect.com/science/article/pii/S0167527310005450" TargetMode="External"/><Relationship Id="rId43" Type="http://schemas.openxmlformats.org/officeDocument/2006/relationships/hyperlink" Target="https://hmc.incijfers.nl/dashboard/dashboard/Opleiding/" TargetMode="External"/><Relationship Id="rId139" Type="http://schemas.openxmlformats.org/officeDocument/2006/relationships/hyperlink" Target="http://arno.uvt.nl/show.cgi?fid=129717" TargetMode="External"/><Relationship Id="rId346" Type="http://schemas.openxmlformats.org/officeDocument/2006/relationships/hyperlink" Target="https://www.nprz.nl/over-nprz/onze-documenten/onderwijsmonitor" TargetMode="External"/><Relationship Id="rId553" Type="http://schemas.openxmlformats.org/officeDocument/2006/relationships/hyperlink" Target="https://www.regioplan.nl/wp-content/uploads/2022/07/18128-Eindrapport-EenNieuwBestaanEenNieuweBaan-Regioplan-7juli22.pdf" TargetMode="External"/><Relationship Id="rId760" Type="http://schemas.openxmlformats.org/officeDocument/2006/relationships/hyperlink" Target="http://papers.ssrn.com/sol3/papers.cfm?abstract_id=2531332" TargetMode="External"/><Relationship Id="rId998" Type="http://schemas.openxmlformats.org/officeDocument/2006/relationships/hyperlink" Target="https://research.vu.nl/en/publications/profiling-auditing-and-public-policy-applications-in-labor-and-he" TargetMode="External"/><Relationship Id="rId192" Type="http://schemas.openxmlformats.org/officeDocument/2006/relationships/hyperlink" Target="https://www.cpb.nl/sites/default/files/omnidownload/CPB-Discussion-Paper-420-Home-Ownership-and-Home-Equity-Promote-Entrepreneurial-Activity.pdf" TargetMode="External"/><Relationship Id="rId206" Type="http://schemas.openxmlformats.org/officeDocument/2006/relationships/hyperlink" Target="https://www.cpb.nl/sites/default/files/omnidownload/cpb-notitie-consumptie-oplegger-ESB.pdf" TargetMode="External"/><Relationship Id="rId413" Type="http://schemas.openxmlformats.org/officeDocument/2006/relationships/hyperlink" Target="https://www.cpb.nl/sites/default/files/publicaties/download/mimosi-microsimulatiemodel-voor-belastingen-sociale-zekerheid-loonkosten-en-koopkracht.pdf" TargetMode="External"/><Relationship Id="rId858" Type="http://schemas.openxmlformats.org/officeDocument/2006/relationships/hyperlink" Target="https://pubmed.ncbi.nlm.nih.gov/27878703/" TargetMode="External"/><Relationship Id="rId1043" Type="http://schemas.openxmlformats.org/officeDocument/2006/relationships/hyperlink" Target="http://www.scp.nl/Publicaties/Alle_publicaties/Publicaties_2014/Kostenverschillen_in_de_jeugdzorg" TargetMode="External"/><Relationship Id="rId497" Type="http://schemas.openxmlformats.org/officeDocument/2006/relationships/hyperlink" Target="https://www.panteia.nl/onderzoeken/ex-ante-kapitaalmarktanalyse-noordvleugel/" TargetMode="External"/><Relationship Id="rId620" Type="http://schemas.openxmlformats.org/officeDocument/2006/relationships/hyperlink" Target="https://frw.studenttheses.ub.rug.nl/3360/" TargetMode="External"/><Relationship Id="rId718" Type="http://schemas.openxmlformats.org/officeDocument/2006/relationships/hyperlink" Target="https://www.seo.nl/publicaties/arbeidsmarktkrapte/" TargetMode="External"/><Relationship Id="rId925" Type="http://schemas.openxmlformats.org/officeDocument/2006/relationships/hyperlink" Target="https://www.amsterdamumc.org/nl/vandaag/meer-aandacht-nodig-voor-leefstijl-en-welzijn-bij-transgender-personen.htm" TargetMode="External"/><Relationship Id="rId357" Type="http://schemas.openxmlformats.org/officeDocument/2006/relationships/hyperlink" Target="https://onderzoek010.nl/documents/Werk-en-inkomen" TargetMode="External"/><Relationship Id="rId54" Type="http://schemas.openxmlformats.org/officeDocument/2006/relationships/hyperlink" Target="https://www.rijksoverheid.nl/documenten/kamerstukken/2020/12/14/0b-beleidsopties-h5-voor-alternatieven-voor-het-toeslagenstelsel" TargetMode="External"/><Relationship Id="rId217" Type="http://schemas.openxmlformats.org/officeDocument/2006/relationships/hyperlink" Target="https://www.cpb.nl/en/the-revealed-comparative-advantages-of-dutch-cities" TargetMode="External"/><Relationship Id="rId564" Type="http://schemas.openxmlformats.org/officeDocument/2006/relationships/hyperlink" Target="http://leefbaarometer.nl/page/Publicaties" TargetMode="External"/><Relationship Id="rId771" Type="http://schemas.openxmlformats.org/officeDocument/2006/relationships/hyperlink" Target="https://regioprofielbrabant.nl/wp-content/uploads/2020/06/Waarde-van-cultuur-2020.pdf" TargetMode="External"/><Relationship Id="rId869" Type="http://schemas.openxmlformats.org/officeDocument/2006/relationships/hyperlink" Target="https://www.rug.nl/research/portal/publications/bmi-and-lifetime-changes-in-bmi-and-cancer-mortality-risk(3092d6a6-1dcc-44ab-a7ec-433dfe65bc01).html" TargetMode="External"/><Relationship Id="rId424" Type="http://schemas.openxmlformats.org/officeDocument/2006/relationships/hyperlink" Target="https://www.kennisbanksportenbewegen.nl/?file=10475&amp;m=1631798302&amp;action=file.download" TargetMode="External"/><Relationship Id="rId631" Type="http://schemas.openxmlformats.org/officeDocument/2006/relationships/hyperlink" Target="http://cdho.nl/page/downloads/Rapport_sectorstudie_economie_20130919.pdf" TargetMode="External"/><Relationship Id="rId729" Type="http://schemas.openxmlformats.org/officeDocument/2006/relationships/hyperlink" Target="http://seor.nl/publicatie/kosten-en-opbrengsten-terugbrengen-aow-leeftijd-naar-65-jaar" TargetMode="External"/><Relationship Id="rId1054" Type="http://schemas.openxmlformats.org/officeDocument/2006/relationships/hyperlink" Target="https://www.dji.nl/documenten/rapporten/2021/02/04/ontwikkeling-van-de-leefsituatie-van-volwassen-ex-justitiabelen" TargetMode="External"/><Relationship Id="rId270" Type="http://schemas.openxmlformats.org/officeDocument/2006/relationships/hyperlink" Target="https://www.lezenenschrijven.nl/uploads/editor/WEB_SLS_Rapport_Armoede.pdf" TargetMode="External"/><Relationship Id="rId936" Type="http://schemas.openxmlformats.org/officeDocument/2006/relationships/hyperlink" Target="http://www.gelderlander.nl/algemeen/specials/gezond-en-wetenschap/trouwen-op-valentijnsdag-is-vragen-om-ellende-1.6531187" TargetMode="External"/><Relationship Id="rId65" Type="http://schemas.openxmlformats.org/officeDocument/2006/relationships/hyperlink" Target="https://www.afm.nl/nl-nl/professionals/nieuws/2020/september/stresstest-huishoudens-afm-cpb" TargetMode="External"/><Relationship Id="rId130" Type="http://schemas.openxmlformats.org/officeDocument/2006/relationships/hyperlink" Target="https://www.datafriesland.nl/armoede/" TargetMode="External"/><Relationship Id="rId368" Type="http://schemas.openxmlformats.org/officeDocument/2006/relationships/hyperlink" Target="https://bmjopen.bmj.com/content/13/5/e069000" TargetMode="External"/><Relationship Id="rId575" Type="http://schemas.openxmlformats.org/officeDocument/2006/relationships/hyperlink" Target="https://www.komen-en-gaan.nl/" TargetMode="External"/><Relationship Id="rId782" Type="http://schemas.openxmlformats.org/officeDocument/2006/relationships/hyperlink" Target="http://repository.tudelft.nl/view/tno/uuid%3Ac2279dd8-9954-466e-92d3-c083c4d3b1a8/" TargetMode="External"/><Relationship Id="rId228" Type="http://schemas.openxmlformats.org/officeDocument/2006/relationships/hyperlink" Target="https://www.cpb.nl/stapelen-in-het-voortgezet-onderwijs" TargetMode="External"/><Relationship Id="rId435" Type="http://schemas.openxmlformats.org/officeDocument/2006/relationships/hyperlink" Target="https://www.inspectieszw.nl/publicaties/rapporten/2015/10/15/sectorrapportage-arbeidsomstandigheden-van-gedetacheerde-medewerkers-vanuit-de-sociale-werkvoorziening" TargetMode="External"/><Relationship Id="rId642" Type="http://schemas.openxmlformats.org/officeDocument/2006/relationships/hyperlink" Target="https://www.narcis.nl/publication/RecordID/oai:scp.nl:ecd37c2f-6f96-418a-9dfe-2625b5908c92" TargetMode="External"/><Relationship Id="rId281" Type="http://schemas.openxmlformats.org/officeDocument/2006/relationships/hyperlink" Target="http://epsilon-research.nl/publicaties" TargetMode="External"/><Relationship Id="rId502" Type="http://schemas.openxmlformats.org/officeDocument/2006/relationships/hyperlink" Target="https://esb.nu/esb/20061635/financiele-veerkracht-zzpers-in-praktijk-groter-dan-vooraf-verwacht" TargetMode="External"/><Relationship Id="rId947" Type="http://schemas.openxmlformats.org/officeDocument/2006/relationships/hyperlink" Target="https://research.vu.nl/en/publications/refugees-transition-from-welfare-to-work-a-quasi-experimental-app" TargetMode="External"/><Relationship Id="rId76" Type="http://schemas.openxmlformats.org/officeDocument/2006/relationships/hyperlink" Target="https://ahti.nl/adhdmedicatie/" TargetMode="External"/><Relationship Id="rId141" Type="http://schemas.openxmlformats.org/officeDocument/2006/relationships/hyperlink" Target="http://hdl.handle.net/1887/39408" TargetMode="External"/><Relationship Id="rId379" Type="http://schemas.openxmlformats.org/officeDocument/2006/relationships/hyperlink" Target="https://woonzorgwijzer.nl/files/meta/Woonzorgwijzer_3_update_2020_en_doorontwikkeling.pdf" TargetMode="External"/><Relationship Id="rId586" Type="http://schemas.openxmlformats.org/officeDocument/2006/relationships/hyperlink" Target="https://www.rivm.nl/publicaties/gezondheidseffecten-van-ultrafijn-stof-van-vliegverkeer-rond-schiphol" TargetMode="External"/><Relationship Id="rId793" Type="http://schemas.openxmlformats.org/officeDocument/2006/relationships/hyperlink" Target="https://repository.tno.nl/islandora/object/uuid%3A859f78d2-e05f-4a59-909e-643dc40187b7" TargetMode="External"/><Relationship Id="rId807" Type="http://schemas.openxmlformats.org/officeDocument/2006/relationships/hyperlink" Target="https://www.tandfonline.com/doi/full/10.1080/19491247.2017.1331594" TargetMode="External"/><Relationship Id="rId7" Type="http://schemas.openxmlformats.org/officeDocument/2006/relationships/hyperlink" Target="http://abfresearch.nl/publicaties/rapporten/abf-arbeidsmarktrapportage---arbeidsmarktstructuur-naar-sector-en-regio.aspx" TargetMode="External"/><Relationship Id="rId239" Type="http://schemas.openxmlformats.org/officeDocument/2006/relationships/hyperlink" Target="https://pvdaduiven.nl/images/bestanden/Notitie-onderzoek-huisvesting-arbeidsmigranten-in-de-Liemers.pdf" TargetMode="External"/><Relationship Id="rId446" Type="http://schemas.openxmlformats.org/officeDocument/2006/relationships/hyperlink" Target="https://nivel.nl/nl/publicatie/factsheet-1-kenmerken-van-de-populatie-en-gebruik-van-ziekenhuis-en-huisartsenzorg" TargetMode="External"/><Relationship Id="rId653" Type="http://schemas.openxmlformats.org/officeDocument/2006/relationships/hyperlink" Target="https://www.scp.nl/Publicaties/Alle_publicaties/Publicaties_2018/Als_werk_weinig_opbrengt" TargetMode="External"/><Relationship Id="rId292" Type="http://schemas.openxmlformats.org/officeDocument/2006/relationships/hyperlink" Target="http://ftp.iza.org/dp7575.pdf" TargetMode="External"/><Relationship Id="rId306" Type="http://schemas.openxmlformats.org/officeDocument/2006/relationships/hyperlink" Target="https://doi.org/10.1016/j.annepidem.2023.04.012" TargetMode="External"/><Relationship Id="rId860" Type="http://schemas.openxmlformats.org/officeDocument/2006/relationships/hyperlink" Target="https://onlinelibrary.wiley.com/doi/epdf/10.1002/ijc.31034" TargetMode="External"/><Relationship Id="rId958" Type="http://schemas.openxmlformats.org/officeDocument/2006/relationships/hyperlink" Target="https://www.sciencedirect.com/science/article/pii/S0277953621010224" TargetMode="External"/><Relationship Id="rId87" Type="http://schemas.openxmlformats.org/officeDocument/2006/relationships/hyperlink" Target="https://www.rijksoverheid.nl/documenten/rapporten/2018/11/05/evaluatie-wetswijziging-remigratie-eindrapport" TargetMode="External"/><Relationship Id="rId513" Type="http://schemas.openxmlformats.org/officeDocument/2006/relationships/hyperlink" Target="https://www.parlementairemonitor.nl/9353000/1/j9vvij5epmj1ey0/vjauefsvlfzc" TargetMode="External"/><Relationship Id="rId597" Type="http://schemas.openxmlformats.org/officeDocument/2006/relationships/hyperlink" Target="https://www.rivm.nl/publicaties/integrale-bekostiging-van-geboortezorg-ervaringen-na-drie-jaar-en-eerste-zichtbare" TargetMode="External"/><Relationship Id="rId720" Type="http://schemas.openxmlformats.org/officeDocument/2006/relationships/hyperlink" Target="https://www.seo.nl/publicaties/effecten-persoonlijke-dienstverlening-ww-naar-migratieachtergrond/" TargetMode="External"/><Relationship Id="rId818" Type="http://schemas.openxmlformats.org/officeDocument/2006/relationships/hyperlink" Target="https://esb.nu/afboeking-bijstandsschuld-nauwelijks-effect-op-werk-en-mentale-gezondheid/" TargetMode="External"/><Relationship Id="rId152" Type="http://schemas.openxmlformats.org/officeDocument/2006/relationships/hyperlink" Target="https://wetten.overheid.nl/BWBR0036102/2021-05-04" TargetMode="External"/><Relationship Id="rId457" Type="http://schemas.openxmlformats.org/officeDocument/2006/relationships/hyperlink" Target="https://www.nji.nl/nl/Download-NJi/Publicatie-NJi/Risicogroepen-richting-arbeid.pdf" TargetMode="External"/><Relationship Id="rId1003" Type="http://schemas.openxmlformats.org/officeDocument/2006/relationships/hyperlink" Target="https://research.vu.nl/en/publications/job-search-requirements-for-older-unemployed-transitions-to-emplo" TargetMode="External"/><Relationship Id="rId664" Type="http://schemas.openxmlformats.org/officeDocument/2006/relationships/hyperlink" Target="https://www.scp.nl/publicaties/publicaties/2023/02/15/verhoging-van-minimumloon-en-bijstand-als-wondermiddel-voor-welvaart-en-welbevinden-van-de-lage-inkomensgroep" TargetMode="External"/><Relationship Id="rId871" Type="http://schemas.openxmlformats.org/officeDocument/2006/relationships/hyperlink" Target="https://www.rug.nl/research/portal/files/40071218/Lifetime_Smoking_History_and_Cause_Specific_Mortality_in_a_Cohort_Study_with_43_Years_of_Follow_Up.PDF" TargetMode="External"/><Relationship Id="rId969" Type="http://schemas.openxmlformats.org/officeDocument/2006/relationships/hyperlink" Target="http://www.mejudice.nl/node/48" TargetMode="External"/><Relationship Id="rId14" Type="http://schemas.openxmlformats.org/officeDocument/2006/relationships/hyperlink" Target="https://www.abfresearch.nl/nieuws/haren-en-oegstgeest-onderscheiden-zich-door-een-groot-aandeel-werkende-jongeren-met-een-afgeronde-hbo-wo-opleiding/" TargetMode="External"/><Relationship Id="rId317" Type="http://schemas.openxmlformats.org/officeDocument/2006/relationships/hyperlink" Target="http://www.ois.amsterdam.nl/assets/pdfs/2015_evmra.pdf" TargetMode="External"/><Relationship Id="rId524" Type="http://schemas.openxmlformats.org/officeDocument/2006/relationships/hyperlink" Target="http://www.cbs.nl/NR/rdonlyres/A1B765EE-5130-481A-A826-2DCCD89F81C9/0/2012b61pub.pdf" TargetMode="External"/><Relationship Id="rId731" Type="http://schemas.openxmlformats.org/officeDocument/2006/relationships/hyperlink" Target="https://www.seor.nl/als-ondernemer-uit-de-ww/index.html" TargetMode="External"/><Relationship Id="rId98" Type="http://schemas.openxmlformats.org/officeDocument/2006/relationships/hyperlink" Target="https://atlasresearch.nl/werkend-nederland-2018/" TargetMode="External"/><Relationship Id="rId163" Type="http://schemas.openxmlformats.org/officeDocument/2006/relationships/hyperlink" Target="https://www.companen.nl/wp-content/uploads/2022/01/Artikel-Woontoegankelijkheidsmonitor_bijlage.pdf" TargetMode="External"/><Relationship Id="rId370" Type="http://schemas.openxmlformats.org/officeDocument/2006/relationships/hyperlink" Target="https://zaanstad.incijfers.nl/news/Monitor-Armoede-in-Zaanstad/53" TargetMode="External"/><Relationship Id="rId829" Type="http://schemas.openxmlformats.org/officeDocument/2006/relationships/hyperlink" Target="http://www.volkskrant.nl/economie/hoogopgeleiden-eerder-met-pensioen-dan-laagopgeleiden-is-dit-wel-rechtvaardig~a4502053/" TargetMode="External"/><Relationship Id="rId1014" Type="http://schemas.openxmlformats.org/officeDocument/2006/relationships/hyperlink" Target="https://www.wodc.nl/onderzoeksdatabase/2698-monitor-nazorg-2016-(5e-meting).aspx" TargetMode="External"/><Relationship Id="rId230" Type="http://schemas.openxmlformats.org/officeDocument/2006/relationships/hyperlink" Target="https://www.cpb.nl/sites/default/files/omnidownload/CPB-TNO-Publicatie-Inkomenseffecten-van-woningisolatie-naar-de-isolatiestandaard.pdf" TargetMode="External"/><Relationship Id="rId468" Type="http://schemas.openxmlformats.org/officeDocument/2006/relationships/hyperlink" Target="https://www.biolink-nl.eu/public/2015_Biolink_white_paper_NKI.pdf" TargetMode="External"/><Relationship Id="rId675" Type="http://schemas.openxmlformats.org/officeDocument/2006/relationships/hyperlink" Target="http://www.seo.nl/pagina/article/verschuivingen-concurrentie-en-verdringing/" TargetMode="External"/><Relationship Id="rId882" Type="http://schemas.openxmlformats.org/officeDocument/2006/relationships/hyperlink" Target="https://journals.plos.org/plosone/article?id=10.1371/journal.pone.0256535" TargetMode="External"/><Relationship Id="rId25" Type="http://schemas.openxmlformats.org/officeDocument/2006/relationships/hyperlink" Target="http://www.arbeidsmarkt.incijfers.nl/" TargetMode="External"/><Relationship Id="rId328" Type="http://schemas.openxmlformats.org/officeDocument/2006/relationships/hyperlink" Target="http://www.ois.amsterdam.nl/nieuwsarchief" TargetMode="External"/><Relationship Id="rId535" Type="http://schemas.openxmlformats.org/officeDocument/2006/relationships/hyperlink" Target="https://www.waddenacademie.nl/organisatie/publicatie-lijst/publicatie-detail/migratiedynamiek-op-de-waddeneilanden" TargetMode="External"/><Relationship Id="rId742" Type="http://schemas.openxmlformats.org/officeDocument/2006/relationships/hyperlink" Target="https://www.seor.nl/evaluatie-effectiviteit-gemeente-eindhoven/" TargetMode="External"/><Relationship Id="rId174" Type="http://schemas.openxmlformats.org/officeDocument/2006/relationships/hyperlink" Target="https://www.cpb.nl/publicatie/de-invloed-van-huizenprijsschokken-op-besparingen-van-nederlandse-huizenbezitters-en" TargetMode="External"/><Relationship Id="rId381" Type="http://schemas.openxmlformats.org/officeDocument/2006/relationships/hyperlink" Target="https://www.leefbaarometer.nl/resources/LBM3Instrumentontwikkeling.pdf" TargetMode="External"/><Relationship Id="rId602" Type="http://schemas.openxmlformats.org/officeDocument/2006/relationships/hyperlink" Target="https://www.volksgezondheidenzorg.info/" TargetMode="External"/><Relationship Id="rId1025" Type="http://schemas.openxmlformats.org/officeDocument/2006/relationships/hyperlink" Target="https://www.researchgate.net/publication/330166572_Etnische_diversiteit_en_onveiligheidsgevoelens_in_de_buurt" TargetMode="External"/><Relationship Id="rId241" Type="http://schemas.openxmlformats.org/officeDocument/2006/relationships/hyperlink" Target="file:///\\cbsp.nl\HomeDirectory\Productie\PROS\Downloads\rapportage_provincie_limburg_onderzoek_internationale_werknemers_1.pdf" TargetMode="External"/><Relationship Id="rId479" Type="http://schemas.openxmlformats.org/officeDocument/2006/relationships/hyperlink" Target="https://onlinelibrary.wiley.com/doi/full/10.1002/cbm.2259" TargetMode="External"/><Relationship Id="rId686" Type="http://schemas.openxmlformats.org/officeDocument/2006/relationships/hyperlink" Target="http://www.seo.nl/pagina/article/de-positie-op-de-arbeidsmarkt-van-personen-met-een-niet-westerse-migratieachtergrond/" TargetMode="External"/><Relationship Id="rId893" Type="http://schemas.openxmlformats.org/officeDocument/2006/relationships/hyperlink" Target="https://pubmed.ncbi.nlm.nih.gov/35207419/" TargetMode="External"/><Relationship Id="rId907" Type="http://schemas.openxmlformats.org/officeDocument/2006/relationships/hyperlink" Target="https://pubmed.ncbi.nlm.nih.gov/24554075/" TargetMode="External"/><Relationship Id="rId36" Type="http://schemas.openxmlformats.org/officeDocument/2006/relationships/hyperlink" Target="https://www.zestor.nl/sites/default/files/publications/Arbeidsmarktmonitor%202020%20def.pdf" TargetMode="External"/><Relationship Id="rId339" Type="http://schemas.openxmlformats.org/officeDocument/2006/relationships/hyperlink" Target="http://www.rotterdam.nl/feitenkaartparticipatieenburgerschap" TargetMode="External"/><Relationship Id="rId546" Type="http://schemas.openxmlformats.org/officeDocument/2006/relationships/hyperlink" Target="https://www.rijksoverheid.nl/documenten/rapporten/2015/03/18/de-veranderende-geografie-van-nederland" TargetMode="External"/><Relationship Id="rId753" Type="http://schemas.openxmlformats.org/officeDocument/2006/relationships/hyperlink" Target="https://www.sp.nl/achtergrond/uitzend-zorg-en-supermarktmedewerkers-vaak-aangewezen-op-toeslagen" TargetMode="External"/><Relationship Id="rId101" Type="http://schemas.openxmlformats.org/officeDocument/2006/relationships/hyperlink" Target="https://atlasresearch.nl/werkend-nederland-2021/" TargetMode="External"/><Relationship Id="rId185" Type="http://schemas.openxmlformats.org/officeDocument/2006/relationships/hyperlink" Target="https://www.cpb.nl/sites/default/files/omnidownload/CPB-Discussion-Paper-376-complexities-in-the-spatial-scope-of-agglomeration-economies.pdf" TargetMode="External"/><Relationship Id="rId406" Type="http://schemas.openxmlformats.org/officeDocument/2006/relationships/hyperlink" Target="https://informatieproducten.duo.rijkscloud.nl/public/dashboardvsvopen/" TargetMode="External"/><Relationship Id="rId960" Type="http://schemas.openxmlformats.org/officeDocument/2006/relationships/hyperlink" Target="https://www.sciencedirect.com/science/article/pii/S0013935120314882" TargetMode="External"/><Relationship Id="rId1036" Type="http://schemas.openxmlformats.org/officeDocument/2006/relationships/hyperlink" Target="http://www.cpb.nl/sites/default/files/publicaties/download/cpb-achtergronddocument-de-toekomstige-inkomenspositie-van-aowers-drie-scenarios-voor-2025.pdf" TargetMode="External"/><Relationship Id="rId392" Type="http://schemas.openxmlformats.org/officeDocument/2006/relationships/hyperlink" Target="https://kohnstamminstituut.nl/rapport/samen-op-weg-naar-een-startkwalificatie/" TargetMode="External"/><Relationship Id="rId613" Type="http://schemas.openxmlformats.org/officeDocument/2006/relationships/hyperlink" Target="https://hdl.handle.net/11370/07e37211-5ac5-45f8-9f75-2a2716e7181f" TargetMode="External"/><Relationship Id="rId697" Type="http://schemas.openxmlformats.org/officeDocument/2006/relationships/hyperlink" Target="http://www.seo.nl/pagina/article/ontwikkelingen-op-de-arbeidsmarkt-voor-medisch-en-verzorgend-personeel/" TargetMode="External"/><Relationship Id="rId820" Type="http://schemas.openxmlformats.org/officeDocument/2006/relationships/hyperlink" Target="https://static1.squarespace.com/static/560bd9e7e4b067a54c36b111/t/59b18553e5dd5b4656861fa7/1504806228772/D4P_ConferencePaper_Final.pdf" TargetMode="External"/><Relationship Id="rId918" Type="http://schemas.openxmlformats.org/officeDocument/2006/relationships/hyperlink" Target="https://www.ncbi.nlm.nih.gov/pubmed/26351289" TargetMode="External"/><Relationship Id="rId252" Type="http://schemas.openxmlformats.org/officeDocument/2006/relationships/hyperlink" Target="https://www.dialogic.nl/projecten/eindevaluatie-regionaal-investeringsfonds-mbo/" TargetMode="External"/><Relationship Id="rId47" Type="http://schemas.openxmlformats.org/officeDocument/2006/relationships/hyperlink" Target="https://www.retailinsiders.nl/publicaties/download/rapport-functiegroepen-detailhandel-totaal-2020" TargetMode="External"/><Relationship Id="rId112" Type="http://schemas.openxmlformats.org/officeDocument/2006/relationships/hyperlink" Target="https://bureaubeke.nl/wp-content/uploads/2021/04/Downloadversie_Bekereeks_Werken_aan_werk.pdf" TargetMode="External"/><Relationship Id="rId557" Type="http://schemas.openxmlformats.org/officeDocument/2006/relationships/hyperlink" Target="https://www.nvrr.nl/rekenkamerrapport/10123/bouwen-in-balans-onderzoek-naar-woonbeleid-barendrecht/" TargetMode="External"/><Relationship Id="rId764" Type="http://schemas.openxmlformats.org/officeDocument/2006/relationships/hyperlink" Target="http://arno.uvt.nl/show.cgi?fid=116321" TargetMode="External"/><Relationship Id="rId971" Type="http://schemas.openxmlformats.org/officeDocument/2006/relationships/hyperlink" Target="http://www.demo-demo.nl/" TargetMode="External"/><Relationship Id="rId196" Type="http://schemas.openxmlformats.org/officeDocument/2006/relationships/hyperlink" Target="https://www.cpb.nl/publicatie/kapitaalstructuur-en-aanpassingssnelheid-een-empirische-analyse-van-het-nederlandse-midden-en-kleinbedrijf" TargetMode="External"/><Relationship Id="rId417" Type="http://schemas.openxmlformats.org/officeDocument/2006/relationships/hyperlink" Target="https://thesis.eur.nl/" TargetMode="External"/><Relationship Id="rId624" Type="http://schemas.openxmlformats.org/officeDocument/2006/relationships/hyperlink" Target="https://research.hanze.nl/nl/publications/voorkomen-is-beter-dan-saneren" TargetMode="External"/><Relationship Id="rId831" Type="http://schemas.openxmlformats.org/officeDocument/2006/relationships/hyperlink" Target="http://roa.sbe.maastrichtuniversity.nl/roanew/wp-content/uploads/2014/03/ROA_TR_2014_31.pdf" TargetMode="External"/><Relationship Id="rId1047" Type="http://schemas.openxmlformats.org/officeDocument/2006/relationships/hyperlink" Target="https://academic.oup.com/eurpub/advance-article/doi/10.1093/eurpub/ckac170/6900266" TargetMode="External"/><Relationship Id="rId263" Type="http://schemas.openxmlformats.org/officeDocument/2006/relationships/hyperlink" Target="https://www.dnb.nl/publicaties/publicaties-onderzoek/working-paper-2022/741-the-effect-of-introducing-a-loan-to-value-limit-on-home-ownership/" TargetMode="External"/><Relationship Id="rId470" Type="http://schemas.openxmlformats.org/officeDocument/2006/relationships/hyperlink" Target="https://pubmed.ncbi.nlm.nih.gov/35772237/" TargetMode="External"/><Relationship Id="rId929" Type="http://schemas.openxmlformats.org/officeDocument/2006/relationships/hyperlink" Target="http://www.rivm.nl/Documenten_en_publicaties/Algemeen_Actueel/Nieuwsberichten/2015/Geen_aanwijzing_voor_verhoging_zelfdoding_onder_militairen_die_op_missie_zijn_geweest" TargetMode="External"/><Relationship Id="rId58" Type="http://schemas.openxmlformats.org/officeDocument/2006/relationships/hyperlink" Target="https://aedes.nl/aedes-benchmark/benchmarkresultaten-en-publicaties" TargetMode="External"/><Relationship Id="rId123" Type="http://schemas.openxmlformats.org/officeDocument/2006/relationships/hyperlink" Target="https://www.cbs.nl/nl-nl/maatwerk/2020/02/briefmodel-schoolverlaters-den-haag" TargetMode="External"/><Relationship Id="rId330" Type="http://schemas.openxmlformats.org/officeDocument/2006/relationships/hyperlink" Target="http://www.ois.amsterdam.nl/nieuwsarchief" TargetMode="External"/><Relationship Id="rId568" Type="http://schemas.openxmlformats.org/officeDocument/2006/relationships/hyperlink" Target="https://www.corpovenista.nl/wp-content/uploads/Dynamiek-van-corporatiehuurders-def.pdf" TargetMode="External"/><Relationship Id="rId775" Type="http://schemas.openxmlformats.org/officeDocument/2006/relationships/hyperlink" Target="http://www.telos.nl/Publicaties/PublicatiesRapporten/HandlerDownloadFiles.ashx?idnv=1291598" TargetMode="External"/><Relationship Id="rId982" Type="http://schemas.openxmlformats.org/officeDocument/2006/relationships/hyperlink" Target="https://nar.vu.nl/" TargetMode="External"/><Relationship Id="rId428" Type="http://schemas.openxmlformats.org/officeDocument/2006/relationships/hyperlink" Target="https://www.kennisbanksportenbewegen.nl/?file=10795&amp;m=1652275811&amp;action=file.download" TargetMode="External"/><Relationship Id="rId635" Type="http://schemas.openxmlformats.org/officeDocument/2006/relationships/hyperlink" Target="https://link.springer.com/article/10.1007/s12508-014-0067-2" TargetMode="External"/><Relationship Id="rId842" Type="http://schemas.openxmlformats.org/officeDocument/2006/relationships/hyperlink" Target="https://link.springer.com/article/10.1007%2Fs10552-019-01204-z" TargetMode="External"/><Relationship Id="rId1058" Type="http://schemas.openxmlformats.org/officeDocument/2006/relationships/hyperlink" Target="https://www.uia-initiative.eu/sites/default/files/2020-03/Rotterdam_BRIDGE_%20Journal%205.pdf" TargetMode="External"/><Relationship Id="rId274" Type="http://schemas.openxmlformats.org/officeDocument/2006/relationships/hyperlink" Target="https://twitter.com/ecn" TargetMode="External"/><Relationship Id="rId481" Type="http://schemas.openxmlformats.org/officeDocument/2006/relationships/hyperlink" Target="https://magazines.nza.nl/nza-specials/2020/03/monitor-pz-2020" TargetMode="External"/><Relationship Id="rId702" Type="http://schemas.openxmlformats.org/officeDocument/2006/relationships/hyperlink" Target="https://www.rijksoverheid.nl/documenten/kamerstukken/2020/07/02/aanbieding-evaluatie-wet-werk-en-zekerheid" TargetMode="External"/><Relationship Id="rId69" Type="http://schemas.openxmlformats.org/officeDocument/2006/relationships/hyperlink" Target="https://ahti.nl/nieuws/health-insights-nederlandse-zorgkosten-in-beeld/" TargetMode="External"/><Relationship Id="rId134" Type="http://schemas.openxmlformats.org/officeDocument/2006/relationships/hyperlink" Target="https://repository.wodc.nl/handle/20.500.12832/229" TargetMode="External"/><Relationship Id="rId579" Type="http://schemas.openxmlformats.org/officeDocument/2006/relationships/hyperlink" Target="http://www.gezondheidszorgbalans.nl/dsresource?type=pdf&amp;disposition=inline&amp;objectid=rivmp:259835&amp;versionid=&amp;subobjectname=" TargetMode="External"/><Relationship Id="rId786" Type="http://schemas.openxmlformats.org/officeDocument/2006/relationships/hyperlink" Target="https://pubmed.ncbi.nlm.nih.gov/22792154/" TargetMode="External"/><Relationship Id="rId993" Type="http://schemas.openxmlformats.org/officeDocument/2006/relationships/hyperlink" Target="http://onlinelibrary.wiley.com/doi/10.1111/jors.12012/full" TargetMode="External"/><Relationship Id="rId341" Type="http://schemas.openxmlformats.org/officeDocument/2006/relationships/hyperlink" Target="http://www.rotterdam.nl/staatvanemancipatierotterdam" TargetMode="External"/><Relationship Id="rId439" Type="http://schemas.openxmlformats.org/officeDocument/2006/relationships/hyperlink" Target="https://www.doi.org/10.1080/17445647.2020.1761466" TargetMode="External"/><Relationship Id="rId646" Type="http://schemas.openxmlformats.org/officeDocument/2006/relationships/hyperlink" Target="http://www.scp.nl/Publicaties/Alle_publicaties/Publicaties_2015/Rapportage_Sport_2014" TargetMode="External"/><Relationship Id="rId201" Type="http://schemas.openxmlformats.org/officeDocument/2006/relationships/hyperlink" Target="https://www.cpb.nl/effect-van-wijkteams-op-het-gebruik-van-ouderenzorg" TargetMode="External"/><Relationship Id="rId285" Type="http://schemas.openxmlformats.org/officeDocument/2006/relationships/hyperlink" Target="https://link.springer.com/article/10.1007/s10926-023-10118-2" TargetMode="External"/><Relationship Id="rId506" Type="http://schemas.openxmlformats.org/officeDocument/2006/relationships/hyperlink" Target="http://www.rijksoverheid.nl/documenten-en-publicaties/rapporten/2012/04/02/hoofdrapport-evaluatie-wbso-2006-2010.html" TargetMode="External"/><Relationship Id="rId853" Type="http://schemas.openxmlformats.org/officeDocument/2006/relationships/hyperlink" Target="https://www2.deloitte.com/nl/nl/pages/public-sector/articles/sots-nieuwe-data-inzichten-over-huizenbezit-en-overlevingskansen-bieden-perspectief-voor-chronisch-zieken.html" TargetMode="External"/><Relationship Id="rId492" Type="http://schemas.openxmlformats.org/officeDocument/2006/relationships/hyperlink" Target="http://www.ondernemerschap.nl/index.cfm/12,html?nxt=ctm_publikatie&amp;bestelnummer=A201408" TargetMode="External"/><Relationship Id="rId713" Type="http://schemas.openxmlformats.org/officeDocument/2006/relationships/hyperlink" Target="https://www.seo.nl/en/publications/the-causal-effect-of-paternity-leave-on-the-gender-earnings-gap-evidence-from-the-netherlands/" TargetMode="External"/><Relationship Id="rId797" Type="http://schemas.openxmlformats.org/officeDocument/2006/relationships/hyperlink" Target="http://hdl.handle.net/1871/40113" TargetMode="External"/><Relationship Id="rId920" Type="http://schemas.openxmlformats.org/officeDocument/2006/relationships/hyperlink" Target="https://doi.org/10.1016/j.ijcard.2023.03.024" TargetMode="External"/><Relationship Id="rId145" Type="http://schemas.openxmlformats.org/officeDocument/2006/relationships/hyperlink" Target="https://programmasmartstart.nl/pilot-de-voedselbank-gilze-en-rijen/" TargetMode="External"/><Relationship Id="rId352" Type="http://schemas.openxmlformats.org/officeDocument/2006/relationships/hyperlink" Target="https://onderzoek010.nl/documents/Werk-en-inkomen" TargetMode="External"/><Relationship Id="rId212" Type="http://schemas.openxmlformats.org/officeDocument/2006/relationships/hyperlink" Target="https://www.cpb.nl/sites/default/files/omnidownload/CPB-Notitie-feb2020-Een-nieuwe-kijk-op-de-Wet-Inburgering-2013.pdf" TargetMode="External"/><Relationship Id="rId657" Type="http://schemas.openxmlformats.org/officeDocument/2006/relationships/hyperlink" Target="https://www.scp.nl/publicaties/publicaties/2019/06/11/publiekssamenvatting-legitimiteit-en-pensioenhervormingen" TargetMode="External"/><Relationship Id="rId864" Type="http://schemas.openxmlformats.org/officeDocument/2006/relationships/hyperlink" Target="https://doi.org/10.1016/j.envres.2022.112872" TargetMode="External"/><Relationship Id="rId296" Type="http://schemas.openxmlformats.org/officeDocument/2006/relationships/hyperlink" Target="https://www.sciencedirect.com/science/article/pii/S0277953622000442" TargetMode="External"/><Relationship Id="rId517" Type="http://schemas.openxmlformats.org/officeDocument/2006/relationships/hyperlink" Target="http://www.ondernemerschap.nl/index.cfm/12,html?nxt=ctm_publikatie&amp;bestelnummer=A201416" TargetMode="External"/><Relationship Id="rId724" Type="http://schemas.openxmlformats.org/officeDocument/2006/relationships/hyperlink" Target="https://www.seo.nl/publicaties/de-markt-voor-kinderopvang/" TargetMode="External"/><Relationship Id="rId931" Type="http://schemas.openxmlformats.org/officeDocument/2006/relationships/hyperlink" Target="https://doi.org/10.1016/j.econedurev.2022.102310" TargetMode="External"/><Relationship Id="rId60" Type="http://schemas.openxmlformats.org/officeDocument/2006/relationships/hyperlink" Target="https://www.tweedekamer.nl/downloads/document?id=566b5ce1-b2b2-4bdf-8917-61e14838eab7&amp;title=Ruimte%20om%20volwassen%20te%20worden.%20Onderzoek%20naar%20de%20effecten%20van%20het%20verhogen%20van%20de%20leeftijdsgrens%20voor%20gezinshuizen%20%20.pdf" TargetMode="External"/><Relationship Id="rId156" Type="http://schemas.openxmlformats.org/officeDocument/2006/relationships/hyperlink" Target="http://www.regiogroningenassen.nl/publicaties/kwaliteit-stad-en-land?layout=table&amp;start=15" TargetMode="External"/><Relationship Id="rId363" Type="http://schemas.openxmlformats.org/officeDocument/2006/relationships/hyperlink" Target="https://www.seor.nl/bridge/" TargetMode="External"/><Relationship Id="rId570" Type="http://schemas.openxmlformats.org/officeDocument/2006/relationships/hyperlink" Target="https://www.rijksoverheid.nl/documenten/rapporten/2017/04/18/rapport-%CB%9D-monitor-investeren-in-de-toekomst-2017-%CB%9D" TargetMode="External"/><Relationship Id="rId1007" Type="http://schemas.openxmlformats.org/officeDocument/2006/relationships/hyperlink" Target="https://edepot.wur.nl/573767" TargetMode="External"/><Relationship Id="rId223" Type="http://schemas.openxmlformats.org/officeDocument/2006/relationships/hyperlink" Target="https://www.cpb.nl/sites/default/files/omnidownload/CPB-Notitie-Wijkteams-en-praktijkondersteuners-in-de-jeugdzorg.pdf" TargetMode="External"/><Relationship Id="rId430" Type="http://schemas.openxmlformats.org/officeDocument/2006/relationships/hyperlink" Target="https://www.blackboxpublishers.com/nl/publications/fitness-markt-trend-rapport-2020-2024/" TargetMode="External"/><Relationship Id="rId668" Type="http://schemas.openxmlformats.org/officeDocument/2006/relationships/hyperlink" Target="http://www.rijksoverheid.nl/.../effect-woonsituatie-op-arbeidsaanbod.pdf" TargetMode="External"/><Relationship Id="rId875" Type="http://schemas.openxmlformats.org/officeDocument/2006/relationships/hyperlink" Target="https://www.rug.nl/research/portal/files/23584844/Chapter_7.pdf" TargetMode="External"/><Relationship Id="rId1060" Type="http://schemas.openxmlformats.org/officeDocument/2006/relationships/hyperlink" Target="https://www.nivel.nl/nl/publicatie/factsheet-4-ic-opnamen-en-andere-potentieel-niet-passende-behandelingen-het-ziekenhuis" TargetMode="External"/><Relationship Id="rId18" Type="http://schemas.openxmlformats.org/officeDocument/2006/relationships/hyperlink" Target="https://www.collandarbeidsmarkt.nl/niet-werknemers-in-agrarische-en-groene-sector/" TargetMode="External"/><Relationship Id="rId528" Type="http://schemas.openxmlformats.org/officeDocument/2006/relationships/hyperlink" Target="https://themasites.pbl.nl/aanpassen-of-verkassen/" TargetMode="External"/><Relationship Id="rId735" Type="http://schemas.openxmlformats.org/officeDocument/2006/relationships/hyperlink" Target="https://www.seor.nl/invloed-van-migratieachtergrond-ww-gerechtigden/" TargetMode="External"/><Relationship Id="rId942" Type="http://schemas.openxmlformats.org/officeDocument/2006/relationships/hyperlink" Target="https://www.bestrijdingsmiddelen-omwonenden.nl/verkennend-gezondheidsonderzoek" TargetMode="External"/><Relationship Id="rId125" Type="http://schemas.openxmlformats.org/officeDocument/2006/relationships/hyperlink" Target="https://www.cbs.nl/nl-nl/maatwerk/2020/02/wmo-voorspelmodel" TargetMode="External"/><Relationship Id="rId167" Type="http://schemas.openxmlformats.org/officeDocument/2006/relationships/hyperlink" Target="http://www.cpb.nl/publicatie/flexibele-arbeid-belangrijk-voor-de-arbeidsmark" TargetMode="External"/><Relationship Id="rId332" Type="http://schemas.openxmlformats.org/officeDocument/2006/relationships/hyperlink" Target="http://www.ois.amsterdam.nl/nieuwsarchief" TargetMode="External"/><Relationship Id="rId374" Type="http://schemas.openxmlformats.org/officeDocument/2006/relationships/hyperlink" Target="https://www.hanze.nl/nld/onderzoek/kenniscentra/centrum-ondernemerschap/onderzoek/lectoraten/arbeidsparticipatie/projecten/projecten-healthy-ageing/gildeleren-gemeentelijke-werkgeversdienstverlening" TargetMode="External"/><Relationship Id="rId581" Type="http://schemas.openxmlformats.org/officeDocument/2006/relationships/hyperlink" Target="http://arno.uvt.nl/show.cgi?fid=130705" TargetMode="External"/><Relationship Id="rId777" Type="http://schemas.openxmlformats.org/officeDocument/2006/relationships/hyperlink" Target="https://doi.org/10.5117/TVA2021.4.007.WILD" TargetMode="External"/><Relationship Id="rId984" Type="http://schemas.openxmlformats.org/officeDocument/2006/relationships/hyperlink" Target="https://www.scienceguide.nl/2020/05/hoe-statistiek-het-schoolexamen-verdacht-maakte/" TargetMode="External"/><Relationship Id="rId1018" Type="http://schemas.openxmlformats.org/officeDocument/2006/relationships/hyperlink" Target="https://repository.wodc.nl/bitstream/handle/20.500.12832/3161/Cahier%202022-01-volledige-tekst.pdf?sequence=1&amp;isAllowed=y" TargetMode="External"/><Relationship Id="rId71" Type="http://schemas.openxmlformats.org/officeDocument/2006/relationships/hyperlink" Target="https://ahti.nl/nieuws/health-insights-verdeling-gebruik-cholesterolverlagers-in-nederland/" TargetMode="External"/><Relationship Id="rId234" Type="http://schemas.openxmlformats.org/officeDocument/2006/relationships/hyperlink" Target="https://www.datafriesland.nl/2022/09/09/kans-op-energiearmoede/" TargetMode="External"/><Relationship Id="rId637" Type="http://schemas.openxmlformats.org/officeDocument/2006/relationships/hyperlink" Target="http://www.scp.nl/Publicaties/Alle_publicaties/Publicaties_2011/Verlof_vragen" TargetMode="External"/><Relationship Id="rId679" Type="http://schemas.openxmlformats.org/officeDocument/2006/relationships/hyperlink" Target="http://www.seo.nl/pagina/article/beleidsevaluatie-energie-innovatieregelingen/" TargetMode="External"/><Relationship Id="rId802" Type="http://schemas.openxmlformats.org/officeDocument/2006/relationships/hyperlink" Target="https://repository.tudelft.nl/islandora/object/uuid:780736bf-c2ae-45a0-9fb0-059bbbca9ce7?collection=research" TargetMode="External"/><Relationship Id="rId844" Type="http://schemas.openxmlformats.org/officeDocument/2006/relationships/hyperlink" Target="https://pubmed.ncbi.nlm.nih.gov/35777920/" TargetMode="External"/><Relationship Id="rId886" Type="http://schemas.openxmlformats.org/officeDocument/2006/relationships/hyperlink" Target="https://pubmed.ncbi.nlm.nih.gov/22045823/" TargetMode="External"/><Relationship Id="rId2" Type="http://schemas.openxmlformats.org/officeDocument/2006/relationships/hyperlink" Target="https://www.abfresearch.nl/nieuws/1-9-miljoen-werkzame-personen-erbij-in-de-zakelijke-dienstverlening/" TargetMode="External"/><Relationship Id="rId29" Type="http://schemas.openxmlformats.org/officeDocument/2006/relationships/hyperlink" Target="https://www.volkshuisvestingnederland.nl/documenten/publicaties/2023/06/08/rapport-abf-research-verkenning-woonsituatie-en-instroom-urgentiegroepen" TargetMode="External"/><Relationship Id="rId276" Type="http://schemas.openxmlformats.org/officeDocument/2006/relationships/hyperlink" Target="http://publications.tno.nl/publication/34635012/6tXviw/TNO-2019-P11713.pdf" TargetMode="External"/><Relationship Id="rId441" Type="http://schemas.openxmlformats.org/officeDocument/2006/relationships/hyperlink" Target="http://dx.doi.org/10.1016/j.ejim.2015.02.006" TargetMode="External"/><Relationship Id="rId483" Type="http://schemas.openxmlformats.org/officeDocument/2006/relationships/hyperlink" Target="https://puc.overheid.nl/nza/doc/PUC_721003_22/1/" TargetMode="External"/><Relationship Id="rId539" Type="http://schemas.openxmlformats.org/officeDocument/2006/relationships/hyperlink" Target="https://docplayer.nl/3177927-Grote-dynamiek-in-kleinschalig-ondernemerschap.html" TargetMode="External"/><Relationship Id="rId690" Type="http://schemas.openxmlformats.org/officeDocument/2006/relationships/hyperlink" Target="http://www.seo.nl/pagina/article/doelgroepen-voor-de-nhg/" TargetMode="External"/><Relationship Id="rId704" Type="http://schemas.openxmlformats.org/officeDocument/2006/relationships/hyperlink" Target="https://www.seo.nl/publicaties/marktordening-toeristische-sector-amsterdam/" TargetMode="External"/><Relationship Id="rId746" Type="http://schemas.openxmlformats.org/officeDocument/2006/relationships/hyperlink" Target="https://www.seor.nl/lob-en-kansrijke-keuzes-op-het-vmbo/" TargetMode="External"/><Relationship Id="rId911" Type="http://schemas.openxmlformats.org/officeDocument/2006/relationships/hyperlink" Target="https://research.vumc.nl/en/publications/new-york-heart-association-class-is-strongly-associated-with-mort" TargetMode="External"/><Relationship Id="rId40" Type="http://schemas.openxmlformats.org/officeDocument/2006/relationships/hyperlink" Target="https://www.collandarbeidsmarkt.nl/rapporten/" TargetMode="External"/><Relationship Id="rId136" Type="http://schemas.openxmlformats.org/officeDocument/2006/relationships/hyperlink" Target="https://raad.asten.nl/uploads/tx_windcorsa/04_C_Eindrapport_onderzoek_Cebeon_medicijngebruik_incl._Vektis.pdf" TargetMode="External"/><Relationship Id="rId178" Type="http://schemas.openxmlformats.org/officeDocument/2006/relationships/hyperlink" Target="https://www.springer.com/journal/10645" TargetMode="External"/><Relationship Id="rId301" Type="http://schemas.openxmlformats.org/officeDocument/2006/relationships/hyperlink" Target="https://cepr.org/active/publications/discussion_papers/dp.php?dpno=17427" TargetMode="External"/><Relationship Id="rId343" Type="http://schemas.openxmlformats.org/officeDocument/2006/relationships/hyperlink" Target="https://www.nprz.nl/over-nprz/onze-documenten/onderwijsmonitor" TargetMode="External"/><Relationship Id="rId550" Type="http://schemas.openxmlformats.org/officeDocument/2006/relationships/hyperlink" Target="https://www.zestor.nl/sites/default/files/publications/Eindrapport%20Regioplan%20In-%20door-%20en%20uitstroom%20hbo-personeel.pdf" TargetMode="External"/><Relationship Id="rId788" Type="http://schemas.openxmlformats.org/officeDocument/2006/relationships/hyperlink" Target="https://pubmed.ncbi.nlm.nih.gov/23144364/" TargetMode="External"/><Relationship Id="rId953" Type="http://schemas.openxmlformats.org/officeDocument/2006/relationships/hyperlink" Target="https://www.tijdschriftdepsycholoog.nl/wetenschap/wie-weet-het-beter-de-docent-of-de-centrale-eindtoets/" TargetMode="External"/><Relationship Id="rId995" Type="http://schemas.openxmlformats.org/officeDocument/2006/relationships/hyperlink" Target="https://research.vu.nl/en/publications/audit-rates-and-compliance-a-field-experiment-in-care-provision" TargetMode="External"/><Relationship Id="rId1029" Type="http://schemas.openxmlformats.org/officeDocument/2006/relationships/hyperlink" Target="https://www.jstor.org/stable/j.ctvv417th.15" TargetMode="External"/><Relationship Id="rId82" Type="http://schemas.openxmlformats.org/officeDocument/2006/relationships/hyperlink" Target="https://www.sciencedirect.com/science/article/pii/S1525861022003231" TargetMode="External"/><Relationship Id="rId203" Type="http://schemas.openxmlformats.org/officeDocument/2006/relationships/hyperlink" Target="https://www.cpb.nl/en/can-your-house-keep-you-out-nursing-home" TargetMode="External"/><Relationship Id="rId385" Type="http://schemas.openxmlformats.org/officeDocument/2006/relationships/hyperlink" Target="https://www.doorzaam.nl/over-doorzaam/onderzoeken/onderzoek-duurzame-inzetbaarheid-uitzendkrachten/" TargetMode="External"/><Relationship Id="rId592" Type="http://schemas.openxmlformats.org/officeDocument/2006/relationships/hyperlink" Target="https://jongerenopgezondgewicht.nl/media/uploads/resultreports/monitor-2015_5a85b8403e8ba.pdf" TargetMode="External"/><Relationship Id="rId606" Type="http://schemas.openxmlformats.org/officeDocument/2006/relationships/hyperlink" Target="https://pure.rug.nl/ws/portalfiles/portal/144703634/00b_pref.pdf" TargetMode="External"/><Relationship Id="rId648" Type="http://schemas.openxmlformats.org/officeDocument/2006/relationships/hyperlink" Target="https://www.scp.nl/Publicaties/Alle_publicaties/Publicaties_2014/Verschil_in_Nederland" TargetMode="External"/><Relationship Id="rId813" Type="http://schemas.openxmlformats.org/officeDocument/2006/relationships/hyperlink" Target="https://www.atlasplabeka.nl/" TargetMode="External"/><Relationship Id="rId855" Type="http://schemas.openxmlformats.org/officeDocument/2006/relationships/hyperlink" Target="https://pubmed.ncbi.nlm.nih.gov/37277619/" TargetMode="External"/><Relationship Id="rId1040" Type="http://schemas.openxmlformats.org/officeDocument/2006/relationships/hyperlink" Target="http://www.cpb.nl/publicatie/de-financiele-positie-van-het-midden-en-kleinbedrijf-in-nederland" TargetMode="External"/><Relationship Id="rId245" Type="http://schemas.openxmlformats.org/officeDocument/2006/relationships/hyperlink" Target="http://www.dialogic.nl/component/option,com_dialogic/project,2011.118/task,project/" TargetMode="External"/><Relationship Id="rId287" Type="http://schemas.openxmlformats.org/officeDocument/2006/relationships/hyperlink" Target="http://www.uwv.nl/overuwv/kennis-cijfers-en-onderzoek/kennis-onderzoeken/wie-heeft-schuld--een-kwantitatieve-analyse-van-schulden-bij-uitkeringsgerechtigden.aspx" TargetMode="External"/><Relationship Id="rId410" Type="http://schemas.openxmlformats.org/officeDocument/2006/relationships/hyperlink" Target="https://www.onderwijsinspectie.nl/documenten/rapporten/2017/07/07/selectie-meer-dan-cijfers-alleen" TargetMode="External"/><Relationship Id="rId452" Type="http://schemas.openxmlformats.org/officeDocument/2006/relationships/hyperlink" Target="https://www.nivel.nl/sites/default/files/bestanden/1003748.pdf" TargetMode="External"/><Relationship Id="rId494" Type="http://schemas.openxmlformats.org/officeDocument/2006/relationships/hyperlink" Target="http://www.kansenvoorwest2.nl/nl/nieuws/brandstof-voor-innovatief-vermogen/" TargetMode="External"/><Relationship Id="rId508" Type="http://schemas.openxmlformats.org/officeDocument/2006/relationships/hyperlink" Target="http://kennisopenbaarbestuur.nl/rapporten-publicaties/arbeidsmarktanalyse-rijk-een-vooruitblik-naar-2016-en-2020/" TargetMode="External"/><Relationship Id="rId715" Type="http://schemas.openxmlformats.org/officeDocument/2006/relationships/hyperlink" Target="https://www.abu.nl/kennisbank/marktcijfers/uitzendbranche-blijft-belangrijke-springplank-naar-werk/" TargetMode="External"/><Relationship Id="rId897" Type="http://schemas.openxmlformats.org/officeDocument/2006/relationships/hyperlink" Target="https://pubmed.ncbi.nlm.nih.gov/25238558/" TargetMode="External"/><Relationship Id="rId922" Type="http://schemas.openxmlformats.org/officeDocument/2006/relationships/hyperlink" Target="https://www.bmj.com/content/365/bmj.l1652" TargetMode="External"/><Relationship Id="rId105" Type="http://schemas.openxmlformats.org/officeDocument/2006/relationships/hyperlink" Target="https://www.atrive.nl/actueel/projecten/onderzoek-woningmarkt-noord-veluwe.html" TargetMode="External"/><Relationship Id="rId147" Type="http://schemas.openxmlformats.org/officeDocument/2006/relationships/hyperlink" Target="https://programmasmartstart.nl/pilot-onderwijs-tilburg/" TargetMode="External"/><Relationship Id="rId312" Type="http://schemas.openxmlformats.org/officeDocument/2006/relationships/hyperlink" Target="https://www.almere.nl/fileadmin/user_upload/OenS/2020/Almeerders_met_Wlz_P2019_059.pdf" TargetMode="External"/><Relationship Id="rId354" Type="http://schemas.openxmlformats.org/officeDocument/2006/relationships/hyperlink" Target="https://onderzoek010.nl/documents/Werk-en-inkomen" TargetMode="External"/><Relationship Id="rId757" Type="http://schemas.openxmlformats.org/officeDocument/2006/relationships/hyperlink" Target="https://www.tandfonline.com/doi/full/10.1080/1369183X.2018.1497956" TargetMode="External"/><Relationship Id="rId799" Type="http://schemas.openxmlformats.org/officeDocument/2006/relationships/hyperlink" Target="https://docs.iza.org/dp11883.pdf" TargetMode="External"/><Relationship Id="rId964" Type="http://schemas.openxmlformats.org/officeDocument/2006/relationships/hyperlink" Target="https://authors.elsevier.com/a/1YBAdLPdAfmNz" TargetMode="External"/><Relationship Id="rId51" Type="http://schemas.openxmlformats.org/officeDocument/2006/relationships/hyperlink" Target="https://www.hmcollege.nl/studeren-bij-hmc/studie-in-cijfers/" TargetMode="External"/><Relationship Id="rId93" Type="http://schemas.openxmlformats.org/officeDocument/2006/relationships/hyperlink" Target="https://open.overheid.nl/documenten/ronl-f2bf26b4-a21e-4004-b19a-030638fdfd77/pdf" TargetMode="External"/><Relationship Id="rId189" Type="http://schemas.openxmlformats.org/officeDocument/2006/relationships/hyperlink" Target="https://doi.org/10.1007/s10797-022-09736-y" TargetMode="External"/><Relationship Id="rId396" Type="http://schemas.openxmlformats.org/officeDocument/2006/relationships/hyperlink" Target="https://ec.europa.eu/docsroom/documents/32601/attachments/4/translations/en/renditions/native" TargetMode="External"/><Relationship Id="rId561" Type="http://schemas.openxmlformats.org/officeDocument/2006/relationships/hyperlink" Target="https://www.rijksoverheid.nl/binaries/rijksoverheid/documenten/rapporten/2018/06/29/monitor-beleidsmaatregelen-2017-2018/monitor-beleidsmaatregelen-2017-2018.pdf" TargetMode="External"/><Relationship Id="rId617" Type="http://schemas.openxmlformats.org/officeDocument/2006/relationships/hyperlink" Target="https://armoedegroningen.nl/de-arme-bestaat-niet/" TargetMode="External"/><Relationship Id="rId659" Type="http://schemas.openxmlformats.org/officeDocument/2006/relationships/hyperlink" Target="https://www.scp.nl/publicaties/publicaties/2021/02/04/samen-of-gescheiden-naar-school" TargetMode="External"/><Relationship Id="rId824" Type="http://schemas.openxmlformats.org/officeDocument/2006/relationships/hyperlink" Target="https://pubmed.ncbi.nlm.nih.gov/35510499/" TargetMode="External"/><Relationship Id="rId866" Type="http://schemas.openxmlformats.org/officeDocument/2006/relationships/hyperlink" Target="https://journals.plos.org/plosone/article?id=10.1371/journal.pone.0078821" TargetMode="External"/><Relationship Id="rId214" Type="http://schemas.openxmlformats.org/officeDocument/2006/relationships/hyperlink" Target="https://www.cpb.nl/decentrale-bekostiging-beschermd-wonen" TargetMode="External"/><Relationship Id="rId256" Type="http://schemas.openxmlformats.org/officeDocument/2006/relationships/hyperlink" Target="https://www.rijksoverheid.nl/documenten/kamerstukken/2020/10/30/kamerbrief-over-kabinetsstrategie-versterken-van-onderzoeks-en-innovatie-ecosystemen" TargetMode="External"/><Relationship Id="rId298" Type="http://schemas.openxmlformats.org/officeDocument/2006/relationships/hyperlink" Target="https://www.volkskrant.nl/nieuws-achtergrond/in-de-wieg-al-op-achterstand-bij-baby-s-van-4-maanden-is-de-ongelijkheid-reeds-te-zien~b22e4803/" TargetMode="External"/><Relationship Id="rId421" Type="http://schemas.openxmlformats.org/officeDocument/2006/relationships/hyperlink" Target="https://www.sportenbewegenincijfers.nl/kernindicatoren" TargetMode="External"/><Relationship Id="rId463" Type="http://schemas.openxmlformats.org/officeDocument/2006/relationships/hyperlink" Target="https://www.16-27.nl/jongeren-zonder-werk-en-opleiding" TargetMode="External"/><Relationship Id="rId519" Type="http://schemas.openxmlformats.org/officeDocument/2006/relationships/hyperlink" Target="https://www.panteia.nl/onderzoeken/publicaties/doelgroepenanalyse-en-customer-journeys-in-de-rechtsbijstand/" TargetMode="External"/><Relationship Id="rId670" Type="http://schemas.openxmlformats.org/officeDocument/2006/relationships/hyperlink" Target="http://www.cbs.nl/NR/rdonlyres/4630C51B-BD4A-4D8A-85DA-393651C0CD69/0/2013v61pub.pdf" TargetMode="External"/><Relationship Id="rId1051" Type="http://schemas.openxmlformats.org/officeDocument/2006/relationships/hyperlink" Target="http://www.cpb.nl/publicatie/loongebouw-overheid-en-mobiliteit" TargetMode="External"/><Relationship Id="rId116" Type="http://schemas.openxmlformats.org/officeDocument/2006/relationships/hyperlink" Target="http://www.cbs.nl/nl-NL/menu/themas/bedrijven/publicaties/publicaties/archief/2013/2013-inkomen-vermogen-en-dynamiek-van-zelfstandigen-zonder-personeel-2009-pub.htm" TargetMode="External"/><Relationship Id="rId158" Type="http://schemas.openxmlformats.org/officeDocument/2006/relationships/hyperlink" Target="https://eindhoven.parlaeus.nl/user/bdocument/action=view/id=933" TargetMode="External"/><Relationship Id="rId323" Type="http://schemas.openxmlformats.org/officeDocument/2006/relationships/hyperlink" Target="http://www.ois.amsterdam.nl/publicaties/" TargetMode="External"/><Relationship Id="rId530" Type="http://schemas.openxmlformats.org/officeDocument/2006/relationships/hyperlink" Target="https://themasites.pbl.nl/langer-zelfstandig-wonen/" TargetMode="External"/><Relationship Id="rId726" Type="http://schemas.openxmlformats.org/officeDocument/2006/relationships/hyperlink" Target="https://www.rijksoverheid.nl/documenten/rapporten/2023/07/14/bijlage-eindrapport-evaluatie-eia-2017-2021" TargetMode="External"/><Relationship Id="rId768" Type="http://schemas.openxmlformats.org/officeDocument/2006/relationships/hyperlink" Target="https://www.netspar.nl/assets/uploads/P20190114_DP002_VanEwijk.pdf" TargetMode="External"/><Relationship Id="rId933" Type="http://schemas.openxmlformats.org/officeDocument/2006/relationships/hyperlink" Target="https://papers.ssrn.com/sol3/papers.cfm?abstract_id=3642646" TargetMode="External"/><Relationship Id="rId975" Type="http://schemas.openxmlformats.org/officeDocument/2006/relationships/hyperlink" Target="https://journals.sagepub.com/doi/epub/10.1177/17461979221084109" TargetMode="External"/><Relationship Id="rId1009" Type="http://schemas.openxmlformats.org/officeDocument/2006/relationships/hyperlink" Target="https://repository.wodc.nl/bitstream/handle/20.500.12832/141/cahier-2014-10-volledige-tekst-nw_tcm28-72940.pdf?sequence=2&amp;isAllowed=y" TargetMode="External"/><Relationship Id="rId20" Type="http://schemas.openxmlformats.org/officeDocument/2006/relationships/hyperlink" Target="https://www.nuffic.nl/publicaties/stayrate-van-internationale-afgestudeerden-in-nederland/" TargetMode="External"/><Relationship Id="rId62" Type="http://schemas.openxmlformats.org/officeDocument/2006/relationships/hyperlink" Target="https://www.afm.nl/nl-nl/nieuws/2022/maart/meer-nederlanders-beleggen-sparen" TargetMode="External"/><Relationship Id="rId365" Type="http://schemas.openxmlformats.org/officeDocument/2006/relationships/hyperlink" Target="https://onderzoek010.nl/document/Bankslapers-beter-in-beeld/590" TargetMode="External"/><Relationship Id="rId572" Type="http://schemas.openxmlformats.org/officeDocument/2006/relationships/hyperlink" Target="https://infact.eu/images/PDF/WZ-Wijzer/WZ-wijzer%20-%203%20-%20operationeel%20model.pdf" TargetMode="External"/><Relationship Id="rId628" Type="http://schemas.openxmlformats.org/officeDocument/2006/relationships/hyperlink" Target="https://link.springer.com/article/10.1007/s11187-016-9792-z" TargetMode="External"/><Relationship Id="rId835" Type="http://schemas.openxmlformats.org/officeDocument/2006/relationships/hyperlink" Target="https://www.roa.nl/research/research-projects/intergenerational-transmission-skills-its-research-project" TargetMode="External"/><Relationship Id="rId225" Type="http://schemas.openxmlformats.org/officeDocument/2006/relationships/hyperlink" Target="https://www.rijksoverheid.nl/ministeries/ministerie-van-sociale-zaken-en-werkgelegenheid/documenten/kamerstukken/2020/05/28/kamerbrief-reactie-op-uitkomsten-experimenten-participatiewet" TargetMode="External"/><Relationship Id="rId267" Type="http://schemas.openxmlformats.org/officeDocument/2006/relationships/hyperlink" Target="https://doi.org/10.5117/TVA2021.2.007.VOLK" TargetMode="External"/><Relationship Id="rId432" Type="http://schemas.openxmlformats.org/officeDocument/2006/relationships/hyperlink" Target="https://www.nbtc.nl/nl/home/activiteiten/intell-insights/data-center-toerisme.htm" TargetMode="External"/><Relationship Id="rId474" Type="http://schemas.openxmlformats.org/officeDocument/2006/relationships/hyperlink" Target="https://doi.org/10.1007/s40865-021-00183-7" TargetMode="External"/><Relationship Id="rId877" Type="http://schemas.openxmlformats.org/officeDocument/2006/relationships/hyperlink" Target="http://dx.doi.org/10.1097/MD.0000000000028394" TargetMode="External"/><Relationship Id="rId1020" Type="http://schemas.openxmlformats.org/officeDocument/2006/relationships/hyperlink" Target="https://repository.wodc.nl/handle/20.500.12832/233" TargetMode="External"/><Relationship Id="rId1062" Type="http://schemas.openxmlformats.org/officeDocument/2006/relationships/printerSettings" Target="../printerSettings/printerSettings1.bin"/><Relationship Id="rId127" Type="http://schemas.openxmlformats.org/officeDocument/2006/relationships/hyperlink" Target="https://dashboards.cbs.nl/v2/de_mensen_van/" TargetMode="External"/><Relationship Id="rId681" Type="http://schemas.openxmlformats.org/officeDocument/2006/relationships/hyperlink" Target="http://www.seo.nl/pagina/article/onderwijsstromen-den-haag-in-beeld-2019/" TargetMode="External"/><Relationship Id="rId737" Type="http://schemas.openxmlformats.org/officeDocument/2006/relationships/hyperlink" Target="https://www.seor.nl/arbeidsmigranten-zuid-holland/index.html" TargetMode="External"/><Relationship Id="rId779" Type="http://schemas.openxmlformats.org/officeDocument/2006/relationships/hyperlink" Target="https://publications.tno.nl/publication/34640586/djGDQL/TNO-2022-P12636.pdf" TargetMode="External"/><Relationship Id="rId902" Type="http://schemas.openxmlformats.org/officeDocument/2006/relationships/hyperlink" Target="https://www.leydenacademy.nl/cultuur-sensitieve-zorg/" TargetMode="External"/><Relationship Id="rId944" Type="http://schemas.openxmlformats.org/officeDocument/2006/relationships/hyperlink" Target="file:///\\cbsp.nl\HomeDirectory\Productie\PROS\Downloads\proefschriftkristiansenhighres%20-%205fe34cb302e0f.pdf" TargetMode="External"/><Relationship Id="rId986" Type="http://schemas.openxmlformats.org/officeDocument/2006/relationships/hyperlink" Target="https://psyarxiv.com/h537g/" TargetMode="External"/><Relationship Id="rId31" Type="http://schemas.openxmlformats.org/officeDocument/2006/relationships/hyperlink" Target="https://www.abfresearch.nl/nieuws/passen-en-meten-huren-in-de-ymere-gemeenten/" TargetMode="External"/><Relationship Id="rId73" Type="http://schemas.openxmlformats.org/officeDocument/2006/relationships/hyperlink" Target="https://ahti.nl/nieuws/juiste-zorg-op-de-juiste-plek-kwetsbaarheid-in-de-jonge-jaren-in-beeld/" TargetMode="External"/><Relationship Id="rId169" Type="http://schemas.openxmlformats.org/officeDocument/2006/relationships/hyperlink" Target="https://www.cpb.nl/sites/default/files/publicaties/download/cpb-discussion-paper-282-do-wages-continue-increasing-older-ages.pdf" TargetMode="External"/><Relationship Id="rId334" Type="http://schemas.openxmlformats.org/officeDocument/2006/relationships/hyperlink" Target="https://www.adejager.org/wp-content/uploads/Early-assessment-of-child-protection-measures_24-8-2019.pdf" TargetMode="External"/><Relationship Id="rId376" Type="http://schemas.openxmlformats.org/officeDocument/2006/relationships/hyperlink" Target="https://palliaweb.nl/nieuws/2022/behoefte-aan-palliatieve-zorg-per-regio-inzicht" TargetMode="External"/><Relationship Id="rId541" Type="http://schemas.openxmlformats.org/officeDocument/2006/relationships/hyperlink" Target="http://www.regioplan.nl/publicaties/slug/type/rapporten/slug/loopbaanmonitor_onderwijs_2012" TargetMode="External"/><Relationship Id="rId583" Type="http://schemas.openxmlformats.org/officeDocument/2006/relationships/hyperlink" Target="http://www.cpb.nl/node/13458" TargetMode="External"/><Relationship Id="rId639" Type="http://schemas.openxmlformats.org/officeDocument/2006/relationships/hyperlink" Target="https://www.scp.nl/Publicaties/Alle_publicaties/Publicaties_2014/Kostenverschillen_in_de_jeugdzorg" TargetMode="External"/><Relationship Id="rId790" Type="http://schemas.openxmlformats.org/officeDocument/2006/relationships/hyperlink" Target="https://pubmed.ncbi.nlm.nih.gov/23393080/" TargetMode="External"/><Relationship Id="rId804" Type="http://schemas.openxmlformats.org/officeDocument/2006/relationships/hyperlink" Target="https://repository.tudelft.nl/islandora/object/uuid%3Afa98257a-c657-44eb-b3c2-8cced496d4ec" TargetMode="External"/><Relationship Id="rId4" Type="http://schemas.openxmlformats.org/officeDocument/2006/relationships/hyperlink" Target="https://www.abfresearch.nl/publicaties/abf-arbeidsmarktrapportage-2018" TargetMode="External"/><Relationship Id="rId180" Type="http://schemas.openxmlformats.org/officeDocument/2006/relationships/hyperlink" Target="https://www.cpb.nl/publicatie/arbeidsmobiliteit-van-onder-water-huishoudens" TargetMode="External"/><Relationship Id="rId236" Type="http://schemas.openxmlformats.org/officeDocument/2006/relationships/hyperlink" Target="https://www.stateninformatie.provincie-utrecht.nl/documenten/Ingekomen-stukken-van-GS-naar-PS/1-Rapport-Arbeidsmigranten-in-de-Utrechtse-gemeenten-Companen-Decisio-april-2021.pdf" TargetMode="External"/><Relationship Id="rId278" Type="http://schemas.openxmlformats.org/officeDocument/2006/relationships/hyperlink" Target="http://www.eib.nl/pdf/werkloosheid_in_de_bouw_2009-2011.pdf" TargetMode="External"/><Relationship Id="rId401" Type="http://schemas.openxmlformats.org/officeDocument/2006/relationships/hyperlink" Target="https://www.ocwincijfers.nl/onderwijs/dashboard-gelijke-kansen" TargetMode="External"/><Relationship Id="rId443" Type="http://schemas.openxmlformats.org/officeDocument/2006/relationships/hyperlink" Target="https://www.nivel.nl/nl/publicatie/differentiatie-inschrijftarief-huisartsenzorg-deel-1-evaluatie-van-de-huidige" TargetMode="External"/><Relationship Id="rId650" Type="http://schemas.openxmlformats.org/officeDocument/2006/relationships/hyperlink" Target="https://www.scp.nl/Publicaties/Alle_publicaties/Publicaties_2015/De_sociale_staat_van_Nederland_2015" TargetMode="External"/><Relationship Id="rId846" Type="http://schemas.openxmlformats.org/officeDocument/2006/relationships/hyperlink" Target="https://www.ajog.org/article/S0002-9378(21)01899-8/fulltext" TargetMode="External"/><Relationship Id="rId888" Type="http://schemas.openxmlformats.org/officeDocument/2006/relationships/hyperlink" Target="https://www.iqhealthcare.nl/media/124601/eindrapport-verdringing-2018.pdf" TargetMode="External"/><Relationship Id="rId1031" Type="http://schemas.openxmlformats.org/officeDocument/2006/relationships/hyperlink" Target="https://www.wrr.nl/publicaties" TargetMode="External"/><Relationship Id="rId303" Type="http://schemas.openxmlformats.org/officeDocument/2006/relationships/hyperlink" Target="https://tinbergen.nl/discussion-paper/6244/23-023-v-the-fast-and-the-studious-ramadan-observance-and-student-performance" TargetMode="External"/><Relationship Id="rId485" Type="http://schemas.openxmlformats.org/officeDocument/2006/relationships/hyperlink" Target="http://www.ondernemerschap.nl/sys/cftags/assetnow/design/widgets/site/ctm_getFile.cfm?file=A201207.pdf&amp;perId=0" TargetMode="External"/><Relationship Id="rId692" Type="http://schemas.openxmlformats.org/officeDocument/2006/relationships/hyperlink" Target="http://www.seo.nl/pagina/article/werking-en-effectiviteit-van-de-nhg/" TargetMode="External"/><Relationship Id="rId706" Type="http://schemas.openxmlformats.org/officeDocument/2006/relationships/hyperlink" Target="https://www.seo.nl/publicaties/de-gevolgen-van-de-coronacrisis-op-arbeidsmigranten-in-de-land-en-tuinbouw/" TargetMode="External"/><Relationship Id="rId748" Type="http://schemas.openxmlformats.org/officeDocument/2006/relationships/hyperlink" Target="https://www.seor.nl/monitor-payroll-voor-de-doelgroep--banenafspraak/index.html" TargetMode="External"/><Relationship Id="rId913" Type="http://schemas.openxmlformats.org/officeDocument/2006/relationships/hyperlink" Target="https://hartlongcentrum.nl/research/publications/pmid/20934226" TargetMode="External"/><Relationship Id="rId955" Type="http://schemas.openxmlformats.org/officeDocument/2006/relationships/hyperlink" Target="https://journals.sagepub.com/doi/abs/10.1177/0308518X18812466" TargetMode="External"/><Relationship Id="rId42" Type="http://schemas.openxmlformats.org/officeDocument/2006/relationships/hyperlink" Target="https://abfresearch.nl/publicaties/brancherapport-feda-2/" TargetMode="External"/><Relationship Id="rId84" Type="http://schemas.openxmlformats.org/officeDocument/2006/relationships/hyperlink" Target="https://www.tweedekamer.nl/kamerstukken/brieven_regering/detail?id=2016Z23015&amp;did=2016D47061" TargetMode="External"/><Relationship Id="rId138" Type="http://schemas.openxmlformats.org/officeDocument/2006/relationships/hyperlink" Target="http://arno.uvt.nl/show.cgi?fid=99387" TargetMode="External"/><Relationship Id="rId345" Type="http://schemas.openxmlformats.org/officeDocument/2006/relationships/hyperlink" Target="http://www.rotterdam.nl/citoscoresopzuidindelift" TargetMode="External"/><Relationship Id="rId387" Type="http://schemas.openxmlformats.org/officeDocument/2006/relationships/hyperlink" Target="http://www.stoof-online.nl/fileadmin/user_upload/OpleidingsMonitor_Flexbranche_2017_web.pdf" TargetMode="External"/><Relationship Id="rId510" Type="http://schemas.openxmlformats.org/officeDocument/2006/relationships/hyperlink" Target="http://www.ondernemerschap.nl/index.cfm/12,html?nxt=ctm_publikatie&amp;bestelnummer=H201409" TargetMode="External"/><Relationship Id="rId552" Type="http://schemas.openxmlformats.org/officeDocument/2006/relationships/hyperlink" Target="https://www.regioplan.nl/wp-content/uploads/2021/02/20058-Eindrapport-Evaluatie-STiP-Regioplan-18nov2020.pdf" TargetMode="External"/><Relationship Id="rId594" Type="http://schemas.openxmlformats.org/officeDocument/2006/relationships/hyperlink" Target="https://ij-healthgeographics.biomedcentral.com/articles/10.1186/s12942-017-0097-5" TargetMode="External"/><Relationship Id="rId608" Type="http://schemas.openxmlformats.org/officeDocument/2006/relationships/hyperlink" Target="http://irs.ub.rug.nl/ppn/37257274X" TargetMode="External"/><Relationship Id="rId815" Type="http://schemas.openxmlformats.org/officeDocument/2006/relationships/hyperlink" Target="https://www.researchgate.net/publication/339598901_Prevalence_of_child_maltreatment_in_the_Netherlands_An_update_and_cross-time_comparison" TargetMode="External"/><Relationship Id="rId997" Type="http://schemas.openxmlformats.org/officeDocument/2006/relationships/hyperlink" Target="https://personal.vu.nl/b.vander.klaauw/EindrapportCIZ.pdf" TargetMode="External"/><Relationship Id="rId191" Type="http://schemas.openxmlformats.org/officeDocument/2006/relationships/hyperlink" Target="https://www.cpb.nl/en/publication/collateral-damage-decreasing-house-prices-and-entrepreneurial-lending" TargetMode="External"/><Relationship Id="rId205" Type="http://schemas.openxmlformats.org/officeDocument/2006/relationships/hyperlink" Target="https://www.cpb.nl/sites/default/files/omnidownload/CPB-Discussion-Paper-411-Cyber-incidents-security-measures-and-financial-returns.pdf" TargetMode="External"/><Relationship Id="rId247" Type="http://schemas.openxmlformats.org/officeDocument/2006/relationships/hyperlink" Target="https://www.rijksoverheid.nl/documenten/rapporten/2017/01/27/bijlage-evaluatie-giftenaftrek" TargetMode="External"/><Relationship Id="rId412" Type="http://schemas.openxmlformats.org/officeDocument/2006/relationships/hyperlink" Target="https://www.onderwijsinspectie.nl/onderwerpen/staat-van-het-onderwijs" TargetMode="External"/><Relationship Id="rId857" Type="http://schemas.openxmlformats.org/officeDocument/2006/relationships/hyperlink" Target="https://bjgpopen.org/content/early/2022/12/12/BJGPO.2022.0082" TargetMode="External"/><Relationship Id="rId899" Type="http://schemas.openxmlformats.org/officeDocument/2006/relationships/hyperlink" Target="https://www.ncbi.nlm.nih.gov/pmc/articles/PMC6407236/" TargetMode="External"/><Relationship Id="rId1000" Type="http://schemas.openxmlformats.org/officeDocument/2006/relationships/hyperlink" Target="https://personal.vu.nl/b.vander.klaauw/ParentalHealth.pdf" TargetMode="External"/><Relationship Id="rId1042" Type="http://schemas.openxmlformats.org/officeDocument/2006/relationships/hyperlink" Target="https://www.nu.nl/werk/5752386/cpb-vooral-moeders-gaan-iets-meer-werken-als-kind-naar-school-gaat.html" TargetMode="External"/><Relationship Id="rId107" Type="http://schemas.openxmlformats.org/officeDocument/2006/relationships/hyperlink" Target="https://www.berenschot.nl/nieuws/haagse-re-integratieaanpak-effectiever" TargetMode="External"/><Relationship Id="rId289" Type="http://schemas.openxmlformats.org/officeDocument/2006/relationships/hyperlink" Target="http://www.onderzoeksbanklimburg.nl/onderzoeksbank/onderzoek/topsectoren-in-limburg-nulmeting" TargetMode="External"/><Relationship Id="rId454" Type="http://schemas.openxmlformats.org/officeDocument/2006/relationships/hyperlink" Target="https://www.nivel.nl/nl/publicatie/nierschade-bij-type-2-diabetes-mellitus-ziektelast-en-sterfte" TargetMode="External"/><Relationship Id="rId496" Type="http://schemas.openxmlformats.org/officeDocument/2006/relationships/hyperlink" Target="https://www.panteia.nl/uploads/sites/2/2016/12/C11255-Nieuwe-bedrijfstypologie-mkb-Kern-en-performance-indicatoren.pdf" TargetMode="External"/><Relationship Id="rId661" Type="http://schemas.openxmlformats.org/officeDocument/2006/relationships/hyperlink" Target="https://www.scp.nl/publicaties/publicaties/2020/06/18/kansrijk-armoedebeleid" TargetMode="External"/><Relationship Id="rId717" Type="http://schemas.openxmlformats.org/officeDocument/2006/relationships/hyperlink" Target="http://www.seo.nl/publicaties/de-toekomst-van-de-trustsector/" TargetMode="External"/><Relationship Id="rId759" Type="http://schemas.openxmlformats.org/officeDocument/2006/relationships/hyperlink" Target="https://onlinelibrary.wiley.com/doi/full/10.1111/ecoj.12465" TargetMode="External"/><Relationship Id="rId924" Type="http://schemas.openxmlformats.org/officeDocument/2006/relationships/hyperlink" Target="https://asbmr.onlinelibrary.wiley.com/doi/full/10.1002/jbmr.3862" TargetMode="External"/><Relationship Id="rId966" Type="http://schemas.openxmlformats.org/officeDocument/2006/relationships/hyperlink" Target="https://doi.org/10.1016/j.jhe.2020.101745" TargetMode="External"/><Relationship Id="rId11" Type="http://schemas.openxmlformats.org/officeDocument/2006/relationships/hyperlink" Target="https://www.abfresearch.nl/nieuws/de-overeenkomst-tussen-urk-en-groningen/" TargetMode="External"/><Relationship Id="rId53" Type="http://schemas.openxmlformats.org/officeDocument/2006/relationships/hyperlink" Target="https://www.rijksoverheid.nl/documenten/kamerstukken/2020/12/14/aanbiedingsbrief-eindrapportage-alternatieven-voor-het-toeslagenstelsel" TargetMode="External"/><Relationship Id="rId149" Type="http://schemas.openxmlformats.org/officeDocument/2006/relationships/hyperlink" Target="http://www.cito.nl/onderzoek%20en%20wetenschap/achtergrondinformatie/primair_speciaal_onderwijs/eindtoets_onderzoek_achtergrond" TargetMode="External"/><Relationship Id="rId314" Type="http://schemas.openxmlformats.org/officeDocument/2006/relationships/hyperlink" Target="http://www.ois.amsterdam.nl/assets/pdfs/2014_achtergronddocument_jeugdwerkloosheid.pdf" TargetMode="External"/><Relationship Id="rId356" Type="http://schemas.openxmlformats.org/officeDocument/2006/relationships/hyperlink" Target="https://onderzoek010.nl/document/Staat-van-Rotterdamse-groepen-/531" TargetMode="External"/><Relationship Id="rId398" Type="http://schemas.openxmlformats.org/officeDocument/2006/relationships/hyperlink" Target="https://www.toezine.nl/artikel/348/met-data-zoeken-naar-samenhang-tussen-naleving-en-financiele-bedrijfskenmerken/" TargetMode="External"/><Relationship Id="rId521" Type="http://schemas.openxmlformats.org/officeDocument/2006/relationships/hyperlink" Target="https://data.overheid.nl/sites/default/files/uploaded_files/5%20Presentatie%20Referentieverbruik%20warmte%20woningen.pdf" TargetMode="External"/><Relationship Id="rId563" Type="http://schemas.openxmlformats.org/officeDocument/2006/relationships/hyperlink" Target="https://www.ecn.nl/publicaties/ECN-E--12-063" TargetMode="External"/><Relationship Id="rId619" Type="http://schemas.openxmlformats.org/officeDocument/2006/relationships/hyperlink" Target="https://www.rug.nl/frw/news/2022/de-kloof-tussen-arm-en-rijk-vermogensongelijkheid-in-de-veenkolonien" TargetMode="External"/><Relationship Id="rId770" Type="http://schemas.openxmlformats.org/officeDocument/2006/relationships/hyperlink" Target="https://regioprofielbrabant.nl/wp-content/uploads/2019/09/WAARDE-VAN-CULTUUR_BINNENWERKCOVER.pdf" TargetMode="External"/><Relationship Id="rId95" Type="http://schemas.openxmlformats.org/officeDocument/2006/relationships/hyperlink" Target="https://www.rijksoverheid.nl/documenten/publicaties/2021/11/17/onderzoek-pilots-programma-verdere-integratie-op-de-arbeidsmarkt-via" TargetMode="External"/><Relationship Id="rId160" Type="http://schemas.openxmlformats.org/officeDocument/2006/relationships/hyperlink" Target="https://dkvwg750av2j6.cloudfront.net/m/3e0d190fc83896c7/original/Onderzoek-vergoedingen-bij-labestappen-Companen-december-2019.pdf" TargetMode="External"/><Relationship Id="rId216" Type="http://schemas.openxmlformats.org/officeDocument/2006/relationships/hyperlink" Target="https://www.cpb.nl/sites/default/files/omnidownload/CPB-Discussion-Paper-433-Entries-and-Regional-Growth-The-Role-of-Relatedness.pdf" TargetMode="External"/><Relationship Id="rId423" Type="http://schemas.openxmlformats.org/officeDocument/2006/relationships/hyperlink" Target="https://www.kennisbanksportenbewegen.nl/?file=10497&amp;m=1634829118&amp;action=file.download" TargetMode="External"/><Relationship Id="rId826" Type="http://schemas.openxmlformats.org/officeDocument/2006/relationships/hyperlink" Target="http://www.made2measure.org/mappingmaastricht" TargetMode="External"/><Relationship Id="rId868" Type="http://schemas.openxmlformats.org/officeDocument/2006/relationships/hyperlink" Target="https://www.rug.nl/research/portal/publications/adam33-gene-polymorphisms-and-mortality(23b34c0f-ad7b-4a83-a759-601f09a28c0e).html" TargetMode="External"/><Relationship Id="rId1011" Type="http://schemas.openxmlformats.org/officeDocument/2006/relationships/hyperlink" Target="file:///\\mspv1f\cvb2\CvB_Docum\4.%20MiDaS\4.1%20Productie\4.1.1%20Contracten\4.1.1.3%20Contracten%20OS%20en%20RA\7600-7699\7630_WODC\Relatiebeheer\Cahier%202014-16_O&amp;A%20Recidivetrends_def%2012nov.pdf" TargetMode="External"/><Relationship Id="rId1053" Type="http://schemas.openxmlformats.org/officeDocument/2006/relationships/hyperlink" Target="https://www.uu.nl/medewerkers/lwijngaards" TargetMode="External"/><Relationship Id="rId258" Type="http://schemas.openxmlformats.org/officeDocument/2006/relationships/hyperlink" Target="https://www.dialogic.nl/wp-content/uploads/2021/10/bijlage-2-bij-kamerbrief-aanbieding-resultaten-evaluatieonderzoek-pps-toeslagregeling.pdf" TargetMode="External"/><Relationship Id="rId465" Type="http://schemas.openxmlformats.org/officeDocument/2006/relationships/hyperlink" Target="https://monitoraoj.nl/arbeidsregio1/" TargetMode="External"/><Relationship Id="rId630" Type="http://schemas.openxmlformats.org/officeDocument/2006/relationships/hyperlink" Target="http://repository.ubn.ru.nl/bitstream/handle/2066/94201/94201.pdf?sequence=1" TargetMode="External"/><Relationship Id="rId672" Type="http://schemas.openxmlformats.org/officeDocument/2006/relationships/hyperlink" Target="http://www.seo.nl/pagina/article/verdeling-detacheringen-en-uitzendingen-over-inlenende-werkgevers-tweemeting/" TargetMode="External"/><Relationship Id="rId728" Type="http://schemas.openxmlformats.org/officeDocument/2006/relationships/hyperlink" Target="http://seor.nl/publicatie/effectiviteit-re-integratiebeleid-gemeente-stichtse-vecht" TargetMode="External"/><Relationship Id="rId935" Type="http://schemas.openxmlformats.org/officeDocument/2006/relationships/hyperlink" Target="http://melbourneinstitute.com/downloads/working_paper_series/wp2016n28.pdf" TargetMode="External"/><Relationship Id="rId22" Type="http://schemas.openxmlformats.org/officeDocument/2006/relationships/hyperlink" Target="https://www.abfresearch.nl/nieuws/veel-jonge-vrouwen-aan-het-werk-in-kleine-gemeenten/" TargetMode="External"/><Relationship Id="rId64" Type="http://schemas.openxmlformats.org/officeDocument/2006/relationships/hyperlink" Target="https://www.afm.nl/nl-nl/professionals/nieuws/2020/juli/financiele-weerbaarheid-huishoudens" TargetMode="External"/><Relationship Id="rId118" Type="http://schemas.openxmlformats.org/officeDocument/2006/relationships/hyperlink" Target="https://jamanetwork.com/journals/jamapsychiatry/article-abstract/2685919" TargetMode="External"/><Relationship Id="rId325" Type="http://schemas.openxmlformats.org/officeDocument/2006/relationships/hyperlink" Target="http://www.ois.amsterdam.nl/nieuwsarchief" TargetMode="External"/><Relationship Id="rId367" Type="http://schemas.openxmlformats.org/officeDocument/2006/relationships/hyperlink" Target="https://onderzoek010.nl/dashboard/staat-van-het-onderwijs" TargetMode="External"/><Relationship Id="rId532" Type="http://schemas.openxmlformats.org/officeDocument/2006/relationships/hyperlink" Target="http://www.pbl.nl/sites/default/files/cms/publicaties/PBL_2013_Veerkracht%20van%20regionale%20arbeidsmarkten_669.pdf" TargetMode="External"/><Relationship Id="rId574" Type="http://schemas.openxmlformats.org/officeDocument/2006/relationships/hyperlink" Target="https://www.rigo.nl/dashboard-dynamiek-in-buurten/" TargetMode="External"/><Relationship Id="rId977" Type="http://schemas.openxmlformats.org/officeDocument/2006/relationships/hyperlink" Target="https://docplayer.nl/228351522-Voltijds-hoogbegaafd-heidsonderwijs.html" TargetMode="External"/><Relationship Id="rId171" Type="http://schemas.openxmlformats.org/officeDocument/2006/relationships/hyperlink" Target="https://www.cpb.nl/sites/default/files/publicaties/download/cpb-policy-brief-2015-11-langdurige-werkloosheid-afwachten-en-hervormen.pdf" TargetMode="External"/><Relationship Id="rId227" Type="http://schemas.openxmlformats.org/officeDocument/2006/relationships/hyperlink" Target="https://nos.nl/artikel/2422560-cpb-in-nederland-dragen-niet-de-sterkste-schouders-de-zwaarste-lasten" TargetMode="External"/><Relationship Id="rId781" Type="http://schemas.openxmlformats.org/officeDocument/2006/relationships/hyperlink" Target="http://www.flexbarometer.nl/" TargetMode="External"/><Relationship Id="rId837" Type="http://schemas.openxmlformats.org/officeDocument/2006/relationships/hyperlink" Target="https://journals.plos.org/plosone/article?id=10.1371/journal.pone.0261114" TargetMode="External"/><Relationship Id="rId879" Type="http://schemas.openxmlformats.org/officeDocument/2006/relationships/hyperlink" Target="https://doi.org/10.1080/02813432.2023.2191653" TargetMode="External"/><Relationship Id="rId1022" Type="http://schemas.openxmlformats.org/officeDocument/2006/relationships/hyperlink" Target="https://www.wrr.nl/publicaties/working-papers/2018/05/29/wp-27-buurtverhoudingen-onveiligheidsgevoelens-en-de-rol-van-etnische-diversiteit" TargetMode="External"/><Relationship Id="rId269" Type="http://schemas.openxmlformats.org/officeDocument/2006/relationships/hyperlink" Target="https://www.dsp-groep.nl/projecten/onverklaarde-woninginbraken/" TargetMode="External"/><Relationship Id="rId434" Type="http://schemas.openxmlformats.org/officeDocument/2006/relationships/hyperlink" Target="https://www.inspectieszw.nl/publicaties/rapporten/2014/11/15/de-boete-belicht" TargetMode="External"/><Relationship Id="rId476" Type="http://schemas.openxmlformats.org/officeDocument/2006/relationships/hyperlink" Target="https://link.springer.com/article/10.1007/s40865-022-00197-9" TargetMode="External"/><Relationship Id="rId641" Type="http://schemas.openxmlformats.org/officeDocument/2006/relationships/hyperlink" Target="https://www.tno.nl/downloads/trendrapport_bewegen_gezondheid_2010_2011.pdf" TargetMode="External"/><Relationship Id="rId683" Type="http://schemas.openxmlformats.org/officeDocument/2006/relationships/hyperlink" Target="http://www.seo.nl/pagina/article/beleidsevaluatie-subsidieregeling-indirecte-emissiekosten-ets/" TargetMode="External"/><Relationship Id="rId739" Type="http://schemas.openxmlformats.org/officeDocument/2006/relationships/hyperlink" Target="https://www.seor.nl/Cms_Media/S1178-Rapport-EGF.pdf" TargetMode="External"/><Relationship Id="rId890" Type="http://schemas.openxmlformats.org/officeDocument/2006/relationships/hyperlink" Target="https://bjgp.org/content/bjgp/73/726/e24.full.pdf" TargetMode="External"/><Relationship Id="rId904" Type="http://schemas.openxmlformats.org/officeDocument/2006/relationships/hyperlink" Target="https://www.hindawi.com/journals/cdtp/2022/6587165/" TargetMode="External"/><Relationship Id="rId33" Type="http://schemas.openxmlformats.org/officeDocument/2006/relationships/hyperlink" Target="https://www.krimpenaandenijssel.nl/KRY/Home/Vergaderingen-CORSA/18-09-2018-Burgemeester-en-Wethouders/006-bod-op-doelen-nieuwe-regionale-woningm-afspraken/ABF-rapport-Naar-een-meer-evenwichtige-regio-Rotterdam.pdf" TargetMode="External"/><Relationship Id="rId129" Type="http://schemas.openxmlformats.org/officeDocument/2006/relationships/hyperlink" Target="https://www.openonderzoekgroningen.nl/page/646/peer-effects-on-educational-attainment-evidence-from-the-netherlands" TargetMode="External"/><Relationship Id="rId280" Type="http://schemas.openxmlformats.org/officeDocument/2006/relationships/hyperlink" Target="https://www.eib.nl/publicaties/uittreders-in-de-bouw/" TargetMode="External"/><Relationship Id="rId336" Type="http://schemas.openxmlformats.org/officeDocument/2006/relationships/hyperlink" Target="https://www.cbs.nl/nl-nl/maatwerk/2021/12/verdeelmodel-buig-budget" TargetMode="External"/><Relationship Id="rId501" Type="http://schemas.openxmlformats.org/officeDocument/2006/relationships/hyperlink" Target="https://www.panteia.nl/nieuws/mensen-in-de-bijstand-eerst-helpen-met-schulden-daarna-pas-met-werk/" TargetMode="External"/><Relationship Id="rId543" Type="http://schemas.openxmlformats.org/officeDocument/2006/relationships/hyperlink" Target="http://www.regioplan.nl/publicaties/slug/type/rapporten/slug/volgsysteem_effecten_inburgering" TargetMode="External"/><Relationship Id="rId946" Type="http://schemas.openxmlformats.org/officeDocument/2006/relationships/hyperlink" Target="https://www.aup-online.com/content/journals/10.5117/MEM2019.2.005.INDE" TargetMode="External"/><Relationship Id="rId988" Type="http://schemas.openxmlformats.org/officeDocument/2006/relationships/hyperlink" Target="https://link.springer.com/article/10.1007/s10611-021-09970-1" TargetMode="External"/><Relationship Id="rId75" Type="http://schemas.openxmlformats.org/officeDocument/2006/relationships/hyperlink" Target="https://healthinsights.ahti.nl/ahticovid/" TargetMode="External"/><Relationship Id="rId140" Type="http://schemas.openxmlformats.org/officeDocument/2006/relationships/hyperlink" Target="http://hdl.handle.net/1887/42608" TargetMode="External"/><Relationship Id="rId182" Type="http://schemas.openxmlformats.org/officeDocument/2006/relationships/hyperlink" Target="https://www.cpb.nl/inkomen-en-vermogen-blijft-tijdens-pensioen-stabiel" TargetMode="External"/><Relationship Id="rId378" Type="http://schemas.openxmlformats.org/officeDocument/2006/relationships/hyperlink" Target="https://dkvwg750av2j6.cloudfront.net/m/16e458814e279f4a/original/Rapport-Veerkracht-van-het-corporatiebezit-RIGO-30-januari-2020.pdf" TargetMode="External"/><Relationship Id="rId403" Type="http://schemas.openxmlformats.org/officeDocument/2006/relationships/hyperlink" Target="https://www.onderwijsincijfers.nl/themas/transities-in-het-onderwijs/doorstroom-van-mbo-naar-hbo" TargetMode="External"/><Relationship Id="rId585" Type="http://schemas.openxmlformats.org/officeDocument/2006/relationships/hyperlink" Target="https://www.rivm.nl/publicaties/effects-of-long-term-exposure-to-ultrafine-particles-from-aviation-around-schiphol" TargetMode="External"/><Relationship Id="rId750" Type="http://schemas.openxmlformats.org/officeDocument/2006/relationships/hyperlink" Target="http://kimnet.nl/publicatie/mobiliteitsbeeld-2014" TargetMode="External"/><Relationship Id="rId792" Type="http://schemas.openxmlformats.org/officeDocument/2006/relationships/hyperlink" Target="http://eid.sagepub.com/content/early/2015/03/24/0143831X15572836.abstract" TargetMode="External"/><Relationship Id="rId806" Type="http://schemas.openxmlformats.org/officeDocument/2006/relationships/hyperlink" Target="https://journals.open.tudelft.nl/abe/article/view/2568" TargetMode="External"/><Relationship Id="rId848" Type="http://schemas.openxmlformats.org/officeDocument/2006/relationships/hyperlink" Target="https://www.ajog.org/article/S0002-9378(21)02398-X/fulltext" TargetMode="External"/><Relationship Id="rId1033" Type="http://schemas.openxmlformats.org/officeDocument/2006/relationships/hyperlink" Target="https://www.oecd.org/publications/firms-going-digital-ee8340c1-en.htm" TargetMode="External"/><Relationship Id="rId6" Type="http://schemas.openxmlformats.org/officeDocument/2006/relationships/hyperlink" Target="https://www.abfresearch.nl/publicaties/abf-arbeidsmarktrapportage-2019-met-aandacht-voor-flexibele-contracten/" TargetMode="External"/><Relationship Id="rId238" Type="http://schemas.openxmlformats.org/officeDocument/2006/relationships/hyperlink" Target="https://decisio.nl/werkvelden/regionale-en-stedelijke-economie/internationale-werknemers-en-organisaties/" TargetMode="External"/><Relationship Id="rId445" Type="http://schemas.openxmlformats.org/officeDocument/2006/relationships/hyperlink" Target="https://www.nivel.nl/node/2430?database=ChoicePublicat&amp;priref=1002985" TargetMode="External"/><Relationship Id="rId487" Type="http://schemas.openxmlformats.org/officeDocument/2006/relationships/hyperlink" Target="http://www.ondernemerschap.nl/pdf-ez/A201329.pdf" TargetMode="External"/><Relationship Id="rId610" Type="http://schemas.openxmlformats.org/officeDocument/2006/relationships/hyperlink" Target="http://www.demographic-research.org/volumes/vol29/5/" TargetMode="External"/><Relationship Id="rId652" Type="http://schemas.openxmlformats.org/officeDocument/2006/relationships/hyperlink" Target="http://www.scp.nl/Nieuws/Vrouwen_gaan_iets_meer_uren_werken_als_hun_man_werkloos_wordt" TargetMode="External"/><Relationship Id="rId694" Type="http://schemas.openxmlformats.org/officeDocument/2006/relationships/hyperlink" Target="http://www.seo.nl/pagina/article/karakteristieken-en-tarieven-zzpers/" TargetMode="External"/><Relationship Id="rId708" Type="http://schemas.openxmlformats.org/officeDocument/2006/relationships/hyperlink" Target="https://www.seo.nl/publicaties/schaarse-vergunningen-en-terugverdientijd-in-de-ambulante-handel/" TargetMode="External"/><Relationship Id="rId915" Type="http://schemas.openxmlformats.org/officeDocument/2006/relationships/hyperlink" Target="https://www.sciencedirect.com/science/article/pii/S0002914912006133" TargetMode="External"/><Relationship Id="rId291" Type="http://schemas.openxmlformats.org/officeDocument/2006/relationships/hyperlink" Target="file:///\\cbsp.nl\HomeDirectory\Productie\PROS\Downloads\woononderzoek_midden-limburg_2018-2030_1-.pdf" TargetMode="External"/><Relationship Id="rId305" Type="http://schemas.openxmlformats.org/officeDocument/2006/relationships/hyperlink" Target="http://mdm.sagepub.com/content/early/2014/10/23/0272989X14555771.abstract" TargetMode="External"/><Relationship Id="rId347" Type="http://schemas.openxmlformats.org/officeDocument/2006/relationships/hyperlink" Target="../../../../../Midas/4.1%20Productie/4.1.1%20Contracten/4.1.1.3%20Contracten%20OS%20en%20RA/7600-7699/7665_Gem_Rotterdam_O&amp;BI/Relatiebeheer/Basismonitor_NPRZ_Verklarende_analyse%20_31mei2017.pdf" TargetMode="External"/><Relationship Id="rId512" Type="http://schemas.openxmlformats.org/officeDocument/2006/relationships/hyperlink" Target="http://data.ondernemerschap.nl/WebIntegraal/userif.aspx?SelectDataset=15&amp;SelectSubset=48&amp;Country=NL" TargetMode="External"/><Relationship Id="rId957" Type="http://schemas.openxmlformats.org/officeDocument/2006/relationships/hyperlink" Target="https://pubmed.ncbi.nlm.nih.gov/35439503/" TargetMode="External"/><Relationship Id="rId999" Type="http://schemas.openxmlformats.org/officeDocument/2006/relationships/hyperlink" Target="https://onlinelibrary.wiley.com/doi/epdf/10.1111/sjoe.12460" TargetMode="External"/><Relationship Id="rId44" Type="http://schemas.openxmlformats.org/officeDocument/2006/relationships/hyperlink" Target="https://hmc.incijfers.nl/" TargetMode="External"/><Relationship Id="rId86" Type="http://schemas.openxmlformats.org/officeDocument/2006/relationships/hyperlink" Target="http://www.ape.nl/nl/projecten/default.asp?nID=160" TargetMode="External"/><Relationship Id="rId151" Type="http://schemas.openxmlformats.org/officeDocument/2006/relationships/hyperlink" Target="https://www.youtube.com/watch?v=bAcD04YLMPc" TargetMode="External"/><Relationship Id="rId389" Type="http://schemas.openxmlformats.org/officeDocument/2006/relationships/hyperlink" Target="http://www.kohnstamminstituut.uva.nl/asp/rapport_results_nr.asp?rapportnummer=881" TargetMode="External"/><Relationship Id="rId554" Type="http://schemas.openxmlformats.org/officeDocument/2006/relationships/hyperlink" Target="https://www.rijksoverheid.nl/documenten/rapporten/2023/06/13/eindrapport-evaluatie-esb-regeling" TargetMode="External"/><Relationship Id="rId596" Type="http://schemas.openxmlformats.org/officeDocument/2006/relationships/hyperlink" Target="https://doi.org/10.1515/spp-2019-0010" TargetMode="External"/><Relationship Id="rId761" Type="http://schemas.openxmlformats.org/officeDocument/2006/relationships/hyperlink" Target="http://www.hetccv.nl/binaries/content/assets/ccv/webwinkel/leren_lokaal_inbraakrisico_onderzoek.pdf" TargetMode="External"/><Relationship Id="rId817" Type="http://schemas.openxmlformats.org/officeDocument/2006/relationships/hyperlink" Target="https://www.rechtspraak.nl/SiteCollectionDocuments/research-memoranda-2016-02.pdf" TargetMode="External"/><Relationship Id="rId859" Type="http://schemas.openxmlformats.org/officeDocument/2006/relationships/hyperlink" Target="http://hdl.handle.net/1765/32749" TargetMode="External"/><Relationship Id="rId1002" Type="http://schemas.openxmlformats.org/officeDocument/2006/relationships/hyperlink" Target="https://www.sciencedirect.com/science/article/pii/S0167629622000133" TargetMode="External"/><Relationship Id="rId193" Type="http://schemas.openxmlformats.org/officeDocument/2006/relationships/hyperlink" Target="https://link.springer.com/article/10.1007/s00181-023-02428-4" TargetMode="External"/><Relationship Id="rId207" Type="http://schemas.openxmlformats.org/officeDocument/2006/relationships/hyperlink" Target="https://research.tilburguniversity.edu/en/publications/belastingmaatregelen-tegen-nl-doorsluisland-voldoende-impact" TargetMode="External"/><Relationship Id="rId249" Type="http://schemas.openxmlformats.org/officeDocument/2006/relationships/hyperlink" Target="https://www.dialogic.nl/file/2018/05/Dialogic-Eindrapport-Evaluatie-SBIR.pdf" TargetMode="External"/><Relationship Id="rId414" Type="http://schemas.openxmlformats.org/officeDocument/2006/relationships/hyperlink" Target="https://www.rijksoverheid.nl/documenten/kamerstukken/2018/04/25/kamerbrief-aanpassing-financieringssystematiek-kinderopvang" TargetMode="External"/><Relationship Id="rId456" Type="http://schemas.openxmlformats.org/officeDocument/2006/relationships/hyperlink" Target="https://monitoraoj.nl/" TargetMode="External"/><Relationship Id="rId498" Type="http://schemas.openxmlformats.org/officeDocument/2006/relationships/hyperlink" Target="https://www.kennisdclogistiek.nl/system/downloads/attachments/000/000/386/original/C11614_Cijfermatige_update_2018_Hoofdonderzoek_Kwantitatieve_Arbeidsmark.._.pdf?1539242462" TargetMode="External"/><Relationship Id="rId621" Type="http://schemas.openxmlformats.org/officeDocument/2006/relationships/hyperlink" Target="https://armoedegroningen.nl/kennisbank/feitenblad-problematische-schulden-in-de-veenkolonien-rug-oktober-2020/" TargetMode="External"/><Relationship Id="rId663" Type="http://schemas.openxmlformats.org/officeDocument/2006/relationships/hyperlink" Target="https://www.scp.nl/publicaties/publicaties/2022/09/20/kennisnotitie-armoede-ramingen-september-2022" TargetMode="External"/><Relationship Id="rId870" Type="http://schemas.openxmlformats.org/officeDocument/2006/relationships/hyperlink" Target="https://www.rug.nl/research/portal/publications/pub(cc1762c6-3434-4ad7-a9fe-804138f92f82).html" TargetMode="External"/><Relationship Id="rId1044" Type="http://schemas.openxmlformats.org/officeDocument/2006/relationships/hyperlink" Target="https://www.cpb.nl/publicatie/goedkoper-geknipt-maar-ook-vaker-de-btw-verlaging-voor-kappersdiensten" TargetMode="External"/><Relationship Id="rId13" Type="http://schemas.openxmlformats.org/officeDocument/2006/relationships/hyperlink" Target="https://www.abfresearch.nl/nieuws/groot-en-kleinverdieners-ver-uit-elkaar-in-de-zakelijke-dienstverlening/" TargetMode="External"/><Relationship Id="rId109" Type="http://schemas.openxmlformats.org/officeDocument/2006/relationships/hyperlink" Target="https://www.nationaalrapporteur.nl/actueel/2017/communicatie-over-recidiverisico-zedendelinquenten-verstoord.aspx" TargetMode="External"/><Relationship Id="rId260" Type="http://schemas.openxmlformats.org/officeDocument/2006/relationships/hyperlink" Target="file:///\\cbsp.nl\HomeDirectory\Productie\PROS\Downloads\economische-kansen-van-de-cybersecuritysector.pdf" TargetMode="External"/><Relationship Id="rId316" Type="http://schemas.openxmlformats.org/officeDocument/2006/relationships/hyperlink" Target="http://www.ois.amsterdam.nl/assets/pdfs/2015_amsterdamse%20armoedemonitor%202014.pdf" TargetMode="External"/><Relationship Id="rId523" Type="http://schemas.openxmlformats.org/officeDocument/2006/relationships/hyperlink" Target="http://web.mit.edu/11.951/oldstuff/albacete/Other_Documents/Europe%20Transport%20Conference/methods_in_transport_p/dynamo_dynamic_aut1460.pdf" TargetMode="External"/><Relationship Id="rId719" Type="http://schemas.openxmlformats.org/officeDocument/2006/relationships/hyperlink" Target="https://www.seo.nl/publicaties/benchmark-jongeren-in-de-bijstand/" TargetMode="External"/><Relationship Id="rId926" Type="http://schemas.openxmlformats.org/officeDocument/2006/relationships/hyperlink" Target="http://doi.org/10.1002/alz.12846" TargetMode="External"/><Relationship Id="rId968" Type="http://schemas.openxmlformats.org/officeDocument/2006/relationships/hyperlink" Target="https://www.scienceopen.com/document_file/ee3c6aeb-32d4-49dc-8c34-dc920403de81/PubMedCentral/ee3c6aeb-32d4-49dc-8c34-dc920403de81.pdf" TargetMode="External"/><Relationship Id="rId55" Type="http://schemas.openxmlformats.org/officeDocument/2006/relationships/hyperlink" Target="https://www.abfresearch.nl/nieuws/maatwerk-kinderopvang-naar-postcode-4-niveau/" TargetMode="External"/><Relationship Id="rId97" Type="http://schemas.openxmlformats.org/officeDocument/2006/relationships/hyperlink" Target="https://www.rekenkamer.nl/publicaties/rapporten/2019/05/15/rapport-bij-de-nationale-verklaring-2019" TargetMode="External"/><Relationship Id="rId120" Type="http://schemas.openxmlformats.org/officeDocument/2006/relationships/hyperlink" Target="https://www.cbs.nl/nl-nl/maatwerk/2018/26/het-mkb-bestaat-niet" TargetMode="External"/><Relationship Id="rId358" Type="http://schemas.openxmlformats.org/officeDocument/2006/relationships/hyperlink" Target="../../../../../Midas/4.1%20Productie/4.1.1%20Contracten/4.1.1.3%20Contracten%20OS%20en%20RA/7600-7699/7682_Gem_Rotterdam%20O&amp;BI/Relatiebeheer/5077%20Sterke%20Schouders%202016.pdf" TargetMode="External"/><Relationship Id="rId565" Type="http://schemas.openxmlformats.org/officeDocument/2006/relationships/hyperlink" Target="https://www.rijksoverheid.nl/documenten/rapporten/2015/11/16/ontwikkeling-van-ruimtelijke-verschillen-in-nederland" TargetMode="External"/><Relationship Id="rId730" Type="http://schemas.openxmlformats.org/officeDocument/2006/relationships/hyperlink" Target="https://www.seor.nl/evaluatie-bridge/" TargetMode="External"/><Relationship Id="rId772" Type="http://schemas.openxmlformats.org/officeDocument/2006/relationships/hyperlink" Target="http://www.de-focus.nl/maatschappij_en_cultuur/de-dikke-samenleving-waarom-we-verleiding-niet-kunnen-weerstaan/" TargetMode="External"/><Relationship Id="rId828" Type="http://schemas.openxmlformats.org/officeDocument/2006/relationships/hyperlink" Target="https://bmcpublichealth.biomedcentral.com/articles/10.1186/s12889-023-16123-7" TargetMode="External"/><Relationship Id="rId1013" Type="http://schemas.openxmlformats.org/officeDocument/2006/relationships/hyperlink" Target="https://www.wodc.nl/onderzoeksdatabase/2494a-schijnhuwelijken-en-schijnrelaties.aspx" TargetMode="External"/><Relationship Id="rId162" Type="http://schemas.openxmlformats.org/officeDocument/2006/relationships/hyperlink" Target="https://www.woonbond.nl/energie/woningverduurzaming/wat-eerlijke-huurverhoging-verduurzaming" TargetMode="External"/><Relationship Id="rId218" Type="http://schemas.openxmlformats.org/officeDocument/2006/relationships/hyperlink" Target="https://doi.org/10.1093/jeg/lbaa033" TargetMode="External"/><Relationship Id="rId425" Type="http://schemas.openxmlformats.org/officeDocument/2006/relationships/hyperlink" Target="https://www.kennisbanksportenbewegen.nl/?file=10633&amp;m=1643190894&amp;action=file.download" TargetMode="External"/><Relationship Id="rId467" Type="http://schemas.openxmlformats.org/officeDocument/2006/relationships/hyperlink" Target="https://www.nji.nl/sites/default/files/2022-02/Jeugdhulp-in-2015-2016-en-2017.pdf" TargetMode="External"/><Relationship Id="rId632" Type="http://schemas.openxmlformats.org/officeDocument/2006/relationships/hyperlink" Target="http://www.ru.nl/its/afgerond-onderzoek/onderwijsloopbanen/vergroten-instroom/" TargetMode="External"/><Relationship Id="rId1055" Type="http://schemas.openxmlformats.org/officeDocument/2006/relationships/hyperlink" Target="https://research.tue.nl/en/publications/do-energy-efficiency-renovations-reduce-energy-poverty" TargetMode="External"/><Relationship Id="rId271" Type="http://schemas.openxmlformats.org/officeDocument/2006/relationships/hyperlink" Target="https://ecbo.nl/onderzoekspublicatie/benutten-van-informeel-leren/" TargetMode="External"/><Relationship Id="rId674" Type="http://schemas.openxmlformats.org/officeDocument/2006/relationships/hyperlink" Target="http://www.seo.nl/pagina/article/economische-kansen-nederlandse-cybersecurity-sector/" TargetMode="External"/><Relationship Id="rId881" Type="http://schemas.openxmlformats.org/officeDocument/2006/relationships/hyperlink" Target="https://pubmed.ncbi.nlm.nih.gov/34183346/" TargetMode="External"/><Relationship Id="rId937" Type="http://schemas.openxmlformats.org/officeDocument/2006/relationships/hyperlink" Target="https://www.oecd-ilibrary.org/social-issues-migration-health/are-recipients-of-social-assistance-benefit-dependent_5jxrcmgpc6mn-en" TargetMode="External"/><Relationship Id="rId979" Type="http://schemas.openxmlformats.org/officeDocument/2006/relationships/hyperlink" Target="https://www.rijksoverheid.nl/documenten/rapporten/2017/04/26/interdepartementaal-beleidsonderzoek-%E2%80%9Cgeschikt-voor-de-arbeidsmarkt" TargetMode="External"/><Relationship Id="rId24" Type="http://schemas.openxmlformats.org/officeDocument/2006/relationships/hyperlink" Target="https://www.abfresearch.nl/nieuws/ziekteverzuim-bijna-3x-hoger-in-grotere-bedrijven/" TargetMode="External"/><Relationship Id="rId66" Type="http://schemas.openxmlformats.org/officeDocument/2006/relationships/hyperlink" Target="https://www.afm.nl/nl-nl/nieuws/2022/november/op-hypotheekbedragen" TargetMode="External"/><Relationship Id="rId131" Type="http://schemas.openxmlformats.org/officeDocument/2006/relationships/hyperlink" Target="https://www.datafriesland.nl/wereldarmoededag-2020/" TargetMode="External"/><Relationship Id="rId327" Type="http://schemas.openxmlformats.org/officeDocument/2006/relationships/hyperlink" Target="https://www.ntvg.nl/artikelen/het-zorggebruik-van-minima-amsterdam?destination=node/1264339/volledig" TargetMode="External"/><Relationship Id="rId369" Type="http://schemas.openxmlformats.org/officeDocument/2006/relationships/hyperlink" Target="https://onderzoek010.nl/" TargetMode="External"/><Relationship Id="rId534" Type="http://schemas.openxmlformats.org/officeDocument/2006/relationships/hyperlink" Target="https://www.narcis.nl/publication/RecordID/oai%3Adspace.library.uu.nl%3A1874%2F371372/id/5/Language/NL/uquery/wumkes/coll/publication" TargetMode="External"/><Relationship Id="rId576" Type="http://schemas.openxmlformats.org/officeDocument/2006/relationships/hyperlink" Target="https://www.rijksoverheid.nl/documenten/rapporten/2020/04/14/woningmarktopgave-in-krimpregios-tot-2040-achtergrondrapportage" TargetMode="External"/><Relationship Id="rId741" Type="http://schemas.openxmlformats.org/officeDocument/2006/relationships/hyperlink" Target="https://www.seor.nl/monitor-payroll-voor-de-doelgroep--banenafspraak/index.html" TargetMode="External"/><Relationship Id="rId783" Type="http://schemas.openxmlformats.org/officeDocument/2006/relationships/hyperlink" Target="https://www.cbs.nl/nl-nl/maatwerk/2023/04/monitor-energiearmoede-2020" TargetMode="External"/><Relationship Id="rId839" Type="http://schemas.openxmlformats.org/officeDocument/2006/relationships/hyperlink" Target="https://pubmed.ncbi.nlm.nih.gov/36064113/" TargetMode="External"/><Relationship Id="rId990" Type="http://schemas.openxmlformats.org/officeDocument/2006/relationships/hyperlink" Target="http://www.pbl.nl/sites/default/files/cms/publicaties/PBL_2015_De-vaart-der-volkeren_1407.pdf" TargetMode="External"/><Relationship Id="rId173" Type="http://schemas.openxmlformats.org/officeDocument/2006/relationships/hyperlink" Target="https://www.cpb.nl/publicatie/huizenprijsschokken-en-spaargedrag-van-huishoudens-resultaten-op-basis-van-nederlandse-administratieve-data" TargetMode="External"/><Relationship Id="rId229" Type="http://schemas.openxmlformats.org/officeDocument/2006/relationships/hyperlink" Target="https://www.cpb.nl/rechtvaardige-algoritmes" TargetMode="External"/><Relationship Id="rId380" Type="http://schemas.openxmlformats.org/officeDocument/2006/relationships/hyperlink" Target="https://www.leefbaarometer.nl/home.php" TargetMode="External"/><Relationship Id="rId436" Type="http://schemas.openxmlformats.org/officeDocument/2006/relationships/hyperlink" Target="https://www.inspectieszw.nl/staat-van-arbeidsveiligheid-2018" TargetMode="External"/><Relationship Id="rId601" Type="http://schemas.openxmlformats.org/officeDocument/2006/relationships/hyperlink" Target="http://dx.doi.org/10.1002/hec.1664" TargetMode="External"/><Relationship Id="rId643" Type="http://schemas.openxmlformats.org/officeDocument/2006/relationships/hyperlink" Target="file:///\\mspv1f\cvb2\CvB_Docum\4.%20MiDaS\4.1%20Productie\4.1.1%20Contracten\4.1.1.3%20Contracten%20OS%20en%20RA\7400-7499\7454_SCP\Documenten\Relatiebeheer\Zicht%20op%20zorggebruik.pdf" TargetMode="External"/><Relationship Id="rId1024" Type="http://schemas.openxmlformats.org/officeDocument/2006/relationships/hyperlink" Target="file:///\\cbsp.nl\HomeDirectory\Productie\PROS\Downloads\Estimating_Diversity_Effects_in_the_Neighborhood_O.pdf" TargetMode="External"/><Relationship Id="rId240" Type="http://schemas.openxmlformats.org/officeDocument/2006/relationships/hyperlink" Target="https://decisio.nl/wp-content/uploads/Provincie-Overijssel_Onderzoek-huisvesting-arbeidsmigranten_20012020.pdf" TargetMode="External"/><Relationship Id="rId478" Type="http://schemas.openxmlformats.org/officeDocument/2006/relationships/hyperlink" Target="https://www.sciencedirect.com/science/article/pii/S0747563221003083" TargetMode="External"/><Relationship Id="rId685" Type="http://schemas.openxmlformats.org/officeDocument/2006/relationships/hyperlink" Target="http://www.seo.nl/pagina/article/toelichting-en-handleiding-sib-gemeente-rotterdam/" TargetMode="External"/><Relationship Id="rId850" Type="http://schemas.openxmlformats.org/officeDocument/2006/relationships/hyperlink" Target="https://pubmed.ncbi.nlm.nih.gov/36810769/" TargetMode="External"/><Relationship Id="rId892" Type="http://schemas.openxmlformats.org/officeDocument/2006/relationships/hyperlink" Target="https://pubmed.ncbi.nlm.nih.gov/33198229/" TargetMode="External"/><Relationship Id="rId906" Type="http://schemas.openxmlformats.org/officeDocument/2006/relationships/hyperlink" Target="https://pubmed.ncbi.nlm.nih.gov/23471150/" TargetMode="External"/><Relationship Id="rId948" Type="http://schemas.openxmlformats.org/officeDocument/2006/relationships/hyperlink" Target="https://www.sciencedirect.com/science/article/pii/S0049089X18301789" TargetMode="External"/><Relationship Id="rId35" Type="http://schemas.openxmlformats.org/officeDocument/2006/relationships/hyperlink" Target="https://denhaag.incijfers.nl/handlers/ballroom.ashx?function=download&amp;id=111" TargetMode="External"/><Relationship Id="rId77" Type="http://schemas.openxmlformats.org/officeDocument/2006/relationships/hyperlink" Target="https://ahti.nl/kinder-ic/" TargetMode="External"/><Relationship Id="rId100" Type="http://schemas.openxmlformats.org/officeDocument/2006/relationships/hyperlink" Target="https://atlasresearch.nl/werkend-nederland-2020/" TargetMode="External"/><Relationship Id="rId282" Type="http://schemas.openxmlformats.org/officeDocument/2006/relationships/hyperlink" Target="https://www.uwv.nl/overuwv/Images/UWV_Schulden_Kwantitatief%20eindrapport.pdf" TargetMode="External"/><Relationship Id="rId338" Type="http://schemas.openxmlformats.org/officeDocument/2006/relationships/hyperlink" Target="http://www.rotterdam.nl/onderzoek" TargetMode="External"/><Relationship Id="rId503" Type="http://schemas.openxmlformats.org/officeDocument/2006/relationships/hyperlink" Target="https://www.panteia.nl/nieuws/inkomensalternatieven-zelfstandigen-zonder-personeel/" TargetMode="External"/><Relationship Id="rId545" Type="http://schemas.openxmlformats.org/officeDocument/2006/relationships/hyperlink" Target="http://www.regioplan.nl/publicaties/slug/type/rapporten/slug/taalniveau_en_afhakers_basisexamen_inburgering_buitenland" TargetMode="External"/><Relationship Id="rId587" Type="http://schemas.openxmlformats.org/officeDocument/2006/relationships/hyperlink" Target="http://thelancet.com/journals/laninf/article/PIIS1473-3099(16)00027-X/fulltext" TargetMode="External"/><Relationship Id="rId710" Type="http://schemas.openxmlformats.org/officeDocument/2006/relationships/hyperlink" Target="https://www.seo.nl/publicaties/vormgeving-en-gerichtheid-lkv-jongeren/" TargetMode="External"/><Relationship Id="rId752" Type="http://schemas.openxmlformats.org/officeDocument/2006/relationships/hyperlink" Target="https://www.sp.nl/sites/default/files/20200804.rapport_inkomensondersteunende_toeslagen.pdf" TargetMode="External"/><Relationship Id="rId808" Type="http://schemas.openxmlformats.org/officeDocument/2006/relationships/hyperlink" Target="http://dnpprepo.ub.rug.nl/10483/" TargetMode="External"/><Relationship Id="rId8" Type="http://schemas.openxmlformats.org/officeDocument/2006/relationships/hyperlink" Target="https://arbeidsmarkthoreca.databank.nl/jive/jivereportcontents.ashx?report=home_new" TargetMode="External"/><Relationship Id="rId142" Type="http://schemas.openxmlformats.org/officeDocument/2006/relationships/hyperlink" Target="https://www.rijksoverheid.nl/documenten/kamerstukken/2018/12/14/onderzoek-bestedingseffect-kindregelingen" TargetMode="External"/><Relationship Id="rId184" Type="http://schemas.openxmlformats.org/officeDocument/2006/relationships/hyperlink" Target="http://www.cpb.nl/publicatie/zelfstandigen-en-hun-alternatieven-voor-sociale-zekerheid" TargetMode="External"/><Relationship Id="rId391" Type="http://schemas.openxmlformats.org/officeDocument/2006/relationships/hyperlink" Target="https://kohnstamminstituut.nl/rapport/loopbanen-van-zorgleerlingen-en-niet-zorgleerlingen-van-voor-de-invoering-van-passend-onderwijs/" TargetMode="External"/><Relationship Id="rId405" Type="http://schemas.openxmlformats.org/officeDocument/2006/relationships/hyperlink" Target="https://www.rijksoverheid.nl/documenten/rapporten/2019/04/30/evaluatie-wet-eindtoetsing-po" TargetMode="External"/><Relationship Id="rId447" Type="http://schemas.openxmlformats.org/officeDocument/2006/relationships/hyperlink" Target="https://www.nivel.nl/sites/default/files/bestanden/1003839.pdf" TargetMode="External"/><Relationship Id="rId612" Type="http://schemas.openxmlformats.org/officeDocument/2006/relationships/hyperlink" Target="http://hdl.handle.net/11370/64f906f1-9dae-46c0-89af-1185e092016f" TargetMode="External"/><Relationship Id="rId794" Type="http://schemas.openxmlformats.org/officeDocument/2006/relationships/hyperlink" Target="http://www.monitorarbeid.tno.nl/nieuws/nationale-enquete-arbeidsomstandigheden-verrijkt-met-cao-registraties" TargetMode="External"/><Relationship Id="rId1035" Type="http://schemas.openxmlformats.org/officeDocument/2006/relationships/hyperlink" Target="http://dx.doi.org/10.1002/hec.1664" TargetMode="External"/><Relationship Id="rId251" Type="http://schemas.openxmlformats.org/officeDocument/2006/relationships/hyperlink" Target="https://diadashboard.nl/2019-004/overzicht-regio" TargetMode="External"/><Relationship Id="rId489" Type="http://schemas.openxmlformats.org/officeDocument/2006/relationships/hyperlink" Target="http://data.ondernemerschap.nl/WebIntegraal/userif.aspx?SelectDataset=4&amp;SelectSubset=163&amp;Country=NL" TargetMode="External"/><Relationship Id="rId654" Type="http://schemas.openxmlformats.org/officeDocument/2006/relationships/hyperlink" Target="https://link.springer.com/article/10.1007%2Fs41196-018-0147-y" TargetMode="External"/><Relationship Id="rId696" Type="http://schemas.openxmlformats.org/officeDocument/2006/relationships/hyperlink" Target="https://www.rijksoverheid.nl/documenten/kamerstukken/2018/12/20/kamerbrief-evaluatie-aanpassing-wettelijk-minimumjeugdloon" TargetMode="External"/><Relationship Id="rId861" Type="http://schemas.openxmlformats.org/officeDocument/2006/relationships/hyperlink" Target="https://pubmed.ncbi.nlm.nih.gov/36099416/" TargetMode="External"/><Relationship Id="rId917" Type="http://schemas.openxmlformats.org/officeDocument/2006/relationships/hyperlink" Target="https://www.atherosclerosis-journal.com/article/S0021-9150(14)01442-7/fulltext" TargetMode="External"/><Relationship Id="rId959" Type="http://schemas.openxmlformats.org/officeDocument/2006/relationships/hyperlink" Target="https://www.sciencedirect.com/science/article/pii/S0264275123000069?dgcid=author" TargetMode="External"/><Relationship Id="rId46" Type="http://schemas.openxmlformats.org/officeDocument/2006/relationships/hyperlink" Target="https://netwerkbedrijven.incijfers.nl/" TargetMode="External"/><Relationship Id="rId293" Type="http://schemas.openxmlformats.org/officeDocument/2006/relationships/hyperlink" Target="https://pubmed.ncbi.nlm.nih.gov/35983703/" TargetMode="External"/><Relationship Id="rId307" Type="http://schemas.openxmlformats.org/officeDocument/2006/relationships/hyperlink" Target="https://www.inclusief010.nl/" TargetMode="External"/><Relationship Id="rId349" Type="http://schemas.openxmlformats.org/officeDocument/2006/relationships/hyperlink" Target="https://onderzoek010.nl/" TargetMode="External"/><Relationship Id="rId514" Type="http://schemas.openxmlformats.org/officeDocument/2006/relationships/hyperlink" Target="http://www.ondernemerschap.nl/sys/cftags/assetnow/design/widgets/site/ctm_getFile.cfm?file=A201218.pdf&amp;perId=0" TargetMode="External"/><Relationship Id="rId556" Type="http://schemas.openxmlformats.org/officeDocument/2006/relationships/hyperlink" Target="https://www.rekenkamerdenhaag.nl/onderzoeken/participatiewet-jongeren/" TargetMode="External"/><Relationship Id="rId721" Type="http://schemas.openxmlformats.org/officeDocument/2006/relationships/hyperlink" Target="https://www.rijksoverheid.nl/documenten/rapporten/2023/07/11/bijlage-1-eindrapportage-evaluatie-energie-innovatie-regelingen" TargetMode="External"/><Relationship Id="rId763" Type="http://schemas.openxmlformats.org/officeDocument/2006/relationships/hyperlink" Target="https://esb.nu/esb/20069204/partners-van-langdurig-zieken-zijn-meer-gaan-werken-door-invoering-wia" TargetMode="External"/><Relationship Id="rId88" Type="http://schemas.openxmlformats.org/officeDocument/2006/relationships/hyperlink" Target="https://www.rijksoverheid.nl/documenten/rapporten/2019/12/13/landelijke-toegankelijkheid-maatschappelijke-opvang-en-beschermd-wonen" TargetMode="External"/><Relationship Id="rId111" Type="http://schemas.openxmlformats.org/officeDocument/2006/relationships/hyperlink" Target="file:///\\cbsp.nl\HomeDirectory\Productie\PROS\Downloads\Dadermonitor+Mensenhandel+2015-2019.pdf" TargetMode="External"/><Relationship Id="rId153" Type="http://schemas.openxmlformats.org/officeDocument/2006/relationships/hyperlink" Target="https://zoek.officielebekendmakingen.nl/stcrt-2018-39602.html" TargetMode="External"/><Relationship Id="rId195" Type="http://schemas.openxmlformats.org/officeDocument/2006/relationships/hyperlink" Target="https://www.cpb.nl/publicatie/fiscaliteit-en-de-rechtsvorm-van-ondernemingen" TargetMode="External"/><Relationship Id="rId209" Type="http://schemas.openxmlformats.org/officeDocument/2006/relationships/hyperlink" Target="https://link.springer.com/article/10.1007/s10797-021-09669-y" TargetMode="External"/><Relationship Id="rId360" Type="http://schemas.openxmlformats.org/officeDocument/2006/relationships/hyperlink" Target="http://www.onderzoek010.nl/" TargetMode="External"/><Relationship Id="rId416" Type="http://schemas.openxmlformats.org/officeDocument/2006/relationships/hyperlink" Target="http://www.seo.nl/pagina/article/verdeelmodel-inkomensdeel-participatiewet-2017/" TargetMode="External"/><Relationship Id="rId598" Type="http://schemas.openxmlformats.org/officeDocument/2006/relationships/hyperlink" Target="https://www.rivm.nl/sites/default/files/2021-10/Codeboek%20DIAPER%2020211021.pdf" TargetMode="External"/><Relationship Id="rId819" Type="http://schemas.openxmlformats.org/officeDocument/2006/relationships/hyperlink" Target="https://www.universiteitleiden.nl/en/research/research-projects/science/liacs-read-urban" TargetMode="External"/><Relationship Id="rId970" Type="http://schemas.openxmlformats.org/officeDocument/2006/relationships/hyperlink" Target="http://www.demo-demo.nl/" TargetMode="External"/><Relationship Id="rId1004" Type="http://schemas.openxmlformats.org/officeDocument/2006/relationships/hyperlink" Target="https://papers.ssrn.com/sol3/papers.cfm?abstract_id=4317917" TargetMode="External"/><Relationship Id="rId1046" Type="http://schemas.openxmlformats.org/officeDocument/2006/relationships/hyperlink" Target="http://www.cpb.nl/doorsluisland-nl-doorgelicht" TargetMode="External"/><Relationship Id="rId220" Type="http://schemas.openxmlformats.org/officeDocument/2006/relationships/hyperlink" Target="https://www.cpb.nl/sites/default/files/omnidownload/CPB-Notitie-Niet-gebruik-van-de-aanvullende-beurs.pdf" TargetMode="External"/><Relationship Id="rId458" Type="http://schemas.openxmlformats.org/officeDocument/2006/relationships/hyperlink" Target="https://www.nji.nl/nl/Download-NJi/Publicatie-NJi/Rapport-Aantal-en-kosten-van-multiprobleemgezinnen-in-Almelo.pdf" TargetMode="External"/><Relationship Id="rId623" Type="http://schemas.openxmlformats.org/officeDocument/2006/relationships/hyperlink" Target="https://www.youtube.com/watch?v=B_qSiTypJvk&amp;list=PLdsMpUardfwoi1rA33tjD8MpnChnLgA22&amp;index=3" TargetMode="External"/><Relationship Id="rId665" Type="http://schemas.openxmlformats.org/officeDocument/2006/relationships/hyperlink" Target="https://www.volkshuisvestingnederland.nl/documenten/publicaties/2022/06/08/kernpublicatie-van-het-woon2021-onderzoek" TargetMode="External"/><Relationship Id="rId830" Type="http://schemas.openxmlformats.org/officeDocument/2006/relationships/hyperlink" Target="http://roa.sbe.maastrichtuniversity.nl/roanew/wp-content/uploads/2014/12/ROA_TR_2014_6.pdf" TargetMode="External"/><Relationship Id="rId872" Type="http://schemas.openxmlformats.org/officeDocument/2006/relationships/hyperlink" Target="https://www.ncbi.nlm.nih.gov/pubmed/31699839" TargetMode="External"/><Relationship Id="rId928" Type="http://schemas.openxmlformats.org/officeDocument/2006/relationships/hyperlink" Target="https://www.tandfonline.com/doi/full/10.1080/0142159X.2022.2041189" TargetMode="External"/><Relationship Id="rId15" Type="http://schemas.openxmlformats.org/officeDocument/2006/relationships/hyperlink" Target="https://www.khn.nl/nieuws/horeca-groeit-tot-2025-met-100-000-medewerkers%20/" TargetMode="External"/><Relationship Id="rId57" Type="http://schemas.openxmlformats.org/officeDocument/2006/relationships/hyperlink" Target="https://abfresearch.nl/publicaties/maatwerk-kinderopvang-naar-postcode-4-niveau/" TargetMode="External"/><Relationship Id="rId262" Type="http://schemas.openxmlformats.org/officeDocument/2006/relationships/hyperlink" Target="https://www.dnb.nl/media/fskfkwh4/dnb-analyse-regulering-van-het-middenhuursegment.pdf" TargetMode="External"/><Relationship Id="rId318" Type="http://schemas.openxmlformats.org/officeDocument/2006/relationships/hyperlink" Target="http://www.ois.amsterdam.nl/assets/pdfs/2014_stadsdelen_in_cijfers.pdf" TargetMode="External"/><Relationship Id="rId525" Type="http://schemas.openxmlformats.org/officeDocument/2006/relationships/hyperlink" Target="http://www.pbl.nl/sites/default/files/cms/publicaties/PBL_2014_De-veerkracht-van-regionale-arbeidsmarkten_1524.pdf" TargetMode="External"/><Relationship Id="rId567" Type="http://schemas.openxmlformats.org/officeDocument/2006/relationships/hyperlink" Target="https://www.rigo.nl/42-corporatiehuurders-vertrekt-binnen-5-jaar/" TargetMode="External"/><Relationship Id="rId732" Type="http://schemas.openxmlformats.org/officeDocument/2006/relationships/hyperlink" Target="https://www.seor.nl/Cms_Media/S1167-Arbeidsmarkt-Schiphol-2016---Rapport-aanvullende-werkzaamheden.pdf" TargetMode="External"/><Relationship Id="rId99" Type="http://schemas.openxmlformats.org/officeDocument/2006/relationships/hyperlink" Target="https://atlasresearch.nl/werkend-nederland-2019/" TargetMode="External"/><Relationship Id="rId122" Type="http://schemas.openxmlformats.org/officeDocument/2006/relationships/hyperlink" Target="https://www.cbs.nl/nl-nl/maatwerk/2019/28/prettig-wonen-in-den-haag-2015-2017" TargetMode="External"/><Relationship Id="rId164" Type="http://schemas.openxmlformats.org/officeDocument/2006/relationships/hyperlink" Target="http://publ.nidi.nl/output/books/nidi-book-86.pdf" TargetMode="External"/><Relationship Id="rId371" Type="http://schemas.openxmlformats.org/officeDocument/2006/relationships/hyperlink" Target="https://brabantscan.nl/dashboard/volwassenen--18--jaar-/kwetsbare-ouderen" TargetMode="External"/><Relationship Id="rId774" Type="http://schemas.openxmlformats.org/officeDocument/2006/relationships/hyperlink" Target="https://universonline.nl/2019/03/07/hoger-opgeleiden-leven-gezonder" TargetMode="External"/><Relationship Id="rId981" Type="http://schemas.openxmlformats.org/officeDocument/2006/relationships/hyperlink" Target="https://vr-rr.nl/over/cijfers-publicaties/" TargetMode="External"/><Relationship Id="rId1015" Type="http://schemas.openxmlformats.org/officeDocument/2006/relationships/hyperlink" Target="https://repository.wodc.nl/bitstream/handle/20.500.12832/3015/Cahier-2020-19-volledige%20tekst.pdf?sequence=1&amp;isAllowed=y" TargetMode="External"/><Relationship Id="rId1057" Type="http://schemas.openxmlformats.org/officeDocument/2006/relationships/hyperlink" Target="https://digitaal.scp.nl/armoedeinkaart2019/" TargetMode="External"/><Relationship Id="rId427" Type="http://schemas.openxmlformats.org/officeDocument/2006/relationships/hyperlink" Target="https://www.mulierinstituut.nl/publicaties/26416/jaarrapport-duurzame-sportinfrastructuur-2021/" TargetMode="External"/><Relationship Id="rId469" Type="http://schemas.openxmlformats.org/officeDocument/2006/relationships/hyperlink" Target="https://link.springer.com/article/10.1007/s10549-016-3878-9" TargetMode="External"/><Relationship Id="rId634" Type="http://schemas.openxmlformats.org/officeDocument/2006/relationships/hyperlink" Target="http://www.scp.nl/Publicaties/Alle_publicaties/Publicaties_2014/Armoedesignalement_2014" TargetMode="External"/><Relationship Id="rId676" Type="http://schemas.openxmlformats.org/officeDocument/2006/relationships/hyperlink" Target="http://www.seo.nl/pagina/article/wat-een-leraar-in-het-primair-onderwijs-verdient/" TargetMode="External"/><Relationship Id="rId841" Type="http://schemas.openxmlformats.org/officeDocument/2006/relationships/hyperlink" Target="http://perssupport.nl/apssite/binaries/content/assets/persberichten/2013/12/18/TSV+04+Karien+Stronkspdf" TargetMode="External"/><Relationship Id="rId883" Type="http://schemas.openxmlformats.org/officeDocument/2006/relationships/hyperlink" Target="https://ojrd.biomedcentral.com/articles/10.1186/s13023-022-02292-y" TargetMode="External"/><Relationship Id="rId26" Type="http://schemas.openxmlformats.org/officeDocument/2006/relationships/hyperlink" Target="http://www.buurtintegratie.nl/" TargetMode="External"/><Relationship Id="rId231" Type="http://schemas.openxmlformats.org/officeDocument/2006/relationships/hyperlink" Target="https://www.cpb.nl/nulmeting-van-de-evaluatie-van-de-arbeidsmarkttoelage-nationaal-programma-onderwijs" TargetMode="External"/><Relationship Id="rId273" Type="http://schemas.openxmlformats.org/officeDocument/2006/relationships/hyperlink" Target="https://www.ecn.nl/publicaties/ECN-E--15-068" TargetMode="External"/><Relationship Id="rId329" Type="http://schemas.openxmlformats.org/officeDocument/2006/relationships/hyperlink" Target="http://www.ois.amsterdam.nl/nieuwsarchief" TargetMode="External"/><Relationship Id="rId480" Type="http://schemas.openxmlformats.org/officeDocument/2006/relationships/hyperlink" Target="https://www.sciencedirect.com/science/article/pii/S0165178122003821" TargetMode="External"/><Relationship Id="rId536" Type="http://schemas.openxmlformats.org/officeDocument/2006/relationships/hyperlink" Target="https://academic.oup.com/joeg/article-abstract/15/4/723/2412444?redirectedFrom=fulltext" TargetMode="External"/><Relationship Id="rId701" Type="http://schemas.openxmlformats.org/officeDocument/2006/relationships/hyperlink" Target="https://www.seo.nl/publicaties/de-positie-van-uitzendwerknemers-ontwikkelingen-1998-2019/" TargetMode="External"/><Relationship Id="rId939" Type="http://schemas.openxmlformats.org/officeDocument/2006/relationships/hyperlink" Target="http://www.mirceatrandafir.com/docs/Marriage_Netherlands.pdf" TargetMode="External"/><Relationship Id="rId68" Type="http://schemas.openxmlformats.org/officeDocument/2006/relationships/hyperlink" Target="http://covid19zorgdrukrisico.ahti.nl/app/" TargetMode="External"/><Relationship Id="rId133" Type="http://schemas.openxmlformats.org/officeDocument/2006/relationships/hyperlink" Target="https://www.cbs.nl/nl-nl/achtergrond/2022/20/a-person-network-of-the-netherlands" TargetMode="External"/><Relationship Id="rId175" Type="http://schemas.openxmlformats.org/officeDocument/2006/relationships/hyperlink" Target="https://link.springer.com/article/10.1007/s10645-017-9304-9" TargetMode="External"/><Relationship Id="rId340" Type="http://schemas.openxmlformats.org/officeDocument/2006/relationships/hyperlink" Target="http://www.rotterdamincijfers.nl/" TargetMode="External"/><Relationship Id="rId578" Type="http://schemas.openxmlformats.org/officeDocument/2006/relationships/hyperlink" Target="https://rekenkamer.rotterdam.nl/wp-content/uploads/2023/05/C.O.21.08-tijden-van-transformatie.pdf" TargetMode="External"/><Relationship Id="rId743" Type="http://schemas.openxmlformats.org/officeDocument/2006/relationships/hyperlink" Target="https://www.seor.nl/re-integratie-gilze-en-rijen/" TargetMode="External"/><Relationship Id="rId785" Type="http://schemas.openxmlformats.org/officeDocument/2006/relationships/hyperlink" Target="https://pubmed.ncbi.nlm.nih.gov/22792218/" TargetMode="External"/><Relationship Id="rId950" Type="http://schemas.openxmlformats.org/officeDocument/2006/relationships/hyperlink" Target="https://www.uu.nl/nieuws/werken-naast-de-bijstand-een-springplank-naar-financiele-zelfstandigheid" TargetMode="External"/><Relationship Id="rId992" Type="http://schemas.openxmlformats.org/officeDocument/2006/relationships/hyperlink" Target="http://ftp.iza.org/dp7129.pdf" TargetMode="External"/><Relationship Id="rId1026" Type="http://schemas.openxmlformats.org/officeDocument/2006/relationships/hyperlink" Target="https://www.wyniasweek.nl/hoe-divers-is-nederland-helemaal/?pdf=621" TargetMode="External"/><Relationship Id="rId200" Type="http://schemas.openxmlformats.org/officeDocument/2006/relationships/hyperlink" Target="https://www.cpb.nl/de-gevolgen-van-de-coronacrisis-voor-nederlandse-bedrijven-en-banken" TargetMode="External"/><Relationship Id="rId382" Type="http://schemas.openxmlformats.org/officeDocument/2006/relationships/hyperlink" Target="https://data.overheid.nl/dataset/leefbaarometer-meting-20201" TargetMode="External"/><Relationship Id="rId438" Type="http://schemas.openxmlformats.org/officeDocument/2006/relationships/hyperlink" Target="https://www.nibud.nl/onderzoeksrapporten/rapport-inkomenspositie-van-studenten-in-de-beroepsbegeleidende-leerweg-2021/" TargetMode="External"/><Relationship Id="rId603" Type="http://schemas.openxmlformats.org/officeDocument/2006/relationships/hyperlink" Target="http://www.micro-dyn.eu/index.php?action=filedownload&amp;id=760" TargetMode="External"/><Relationship Id="rId645" Type="http://schemas.openxmlformats.org/officeDocument/2006/relationships/hyperlink" Target="https://www.scp.nl/Publicaties/Alle_publicaties/Publicaties_2016/Een_lang_tekort" TargetMode="External"/><Relationship Id="rId687" Type="http://schemas.openxmlformats.org/officeDocument/2006/relationships/hyperlink" Target="https://www.atlasvoorgemeenten.nl/publicaties/recent" TargetMode="External"/><Relationship Id="rId810" Type="http://schemas.openxmlformats.org/officeDocument/2006/relationships/hyperlink" Target="https://pure.tudelft.nl/portal/files/62854503/Verhuiskansen_op_de_Nijmeegse_woningmarkt_2015_2016.pdf" TargetMode="External"/><Relationship Id="rId852" Type="http://schemas.openxmlformats.org/officeDocument/2006/relationships/hyperlink" Target="https://www2.deloitte.com/content/dam/Deloitte/nl/Documents/public-sector/deloitte-nl-ps-sots-research%20methodology-july-2022.pdf" TargetMode="External"/><Relationship Id="rId908" Type="http://schemas.openxmlformats.org/officeDocument/2006/relationships/hyperlink" Target="https://pubmed.ncbi.nlm.nih.gov/28616632/" TargetMode="External"/><Relationship Id="rId242" Type="http://schemas.openxmlformats.org/officeDocument/2006/relationships/hyperlink" Target="https://decisio.nl/werkvelden/regionale-en-stedelijke-economie/internationale-werknemers-en-organisaties/" TargetMode="External"/><Relationship Id="rId284" Type="http://schemas.openxmlformats.org/officeDocument/2006/relationships/hyperlink" Target="https://atria.nl/nieuws-publicaties/geweld-tegen-vrouwen/nieuwe-toekomst/" TargetMode="External"/><Relationship Id="rId491" Type="http://schemas.openxmlformats.org/officeDocument/2006/relationships/hyperlink" Target="http://data.ondernemerschap.nl/WebIntegraal/userif.aspx?SelectDataset=3&amp;SelectSubset=46&amp;Country=NL" TargetMode="External"/><Relationship Id="rId505" Type="http://schemas.openxmlformats.org/officeDocument/2006/relationships/hyperlink" Target="http://www.ondernemerschap.nl/index.cfm/12,html?nxt=ctm_publikatie&amp;bestelnummer=A201415" TargetMode="External"/><Relationship Id="rId712" Type="http://schemas.openxmlformats.org/officeDocument/2006/relationships/hyperlink" Target="https://www.seo.nl/publicaties/automatische-waardeoverdracht-kleine-pensioenen-waarom-lukt-het-niet-altijd/" TargetMode="External"/><Relationship Id="rId894" Type="http://schemas.openxmlformats.org/officeDocument/2006/relationships/hyperlink" Target="https://pubmed.ncbi.nlm.nih.gov/23645837/" TargetMode="External"/><Relationship Id="rId37" Type="http://schemas.openxmlformats.org/officeDocument/2006/relationships/hyperlink" Target="https://microdata.incijfers.nl/handlers/ballroom.ashx?function=download&amp;id=22" TargetMode="External"/><Relationship Id="rId79" Type="http://schemas.openxmlformats.org/officeDocument/2006/relationships/hyperlink" Target="https://www.medrxiv.org/content/10.1101/2023.04.26.23289095v1" TargetMode="External"/><Relationship Id="rId102" Type="http://schemas.openxmlformats.org/officeDocument/2006/relationships/hyperlink" Target="http://www.hollandskroon.nl/portal/zoeken_41213/?trefwoord=atrive&amp;onlycollection=Hele+website&amp;searchgsa=Vind" TargetMode="External"/><Relationship Id="rId144" Type="http://schemas.openxmlformats.org/officeDocument/2006/relationships/hyperlink" Target="https://programmasmartstart.nl/pilot-heusden/" TargetMode="External"/><Relationship Id="rId547" Type="http://schemas.openxmlformats.org/officeDocument/2006/relationships/hyperlink" Target="https://www.regioplan.nl/project/evaluatie-esb-regeling/" TargetMode="External"/><Relationship Id="rId589" Type="http://schemas.openxmlformats.org/officeDocument/2006/relationships/hyperlink" Target="https://journals.plos.org/plosone/article?id=10.1371/journal.pone.0270367" TargetMode="External"/><Relationship Id="rId754" Type="http://schemas.openxmlformats.org/officeDocument/2006/relationships/hyperlink" Target="https://www.kennisopenbaarbestuur.nl/rapporten-publicaties/quickscan-programma-gebiedsgerichte-aanpak-leefbaarheid-veiligheid/" TargetMode="External"/><Relationship Id="rId796" Type="http://schemas.openxmlformats.org/officeDocument/2006/relationships/hyperlink" Target="https://www.netspar.nl/assets/uploads/P20201026_Netspar-Design-Paper-159-WEB.pdf" TargetMode="External"/><Relationship Id="rId961" Type="http://schemas.openxmlformats.org/officeDocument/2006/relationships/hyperlink" Target="http://www.sciencedirect.com/science/journal/10511377/22/2" TargetMode="External"/><Relationship Id="rId90" Type="http://schemas.openxmlformats.org/officeDocument/2006/relationships/hyperlink" Target="https://www.tweedekamer.nl/kamerstukken/brieven_regering/detail?id=2019Z22695&amp;did=2019D47134" TargetMode="External"/><Relationship Id="rId186" Type="http://schemas.openxmlformats.org/officeDocument/2006/relationships/hyperlink" Target="https://www.cpb.nl/sites/default/files/omnidownload/CPB-Discussion-Paper-381-The-scope-of-the-external-return-to-higher-education.pdf" TargetMode="External"/><Relationship Id="rId351" Type="http://schemas.openxmlformats.org/officeDocument/2006/relationships/hyperlink" Target="https://onderzoek010.nl/" TargetMode="External"/><Relationship Id="rId393" Type="http://schemas.openxmlformats.org/officeDocument/2006/relationships/hyperlink" Target="https://kohnstamminstituut.nl/rapport/kwaliteit-van-data-over-voorschoolse-educatie-in-bron/" TargetMode="External"/><Relationship Id="rId407" Type="http://schemas.openxmlformats.org/officeDocument/2006/relationships/hyperlink" Target="https://www.ocwincijfers.nl/onderwijs/dashboard-gelijke-kansen" TargetMode="External"/><Relationship Id="rId449" Type="http://schemas.openxmlformats.org/officeDocument/2006/relationships/hyperlink" Target="https://www.nivel.nl/nl/publicatie/zorglandschap-en-zorggebruik-een-veranderende-eerste-lijn" TargetMode="External"/><Relationship Id="rId614" Type="http://schemas.openxmlformats.org/officeDocument/2006/relationships/hyperlink" Target="https://www.youtube.com/watch?v=_fLy5gjDqyY&amp;list=PLdsMpUardfwoi1rA33tjD8MpnChnLgA22&amp;index=2" TargetMode="External"/><Relationship Id="rId656" Type="http://schemas.openxmlformats.org/officeDocument/2006/relationships/hyperlink" Target="https://www.scp.nl/publicaties/publicaties/2019/06/11/publiekssamenvatting-legitimiteit-en-pensioenhervormingen" TargetMode="External"/><Relationship Id="rId821" Type="http://schemas.openxmlformats.org/officeDocument/2006/relationships/hyperlink" Target="https://link.springer.com/article/10.1007/s00355-018-1138-0" TargetMode="External"/><Relationship Id="rId863" Type="http://schemas.openxmlformats.org/officeDocument/2006/relationships/hyperlink" Target="https://academic.oup.com/eurpub/advance-article/doi/10.1093/eurpub/ckz076/5476568" TargetMode="External"/><Relationship Id="rId1037" Type="http://schemas.openxmlformats.org/officeDocument/2006/relationships/hyperlink" Target="http://www.cpb.nl/sites/default/files/publicaties/download/cpb-policy-brief-2014-11-koopkracht-een-kwestie-van-kwartjes.pdf" TargetMode="External"/><Relationship Id="rId211" Type="http://schemas.openxmlformats.org/officeDocument/2006/relationships/hyperlink" Target="https://link.springer.com/article/10.1007/s10645-022-09409-5" TargetMode="External"/><Relationship Id="rId253" Type="http://schemas.openxmlformats.org/officeDocument/2006/relationships/hyperlink" Target="https://www.dialogic.nl/projecten/evaluatie-garantie-ondernemingsfinanciering/" TargetMode="External"/><Relationship Id="rId295" Type="http://schemas.openxmlformats.org/officeDocument/2006/relationships/hyperlink" Target="http://jhr.uwpress.org/content/48/4/873.short" TargetMode="External"/><Relationship Id="rId309" Type="http://schemas.openxmlformats.org/officeDocument/2006/relationships/hyperlink" Target="http://www.almere.nl/over-almere/feiten-en-cijfers/" TargetMode="External"/><Relationship Id="rId460" Type="http://schemas.openxmlformats.org/officeDocument/2006/relationships/hyperlink" Target="https://www.nji.nl/nl/Download-NJi/Beter-in-Beeld-Jongvolwassenen-na-jeugdbescherming-en-jeugdreclassering.pdf" TargetMode="External"/><Relationship Id="rId516" Type="http://schemas.openxmlformats.org/officeDocument/2006/relationships/hyperlink" Target="http://www.ondernemerschap.nl/index.cfm/12,html?nxt=ctm_publikatie&amp;bestelnummer=H201413" TargetMode="External"/><Relationship Id="rId698" Type="http://schemas.openxmlformats.org/officeDocument/2006/relationships/hyperlink" Target="http://www.seo.nl/pagina/article/evaluatie-doeltreffendheid-en-doelmatigheid-eigenwoningregeling/" TargetMode="External"/><Relationship Id="rId919" Type="http://schemas.openxmlformats.org/officeDocument/2006/relationships/hyperlink" Target="https://doi.org/10.1016/j.jacc.2023.05.035" TargetMode="External"/><Relationship Id="rId48" Type="http://schemas.openxmlformats.org/officeDocument/2006/relationships/hyperlink" Target="https://www.retailinsiders.nl/publicaties/download/rapport-functiegroepen-detailhandel-food-2020" TargetMode="External"/><Relationship Id="rId113" Type="http://schemas.openxmlformats.org/officeDocument/2006/relationships/hyperlink" Target="https://arbeidsmarktplatformpo.nl/wp-content/uploads/2021/03/Rapport-Verkenning-Van-vakdocent-VO-naar-bevoegd-leraar-PO.pdf" TargetMode="External"/><Relationship Id="rId320" Type="http://schemas.openxmlformats.org/officeDocument/2006/relationships/hyperlink" Target="http://www.ois.amsterdam.nl/assets/pdfs/2015_factsheet_jeugdwerkloosheid.pdf" TargetMode="External"/><Relationship Id="rId558" Type="http://schemas.openxmlformats.org/officeDocument/2006/relationships/hyperlink" Target="https://rekenkamer.rotterdam.nl/onderzoeken/woonbeleid-lansingerland/l-o-20-01-bouwen-in-beweging-onderzoek-naar-woonbeleid-lansingerland/" TargetMode="External"/><Relationship Id="rId723" Type="http://schemas.openxmlformats.org/officeDocument/2006/relationships/hyperlink" Target="https://www.seo.nl/publicaties/arbeidsaanbod-infrasector/" TargetMode="External"/><Relationship Id="rId765" Type="http://schemas.openxmlformats.org/officeDocument/2006/relationships/hyperlink" Target="https://www.sciencedirect.com/science/article/pii/S2212828X22000330" TargetMode="External"/><Relationship Id="rId930" Type="http://schemas.openxmlformats.org/officeDocument/2006/relationships/hyperlink" Target="http://www.rivm.nl/Documenten_en_publicaties/Algemeen_Actueel/Nieuwsberichten/2015/Geen_aanwijzing_voor_verhoging_zelfdoding_onder_militairen_die_op_missie_zijn_geweest" TargetMode="External"/><Relationship Id="rId972" Type="http://schemas.openxmlformats.org/officeDocument/2006/relationships/hyperlink" Target="https://stemeducationjournal.springeropen.com/track/pdf/10.1186/s40594-021-00318-8.pdf" TargetMode="External"/><Relationship Id="rId1006" Type="http://schemas.openxmlformats.org/officeDocument/2006/relationships/hyperlink" Target="https://edepot.wur.nl/579406" TargetMode="External"/><Relationship Id="rId155" Type="http://schemas.openxmlformats.org/officeDocument/2006/relationships/hyperlink" Target="http://bri.aadr.nl/index.php?simaction=content&amp;pagid=&amp;onderdeel=bri&amp;stukid=80369&amp;mediumid=1&amp;action" TargetMode="External"/><Relationship Id="rId197" Type="http://schemas.openxmlformats.org/officeDocument/2006/relationships/hyperlink" Target="https://www.cpb.nl/sites/default/files/omnidownload/CPB-Discussion-Paper-368-Cheaper-and-more-haircuts-after-VAT-Cut.pdf" TargetMode="External"/><Relationship Id="rId362" Type="http://schemas.openxmlformats.org/officeDocument/2006/relationships/hyperlink" Target="https://pubmed.ncbi.nlm.nih.gov/35172992/" TargetMode="External"/><Relationship Id="rId418" Type="http://schemas.openxmlformats.org/officeDocument/2006/relationships/hyperlink" Target="https://www.rijksoverheid.nl/ministeries/ministerie-van-volksgezondheid-welzijn-en-sport/documenten/publicaties/2020/07/06/aantallen-mensen-verdeeld-naar-inkomen-en-uitgaven-zvw-wlz-wmo" TargetMode="External"/><Relationship Id="rId625" Type="http://schemas.openxmlformats.org/officeDocument/2006/relationships/hyperlink" Target="https://rdcu.be/cNWKs" TargetMode="External"/><Relationship Id="rId832" Type="http://schemas.openxmlformats.org/officeDocument/2006/relationships/hyperlink" Target="http://roa.sbe.maastrichtuniversity.nl/roanew/wp-content/uploads/2015/01/ROA_TR_2014_2.pdf" TargetMode="External"/><Relationship Id="rId1048" Type="http://schemas.openxmlformats.org/officeDocument/2006/relationships/hyperlink" Target="https://www.cpb.nl/evaluatie-experimenten-participatiewet-effecten-op-brede-baten" TargetMode="External"/><Relationship Id="rId222" Type="http://schemas.openxmlformats.org/officeDocument/2006/relationships/hyperlink" Target="https://www.seo.nl/publicaties/quantifying-the-non-take-up-of-a-need-based-student-grant-in-the-netherlands/" TargetMode="External"/><Relationship Id="rId264" Type="http://schemas.openxmlformats.org/officeDocument/2006/relationships/hyperlink" Target="https://www.dnb.nl/media/r2dft0yw/working_paper_no_753.pdf" TargetMode="External"/><Relationship Id="rId471" Type="http://schemas.openxmlformats.org/officeDocument/2006/relationships/hyperlink" Target="https://www.wodc.nl/onderzoeksdatabase/2674-aangiftebereidheid.aspx" TargetMode="External"/><Relationship Id="rId667" Type="http://schemas.openxmlformats.org/officeDocument/2006/relationships/hyperlink" Target="https://www.ncbi.nlm.nih.gov/pubmed/29688759" TargetMode="External"/><Relationship Id="rId874" Type="http://schemas.openxmlformats.org/officeDocument/2006/relationships/hyperlink" Target="https://www.rug.nl/research/portal/files/104698330/Objective_allergy_markers_and_risk_of_cancer_mortality_and_hospitalization.pdf" TargetMode="External"/><Relationship Id="rId17" Type="http://schemas.openxmlformats.org/officeDocument/2006/relationships/hyperlink" Target="https://www.abfresearch.nl/nieuws/infographic-arbeidsmarktstromen/" TargetMode="External"/><Relationship Id="rId59" Type="http://schemas.openxmlformats.org/officeDocument/2006/relationships/hyperlink" Target="https://abfresearch.nl/2022/10/31/onderzoek-naar-enkelglas-in-studentenwoningen/" TargetMode="External"/><Relationship Id="rId124" Type="http://schemas.openxmlformats.org/officeDocument/2006/relationships/hyperlink" Target="https://www.cbs.nl/nl-nl/maatwerk/2019/23/monitor-statushouders-groningen-2014-2017" TargetMode="External"/><Relationship Id="rId527" Type="http://schemas.openxmlformats.org/officeDocument/2006/relationships/hyperlink" Target="http://www.pbl.nl/sites/default/files/cms/publicaties/pbl-2014_Veerkracht-en-de-Regionale-Arbeidsmarkt-Kansen-op-Vernieuwing-in-Rijnmond.pdf" TargetMode="External"/><Relationship Id="rId569" Type="http://schemas.openxmlformats.org/officeDocument/2006/relationships/hyperlink" Target="https://www.nul20.nl/dossiers/toch-wel-doorstroming" TargetMode="External"/><Relationship Id="rId734" Type="http://schemas.openxmlformats.org/officeDocument/2006/relationships/hyperlink" Target="https://www.seor.nl/evaluatie-nfia/" TargetMode="External"/><Relationship Id="rId776" Type="http://schemas.openxmlformats.org/officeDocument/2006/relationships/hyperlink" Target="https://energy.nl/publications/effectmeting-verbeterd-vko/" TargetMode="External"/><Relationship Id="rId941" Type="http://schemas.openxmlformats.org/officeDocument/2006/relationships/hyperlink" Target="https://www.ecn.nl/publicaties/" TargetMode="External"/><Relationship Id="rId983" Type="http://schemas.openxmlformats.org/officeDocument/2006/relationships/hyperlink" Target="https://www.scienceguide.nl/2020/05/hoe-statistiek-het-schoolexamen-verdacht-maakte/" TargetMode="External"/><Relationship Id="rId70" Type="http://schemas.openxmlformats.org/officeDocument/2006/relationships/hyperlink" Target="https://ahti.nl/nieuws/health-insights-verdeling-gebruik-antidepressiva-in-nederland/" TargetMode="External"/><Relationship Id="rId166" Type="http://schemas.openxmlformats.org/officeDocument/2006/relationships/hyperlink" Target="http://ftp.iza.org/dp5817.pdf" TargetMode="External"/><Relationship Id="rId331" Type="http://schemas.openxmlformats.org/officeDocument/2006/relationships/hyperlink" Target="http://www.ois.amsterdam.nl/nieuwsarchief" TargetMode="External"/><Relationship Id="rId373" Type="http://schemas.openxmlformats.org/officeDocument/2006/relationships/hyperlink" Target="https://aetransport.org/past-etc-papers/search-all-etc-conference-papers?abstractId=7630&amp;state=b" TargetMode="External"/><Relationship Id="rId429" Type="http://schemas.openxmlformats.org/officeDocument/2006/relationships/hyperlink" Target="https://www.kennisbanksportenbewegen.nl/?file=10607&amp;m=1641999758&amp;action=file.download" TargetMode="External"/><Relationship Id="rId580" Type="http://schemas.openxmlformats.org/officeDocument/2006/relationships/hyperlink" Target="http://arno.uvt.nl/show.cgi?fid=130705" TargetMode="External"/><Relationship Id="rId636" Type="http://schemas.openxmlformats.org/officeDocument/2006/relationships/hyperlink" Target="https://www.socialevraagstukken.nl/wijkaanpak-lijkt-aan-te-slaan/" TargetMode="External"/><Relationship Id="rId801" Type="http://schemas.openxmlformats.org/officeDocument/2006/relationships/hyperlink" Target="https://link.springer.com/article/10.1007%2Fs12061-021-09394-3" TargetMode="External"/><Relationship Id="rId1017" Type="http://schemas.openxmlformats.org/officeDocument/2006/relationships/hyperlink" Target="https://ccv-secondant.nl/platform/article/verschil-in-recidivetrends-onder-jeugdige-justitiabelen-1" TargetMode="External"/><Relationship Id="rId1059" Type="http://schemas.openxmlformats.org/officeDocument/2006/relationships/hyperlink" Target="https://link.springer.com/article/10.1007/s10654-023-00971-z" TargetMode="External"/><Relationship Id="rId1" Type="http://schemas.openxmlformats.org/officeDocument/2006/relationships/hyperlink" Target="https://mindplatform.nl/nieuws/verdiepend-onderzoek-naar-zelfdoding-onder-jongeren" TargetMode="External"/><Relationship Id="rId233" Type="http://schemas.openxmlformats.org/officeDocument/2006/relationships/hyperlink" Target="https://www.datafriesland.nl/2022/09/09/energiekosten-voorspeller/" TargetMode="External"/><Relationship Id="rId440" Type="http://schemas.openxmlformats.org/officeDocument/2006/relationships/hyperlink" Target="http://www.nivel.nl/" TargetMode="External"/><Relationship Id="rId678" Type="http://schemas.openxmlformats.org/officeDocument/2006/relationships/hyperlink" Target="http://www.seo.nl/pagina/article/wat-verdient-een-overheids-of-onderwijswerknemer-ten-opzichte-van-de-marktsector/" TargetMode="External"/><Relationship Id="rId843" Type="http://schemas.openxmlformats.org/officeDocument/2006/relationships/hyperlink" Target="https://doi.org/10.1016/j.ijcard.2019.11.114" TargetMode="External"/><Relationship Id="rId885" Type="http://schemas.openxmlformats.org/officeDocument/2006/relationships/hyperlink" Target="https://publications.aap.org/pediatrics/article/149/3/e2021053793/184766/Ten-Year-Survival-of-Children-With-Congenital" TargetMode="External"/><Relationship Id="rId28" Type="http://schemas.openxmlformats.org/officeDocument/2006/relationships/hyperlink" Target="https://syswov.datawonen.nl/" TargetMode="External"/><Relationship Id="rId275" Type="http://schemas.openxmlformats.org/officeDocument/2006/relationships/hyperlink" Target="https://repository.tudelft.nl/view/tno/uuid:6d1f96c7-c436-4c26-883c-a73758ed59d0" TargetMode="External"/><Relationship Id="rId300" Type="http://schemas.openxmlformats.org/officeDocument/2006/relationships/hyperlink" Target="https://esb.nu/esb/20060197/door-leenstelsel-kiezen-havisten-vaker-studie-met-hoog-verwacht-salaris?utm_source=nieuwsbrief&amp;utm_campaign=esb-wekelijks&amp;utm_medium=email&amp;utm_content=20200716" TargetMode="External"/><Relationship Id="rId482" Type="http://schemas.openxmlformats.org/officeDocument/2006/relationships/hyperlink" Target="https://puc.overheid.nl/nza/doc/PUC_709708_22/1/" TargetMode="External"/><Relationship Id="rId538" Type="http://schemas.openxmlformats.org/officeDocument/2006/relationships/hyperlink" Target="https://www.bkinformatie.nl/artikelen/beeldende-kunst-in-cijfers-collectieve-selfie-4/" TargetMode="External"/><Relationship Id="rId703" Type="http://schemas.openxmlformats.org/officeDocument/2006/relationships/hyperlink" Target="https://www.seo.nl/publicaties/evaluatie-van-nederlandse-deelname-aan-eurostars-eureka-clusters-en-jtis-2013-2018/" TargetMode="External"/><Relationship Id="rId745" Type="http://schemas.openxmlformats.org/officeDocument/2006/relationships/hyperlink" Target="https://www.seor.nl/Cms_Media/S1424-Kenmerken-van-de-georganiseerde-en-ongeorganiseerde-uitzendbranche.pdf" TargetMode="External"/><Relationship Id="rId910" Type="http://schemas.openxmlformats.org/officeDocument/2006/relationships/hyperlink" Target="https://heart.bmj.com/content/107/21/1748" TargetMode="External"/><Relationship Id="rId952" Type="http://schemas.openxmlformats.org/officeDocument/2006/relationships/hyperlink" Target="https://www.wodc.nl/onderzoeksdatabase/2668h-vangst-hervangst-schatting-huiselijk-geweld-en-kindermishandeling.aspx" TargetMode="External"/><Relationship Id="rId81" Type="http://schemas.openxmlformats.org/officeDocument/2006/relationships/hyperlink" Target="https://ahti.nl/wp-content/uploads/2022/11/Eindrapportage-INCODA-nov-22.pdf" TargetMode="External"/><Relationship Id="rId135" Type="http://schemas.openxmlformats.org/officeDocument/2006/relationships/hyperlink" Target="https://www.cbs.nl/nl-nl/maatwerk/2019/50/nationaal-cohortonderzoek-onderwijs-2019" TargetMode="External"/><Relationship Id="rId177" Type="http://schemas.openxmlformats.org/officeDocument/2006/relationships/hyperlink" Target="http://www.cpb.nl/publicatie/vervolgrapportage-decentralisaties-in-het-sociaal-domein" TargetMode="External"/><Relationship Id="rId342" Type="http://schemas.openxmlformats.org/officeDocument/2006/relationships/hyperlink" Target="http://www.rotterdam.nl/staatvanrotterdam" TargetMode="External"/><Relationship Id="rId384" Type="http://schemas.openxmlformats.org/officeDocument/2006/relationships/hyperlink" Target="https://www.kbanijmegen.nl/doc/pdf/Eindrapport%20onderzoek%20Dark%20number%20VOG.pdf" TargetMode="External"/><Relationship Id="rId591" Type="http://schemas.openxmlformats.org/officeDocument/2006/relationships/hyperlink" Target="https://rivm.openrepository.com/handle/10029/621347" TargetMode="External"/><Relationship Id="rId605" Type="http://schemas.openxmlformats.org/officeDocument/2006/relationships/hyperlink" Target="http://www.micro-dyn.eu/index.php?action=filedownload&amp;id=806" TargetMode="External"/><Relationship Id="rId787" Type="http://schemas.openxmlformats.org/officeDocument/2006/relationships/hyperlink" Target="https://www.sciencedirect.com/science/article/pii/S0140673612609945" TargetMode="External"/><Relationship Id="rId812" Type="http://schemas.openxmlformats.org/officeDocument/2006/relationships/hyperlink" Target="https://docs.iza.org/dp7526.pdf" TargetMode="External"/><Relationship Id="rId994" Type="http://schemas.openxmlformats.org/officeDocument/2006/relationships/hyperlink" Target="http://econpapers.repec.org/RePEc:iza:izadps:dp4895" TargetMode="External"/><Relationship Id="rId1028" Type="http://schemas.openxmlformats.org/officeDocument/2006/relationships/hyperlink" Target="https://www.wrr.nl/publicaties/rapporten/2020/12/14/samenleven-in-verscheidenheid" TargetMode="External"/><Relationship Id="rId202" Type="http://schemas.openxmlformats.org/officeDocument/2006/relationships/hyperlink" Target="https://www.cpb.nl/gemeentelijke-trends-in-het-gebruik-van-wmo-ouderenzorg" TargetMode="External"/><Relationship Id="rId244" Type="http://schemas.openxmlformats.org/officeDocument/2006/relationships/hyperlink" Target="https://www2.deloitte.com/content/dam/Deloitte/nl/Documents/public-sector/deloitte-nl-ps-sots-zzper-en-pensioen.pdf" TargetMode="External"/><Relationship Id="rId647" Type="http://schemas.openxmlformats.org/officeDocument/2006/relationships/hyperlink" Target="https://www.scp.nl/Publicaties/Alle_publicaties/Publicaties_2014/De_hoofdzaken_van_het_Sociaal_en_Cultureel_Rapport_2014" TargetMode="External"/><Relationship Id="rId689" Type="http://schemas.openxmlformats.org/officeDocument/2006/relationships/hyperlink" Target="http://www.seo.nl/pagina/article/zelfstandig-in-en-uit-de-bijstand/" TargetMode="External"/><Relationship Id="rId854" Type="http://schemas.openxmlformats.org/officeDocument/2006/relationships/hyperlink" Target="https://www.mdpi.com/2218-273X/13/2/281" TargetMode="External"/><Relationship Id="rId896" Type="http://schemas.openxmlformats.org/officeDocument/2006/relationships/hyperlink" Target="https://journals.plos.org/plosone/article?id=10.1371/journal.pone.0115478" TargetMode="External"/><Relationship Id="rId39" Type="http://schemas.openxmlformats.org/officeDocument/2006/relationships/hyperlink" Target="https://dashboard.nbtc.nl/dashboard/arbeidsmarktmonitor" TargetMode="External"/><Relationship Id="rId286" Type="http://schemas.openxmlformats.org/officeDocument/2006/relationships/hyperlink" Target="https://www.rijksoverheid.nl/ministeries/ministerie-van-sociale-zaken-en-werkgelegenheid/documenten/kamerstukken/2022/05/04/bijlage-2-rapport-kenmerken-doelgroep-banenafspraak-21-december-2021" TargetMode="External"/><Relationship Id="rId451" Type="http://schemas.openxmlformats.org/officeDocument/2006/relationships/hyperlink" Target="https://pubmed.ncbi.nlm.nih.gov/35945489/" TargetMode="External"/><Relationship Id="rId493" Type="http://schemas.openxmlformats.org/officeDocument/2006/relationships/hyperlink" Target="http://www.kansopwerk.nl/" TargetMode="External"/><Relationship Id="rId507" Type="http://schemas.openxmlformats.org/officeDocument/2006/relationships/hyperlink" Target="http://www.ondernemerschap.nl/index.cfm/12,html?nxt=ctm_publikatie&amp;bestelnummer=R201207" TargetMode="External"/><Relationship Id="rId549" Type="http://schemas.openxmlformats.org/officeDocument/2006/relationships/hyperlink" Target="https://www.regioplan.nl/publicaties/rapporten/de_relatie_tussen_de_amsterdamse_woningmarkt_en_het_lerarentekort" TargetMode="External"/><Relationship Id="rId714" Type="http://schemas.openxmlformats.org/officeDocument/2006/relationships/hyperlink" Target="https://esb.nu/esb.nu/esb/20071997/vaderschapsverlof-verkleint-inkomenskloof-met-moeders-niet" TargetMode="External"/><Relationship Id="rId756" Type="http://schemas.openxmlformats.org/officeDocument/2006/relationships/hyperlink" Target="https://doi.org/10.1080/1369183X.2018.1497956" TargetMode="External"/><Relationship Id="rId921" Type="http://schemas.openxmlformats.org/officeDocument/2006/relationships/hyperlink" Target="https://www.bmj.com/content/365/bmj.l1652" TargetMode="External"/><Relationship Id="rId50" Type="http://schemas.openxmlformats.org/officeDocument/2006/relationships/hyperlink" Target="https://www.abfresearch.nl/nieuws/maatwerk-kerncijfers-voor-leden-van-fme/" TargetMode="External"/><Relationship Id="rId104" Type="http://schemas.openxmlformats.org/officeDocument/2006/relationships/hyperlink" Target="https://www.atrive.nl/actueel/projecten/werken-maar-niet-wonen-in-de-kop-van-noord-holland.html" TargetMode="External"/><Relationship Id="rId146" Type="http://schemas.openxmlformats.org/officeDocument/2006/relationships/hyperlink" Target="https://www.rijksoverheid.nl/documenten/kamerstukken/2021/04/29/kamerbrief-met-kabinetsreactie-onderzoeken-dubbele-kinderbijslag-onderwijsredenen-en-intensieve-zorg" TargetMode="External"/><Relationship Id="rId188" Type="http://schemas.openxmlformats.org/officeDocument/2006/relationships/hyperlink" Target="https://www.cpb.nl/publicatie/evaluatie-aftrekpost-scholingsuitgaven" TargetMode="External"/><Relationship Id="rId311" Type="http://schemas.openxmlformats.org/officeDocument/2006/relationships/hyperlink" Target="https://veilig.almere.nl/fileadmin/files/almere/subsites/veilig/20190507_Rapportage_onderzoek_woninginbraken_Almere_def.pdf" TargetMode="External"/><Relationship Id="rId353" Type="http://schemas.openxmlformats.org/officeDocument/2006/relationships/hyperlink" Target="https://onderzoek010.nl/" TargetMode="External"/><Relationship Id="rId395" Type="http://schemas.openxmlformats.org/officeDocument/2006/relationships/hyperlink" Target="https://www.kplusv.nl/financieren/evaluatie-vroegefasefinanciering/" TargetMode="External"/><Relationship Id="rId409" Type="http://schemas.openxmlformats.org/officeDocument/2006/relationships/hyperlink" Target="https://www.onderwijsinspectie.nl/documenten/rapporten/2018/04/11/rapport-de-staat-van-het-onderwijs" TargetMode="External"/><Relationship Id="rId560" Type="http://schemas.openxmlformats.org/officeDocument/2006/relationships/hyperlink" Target="https://rekenkamer.rotterdam.nl/wp-content/uploads/2022/11/A.O.21.03-Bouwen-voor-elkaar.pdf" TargetMode="External"/><Relationship Id="rId798" Type="http://schemas.openxmlformats.org/officeDocument/2006/relationships/hyperlink" Target="http://www.socialevraagstukken.nl/site/2014/06/20/grootschalige-wijkaanpak-is-geen-verspilling/" TargetMode="External"/><Relationship Id="rId963" Type="http://schemas.openxmlformats.org/officeDocument/2006/relationships/hyperlink" Target="https://www.stata-journal.com/article.html?article=st0535" TargetMode="External"/><Relationship Id="rId1039" Type="http://schemas.openxmlformats.org/officeDocument/2006/relationships/hyperlink" Target="http://www.cpb.nl/en/publication/stay-rates-of-foreign-phd-graduates-in-the-netherlands" TargetMode="External"/><Relationship Id="rId92" Type="http://schemas.openxmlformats.org/officeDocument/2006/relationships/hyperlink" Target="https://jongpit.nl/wp-content/uploads/2022/02/Significant-APE-Eindrapport-Jongeren-Inclusief-microdata-DEF.pdf" TargetMode="External"/><Relationship Id="rId213" Type="http://schemas.openxmlformats.org/officeDocument/2006/relationships/hyperlink" Target="https://www.cpb.nl/sites/default/files/omnidownload/Kansrijk_integratiebeleid_op_de_arbeidsmarkt2.pdf" TargetMode="External"/><Relationship Id="rId420" Type="http://schemas.openxmlformats.org/officeDocument/2006/relationships/hyperlink" Target="https://www.rijksoverheid.nl/ministeries/ministerie-van-volksgezondheid-welzijn-en-sport/documenten/kamerstukken/2021/12/20/kamerbrief-over-resultaten-onderzoek-naar-dimensies-kwaliteit-van-leven-in-het-kader-van-lerend-evalueren" TargetMode="External"/><Relationship Id="rId616" Type="http://schemas.openxmlformats.org/officeDocument/2006/relationships/hyperlink" Target="https://sociaalplanbureaugroningen.nl/wordpress/wp-content/uploads/2019/10/Feitenblad-generatie-armoede-Veenkoloni%C3%ABn-10-oktober-2019.pdf" TargetMode="External"/><Relationship Id="rId658" Type="http://schemas.openxmlformats.org/officeDocument/2006/relationships/hyperlink" Target="https://www.scp.nl/publicaties/publicaties/2021/04/08/met-beleid-van-start-over-de-rol-van-beleid-voor-ontwikkelingen-in-de-positie-en-leefsituatie-van-syrische-statushouders" TargetMode="External"/><Relationship Id="rId823" Type="http://schemas.openxmlformats.org/officeDocument/2006/relationships/hyperlink" Target="https://journals.plos.org/plosone/article?id=10.1371/journal.pone.0216983" TargetMode="External"/><Relationship Id="rId865" Type="http://schemas.openxmlformats.org/officeDocument/2006/relationships/hyperlink" Target="https://pubmed.ncbi.nlm.nih.gov/25593130/" TargetMode="External"/><Relationship Id="rId1050" Type="http://schemas.openxmlformats.org/officeDocument/2006/relationships/hyperlink" Target="https://esb.nu/esb/20063394/ook-ondernemingen-met-omzetgroei-ontvingen-steun" TargetMode="External"/><Relationship Id="rId255" Type="http://schemas.openxmlformats.org/officeDocument/2006/relationships/hyperlink" Target="https://www.rijksoverheid.nl/documenten/kamerstukken/2020/11/10/kamerbrief-over-brede-verkenning-toegevoegde-waarde-van-ruimtevaarttechnologie" TargetMode="External"/><Relationship Id="rId297" Type="http://schemas.openxmlformats.org/officeDocument/2006/relationships/hyperlink" Target="https://www.sciencedirect.com/science/article/pii/S0167629618304442" TargetMode="External"/><Relationship Id="rId462" Type="http://schemas.openxmlformats.org/officeDocument/2006/relationships/hyperlink" Target="https://www.16-27.nl/cijfers/jeugdzorg-en-politiecontact" TargetMode="External"/><Relationship Id="rId518" Type="http://schemas.openxmlformats.org/officeDocument/2006/relationships/hyperlink" Target="https://www.panteia.nl/onderzoeken/publicaties/meer-kansen-voor-mensen-met-een-arbeidsbeperking-evaluatie-wet-banenafspraak-en-quotum-arbeidsbeperkten/" TargetMode="External"/><Relationship Id="rId725" Type="http://schemas.openxmlformats.org/officeDocument/2006/relationships/hyperlink" Target="https://www.seo.nl/wp-content/uploads/2023/06/2023-48-Evaluatie-coronasteun-cultuursector-definitief.pdf" TargetMode="External"/><Relationship Id="rId932" Type="http://schemas.openxmlformats.org/officeDocument/2006/relationships/hyperlink" Target="https://papers.ssrn.com/sol3/papers.cfm?abstract_id=3923786" TargetMode="External"/><Relationship Id="rId115" Type="http://schemas.openxmlformats.org/officeDocument/2006/relationships/hyperlink" Target="https://www.vektis.nl/actueel/welke-inzichten-levert-het-combineren-van-data-op" TargetMode="External"/><Relationship Id="rId157" Type="http://schemas.openxmlformats.org/officeDocument/2006/relationships/hyperlink" Target="https://www.lefier.nl/media/1689/rapportage-woonlastenonderzoek-drenthe-2018.pdf" TargetMode="External"/><Relationship Id="rId322" Type="http://schemas.openxmlformats.org/officeDocument/2006/relationships/hyperlink" Target="http://www.ois.amsterdam.nl/assets/pdfs/2014_doelgroepen%20wonen%20ouderen.pdf" TargetMode="External"/><Relationship Id="rId364" Type="http://schemas.openxmlformats.org/officeDocument/2006/relationships/hyperlink" Target="https://www.seor.nl/evaluation-of-bridge-(working-paper)/" TargetMode="External"/><Relationship Id="rId767" Type="http://schemas.openxmlformats.org/officeDocument/2006/relationships/hyperlink" Target="https://link.springer.com/article/10.1007%2Fs10645-022-09401-z" TargetMode="External"/><Relationship Id="rId974" Type="http://schemas.openxmlformats.org/officeDocument/2006/relationships/hyperlink" Target="http://www.cbs.nl/NR/rdonlyres/FC1A7314-CCF2-4E29-B746-B1CED6A0512E/0/20140104b15art.pdf" TargetMode="External"/><Relationship Id="rId1008" Type="http://schemas.openxmlformats.org/officeDocument/2006/relationships/hyperlink" Target="https://www.woonbond.nl/publicatie/gasverbruik-huursector" TargetMode="External"/><Relationship Id="rId61" Type="http://schemas.openxmlformats.org/officeDocument/2006/relationships/hyperlink" Target="https://www.rijksoverheid.nl/documenten/kamerstukken/2020/06/02/aanbiedingsbrief-bij-rapporten-herijking-gemeentefonds" TargetMode="External"/><Relationship Id="rId199" Type="http://schemas.openxmlformats.org/officeDocument/2006/relationships/hyperlink" Target="https://www.cpb.nl/sites/default/files/omnidownload/cpb-discussion-paper-do-house-prices-matter-for-household-consumption.pdf" TargetMode="External"/><Relationship Id="rId571" Type="http://schemas.openxmlformats.org/officeDocument/2006/relationships/hyperlink" Target="https://leefbaarometer.nl/resources/Leefbaarheid%20in%20Nederland%202018.pdf" TargetMode="External"/><Relationship Id="rId627" Type="http://schemas.openxmlformats.org/officeDocument/2006/relationships/hyperlink" Target="http://www.cbs.nl/nl-NL/menu/informatie/beleid/catalogi/catalogus-microdatabestanden-thema/onderwijs/default.htm" TargetMode="External"/><Relationship Id="rId669" Type="http://schemas.openxmlformats.org/officeDocument/2006/relationships/hyperlink" Target="http://www.seo.nl/pagina/article/de-sociaaleconomische-situatie-van-langdurig-flexibele-werknemers/" TargetMode="External"/><Relationship Id="rId834" Type="http://schemas.openxmlformats.org/officeDocument/2006/relationships/hyperlink" Target="https://esb.nu/kort/20037598/neet-is-een-slechte-indicator-van-kwetsbaarheid" TargetMode="External"/><Relationship Id="rId876" Type="http://schemas.openxmlformats.org/officeDocument/2006/relationships/hyperlink" Target="https://journals.plos.org/plosone/article?id=10.1371/journal.pone.0058636" TargetMode="External"/><Relationship Id="rId19" Type="http://schemas.openxmlformats.org/officeDocument/2006/relationships/hyperlink" Target="https://www.sommbo.nl/onderzoek-naar-instroom-en-uitstroom-docenten-mbo/" TargetMode="External"/><Relationship Id="rId224" Type="http://schemas.openxmlformats.org/officeDocument/2006/relationships/hyperlink" Target="https://www.cpb.nl/evaluatie-experimenten-participatiewet-effecten-op-de-uitstroom-naar-werk" TargetMode="External"/><Relationship Id="rId266" Type="http://schemas.openxmlformats.org/officeDocument/2006/relationships/hyperlink" Target="https://www.dnb.nl/binaries/OS_dec_2019_tcm46-386466.pdf" TargetMode="External"/><Relationship Id="rId431" Type="http://schemas.openxmlformats.org/officeDocument/2006/relationships/hyperlink" Target="https://www.kennisbanksportenbewegen.nl/?file=10544&amp;m=1637916150&amp;action=file.download" TargetMode="External"/><Relationship Id="rId473" Type="http://schemas.openxmlformats.org/officeDocument/2006/relationships/hyperlink" Target="https://research.vu.nl/en/publications/broken-homes-and-crime-differential-effects-of-parental-separatio" TargetMode="External"/><Relationship Id="rId529" Type="http://schemas.openxmlformats.org/officeDocument/2006/relationships/hyperlink" Target="https://themasites.pbl.nl/krasse-knarren/" TargetMode="External"/><Relationship Id="rId680" Type="http://schemas.openxmlformats.org/officeDocument/2006/relationships/hyperlink" Target="http://www.seo.nl/pagina/article/notitie-arbeidsmarktbehoefte-masteropleiding-law-finance/" TargetMode="External"/><Relationship Id="rId736" Type="http://schemas.openxmlformats.org/officeDocument/2006/relationships/hyperlink" Target="https://www.seor.nl/patronen-wajongers/" TargetMode="External"/><Relationship Id="rId901" Type="http://schemas.openxmlformats.org/officeDocument/2006/relationships/hyperlink" Target="http://qualitysafety.bmj.com/content/early/2017/10/06/bmjqs-2017-006776" TargetMode="External"/><Relationship Id="rId1061" Type="http://schemas.openxmlformats.org/officeDocument/2006/relationships/hyperlink" Target="https://www.s-bb.nl/" TargetMode="External"/><Relationship Id="rId30" Type="http://schemas.openxmlformats.org/officeDocument/2006/relationships/hyperlink" Target="https://www.abfresearch.nl/nieuws/waarom-het-gebruik-van-huurtoeslag-steeg-terwijl-het-economisch-beter-ging/" TargetMode="External"/><Relationship Id="rId126" Type="http://schemas.openxmlformats.org/officeDocument/2006/relationships/hyperlink" Target="https://www.zichtopondermijning.nl/" TargetMode="External"/><Relationship Id="rId168" Type="http://schemas.openxmlformats.org/officeDocument/2006/relationships/hyperlink" Target="http://www.cpb.nl/publicatie/flexibele-arbeid-belangrijk-voor-de-arbeidsmarkt" TargetMode="External"/><Relationship Id="rId333" Type="http://schemas.openxmlformats.org/officeDocument/2006/relationships/hyperlink" Target="https://www.ois.amsterdam.nl/datavisualisatie/woon-werkstromen-onderwijspersoneel/" TargetMode="External"/><Relationship Id="rId540" Type="http://schemas.openxmlformats.org/officeDocument/2006/relationships/hyperlink" Target="http://www.regioplan.nl/publicaties/slug/type/rapporten/slug/evaluatie_en_toekomst_subsidieregeling_scholing_jonggehandicapten_met_ernstige_scholingsbelemmeringen" TargetMode="External"/><Relationship Id="rId778" Type="http://schemas.openxmlformats.org/officeDocument/2006/relationships/hyperlink" Target="https://www.rvo.nl/sites/default/files/2021/02/Analyse-energiebesparende-maatregelen-Nationaal-Energiebespaarfonds-TNO-2020.pdf" TargetMode="External"/><Relationship Id="rId943" Type="http://schemas.openxmlformats.org/officeDocument/2006/relationships/hyperlink" Target="https://dspace.library.uu.nl/bitstream/handle/1874/314898/72._HG_rapportage_2014_def.pdf?sequence=1" TargetMode="External"/><Relationship Id="rId985" Type="http://schemas.openxmlformats.org/officeDocument/2006/relationships/hyperlink" Target="https://www.scienceguide.nl/2020/12/nationaal-cohortonderzoek-moet-kansenongelijkheid-in-het-onderwijs-anders-meten/" TargetMode="External"/><Relationship Id="rId1019" Type="http://schemas.openxmlformats.org/officeDocument/2006/relationships/hyperlink" Target="https://repository.wodc.nl/bitstream/handle/20.500.12832/3041/2927-werken-aan-werk-volledige%20tekst.pdf?sequence=1&amp;isAllowed=y" TargetMode="External"/><Relationship Id="rId72" Type="http://schemas.openxmlformats.org/officeDocument/2006/relationships/hyperlink" Target="https://ahti.nl/nieuws/inzichten-over-kraamzorggebruik-in-amsterdam/" TargetMode="External"/><Relationship Id="rId375" Type="http://schemas.openxmlformats.org/officeDocument/2006/relationships/hyperlink" Target="https://pure.uvt.nl/ws/portalfiles/portal/72249362/Digital_Thesis_Gabriella_Massenz.pdf" TargetMode="External"/><Relationship Id="rId582" Type="http://schemas.openxmlformats.org/officeDocument/2006/relationships/hyperlink" Target="https://pure.uvt.nl/portal/en/publications/describing-explaining-and-predicting-health-care-expenditures-with-statistical-methods(81ecb1b4-3d03-4c8d-9fcc-0146378656da).html" TargetMode="External"/><Relationship Id="rId638" Type="http://schemas.openxmlformats.org/officeDocument/2006/relationships/hyperlink" Target="https://www.scp.nl/Publicaties/Alle_publicaties/Publicaties_2013/Groeit_de_jeugdzorg_door" TargetMode="External"/><Relationship Id="rId803" Type="http://schemas.openxmlformats.org/officeDocument/2006/relationships/hyperlink" Target="http://ftp.iza.org/dp7526.pdf" TargetMode="External"/><Relationship Id="rId845" Type="http://schemas.openxmlformats.org/officeDocument/2006/relationships/hyperlink" Target="https://obgyn.onlinelibrary.wiley.com/doi/10.1002/uog.26160" TargetMode="External"/><Relationship Id="rId1030" Type="http://schemas.openxmlformats.org/officeDocument/2006/relationships/hyperlink" Target="https://www.tandfonline.com/doi/full/10.1080/07352166.2018.1533379" TargetMode="External"/><Relationship Id="rId3" Type="http://schemas.openxmlformats.org/officeDocument/2006/relationships/hyperlink" Target="https://www.abfresearch.nl/publicaties/abf-arbeidsmarktrapportage-2017/" TargetMode="External"/><Relationship Id="rId235" Type="http://schemas.openxmlformats.org/officeDocument/2006/relationships/hyperlink" Target="https://www.argumentenfabriek.nl/media/3761/onderwijsstromen-in-beeld-tabletboek.pdf" TargetMode="External"/><Relationship Id="rId277" Type="http://schemas.openxmlformats.org/officeDocument/2006/relationships/hyperlink" Target="https://ec.europa.eu/social/main.jsp?catId=738&amp;langId=en&amp;pubId=8362&amp;furtherPubs=yes" TargetMode="External"/><Relationship Id="rId400" Type="http://schemas.openxmlformats.org/officeDocument/2006/relationships/hyperlink" Target="https://www.onderwijsincijfers.nl/themas/archief/geslacht-als-factor-van-succes-in-het-mbo" TargetMode="External"/><Relationship Id="rId442" Type="http://schemas.openxmlformats.org/officeDocument/2006/relationships/hyperlink" Target="http://www.nivel.nl/vaam" TargetMode="External"/><Relationship Id="rId484" Type="http://schemas.openxmlformats.org/officeDocument/2006/relationships/hyperlink" Target="https://denhaag.raadsinformatie.nl/document/9633090/1/RIS307504_Bijlage_2" TargetMode="External"/><Relationship Id="rId705" Type="http://schemas.openxmlformats.org/officeDocument/2006/relationships/hyperlink" Target="https://www.seo.nl/publicaties/normering-winstuitkering-zorg/" TargetMode="External"/><Relationship Id="rId887" Type="http://schemas.openxmlformats.org/officeDocument/2006/relationships/hyperlink" Target="https://repository.ubn.ru.nl/bitstream/handle/2066/149279/149279.pdf?sequence=1" TargetMode="External"/><Relationship Id="rId137" Type="http://schemas.openxmlformats.org/officeDocument/2006/relationships/hyperlink" Target="https://bfi.uchicago.edu/wp-content/uploads/2022/12/BFI_WP_2022-162.pdf" TargetMode="External"/><Relationship Id="rId302" Type="http://schemas.openxmlformats.org/officeDocument/2006/relationships/hyperlink" Target="https://docs.iza.org/dp16051.pdf" TargetMode="External"/><Relationship Id="rId344" Type="http://schemas.openxmlformats.org/officeDocument/2006/relationships/hyperlink" Target="../../../../../Midas/4.1%20Productie/4.1.1%20Contracten/4.1.1.3%20Contracten%20OS%20en%20RA/7600-7699/7665_Gem_Rotterdam_O&amp;BI/Relatiebeheer/Basismonitor%20onderwijs%20NPRZ%202015kwp_k.pdf" TargetMode="External"/><Relationship Id="rId691" Type="http://schemas.openxmlformats.org/officeDocument/2006/relationships/hyperlink" Target="http://www.seo.nl/pagina/article/modellen-voor-bestendig-inkomen/" TargetMode="External"/><Relationship Id="rId747" Type="http://schemas.openxmlformats.org/officeDocument/2006/relationships/hyperlink" Target="https://www.zwolle.nl/rekenkamercommissie-zwolle-adviseert-over-scholingssubsidie-voor-inwoners-en-werkenden" TargetMode="External"/><Relationship Id="rId789" Type="http://schemas.openxmlformats.org/officeDocument/2006/relationships/hyperlink" Target="https://pubmed.ncbi.nlm.nih.gov/22077620/" TargetMode="External"/><Relationship Id="rId912" Type="http://schemas.openxmlformats.org/officeDocument/2006/relationships/hyperlink" Target="https://bmccardiovascdisord.biomedcentral.com/articles/10.1186/s12872-021-02020-7" TargetMode="External"/><Relationship Id="rId954" Type="http://schemas.openxmlformats.org/officeDocument/2006/relationships/hyperlink" Target="https://doi.org/10.1007/s11205-022-03002-8." TargetMode="External"/><Relationship Id="rId996" Type="http://schemas.openxmlformats.org/officeDocument/2006/relationships/hyperlink" Target="https://personal.vu.nl/b.vander.klaauw/AuditTiming.pdf" TargetMode="External"/><Relationship Id="rId41" Type="http://schemas.openxmlformats.org/officeDocument/2006/relationships/hyperlink" Target="https://abfresearch.nl/publicaties/brancherapport-sito-2/" TargetMode="External"/><Relationship Id="rId83" Type="http://schemas.openxmlformats.org/officeDocument/2006/relationships/hyperlink" Target="http://www.rijksoverheid.nl/documenten-en-publicaties/rapporten/2013/08/23/evaluatie-uitdagerskrediet-en-innovatiekrediet.html" TargetMode="External"/><Relationship Id="rId179" Type="http://schemas.openxmlformats.org/officeDocument/2006/relationships/hyperlink" Target="http://www.cpb.nl/verklaren-verschillen-vaardigheden-de-verschillen-schooladvies-naar-sociaaleconomische-status" TargetMode="External"/><Relationship Id="rId386" Type="http://schemas.openxmlformats.org/officeDocument/2006/relationships/hyperlink" Target="https://www.kbanijmegen.nl/doc/pdf/Profiel_dienstverlening_en_producten_in_het_vmbo.pdf" TargetMode="External"/><Relationship Id="rId551" Type="http://schemas.openxmlformats.org/officeDocument/2006/relationships/hyperlink" Target="https://www.regioplan.nl/project/bij-elkaar-brengen-van-vergunninghouders-en-werkgevers-in-den-haag/" TargetMode="External"/><Relationship Id="rId593" Type="http://schemas.openxmlformats.org/officeDocument/2006/relationships/hyperlink" Target="https://www.rivm.nl/nieuws/daling-overgewicht-in-jogg-buurten" TargetMode="External"/><Relationship Id="rId607" Type="http://schemas.openxmlformats.org/officeDocument/2006/relationships/hyperlink" Target="http://druid8.sit.aau.dk/druid/acc_papers/5577djup1lyo7ykpkuba8etydu3r.pdf" TargetMode="External"/><Relationship Id="rId649" Type="http://schemas.openxmlformats.org/officeDocument/2006/relationships/hyperlink" Target="https://www.scp.nl/Publicaties/Alle_publicaties/Publicaties_2016/overall_rapportage_sociaal_domein_2015" TargetMode="External"/><Relationship Id="rId814" Type="http://schemas.openxmlformats.org/officeDocument/2006/relationships/hyperlink" Target="https://www.wodc.nl/binaries/2668G_volledige_tekst_tcm28-373868.pdf" TargetMode="External"/><Relationship Id="rId856" Type="http://schemas.openxmlformats.org/officeDocument/2006/relationships/hyperlink" Target="https://pubmed.ncbi.nlm.nih.gov/35546999/" TargetMode="External"/><Relationship Id="rId190" Type="http://schemas.openxmlformats.org/officeDocument/2006/relationships/hyperlink" Target="https://www.cpb.nl/" TargetMode="External"/><Relationship Id="rId204" Type="http://schemas.openxmlformats.org/officeDocument/2006/relationships/hyperlink" Target="https://bmcgeriatr.biomedcentral.com/articles/10.1186/s12877-020-01526-7" TargetMode="External"/><Relationship Id="rId246" Type="http://schemas.openxmlformats.org/officeDocument/2006/relationships/hyperlink" Target="http://www.dialogic.nl/component/option,com_dialogic/project,2011.118/task,project/" TargetMode="External"/><Relationship Id="rId288" Type="http://schemas.openxmlformats.org/officeDocument/2006/relationships/hyperlink" Target="http://www.overijssel.nl/thema%27s/economie/ruimte-ondernemen/human-capital/arbeidsmarktgegevens/" TargetMode="External"/><Relationship Id="rId411" Type="http://schemas.openxmlformats.org/officeDocument/2006/relationships/hyperlink" Target="https://www.onderwijsinspectie.nl/onderwerpen/onderwijsresultaten-primair-onderwijs/naar-een-nieuw-onderwijsresultatenmodel" TargetMode="External"/><Relationship Id="rId453" Type="http://schemas.openxmlformats.org/officeDocument/2006/relationships/hyperlink" Target="https://www.nivel.nl/sites/default/files/bestanden/1003898.pdf" TargetMode="External"/><Relationship Id="rId509" Type="http://schemas.openxmlformats.org/officeDocument/2006/relationships/hyperlink" Target="http://haaglanden.nl/sites/haaglanden.nl/files/pagina-bestanden/240/2012-12-12%20Eindrapport%20Arbeidsmigratie%20in%20Stadsgewest%20Haaglanden%20Panteia.pdf" TargetMode="External"/><Relationship Id="rId660" Type="http://schemas.openxmlformats.org/officeDocument/2006/relationships/hyperlink" Target="https://www.scp.nl/publicaties/publicaties/2020/04/02/ervaren-discriminatie-in-nederland-ii" TargetMode="External"/><Relationship Id="rId898" Type="http://schemas.openxmlformats.org/officeDocument/2006/relationships/hyperlink" Target="https://pubmed.ncbi.nlm.nih.gov/23250849/" TargetMode="External"/><Relationship Id="rId1041" Type="http://schemas.openxmlformats.org/officeDocument/2006/relationships/hyperlink" Target="https://izajole.springeropen.com/track/pdf/10.1186/s40172-018-0063-x.pdf" TargetMode="External"/><Relationship Id="rId106" Type="http://schemas.openxmlformats.org/officeDocument/2006/relationships/hyperlink" Target="https://www.atrive.nl/actueel/projecten/dashboard-betaalbaarheidsonderzoek-voor-prowonen.html" TargetMode="External"/><Relationship Id="rId313" Type="http://schemas.openxmlformats.org/officeDocument/2006/relationships/hyperlink" Target="https://www.regioplan.nl/wp-content/uploads/2023/07/22092-Eindrapport-Doelgroeponderzoek-kwetsbare-werkenden-Almere-Regioplan-07juni23.pdf" TargetMode="External"/><Relationship Id="rId495" Type="http://schemas.openxmlformats.org/officeDocument/2006/relationships/hyperlink" Target="https://www.speelgoedenhobby.nl/websites/sovd_speelgoed/files/Bijlage_-_Panteia_-_Rapportage_gevolgen_belastingherziening_voor_de_detailhandel.pdf" TargetMode="External"/><Relationship Id="rId716" Type="http://schemas.openxmlformats.org/officeDocument/2006/relationships/hyperlink" Target="https://www.seo.nl/publicaties/uitzendmonitor-2022-light/" TargetMode="External"/><Relationship Id="rId758" Type="http://schemas.openxmlformats.org/officeDocument/2006/relationships/hyperlink" Target="https://journals.plos.org/plosone/article/metrics?id=10.1371/journal.pone.0214208" TargetMode="External"/><Relationship Id="rId923" Type="http://schemas.openxmlformats.org/officeDocument/2006/relationships/hyperlink" Target="https://www.thelancet.com/journals/lanchi/article/PIIS2352-4642(22)00254-1/fulltext" TargetMode="External"/><Relationship Id="rId965" Type="http://schemas.openxmlformats.org/officeDocument/2006/relationships/hyperlink" Target="https://esb.nu/esb/20022196/explosieve-stijging-in-huurtoeslaggebruik-uitgelicht" TargetMode="External"/><Relationship Id="rId10" Type="http://schemas.openxmlformats.org/officeDocument/2006/relationships/hyperlink" Target="https://www.abfresearch.nl/nieuws/de-nederlandse-beroepsbevolking-is-groter-slimmer-en-diverser/" TargetMode="External"/><Relationship Id="rId52" Type="http://schemas.openxmlformats.org/officeDocument/2006/relationships/hyperlink" Target="https://cbsmicrodata.incijfers.nl/" TargetMode="External"/><Relationship Id="rId94" Type="http://schemas.openxmlformats.org/officeDocument/2006/relationships/hyperlink" Target="https://open.overheid.nl/documenten/ronl-aa3fbd0d-5849-4589-b966-1e2156416862/pdf" TargetMode="External"/><Relationship Id="rId148" Type="http://schemas.openxmlformats.org/officeDocument/2006/relationships/hyperlink" Target="https://ec.europa.eu/jrc/en/publication/eur-scientific-and-technical-research-reports/economies-scope-aggregation-health-related-data" TargetMode="External"/><Relationship Id="rId355" Type="http://schemas.openxmlformats.org/officeDocument/2006/relationships/hyperlink" Target="https://onderzoek010.nl/documents/Onderwijs" TargetMode="External"/><Relationship Id="rId397" Type="http://schemas.openxmlformats.org/officeDocument/2006/relationships/hyperlink" Target="https://www.kennisopenbaarbestuur.nl/documenten/rapporten/2022/10/01/trends--cijfers-2022" TargetMode="External"/><Relationship Id="rId520" Type="http://schemas.openxmlformats.org/officeDocument/2006/relationships/hyperlink" Target="https://www.rijksoverheid.nl/documenten/rapporten/2021/06/25/eindrapport-onderzoek-werking-van-het-concurrentiebeding-panteia" TargetMode="External"/><Relationship Id="rId562" Type="http://schemas.openxmlformats.org/officeDocument/2006/relationships/hyperlink" Target="https://www.rijksoverheid.nl/documenten/rapporten/2022/11/17/tweede-rapport-macromonitor-nationaal-programma-onderwijs-mbo-en-ho-managementsamenvatting" TargetMode="External"/><Relationship Id="rId618" Type="http://schemas.openxmlformats.org/officeDocument/2006/relationships/hyperlink" Target="https://research.rug.nl/en/publications/de-invloed-van-migratie-op-armoede-en-de-sociaaleconomische-struc" TargetMode="External"/><Relationship Id="rId825" Type="http://schemas.openxmlformats.org/officeDocument/2006/relationships/hyperlink" Target="https://doi.org/10.1017/S0033291723002088" TargetMode="External"/><Relationship Id="rId215" Type="http://schemas.openxmlformats.org/officeDocument/2006/relationships/hyperlink" Target="https://www.cpb.nl/sites/default/files/omnidownload/cpb-achtergronddocument-decentrale-bekostiging-van-beschermd-wonen_0.pdf" TargetMode="External"/><Relationship Id="rId257" Type="http://schemas.openxmlformats.org/officeDocument/2006/relationships/hyperlink" Target="https://www.dialogic.nl/wp-content/uploads/2021/04/20210215-Dialogic-2021-Evaluatie-Smart-Industry-programma-final.pdf" TargetMode="External"/><Relationship Id="rId422" Type="http://schemas.openxmlformats.org/officeDocument/2006/relationships/hyperlink" Target="https://www.kennisbanksportenbewegen.nl/?file=10493&amp;m=1634128676&amp;action=file.download" TargetMode="External"/><Relationship Id="rId464" Type="http://schemas.openxmlformats.org/officeDocument/2006/relationships/hyperlink" Target="https://www.oranjefonds.nl/sites/default/files/atoms/files/NJi%20Vooronderzoek%20Meer%20Kansen%20voor%20Jongeren.pdf" TargetMode="External"/><Relationship Id="rId867" Type="http://schemas.openxmlformats.org/officeDocument/2006/relationships/hyperlink" Target="https://journals.plos.org/plosone/article?id=10.1371/journal.pone.0137203" TargetMode="External"/><Relationship Id="rId1010" Type="http://schemas.openxmlformats.org/officeDocument/2006/relationships/hyperlink" Target="https://www.wodc.nl/onderzoeksdatabase/2524-voorspellers-hulpafname-shn.aspx" TargetMode="External"/><Relationship Id="rId1052" Type="http://schemas.openxmlformats.org/officeDocument/2006/relationships/hyperlink" Target="https://www.staten-generaal.nl/9370000/1/j4nvgs5kjg27kof_j9vvkfvj6b325az/vjf5p44qk0zg" TargetMode="External"/><Relationship Id="rId299" Type="http://schemas.openxmlformats.org/officeDocument/2006/relationships/hyperlink" Target="https://kansenkaart.nl/" TargetMode="External"/><Relationship Id="rId727" Type="http://schemas.openxmlformats.org/officeDocument/2006/relationships/hyperlink" Target="https://www.seor.nl/migratieachtergrond-en-effectiviteit-werkloont/" TargetMode="External"/><Relationship Id="rId934" Type="http://schemas.openxmlformats.org/officeDocument/2006/relationships/hyperlink" Target="https://onlinelibrary.wiley.com/doi/epdf/10.1111/ectj.12113" TargetMode="External"/><Relationship Id="rId63" Type="http://schemas.openxmlformats.org/officeDocument/2006/relationships/hyperlink" Target="https://www.afm.nl/~/profmedia/files/doelgroepen/pensioenuitvoerders/2023/pensioenopbouw-derde-pijler.pdf" TargetMode="External"/><Relationship Id="rId159" Type="http://schemas.openxmlformats.org/officeDocument/2006/relationships/hyperlink" Target="file:///\\cbsp.nl\HomeDirectory\Productie\PROS\Downloads\Companen_Onderzoek-herijking-vergoedingentabel-ivm-NTA8800_Eindrapport.pdf" TargetMode="External"/><Relationship Id="rId366" Type="http://schemas.openxmlformats.org/officeDocument/2006/relationships/hyperlink" Target="https://onderzoek010.nl/" TargetMode="External"/><Relationship Id="rId573" Type="http://schemas.openxmlformats.org/officeDocument/2006/relationships/hyperlink" Target="http://www.rigo.nl/" TargetMode="External"/><Relationship Id="rId780" Type="http://schemas.openxmlformats.org/officeDocument/2006/relationships/hyperlink" Target="https://publications.tno.nl/publication/34639333/BN0L5t/veldhuis-2022-mpg.pdf" TargetMode="External"/><Relationship Id="rId226" Type="http://schemas.openxmlformats.org/officeDocument/2006/relationships/hyperlink" Target="https://www.cpb.nl/leefstijlinterventie-op-de-werkplek-en-de-relatie-met-productiviteit-en-zorgkosten" TargetMode="External"/><Relationship Id="rId433" Type="http://schemas.openxmlformats.org/officeDocument/2006/relationships/hyperlink" Target="https://nbtcmagazine.maglr.com/projecten-data-center-toerisme-dct/lopende-projecten" TargetMode="External"/><Relationship Id="rId878" Type="http://schemas.openxmlformats.org/officeDocument/2006/relationships/hyperlink" Target="https://www.rug.nl/research/portal/publications/mutational-spectrum-and-dynamics-of-clonal-hematopoiesis-in-anemia-of-older-individuals(ee3627fa-69f7-4dcc-abc7-5e0410753756).html" TargetMode="External"/><Relationship Id="rId640" Type="http://schemas.openxmlformats.org/officeDocument/2006/relationships/hyperlink" Target="https://www.scp.nl/Publicaties/Alle_publicaties/Publicaties_2013/Terecht_in_de_jeugdzorg" TargetMode="External"/><Relationship Id="rId738" Type="http://schemas.openxmlformats.org/officeDocument/2006/relationships/hyperlink" Target="https://www.seor.nl/beloning-specialisten-bij-het-rijk/" TargetMode="External"/><Relationship Id="rId945" Type="http://schemas.openxmlformats.org/officeDocument/2006/relationships/hyperlink" Target="https://academic.oup.com/esr/article/37/5/766/6146751" TargetMode="External"/><Relationship Id="rId74" Type="http://schemas.openxmlformats.org/officeDocument/2006/relationships/hyperlink" Target="https://ahti.nl/nieuws/ongelijkheid-in-beeld-een-kansarme-start-bij-de-geboorte/" TargetMode="External"/><Relationship Id="rId377" Type="http://schemas.openxmlformats.org/officeDocument/2006/relationships/hyperlink" Target="https://palliaweb.nl/publicaties/kerncijfers-behoefte-aan-palliatieve-zorg" TargetMode="External"/><Relationship Id="rId500" Type="http://schemas.openxmlformats.org/officeDocument/2006/relationships/hyperlink" Target="http://www.panteia.nl/Nieuwsoverzicht-Panteia/~/media/7%20Panteia/Files/Ontwikkeling%20overheadkosten%20ziekenhuizen.ashx" TargetMode="External"/><Relationship Id="rId584" Type="http://schemas.openxmlformats.org/officeDocument/2006/relationships/hyperlink" Target="http://ehp.niehs.nih.gov/pub/advance/" TargetMode="External"/><Relationship Id="rId805" Type="http://schemas.openxmlformats.org/officeDocument/2006/relationships/hyperlink" Target="https://link.springer.com/article/10.1007%2Fs12061-016-9189-z" TargetMode="External"/><Relationship Id="rId5" Type="http://schemas.openxmlformats.org/officeDocument/2006/relationships/hyperlink" Target="https://www.abfresearch.nl/publicaties/abf-arbeidsmarktrapportage-2018/" TargetMode="External"/><Relationship Id="rId237" Type="http://schemas.openxmlformats.org/officeDocument/2006/relationships/hyperlink" Target="file:///\\cbsp.nl\HomeDirectory\Productie\PROS\Downloads\DOC-20-262545%20-%20Kwantitatief%20onderzoek.pdf" TargetMode="External"/><Relationship Id="rId791" Type="http://schemas.openxmlformats.org/officeDocument/2006/relationships/hyperlink" Target="https://repository.tudelft.nl/islandora/object/uuid%3A0c52bf27-da6f-4a6d-9b2a-daf1c85c2a31" TargetMode="External"/><Relationship Id="rId889" Type="http://schemas.openxmlformats.org/officeDocument/2006/relationships/hyperlink" Target="https://pubmed.ncbi.nlm.nih.gov/36333237/" TargetMode="External"/><Relationship Id="rId444" Type="http://schemas.openxmlformats.org/officeDocument/2006/relationships/hyperlink" Target="https://www.nivel.nl/nl/publicatie/scenarios-voor-de-differentiatie-van-het-inschrijftarief-huisartsenzorg-op-basis-van" TargetMode="External"/><Relationship Id="rId651" Type="http://schemas.openxmlformats.org/officeDocument/2006/relationships/hyperlink" Target="http://www.scp.nl/Publicaties/Alle_publicaties/Publicaties_2015/Jeugdzorg_verschil_tussen_budget_en_contract_in_de_regio_Zuidoost_Noord_Brabant" TargetMode="External"/><Relationship Id="rId749" Type="http://schemas.openxmlformats.org/officeDocument/2006/relationships/hyperlink" Target="http://www.significance.nl/papers/2009-CVS-Beheerplan-LMS&amp;NRM.pdf" TargetMode="External"/><Relationship Id="rId290" Type="http://schemas.openxmlformats.org/officeDocument/2006/relationships/hyperlink" Target="http://humcap.uchicago.edu/RePEc/hka/wpaper/Chiappori_Fiorio_Galichon_etal_2022_assortative-matching-income.pdf" TargetMode="External"/><Relationship Id="rId304" Type="http://schemas.openxmlformats.org/officeDocument/2006/relationships/hyperlink" Target="http://ftp.iza.org/dp12516.pdf" TargetMode="External"/><Relationship Id="rId388" Type="http://schemas.openxmlformats.org/officeDocument/2006/relationships/hyperlink" Target="https://www.kennispunttwente.nl/publicaties/sociaal-domein/verdiepende-analyses-in-en-uitstroom-naar-jeugdhulp" TargetMode="External"/><Relationship Id="rId511" Type="http://schemas.openxmlformats.org/officeDocument/2006/relationships/hyperlink" Target="http://www.ondernemerschap.nl/index.cfm/12,html?nxt=ctm_nieuwsbericht&amp;perID=3736" TargetMode="External"/><Relationship Id="rId609" Type="http://schemas.openxmlformats.org/officeDocument/2006/relationships/hyperlink" Target="https://research.rug.nl/en/publications/thriving-in-times-of-technological-change-how-tasks-skills-and-me" TargetMode="External"/><Relationship Id="rId956" Type="http://schemas.openxmlformats.org/officeDocument/2006/relationships/hyperlink" Target="https://www.sciencedirect.com/science/article/pii/S0169204621001444?via%3Dihub" TargetMode="External"/><Relationship Id="rId85" Type="http://schemas.openxmlformats.org/officeDocument/2006/relationships/hyperlink" Target="https://www.rijksoverheid.nl/documenten/rapporten/2018/10/29/effectiviteit-en-werking-loonkostensubsidie-en-loondispensatie" TargetMode="External"/><Relationship Id="rId150" Type="http://schemas.openxmlformats.org/officeDocument/2006/relationships/hyperlink" Target="https://www.centraleeindtoetspo.nl/informatie-centrale-eindtoets/hoe-komen-de-rapportages-tot-stand/normeringsprocedure" TargetMode="External"/><Relationship Id="rId595" Type="http://schemas.openxmlformats.org/officeDocument/2006/relationships/hyperlink" Target="https://academic.oup.com/cid/article/doi/10.1093/cid/ciaa582/5839810" TargetMode="External"/><Relationship Id="rId816" Type="http://schemas.openxmlformats.org/officeDocument/2006/relationships/hyperlink" Target="https://www.rechtspraak.nl/Organisatie/Publicaties-En-Brochures/Researchmemoranda/Pages/default.aspx" TargetMode="External"/><Relationship Id="rId1001" Type="http://schemas.openxmlformats.org/officeDocument/2006/relationships/hyperlink" Target="https://www.aeaweb.org/content/file?id=12904" TargetMode="External"/><Relationship Id="rId248" Type="http://schemas.openxmlformats.org/officeDocument/2006/relationships/hyperlink" Target="http://www.volkskrant.nl/economie/rapport-expats-krijgen-te-veel-belastingvoordelen-in-nederland~a4500630/" TargetMode="External"/><Relationship Id="rId455" Type="http://schemas.openxmlformats.org/officeDocument/2006/relationships/hyperlink" Target="https://www.nivel.nl/sites/default/files/bestanden/1004349.pdf" TargetMode="External"/><Relationship Id="rId662" Type="http://schemas.openxmlformats.org/officeDocument/2006/relationships/hyperlink" Target="https://digitaal.scp.nl/ssn2020/inkomen/" TargetMode="External"/><Relationship Id="rId12" Type="http://schemas.openxmlformats.org/officeDocument/2006/relationships/hyperlink" Target="https://www.abfresearch.nl/nieuws/groot-aandeel-zelfstandigen-in-landbouw-cultuur-en-consumentendiensten/" TargetMode="External"/><Relationship Id="rId108" Type="http://schemas.openxmlformats.org/officeDocument/2006/relationships/hyperlink" Target="https://www.berenschot.nl/strategie-beleid-en-onderzoek/beleidsonderzoek-en-evaluatie/uitkomsten-van-analyses-op-microdata-van-het-cbs" TargetMode="External"/><Relationship Id="rId315" Type="http://schemas.openxmlformats.org/officeDocument/2006/relationships/hyperlink" Target="http://www.ois.amsterdam.nl/nieuws/download/1339/Amsterdamse%20Armoedemonitor%202013_definitief.pdf" TargetMode="External"/><Relationship Id="rId522" Type="http://schemas.openxmlformats.org/officeDocument/2006/relationships/hyperlink" Target="http://themasites.pbl.nl/natuurverkenning/over-de-natuurverkenning/het-waarderen-van-natuur/zin-en-onzin-van-monetarisering/de-recreatieve-waarde-van-natuur" TargetMode="External"/><Relationship Id="rId967" Type="http://schemas.openxmlformats.org/officeDocument/2006/relationships/hyperlink" Target="https://esb.nu/esb/20030497/inzichten-in-de-kenmerken-van-scheefwoners" TargetMode="External"/><Relationship Id="rId96" Type="http://schemas.openxmlformats.org/officeDocument/2006/relationships/hyperlink" Target="https://www.rijksoverheid.nl/documenten/publicaties/2021/11/17/onderzoek-pilots-programma-verdere-integratie-op-de-arbeidsmarkt-via" TargetMode="External"/><Relationship Id="rId161" Type="http://schemas.openxmlformats.org/officeDocument/2006/relationships/hyperlink" Target="https://www.aedes.nl/artikelen/klant-en-wonen/huurbeleid/huurprijsbeleid/verbeterde-vergoedingentabel.html" TargetMode="External"/><Relationship Id="rId399" Type="http://schemas.openxmlformats.org/officeDocument/2006/relationships/hyperlink" Target="http://www.aanvalopschooluitval.nl/userfiles/file/2012/Bijlage%202%20en%203.pdf" TargetMode="External"/><Relationship Id="rId827" Type="http://schemas.openxmlformats.org/officeDocument/2006/relationships/hyperlink" Target="https://doi.org/10.26481/umaror.2019008" TargetMode="External"/><Relationship Id="rId1012" Type="http://schemas.openxmlformats.org/officeDocument/2006/relationships/hyperlink" Target="https://www.wodc.nl/onderzoeksdatabase/2494-schijnhuwelijken.aspx" TargetMode="External"/><Relationship Id="rId259" Type="http://schemas.openxmlformats.org/officeDocument/2006/relationships/hyperlink" Target="https://topsectorenarbeidsmarktmonitor.nl/" TargetMode="External"/><Relationship Id="rId466" Type="http://schemas.openxmlformats.org/officeDocument/2006/relationships/hyperlink" Target="https://www.16-27.nl/cijfers/psychische-problematiek" TargetMode="External"/><Relationship Id="rId673" Type="http://schemas.openxmlformats.org/officeDocument/2006/relationships/hyperlink" Target="https://25cjk227xfsu3mkyfg1m9xb7-wpengine.netdna-ssl.com/wp-content/uploads/2020/04/2015-02_Verdeling_detacheringen_en_uitzendingen_over_inlenende_werkgevers.pdf" TargetMode="External"/><Relationship Id="rId880" Type="http://schemas.openxmlformats.org/officeDocument/2006/relationships/hyperlink" Target="https://medicaljournalssweden.se/actadv/article/view/3933/15936" TargetMode="External"/><Relationship Id="rId23" Type="http://schemas.openxmlformats.org/officeDocument/2006/relationships/hyperlink" Target="https://www.abfresearch.nl/nieuws/verschil-in-arbeidsparticipatie-tussen-mannen-en-vrouwen-bij-55-plus-het-grootst/" TargetMode="External"/><Relationship Id="rId119" Type="http://schemas.openxmlformats.org/officeDocument/2006/relationships/hyperlink" Target="https://www.eindhoven.nl/monitor-gebruik-minimaregelingen?origin=/stad-en-wonen/stad/eindhoven-in-cijfers/feiten-en-cijfers-van-eindhoven%3Fview%3D7" TargetMode="External"/><Relationship Id="rId326" Type="http://schemas.openxmlformats.org/officeDocument/2006/relationships/hyperlink" Target="https://onderzoek.amsterdam.nl/artikel/woningmarkt-regio-amsterdam-steeds-verder-uit-balans" TargetMode="External"/><Relationship Id="rId533" Type="http://schemas.openxmlformats.org/officeDocument/2006/relationships/hyperlink" Target="https://www.dezb.nl/dam/planbureau/bestanden/publicaties/2019/publicatie-zeeuwse-arbeidsmarkt-def.pdf" TargetMode="External"/><Relationship Id="rId978" Type="http://schemas.openxmlformats.org/officeDocument/2006/relationships/hyperlink" Target="https://onlinelibrary.wiley.com/doi/10.1111/bjir.12718" TargetMode="External"/><Relationship Id="rId740" Type="http://schemas.openxmlformats.org/officeDocument/2006/relationships/hyperlink" Target="https://www.seor.nl/quick-scan-basisregeling/" TargetMode="External"/><Relationship Id="rId838" Type="http://schemas.openxmlformats.org/officeDocument/2006/relationships/hyperlink" Target="https://papers.ssrn.com/sol3/papers.cfm?abstract_id=3055069" TargetMode="External"/><Relationship Id="rId1023" Type="http://schemas.openxmlformats.org/officeDocument/2006/relationships/hyperlink" Target="https://www.wrr.nl/publicaties" TargetMode="External"/><Relationship Id="rId172" Type="http://schemas.openxmlformats.org/officeDocument/2006/relationships/hyperlink" Target="http://www.rijksoverheid.nl/bestanden/documenten-en-publicaties/rapporten/2013/09/13/ibo-rapport-inkomen-en-vermogen-van-ouderen-analyse-en-beleidsopties/ibo-rapport-inkomen-en-vermogen-van-ouderen-analyse-en-beleidsopties.pdf" TargetMode="External"/><Relationship Id="rId477" Type="http://schemas.openxmlformats.org/officeDocument/2006/relationships/hyperlink" Target="https://www.sciencedirect.com/science/article/pii/S2451958822000835" TargetMode="External"/><Relationship Id="rId600" Type="http://schemas.openxmlformats.org/officeDocument/2006/relationships/hyperlink" Target="https://pubmed.ncbi.nlm.nih.gov/36251142/" TargetMode="External"/><Relationship Id="rId684" Type="http://schemas.openxmlformats.org/officeDocument/2006/relationships/hyperlink" Target="http://www.seo.nl/pagina/article/evaluatie-innovatiekrediet-2012-2017/" TargetMode="External"/><Relationship Id="rId337" Type="http://schemas.openxmlformats.org/officeDocument/2006/relationships/hyperlink" Target="http://www.evr010.nl./" TargetMode="External"/><Relationship Id="rId891" Type="http://schemas.openxmlformats.org/officeDocument/2006/relationships/hyperlink" Target="https://www.verenso.nl/magazine-november-2020/no-5-november-2020/wetenschap/complexe-neurologische-aandoeningen-in-de-langdurige-zorg" TargetMode="External"/><Relationship Id="rId905" Type="http://schemas.openxmlformats.org/officeDocument/2006/relationships/hyperlink" Target="https://www.sciencedirect.com/science/article/pii/S0959804912006582" TargetMode="External"/><Relationship Id="rId989" Type="http://schemas.openxmlformats.org/officeDocument/2006/relationships/hyperlink" Target="https://doi.org/10.1007/978-3-030-36639-1_13" TargetMode="External"/><Relationship Id="rId34" Type="http://schemas.openxmlformats.org/officeDocument/2006/relationships/hyperlink" Target="https://www.trudo.nl/files/shares/trudo/220714_ABF_Rapport_definitief.pdf" TargetMode="External"/><Relationship Id="rId544" Type="http://schemas.openxmlformats.org/officeDocument/2006/relationships/hyperlink" Target="http://www.regioplan.nl/publicaties/slug/type/rapporten/slug/startende_ondernemers_in_leiden" TargetMode="External"/><Relationship Id="rId751" Type="http://schemas.openxmlformats.org/officeDocument/2006/relationships/hyperlink" Target="https://www.sp.nl/achtergrond/inverdieneffecten-pensioen-op-65" TargetMode="External"/><Relationship Id="rId849" Type="http://schemas.openxmlformats.org/officeDocument/2006/relationships/hyperlink" Target="https://pubmed.ncbi.nlm.nih.gov/36810769/" TargetMode="External"/><Relationship Id="rId183" Type="http://schemas.openxmlformats.org/officeDocument/2006/relationships/hyperlink" Target="http://www.cpb.nl/publicatie/zelfstandigen-en-arbeidsongeschiktheid" TargetMode="External"/><Relationship Id="rId390" Type="http://schemas.openxmlformats.org/officeDocument/2006/relationships/hyperlink" Target="http://www.kohnstamminstituut.uva.nl/rapporten/pdf/ki896.pdf" TargetMode="External"/><Relationship Id="rId404" Type="http://schemas.openxmlformats.org/officeDocument/2006/relationships/hyperlink" Target="https://www.cbs.nl/nl-nl/maatwerk/2018/44/studieduur-en-rendement-van-zwangere-mbo-ers" TargetMode="External"/><Relationship Id="rId611" Type="http://schemas.openxmlformats.org/officeDocument/2006/relationships/hyperlink" Target="http://eurpub.oxfordjournals.org/content/25/6/944" TargetMode="External"/><Relationship Id="rId1034" Type="http://schemas.openxmlformats.org/officeDocument/2006/relationships/hyperlink" Target="https://ieds-projekt.de/?page_id=1408&amp;lang=en" TargetMode="External"/><Relationship Id="rId250" Type="http://schemas.openxmlformats.org/officeDocument/2006/relationships/hyperlink" Target="https://www.rijksoverheid.nl/documenten/rapporten/2018/06/30/eindevaluatie-valorisatieprogramma" TargetMode="External"/><Relationship Id="rId488" Type="http://schemas.openxmlformats.org/officeDocument/2006/relationships/hyperlink" Target="http://www.rijksoverheid.nl/documenten-en-publicaties/rapporten/2014/09/16/evaluatie-eurostars-en-eureka-2008-2012-eindrapportage.html" TargetMode="External"/><Relationship Id="rId695" Type="http://schemas.openxmlformats.org/officeDocument/2006/relationships/hyperlink" Target="http://www.seo.nl/uploads/media/2018-86_Balansen__inkomsten_en_uitgaven_van_bfi_s_01.pdf" TargetMode="External"/><Relationship Id="rId709" Type="http://schemas.openxmlformats.org/officeDocument/2006/relationships/hyperlink" Target="https://www.seo.nl/publicaties/economische-impact-van-de-toegepast-onderzoek-organisaties-op-het-nederlandse-bedrijfsleven/" TargetMode="External"/><Relationship Id="rId916" Type="http://schemas.openxmlformats.org/officeDocument/2006/relationships/hyperlink" Target="http://www.ncbi.nlm.nih.gov/pubmed/22022499" TargetMode="External"/><Relationship Id="rId45" Type="http://schemas.openxmlformats.org/officeDocument/2006/relationships/hyperlink" Target="https://www.collandarbeidsmarkt.nl/informatiedashboard/" TargetMode="External"/><Relationship Id="rId110" Type="http://schemas.openxmlformats.org/officeDocument/2006/relationships/hyperlink" Target="https://www.nationaalrapporteur.nl/publicaties/rapporten/2022/12/06/dadermonitor-mensenhandel-2017-2021" TargetMode="External"/><Relationship Id="rId348" Type="http://schemas.openxmlformats.org/officeDocument/2006/relationships/hyperlink" Target="file:///\\cbsp.nl\HomeDirectory\Productie\PROS\Downloads\Basismonitor+NPRZ+schoolloopbanen+2022.def.pdf" TargetMode="External"/><Relationship Id="rId555" Type="http://schemas.openxmlformats.org/officeDocument/2006/relationships/hyperlink" Target="https://www.rekenkamer.amsterdam.nl/onderzoek/publieksonderzoek-2019-de-gemengde-stad/" TargetMode="External"/><Relationship Id="rId762" Type="http://schemas.openxmlformats.org/officeDocument/2006/relationships/hyperlink" Target="https://link.springer.com/article/10.1007/s10645-020-09358-x?wt_mc=Internal.Event.1.SEM.ArticleAuthorOnlineFirst&amp;utm_source=ArticleAuthorOnlineFirst&amp;utm_medium=email&amp;utm_content=AA_en_06082018&amp;ArticleAuthorOnlineFirst_20200208" TargetMode="External"/><Relationship Id="rId194" Type="http://schemas.openxmlformats.org/officeDocument/2006/relationships/hyperlink" Target="https://www.cpb.nl/sites/default/files/omnidownload/CPB-Policy-Brief-2017-12-Fiscaliteit-en-de-rechtsvorm-van-ondernemingen.pdf" TargetMode="External"/><Relationship Id="rId208" Type="http://schemas.openxmlformats.org/officeDocument/2006/relationships/hyperlink" Target="http://www.cpb.nl/en/dutch-shell-companies-and-international-tax-planning" TargetMode="External"/><Relationship Id="rId415" Type="http://schemas.openxmlformats.org/officeDocument/2006/relationships/hyperlink" Target="https://www.rijksoverheid.nl/documenten/kamerstukken/2015/06/05/kabinetsbesluit-nieuwe-financieringssystematiek-kinderopvang" TargetMode="External"/><Relationship Id="rId622" Type="http://schemas.openxmlformats.org/officeDocument/2006/relationships/hyperlink" Target="https://research.rug.nl/nl/publications/het-ligt-in-de-verwachting-dat-problemen-toenemen" TargetMode="External"/><Relationship Id="rId1045" Type="http://schemas.openxmlformats.org/officeDocument/2006/relationships/hyperlink" Target="https://www.cpb.nl/sites/default/files/omnidownload/DP%20Bosch%20et%20al%202019%20-reduced.pdf" TargetMode="External"/><Relationship Id="rId261" Type="http://schemas.openxmlformats.org/officeDocument/2006/relationships/hyperlink" Target="https://www.netspar.nl/publicatie/geen-pensioen-en-geen-huis-het-effect-van-ltv-limieten-op-de-vermogensopbouw-van-zelfstandigen/" TargetMode="External"/><Relationship Id="rId499" Type="http://schemas.openxmlformats.org/officeDocument/2006/relationships/hyperlink" Target="https://topsectorlogistiek.nl/wptop/wp-content/uploads/2017/05/47_C11614-HoofdonderzoekArbeidsmarktgegevens_DEF.pdf" TargetMode="External"/><Relationship Id="rId927" Type="http://schemas.openxmlformats.org/officeDocument/2006/relationships/hyperlink" Target="https://alzres.biomedcentral.com/articles/10.1186/s13195-022-01053-0" TargetMode="External"/><Relationship Id="rId56" Type="http://schemas.openxmlformats.org/officeDocument/2006/relationships/hyperlink" Target="https://abfresearch.nl/publicaties/kerncijfers-voor-leden-van-fme-2021/" TargetMode="External"/><Relationship Id="rId359" Type="http://schemas.openxmlformats.org/officeDocument/2006/relationships/hyperlink" Target="https://onderzoek010.nl/documents" TargetMode="External"/><Relationship Id="rId566" Type="http://schemas.openxmlformats.org/officeDocument/2006/relationships/hyperlink" Target="https://www.rijksoverheid.nl/documenten/rapporten/2016/05/18/vergrijzing-en-extramuralisering-op-de-woningmarkt" TargetMode="External"/><Relationship Id="rId773" Type="http://schemas.openxmlformats.org/officeDocument/2006/relationships/hyperlink" Target="http://www.telos.nl/nieuws/nieuwssocialeduurzaamheid/1291609.aspx" TargetMode="External"/><Relationship Id="rId121" Type="http://schemas.openxmlformats.org/officeDocument/2006/relationships/hyperlink" Target="https://denhaag.incijfers.nl/Jive?workspace_guid=4afdd234-39cf-41fa-b0a5-1f50bc8c9c6c" TargetMode="External"/><Relationship Id="rId219" Type="http://schemas.openxmlformats.org/officeDocument/2006/relationships/hyperlink" Target="https://www.cpb.nl/en/wealth-gifts-and-estate-planning-at-the-end-of-life" TargetMode="External"/><Relationship Id="rId426" Type="http://schemas.openxmlformats.org/officeDocument/2006/relationships/hyperlink" Target="https://www.kennisbanksportenbewegen.nl/?file=10672&amp;m=1644504062&amp;action=file.download" TargetMode="External"/><Relationship Id="rId633" Type="http://schemas.openxmlformats.org/officeDocument/2006/relationships/hyperlink" Target="http://www.anbo.nl/sites/default/files/uploads/koopkrachtontwikkeling_postactieven.pdf" TargetMode="External"/><Relationship Id="rId980" Type="http://schemas.openxmlformats.org/officeDocument/2006/relationships/hyperlink" Target="https://pubmed.ncbi.nlm.nih.gov/35300624/" TargetMode="External"/><Relationship Id="rId1056" Type="http://schemas.openxmlformats.org/officeDocument/2006/relationships/hyperlink" Target="https://digitaal.scp.nl/armoedeinkaart2018/" TargetMode="External"/><Relationship Id="rId840" Type="http://schemas.openxmlformats.org/officeDocument/2006/relationships/hyperlink" Target="https://pubmed.ncbi.nlm.nih.gov/36064113/" TargetMode="External"/><Relationship Id="rId938" Type="http://schemas.openxmlformats.org/officeDocument/2006/relationships/hyperlink" Target="https://jhr.uwpress.org/content/early/2023/06/01/jhr.1021-11986R1" TargetMode="External"/><Relationship Id="rId67" Type="http://schemas.openxmlformats.org/officeDocument/2006/relationships/hyperlink" Target="https://ahti.nl/nieuws/bevolkingsgroei-en-potentiele-gevolgen-voor-maatschappelijke-voorzieningen-inzichten-in-de-gemeente-barneveld/" TargetMode="External"/><Relationship Id="rId272" Type="http://schemas.openxmlformats.org/officeDocument/2006/relationships/hyperlink" Target="https://ecbo.nl/onderzoekspublicatie/leven-lang-leren-perspectief-vanuit-beroep/" TargetMode="External"/><Relationship Id="rId577" Type="http://schemas.openxmlformats.org/officeDocument/2006/relationships/hyperlink" Target="https://www.corpovenista.nl/nieuws/uitgelicht/de-sociale-huurwoning-biedt-niet-altijd-ruimte-voor-groei/" TargetMode="External"/><Relationship Id="rId700" Type="http://schemas.openxmlformats.org/officeDocument/2006/relationships/hyperlink" Target="http://www.seo.nl/pagina/article/effecten-van-het-lage-inkomensvoordeel-op-de-arbeidsparticipatie/" TargetMode="External"/><Relationship Id="rId132" Type="http://schemas.openxmlformats.org/officeDocument/2006/relationships/hyperlink" Target="https://www.cpb.nl/doorsluisland-nl-doorgelicht" TargetMode="External"/><Relationship Id="rId784" Type="http://schemas.openxmlformats.org/officeDocument/2006/relationships/hyperlink" Target="https://pubmed.ncbi.nlm.nih.gov/25804926/" TargetMode="External"/><Relationship Id="rId991" Type="http://schemas.openxmlformats.org/officeDocument/2006/relationships/hyperlink" Target="http://onlinelibrary.wiley.com/doi/10.1111/pirs.12068/abstract" TargetMode="External"/><Relationship Id="rId437" Type="http://schemas.openxmlformats.org/officeDocument/2006/relationships/hyperlink" Target="https://nos.nl/artikel/2301524-kwart-van-alle-huurders-komt-niet-rond.html" TargetMode="External"/><Relationship Id="rId644" Type="http://schemas.openxmlformats.org/officeDocument/2006/relationships/hyperlink" Target="http://www.scp.nl/Publicaties/Alle_publicaties/Publicaties_2014/Kostenverschillen_in_de_jeugdzorg" TargetMode="External"/><Relationship Id="rId851" Type="http://schemas.openxmlformats.org/officeDocument/2006/relationships/hyperlink" Target="https://pubmed.ncbi.nlm.nih.gov/35944725/" TargetMode="External"/><Relationship Id="rId283" Type="http://schemas.openxmlformats.org/officeDocument/2006/relationships/hyperlink" Target="https://www.rijksoverheid.nl/documenten/rapporten/2018/05/30/verlofregelingen-arbeid-en-zorg-naar-type-arbeidsrelatie" TargetMode="External"/><Relationship Id="rId490" Type="http://schemas.openxmlformats.org/officeDocument/2006/relationships/hyperlink" Target="http://data.ondernemerschap.nl/WebIntegraal/userif.aspx?SelectDataset=2&amp;SelectSubset=145&amp;Country=NL" TargetMode="External"/><Relationship Id="rId504" Type="http://schemas.openxmlformats.org/officeDocument/2006/relationships/hyperlink" Target="http://digitalknowledge.babson.edu/fer/vol32/iss9/1" TargetMode="External"/><Relationship Id="rId711" Type="http://schemas.openxmlformats.org/officeDocument/2006/relationships/hyperlink" Target="https://www.seo.nl/publicaties/buitenlandse-seizoenarbeiders-in-de-risicoverevening/" TargetMode="External"/><Relationship Id="rId949" Type="http://schemas.openxmlformats.org/officeDocument/2006/relationships/hyperlink" Target="https://www.socialevraagstukken.nl/waarom-is-een-uitkering-hebben-toch-zo-erfelijk/" TargetMode="External"/><Relationship Id="rId78" Type="http://schemas.openxmlformats.org/officeDocument/2006/relationships/hyperlink" Target="https://www.rigo.nl/wp-content/uploads/2022/06/Evaluatie-jongerencontract_20220330.pdf" TargetMode="External"/><Relationship Id="rId143" Type="http://schemas.openxmlformats.org/officeDocument/2006/relationships/hyperlink" Target="https://programmasmartstart.nl/" TargetMode="External"/><Relationship Id="rId350" Type="http://schemas.openxmlformats.org/officeDocument/2006/relationships/hyperlink" Target="http://www.onderzoek010.nl/" TargetMode="External"/><Relationship Id="rId588" Type="http://schemas.openxmlformats.org/officeDocument/2006/relationships/hyperlink" Target="https://www.rivm.nl/bibliotheek/rapporten/2019-0219.pdf" TargetMode="External"/><Relationship Id="rId795" Type="http://schemas.openxmlformats.org/officeDocument/2006/relationships/hyperlink" Target="https://ec.europa.eu/energy/sites/ener/files/documents/Selecting%20Indicators%20to%20Measure%20Energy%20Poverty.pdf" TargetMode="External"/><Relationship Id="rId809" Type="http://schemas.openxmlformats.org/officeDocument/2006/relationships/hyperlink" Target="https://d1rkab7tlqy5f1.cloudfront.net/BK/Onderzoek/Kenniscentra/Expertisecentrum%20Woningwaarde/Publicaties/2019_Toekomstige%20vraag%20naar%20middeldure%20huurwoningen%20in%20Nijmegen.%20Scenario%20onderzoek%202016-2025.pdf" TargetMode="External"/><Relationship Id="rId9" Type="http://schemas.openxmlformats.org/officeDocument/2006/relationships/hyperlink" Target="https://www.collandarbeidsmarkt.nl/arbeidsmarktonderzoek-2018/" TargetMode="External"/><Relationship Id="rId210" Type="http://schemas.openxmlformats.org/officeDocument/2006/relationships/hyperlink" Target="https://esb.nu/kort/20052105/veel-financiele-routes-van-nederland-naar-doorsluislanden" TargetMode="External"/><Relationship Id="rId448" Type="http://schemas.openxmlformats.org/officeDocument/2006/relationships/hyperlink" Target="https://www.nivel.nl/nl/publicatie/leren-van-bestaande-data-over-palliatieve-zorg-kwaliteitsindicatoren-zorggebruik-en-een" TargetMode="External"/><Relationship Id="rId655" Type="http://schemas.openxmlformats.org/officeDocument/2006/relationships/hyperlink" Target="https://www.scp.nl/publicaties/publicaties/2019/05/16/opnieuw-beginnen" TargetMode="External"/><Relationship Id="rId862" Type="http://schemas.openxmlformats.org/officeDocument/2006/relationships/hyperlink" Target="https://link.springer.com/article/10.1007/s00701-022-05373-w" TargetMode="External"/><Relationship Id="rId294" Type="http://schemas.openxmlformats.org/officeDocument/2006/relationships/hyperlink" Target="http://jhr.uwpress.org/content/46/4/695.short" TargetMode="External"/><Relationship Id="rId308" Type="http://schemas.openxmlformats.org/officeDocument/2006/relationships/hyperlink" Target="https://repub.eur.nl/pub/114049" TargetMode="External"/><Relationship Id="rId515" Type="http://schemas.openxmlformats.org/officeDocument/2006/relationships/hyperlink" Target="http://data.ondernemerschap.nl/WebIntegraal/userif.aspx?SelectDataset=3&amp;SelectSubset=46&amp;Country=NL" TargetMode="External"/><Relationship Id="rId722" Type="http://schemas.openxmlformats.org/officeDocument/2006/relationships/hyperlink" Target="https://www.rijksoverheid.nl/documenten/rapporten/2023/07/14/bijlage-eindrapport-evaluatie-eia-2017-2021" TargetMode="External"/><Relationship Id="rId89" Type="http://schemas.openxmlformats.org/officeDocument/2006/relationships/hyperlink" Target="https://www.rijksoverheid.nl/documenten/rapporten/2023/01/23/duurzame-effecten-werkclub-aanpak" TargetMode="External"/><Relationship Id="rId154" Type="http://schemas.openxmlformats.org/officeDocument/2006/relationships/hyperlink" Target="https://sociaalplanbureaugroningen.nl/wordpress/wp-content/uploads/2020/02/Eindrapport-De-rol-van-binnenlandse-verhuizingen-in-groeiende-inkomens....pdf" TargetMode="External"/><Relationship Id="rId361" Type="http://schemas.openxmlformats.org/officeDocument/2006/relationships/hyperlink" Target="https://repub.eur.nl/pub/115516" TargetMode="External"/><Relationship Id="rId599" Type="http://schemas.openxmlformats.org/officeDocument/2006/relationships/hyperlink" Target="https://www.rivm.nl/documenten/monitor-kansrijke-start-2021" TargetMode="External"/><Relationship Id="rId1005" Type="http://schemas.openxmlformats.org/officeDocument/2006/relationships/hyperlink" Target="https://edepot.wur.nl/508123" TargetMode="External"/><Relationship Id="rId459" Type="http://schemas.openxmlformats.org/officeDocument/2006/relationships/hyperlink" Target="https://www.nji.nl/Multiprobleemgezinnen-per-provincie-en-gemeente" TargetMode="External"/><Relationship Id="rId666" Type="http://schemas.openxmlformats.org/officeDocument/2006/relationships/hyperlink" Target="https://digitaal.scp.nl/ssn2018/" TargetMode="External"/><Relationship Id="rId873" Type="http://schemas.openxmlformats.org/officeDocument/2006/relationships/hyperlink" Target="https://www.rug.nl/research/portal/publications/nfe2l2-polymorphisms-mortality-and-metabolism-in-the-general-population(5707fa61-eb31-4f19-8907-d1b65cc4d0f6)/export.html" TargetMode="External"/><Relationship Id="rId16" Type="http://schemas.openxmlformats.org/officeDocument/2006/relationships/hyperlink" Target="https://www.abfresearch.nl/nieuws/in-gemeenten-in-parkstad-limburg-en-oost-groningen-heeft-40-van-de-potenti%C3%ABle-beroepsbevolking-een-uitkering/" TargetMode="External"/><Relationship Id="rId221" Type="http://schemas.openxmlformats.org/officeDocument/2006/relationships/hyperlink" Target="https://www.cpb.nl/niet-gebruik-van-de-aanvullende-beurs-in-het-mbo" TargetMode="External"/><Relationship Id="rId319" Type="http://schemas.openxmlformats.org/officeDocument/2006/relationships/hyperlink" Target="http://www.ois.amsterdam.nl/nieuws/download/1222/2013_migranten.pdf" TargetMode="External"/><Relationship Id="rId526" Type="http://schemas.openxmlformats.org/officeDocument/2006/relationships/hyperlink" Target="http://www.pbl.nl/sites/default/files/cms/publicaties/PBL_2016_De%20verdeelde%20triomf_1777.pdf" TargetMode="External"/><Relationship Id="rId733" Type="http://schemas.openxmlformats.org/officeDocument/2006/relationships/hyperlink" Target="https://www.seor.nl/toekomst-van-werk/index.html" TargetMode="External"/><Relationship Id="rId940" Type="http://schemas.openxmlformats.org/officeDocument/2006/relationships/hyperlink" Target="https://www.de-eerstelijns.nl/2020/06/chronische-zorg-over-een-andere-boeg/" TargetMode="External"/><Relationship Id="rId1016" Type="http://schemas.openxmlformats.org/officeDocument/2006/relationships/hyperlink" Target="https://repository.wodc.nl/bitstream/handle/20.500.12832/3073/Reintegratiebeleid-en-recidive-volledige-tekst.pdf?sequence=1&amp;isAllowed=y" TargetMode="External"/><Relationship Id="rId165" Type="http://schemas.openxmlformats.org/officeDocument/2006/relationships/hyperlink" Target="http://www.cpb.nl/publicatie/deeltijdwerk-een-blijvend-fenomeen-bevindingen-op-basis-van-de-enquete-beroepsbevolking-1" TargetMode="External"/><Relationship Id="rId372" Type="http://schemas.openxmlformats.org/officeDocument/2006/relationships/hyperlink" Target="https://brabantscan.nl/jive?workspace_guid=17268b4d-e453-4067-9af2-0d96fe21003b" TargetMode="External"/><Relationship Id="rId677" Type="http://schemas.openxmlformats.org/officeDocument/2006/relationships/hyperlink" Target="http://www.seo.nl/pagina/article/wat-een-leraar-in-het-voortgezet-onderwijs-verdient/" TargetMode="External"/><Relationship Id="rId800" Type="http://schemas.openxmlformats.org/officeDocument/2006/relationships/hyperlink" Target="https://link.springer.com/article/10.1007%2Fs12061-021-09411-5" TargetMode="External"/><Relationship Id="rId232" Type="http://schemas.openxmlformats.org/officeDocument/2006/relationships/hyperlink" Target="https://www.cpb.nl/sites/default/files/publicaties/download/cpb-discussion-paper-285-labour-market-effects-job-replacement-prime-age-and-older-workers.pdf" TargetMode="External"/><Relationship Id="rId884" Type="http://schemas.openxmlformats.org/officeDocument/2006/relationships/hyperlink" Target="https://pubmed.ncbi.nlm.nih.gov/35675091/" TargetMode="External"/><Relationship Id="rId27" Type="http://schemas.openxmlformats.org/officeDocument/2006/relationships/hyperlink" Target="https://studentenhuisvesting.incijfers.nl/mosaic/lms/voorwoord" TargetMode="External"/><Relationship Id="rId537" Type="http://schemas.openxmlformats.org/officeDocument/2006/relationships/hyperlink" Target="https://www.kunstlocbrabant.nl/kennis-advies/waarde-van-cultuur-2022-39255" TargetMode="External"/><Relationship Id="rId744" Type="http://schemas.openxmlformats.org/officeDocument/2006/relationships/hyperlink" Target="https://www.rijksoverheid.nl/documenten/kamerstukken/2022/06/21/bijlage-iii-eindrapport-cohortstudie-participatiewet" TargetMode="External"/><Relationship Id="rId951" Type="http://schemas.openxmlformats.org/officeDocument/2006/relationships/hyperlink" Target="https://www.rijksoverheid.nl/documenten/rapporten/2019/02/05/de-prevalentie-van-huiselijk-geweld-en-kindermishandeling-in-nederland" TargetMode="External"/><Relationship Id="rId80" Type="http://schemas.openxmlformats.org/officeDocument/2006/relationships/hyperlink" Target="https://ahti.nl/nieuws/zorg-voor-pasgeborenen-screening-op-neonatale-hypoglycemie/" TargetMode="External"/><Relationship Id="rId176" Type="http://schemas.openxmlformats.org/officeDocument/2006/relationships/hyperlink" Target="http://www.cpb.nl/publicatie/op-eigen-benen-samenhang-van-jeugdzorg-met-het-gebruik-van-wmo-zorg-en-inkomensondersteuning" TargetMode="External"/><Relationship Id="rId383" Type="http://schemas.openxmlformats.org/officeDocument/2006/relationships/hyperlink" Target="http://www.iva-onderwijs.nl/themas/braindrain" TargetMode="External"/><Relationship Id="rId590" Type="http://schemas.openxmlformats.org/officeDocument/2006/relationships/hyperlink" Target="https://pubmed.ncbi.nlm.nih.gov/30591231/" TargetMode="External"/><Relationship Id="rId604" Type="http://schemas.openxmlformats.org/officeDocument/2006/relationships/hyperlink" Target="http://www.micro-dyn.eu/index.php?action=filedownload&amp;id=658" TargetMode="External"/><Relationship Id="rId811" Type="http://schemas.openxmlformats.org/officeDocument/2006/relationships/hyperlink" Target="https://journals.sagepub.com/doi/10.1177/0308518X15592300" TargetMode="External"/><Relationship Id="rId1027" Type="http://schemas.openxmlformats.org/officeDocument/2006/relationships/hyperlink" Target="https://www.wrr.nl/publicaties" TargetMode="External"/><Relationship Id="rId243" Type="http://schemas.openxmlformats.org/officeDocument/2006/relationships/hyperlink" Target="https://www2.deloitte.com/content/dam/Deloitte/nl/Documents/public-sector/deloitte-nl-sots-ziekenhuisopnames-ouderen-v28052021.pdf" TargetMode="External"/><Relationship Id="rId450" Type="http://schemas.openxmlformats.org/officeDocument/2006/relationships/hyperlink" Target="https://academic.oup.com/eurpub/advance-article-abstract/doi/10.1093/eurpub/ckaa116/5894058?redirectedFrom=fulltext" TargetMode="External"/><Relationship Id="rId688" Type="http://schemas.openxmlformats.org/officeDocument/2006/relationships/hyperlink" Target="https://www.magontslag.nl/content/toelichtingseo.pdf" TargetMode="External"/><Relationship Id="rId895" Type="http://schemas.openxmlformats.org/officeDocument/2006/relationships/hyperlink" Target="https://www.sciencedirect.com/science/article/abs/pii/S1538783622076516" TargetMode="External"/><Relationship Id="rId909" Type="http://schemas.openxmlformats.org/officeDocument/2006/relationships/hyperlink" Target="https://academic.oup.com/jcem/article/104/3/809/5257819" TargetMode="External"/><Relationship Id="rId38" Type="http://schemas.openxmlformats.org/officeDocument/2006/relationships/hyperlink" Target="https://www.s-bb.nl/nieuws/arbeidsmarktmonitor-creatief-vakman-2020" TargetMode="External"/><Relationship Id="rId103" Type="http://schemas.openxmlformats.org/officeDocument/2006/relationships/hyperlink" Target="http://www.atrive.nl/visie-en-resultaat/projecten/gemeenten-en-marktpartijen-in-regio-alkmaar-bewegen-mee-met-veranderende-woningmarkt.aspx" TargetMode="External"/><Relationship Id="rId310" Type="http://schemas.openxmlformats.org/officeDocument/2006/relationships/hyperlink" Target="http://www.almere.nl/over-almere/feiten-en-cijfers/" TargetMode="External"/><Relationship Id="rId548" Type="http://schemas.openxmlformats.org/officeDocument/2006/relationships/hyperlink" Target="https://www.regioplan.nl/project/sectoranalyse-onderwijs-2/" TargetMode="External"/><Relationship Id="rId755" Type="http://schemas.openxmlformats.org/officeDocument/2006/relationships/hyperlink" Target="https://www.swov.nl/nieuws/monitor-verkeersveiligheid-2019-meer-verkeersdoden-en-meer-ernstig-verkeersgewonden-2018" TargetMode="External"/><Relationship Id="rId962" Type="http://schemas.openxmlformats.org/officeDocument/2006/relationships/hyperlink" Target="http://dspace.library.uu.nl/handle/1874/205057" TargetMode="External"/><Relationship Id="rId91" Type="http://schemas.openxmlformats.org/officeDocument/2006/relationships/hyperlink" Target="https://public.significant-groep.nl/storage/images/employees/Significant-Public-De-weg-naar-werk-Onderzoek-naar-de-uitstroom-van-WWers-met-een-niet-westerse-migratieachtergrond.pdf" TargetMode="External"/><Relationship Id="rId187" Type="http://schemas.openxmlformats.org/officeDocument/2006/relationships/hyperlink" Target="https://www.cpb.nl/sites/default/files/omnidownload/CPB-Discussion-Paper-377-why-do-wages-grow-faster-in-urban-areas.pdf" TargetMode="External"/><Relationship Id="rId394" Type="http://schemas.openxmlformats.org/officeDocument/2006/relationships/hyperlink" Target="https://www.rijksoverheid.nl/documenten/kamerstukken/2020/07/03/schoolloopbanen-van-leerlingen-met-en-zonder-extra-ondersteuningsbehoeften-periode-2014-2018" TargetMode="External"/><Relationship Id="rId408" Type="http://schemas.openxmlformats.org/officeDocument/2006/relationships/hyperlink" Target="../../../../../Midas/4.1%20Productie/4.1.1%20Contracten/4.1.1.3%20Contracten%20OS%20en%20RA/7800-7899/7830_OCW_Inspectie/Relatiebeheer/Publicaties%202016" TargetMode="External"/><Relationship Id="rId615" Type="http://schemas.openxmlformats.org/officeDocument/2006/relationships/hyperlink" Target="https://sociaalplanbureaugroningen.nl/wordpress/wp-content/uploads/2018/11/feitenblad-armoede-van-generatie-op-generatie_oktober-2018.pdf" TargetMode="External"/><Relationship Id="rId822" Type="http://schemas.openxmlformats.org/officeDocument/2006/relationships/hyperlink" Target="https://cris.maastrichtuniversity.nl/en/publications/contributions-to-the-evidence-base-for-reducing-the-impact-of-inf" TargetMode="External"/><Relationship Id="rId1038" Type="http://schemas.openxmlformats.org/officeDocument/2006/relationships/hyperlink" Target="http://www.cpb.nl/sites/default/files/publicaties/download/cpb-policy-brief-2016-01-de-economische-effecten-van-buitenlandse-promovendi.pdf" TargetMode="External"/><Relationship Id="rId254" Type="http://schemas.openxmlformats.org/officeDocument/2006/relationships/hyperlink" Target="https://www.hybridedocent.nl/wp-content/uploads/sites/30/2021/12/HYBRIDE-DOCENTEN-IN-HET-TECHNISCH-BEROEPSONDERWIJS.pdf" TargetMode="External"/><Relationship Id="rId699" Type="http://schemas.openxmlformats.org/officeDocument/2006/relationships/hyperlink" Target="https://www.seo.nl/publicaties/de-economische-waarde-van-creditmanagement/" TargetMode="External"/><Relationship Id="rId49" Type="http://schemas.openxmlformats.org/officeDocument/2006/relationships/hyperlink" Target="https://www.retailinsiders.nl/publicaties/download/rapport-functiegroepen-detailhandel-non-food-2020" TargetMode="External"/><Relationship Id="rId114" Type="http://schemas.openxmlformats.org/officeDocument/2006/relationships/hyperlink" Target="https://www.cbs.nl/nl-nl/over-ons/innovatie/project/de-waarde-van-combineren-data-voor-de-zorg" TargetMode="External"/><Relationship Id="rId461" Type="http://schemas.openxmlformats.org/officeDocument/2006/relationships/hyperlink" Target="https://www.16-27.nl/cijfers" TargetMode="External"/><Relationship Id="rId559" Type="http://schemas.openxmlformats.org/officeDocument/2006/relationships/hyperlink" Target="https://rekenkamer.rotterdam.nl/onderzoeken/woonbeleid-lansingerland/" TargetMode="External"/><Relationship Id="rId766" Type="http://schemas.openxmlformats.org/officeDocument/2006/relationships/hyperlink" Target="http://arno.uvt.nl/show.cgi?fid=129688" TargetMode="External"/><Relationship Id="rId198" Type="http://schemas.openxmlformats.org/officeDocument/2006/relationships/hyperlink" Target="https://www.cpb.nl/publicatie/cpb-risicorapportage-financiele-markten-2018" TargetMode="External"/><Relationship Id="rId321" Type="http://schemas.openxmlformats.org/officeDocument/2006/relationships/hyperlink" Target="http://www.ois.amsterdam.nl/assets/pdfs/2014_monitor%20om%20het%20kind.pdf" TargetMode="External"/><Relationship Id="rId419" Type="http://schemas.openxmlformats.org/officeDocument/2006/relationships/hyperlink" Target="https://www.rijksoverheid.nl/documenten/kamerstukken/2022/12/12/kamerbrief-over-resultaten-onderzoek-naar-verschil-in-zorgkosten-tussen-zorg-met-en-zonder-verblijf-in-de-wlz" TargetMode="External"/><Relationship Id="rId626" Type="http://schemas.openxmlformats.org/officeDocument/2006/relationships/hyperlink" Target="https://pubmed.ncbi.nlm.nih.gov/30147377/" TargetMode="External"/><Relationship Id="rId973" Type="http://schemas.openxmlformats.org/officeDocument/2006/relationships/hyperlink" Target="http://usj.sagepub.com/content/early/2014/12/08/0042098014562344" TargetMode="External"/><Relationship Id="rId1049" Type="http://schemas.openxmlformats.org/officeDocument/2006/relationships/hyperlink" Target="file:///\\cbsp.nl\HomeDirectory\Productie\PROS\Downloads\Schellekens,%20M.,%20J.%20Wijnen%20en%20A.L.%20Cnossen%20(2021)%20-%20ESB%20te%20verschijnen.pdf" TargetMode="External"/><Relationship Id="rId833" Type="http://schemas.openxmlformats.org/officeDocument/2006/relationships/hyperlink" Target="http://nl.linkedin.com/in/benkriechel" TargetMode="External"/><Relationship Id="rId265" Type="http://schemas.openxmlformats.org/officeDocument/2006/relationships/hyperlink" Target="https://www.dnb.nl/nieuws/publicaties-dnb/dnb-working-papers/Workingpapers2019/dnb384353.jsp" TargetMode="External"/><Relationship Id="rId472" Type="http://schemas.openxmlformats.org/officeDocument/2006/relationships/hyperlink" Target="https://journals.sagepub.com/doi/10.1177/1477370818773610" TargetMode="External"/><Relationship Id="rId900" Type="http://schemas.openxmlformats.org/officeDocument/2006/relationships/hyperlink" Target="http://qualitysafety.bmj.com/cgi/content/full/bmjqs-2017-006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56"/>
  <sheetViews>
    <sheetView tabSelected="1" workbookViewId="0">
      <pane ySplit="1" topLeftCell="A2" activePane="bottomLeft" state="frozen"/>
      <selection pane="bottomLeft" activeCell="A2" sqref="A2"/>
    </sheetView>
  </sheetViews>
  <sheetFormatPr defaultRowHeight="15" x14ac:dyDescent="0.25"/>
  <cols>
    <col min="1" max="1" width="25.7109375" style="4" customWidth="1"/>
    <col min="2" max="2" width="15.7109375" style="2" bestFit="1" customWidth="1"/>
    <col min="3" max="3" width="80.7109375" style="4" customWidth="1"/>
    <col min="4" max="4" width="40.7109375" style="4" customWidth="1"/>
    <col min="5" max="5" width="8.7109375" style="2" bestFit="1" customWidth="1"/>
    <col min="6" max="6" width="36.85546875" customWidth="1"/>
    <col min="7" max="7" width="100.7109375" style="4" customWidth="1"/>
  </cols>
  <sheetData>
    <row r="1" spans="1:7" x14ac:dyDescent="0.25">
      <c r="A1" s="5" t="s">
        <v>5213</v>
      </c>
      <c r="B1" s="6" t="s">
        <v>5214</v>
      </c>
      <c r="C1" s="5" t="s">
        <v>0</v>
      </c>
      <c r="D1" s="5" t="s">
        <v>1</v>
      </c>
      <c r="E1" s="6" t="s">
        <v>2</v>
      </c>
      <c r="F1" s="7" t="s">
        <v>3</v>
      </c>
      <c r="G1" s="5" t="s">
        <v>4</v>
      </c>
    </row>
    <row r="2" spans="1:7" x14ac:dyDescent="0.25">
      <c r="A2" s="4" t="s">
        <v>5238</v>
      </c>
      <c r="B2" s="2">
        <f>VALUE("7295")</f>
        <v>7295</v>
      </c>
      <c r="C2" s="4" t="s">
        <v>1380</v>
      </c>
      <c r="D2" s="4" t="s">
        <v>1381</v>
      </c>
      <c r="E2" s="2">
        <f>VALUE("2012")</f>
        <v>2012</v>
      </c>
      <c r="F2" t="s">
        <v>1382</v>
      </c>
      <c r="G2" s="8" t="s">
        <v>1383</v>
      </c>
    </row>
    <row r="3" spans="1:7" x14ac:dyDescent="0.25">
      <c r="A3" s="4" t="s">
        <v>2965</v>
      </c>
      <c r="B3" s="2">
        <f>VALUE("7970")</f>
        <v>7970</v>
      </c>
      <c r="C3" s="4" t="s">
        <v>2964</v>
      </c>
      <c r="D3" s="4" t="s">
        <v>293</v>
      </c>
      <c r="E3" s="2">
        <f>VALUE("2018")</f>
        <v>2018</v>
      </c>
      <c r="F3" t="s">
        <v>2965</v>
      </c>
      <c r="G3" s="8" t="s">
        <v>5221</v>
      </c>
    </row>
    <row r="4" spans="1:7" x14ac:dyDescent="0.25">
      <c r="A4" s="4" t="s">
        <v>806</v>
      </c>
      <c r="B4" s="2">
        <f t="shared" ref="B4:B27" si="0">VALUE("7110")</f>
        <v>7110</v>
      </c>
      <c r="C4" s="4" t="s">
        <v>830</v>
      </c>
      <c r="D4" s="4" t="s">
        <v>293</v>
      </c>
      <c r="E4" s="2">
        <f>VALUE("2018")</f>
        <v>2018</v>
      </c>
      <c r="F4" s="4" t="s">
        <v>806</v>
      </c>
      <c r="G4" s="8" t="s">
        <v>831</v>
      </c>
    </row>
    <row r="5" spans="1:7" x14ac:dyDescent="0.25">
      <c r="A5" s="4" t="s">
        <v>806</v>
      </c>
      <c r="B5" s="2">
        <f t="shared" si="0"/>
        <v>7110</v>
      </c>
      <c r="C5" s="4" t="s">
        <v>832</v>
      </c>
      <c r="D5" s="4" t="s">
        <v>833</v>
      </c>
      <c r="E5" s="2">
        <f>VALUE("2017")</f>
        <v>2017</v>
      </c>
      <c r="F5" s="4" t="s">
        <v>806</v>
      </c>
      <c r="G5" s="8" t="s">
        <v>834</v>
      </c>
    </row>
    <row r="6" spans="1:7" x14ac:dyDescent="0.25">
      <c r="A6" s="4" t="s">
        <v>806</v>
      </c>
      <c r="B6" s="2">
        <f t="shared" si="0"/>
        <v>7110</v>
      </c>
      <c r="C6" s="4" t="s">
        <v>841</v>
      </c>
      <c r="D6" s="4" t="s">
        <v>836</v>
      </c>
      <c r="E6" s="2">
        <f>VALUE("2018")</f>
        <v>2018</v>
      </c>
      <c r="F6" t="s">
        <v>806</v>
      </c>
      <c r="G6" s="8" t="s">
        <v>842</v>
      </c>
    </row>
    <row r="7" spans="1:7" x14ac:dyDescent="0.25">
      <c r="A7" s="4" t="s">
        <v>806</v>
      </c>
      <c r="B7" s="2">
        <f t="shared" si="0"/>
        <v>7110</v>
      </c>
      <c r="C7" s="4" t="s">
        <v>835</v>
      </c>
      <c r="D7" s="4" t="s">
        <v>836</v>
      </c>
      <c r="E7" s="2">
        <f>VALUE("2018")</f>
        <v>2018</v>
      </c>
      <c r="F7" s="4" t="s">
        <v>806</v>
      </c>
      <c r="G7" s="8" t="s">
        <v>837</v>
      </c>
    </row>
    <row r="8" spans="1:7" x14ac:dyDescent="0.25">
      <c r="A8" s="4" t="s">
        <v>806</v>
      </c>
      <c r="B8" s="2">
        <f t="shared" si="0"/>
        <v>7110</v>
      </c>
      <c r="C8" s="4" t="s">
        <v>846</v>
      </c>
      <c r="D8" s="4" t="s">
        <v>836</v>
      </c>
      <c r="E8" s="2">
        <f>VALUE("2019")</f>
        <v>2019</v>
      </c>
      <c r="F8" t="s">
        <v>806</v>
      </c>
      <c r="G8" s="8" t="s">
        <v>847</v>
      </c>
    </row>
    <row r="9" spans="1:7" x14ac:dyDescent="0.25">
      <c r="A9" s="4" t="s">
        <v>806</v>
      </c>
      <c r="B9" s="2">
        <f t="shared" si="0"/>
        <v>7110</v>
      </c>
      <c r="C9" s="4" t="s">
        <v>845</v>
      </c>
      <c r="D9" s="4" t="s">
        <v>293</v>
      </c>
      <c r="E9" s="2">
        <f>VALUE("2019")</f>
        <v>2019</v>
      </c>
      <c r="F9" t="s">
        <v>806</v>
      </c>
    </row>
    <row r="10" spans="1:7" x14ac:dyDescent="0.25">
      <c r="A10" s="4" t="s">
        <v>806</v>
      </c>
      <c r="B10" s="2">
        <f t="shared" si="0"/>
        <v>7110</v>
      </c>
      <c r="C10" s="4" t="s">
        <v>804</v>
      </c>
      <c r="D10" s="4" t="s">
        <v>805</v>
      </c>
      <c r="E10" s="2">
        <f>VALUE("2014")</f>
        <v>2014</v>
      </c>
      <c r="F10" s="4" t="s">
        <v>806</v>
      </c>
      <c r="G10" s="8" t="s">
        <v>807</v>
      </c>
    </row>
    <row r="11" spans="1:7" x14ac:dyDescent="0.25">
      <c r="A11" s="4" t="s">
        <v>806</v>
      </c>
      <c r="B11" s="2">
        <f t="shared" si="0"/>
        <v>7110</v>
      </c>
      <c r="C11" s="4" t="s">
        <v>853</v>
      </c>
      <c r="D11" s="4" t="s">
        <v>854</v>
      </c>
      <c r="E11" s="2">
        <f>VALUE("2019")</f>
        <v>2019</v>
      </c>
      <c r="F11" t="s">
        <v>806</v>
      </c>
      <c r="G11" s="8" t="s">
        <v>855</v>
      </c>
    </row>
    <row r="12" spans="1:7" x14ac:dyDescent="0.25">
      <c r="A12" s="4" t="s">
        <v>806</v>
      </c>
      <c r="B12" s="2">
        <f t="shared" si="0"/>
        <v>7110</v>
      </c>
      <c r="C12" s="4" t="s">
        <v>838</v>
      </c>
      <c r="D12" s="4" t="s">
        <v>839</v>
      </c>
      <c r="E12" s="2">
        <f>VALUE("2018")</f>
        <v>2018</v>
      </c>
      <c r="F12" t="s">
        <v>806</v>
      </c>
      <c r="G12" s="8" t="s">
        <v>840</v>
      </c>
    </row>
    <row r="13" spans="1:7" x14ac:dyDescent="0.25">
      <c r="A13" s="4" t="s">
        <v>806</v>
      </c>
      <c r="B13" s="2">
        <f t="shared" si="0"/>
        <v>7110</v>
      </c>
      <c r="C13" s="4" t="s">
        <v>828</v>
      </c>
      <c r="D13" s="4" t="s">
        <v>293</v>
      </c>
      <c r="E13" s="2">
        <f>VALUE("2018")</f>
        <v>2018</v>
      </c>
      <c r="F13" s="4" t="s">
        <v>806</v>
      </c>
      <c r="G13" s="8" t="s">
        <v>829</v>
      </c>
    </row>
    <row r="14" spans="1:7" x14ac:dyDescent="0.25">
      <c r="A14" s="4" t="s">
        <v>806</v>
      </c>
      <c r="B14" s="2">
        <f t="shared" si="0"/>
        <v>7110</v>
      </c>
      <c r="C14" s="4" t="s">
        <v>808</v>
      </c>
      <c r="D14" s="4" t="s">
        <v>293</v>
      </c>
      <c r="E14" s="2">
        <f>VALUE("2017")</f>
        <v>2017</v>
      </c>
      <c r="F14" s="4" t="s">
        <v>806</v>
      </c>
      <c r="G14" s="8" t="s">
        <v>809</v>
      </c>
    </row>
    <row r="15" spans="1:7" x14ac:dyDescent="0.25">
      <c r="A15" s="4" t="s">
        <v>806</v>
      </c>
      <c r="B15" s="2">
        <f t="shared" si="0"/>
        <v>7110</v>
      </c>
      <c r="C15" s="4" t="s">
        <v>818</v>
      </c>
      <c r="D15" s="4" t="s">
        <v>293</v>
      </c>
      <c r="E15" s="2">
        <f>VALUE("2017")</f>
        <v>2017</v>
      </c>
      <c r="F15" s="4" t="s">
        <v>806</v>
      </c>
      <c r="G15" s="8" t="s">
        <v>819</v>
      </c>
    </row>
    <row r="16" spans="1:7" x14ac:dyDescent="0.25">
      <c r="A16" s="4" t="s">
        <v>806</v>
      </c>
      <c r="B16" s="2">
        <f t="shared" si="0"/>
        <v>7110</v>
      </c>
      <c r="C16" s="4" t="s">
        <v>814</v>
      </c>
      <c r="D16" s="4" t="s">
        <v>293</v>
      </c>
      <c r="E16" s="2">
        <f>VALUE("2017")</f>
        <v>2017</v>
      </c>
      <c r="F16" s="4" t="s">
        <v>806</v>
      </c>
      <c r="G16" s="8" t="s">
        <v>815</v>
      </c>
    </row>
    <row r="17" spans="1:7" x14ac:dyDescent="0.25">
      <c r="A17" s="4" t="s">
        <v>806</v>
      </c>
      <c r="B17" s="2">
        <f t="shared" si="0"/>
        <v>7110</v>
      </c>
      <c r="C17" s="4" t="s">
        <v>820</v>
      </c>
      <c r="D17" s="4" t="s">
        <v>293</v>
      </c>
      <c r="E17" s="2">
        <f>VALUE("2017")</f>
        <v>2017</v>
      </c>
      <c r="F17" s="4" t="s">
        <v>806</v>
      </c>
      <c r="G17" s="8" t="s">
        <v>821</v>
      </c>
    </row>
    <row r="18" spans="1:7" x14ac:dyDescent="0.25">
      <c r="A18" s="4" t="s">
        <v>806</v>
      </c>
      <c r="B18" s="2">
        <f t="shared" si="0"/>
        <v>7110</v>
      </c>
      <c r="C18" s="4" t="s">
        <v>851</v>
      </c>
      <c r="D18" s="4" t="s">
        <v>293</v>
      </c>
      <c r="E18" s="2">
        <f>VALUE("2019")</f>
        <v>2019</v>
      </c>
      <c r="F18" t="s">
        <v>806</v>
      </c>
      <c r="G18" s="8" t="s">
        <v>852</v>
      </c>
    </row>
    <row r="19" spans="1:7" x14ac:dyDescent="0.25">
      <c r="A19" s="4" t="s">
        <v>806</v>
      </c>
      <c r="B19" s="2">
        <f t="shared" si="0"/>
        <v>7110</v>
      </c>
      <c r="C19" s="4" t="s">
        <v>816</v>
      </c>
      <c r="D19" s="4" t="s">
        <v>293</v>
      </c>
      <c r="E19" s="2">
        <f>VALUE("2017")</f>
        <v>2017</v>
      </c>
      <c r="F19" s="4" t="s">
        <v>806</v>
      </c>
      <c r="G19" s="8" t="s">
        <v>817</v>
      </c>
    </row>
    <row r="20" spans="1:7" x14ac:dyDescent="0.25">
      <c r="A20" s="4" t="s">
        <v>806</v>
      </c>
      <c r="B20" s="2">
        <f t="shared" si="0"/>
        <v>7110</v>
      </c>
      <c r="C20" s="4" t="s">
        <v>822</v>
      </c>
      <c r="D20" s="4" t="s">
        <v>293</v>
      </c>
      <c r="E20" s="2">
        <f>VALUE("2017")</f>
        <v>2017</v>
      </c>
      <c r="F20" s="4" t="s">
        <v>806</v>
      </c>
      <c r="G20" s="8" t="s">
        <v>823</v>
      </c>
    </row>
    <row r="21" spans="1:7" x14ac:dyDescent="0.25">
      <c r="A21" s="4" t="s">
        <v>806</v>
      </c>
      <c r="B21" s="2">
        <f t="shared" si="0"/>
        <v>7110</v>
      </c>
      <c r="C21" s="4" t="s">
        <v>856</v>
      </c>
      <c r="D21" s="4" t="s">
        <v>293</v>
      </c>
      <c r="E21" s="2">
        <f>VALUE("2019")</f>
        <v>2019</v>
      </c>
      <c r="F21" t="s">
        <v>806</v>
      </c>
      <c r="G21" s="8" t="s">
        <v>857</v>
      </c>
    </row>
    <row r="22" spans="1:7" x14ac:dyDescent="0.25">
      <c r="A22" s="4" t="s">
        <v>806</v>
      </c>
      <c r="B22" s="2">
        <f t="shared" si="0"/>
        <v>7110</v>
      </c>
      <c r="C22" s="4" t="s">
        <v>843</v>
      </c>
      <c r="D22" s="4" t="s">
        <v>293</v>
      </c>
      <c r="E22" s="2">
        <f>VALUE("2018")</f>
        <v>2018</v>
      </c>
      <c r="F22" t="s">
        <v>806</v>
      </c>
      <c r="G22" s="8" t="s">
        <v>844</v>
      </c>
    </row>
    <row r="23" spans="1:7" x14ac:dyDescent="0.25">
      <c r="A23" s="4" t="s">
        <v>806</v>
      </c>
      <c r="B23" s="2">
        <f t="shared" si="0"/>
        <v>7110</v>
      </c>
      <c r="C23" s="4" t="s">
        <v>848</v>
      </c>
      <c r="D23" s="4" t="s">
        <v>849</v>
      </c>
      <c r="E23" s="2">
        <f>VALUE("2019")</f>
        <v>2019</v>
      </c>
      <c r="F23" t="s">
        <v>806</v>
      </c>
      <c r="G23" s="8" t="s">
        <v>850</v>
      </c>
    </row>
    <row r="24" spans="1:7" x14ac:dyDescent="0.25">
      <c r="A24" s="4" t="s">
        <v>806</v>
      </c>
      <c r="B24" s="2">
        <f t="shared" si="0"/>
        <v>7110</v>
      </c>
      <c r="C24" s="4" t="s">
        <v>824</v>
      </c>
      <c r="D24" s="4" t="s">
        <v>293</v>
      </c>
      <c r="E24" s="2">
        <f>VALUE("2017")</f>
        <v>2017</v>
      </c>
      <c r="F24" s="4" t="s">
        <v>806</v>
      </c>
      <c r="G24" s="8" t="s">
        <v>825</v>
      </c>
    </row>
    <row r="25" spans="1:7" x14ac:dyDescent="0.25">
      <c r="A25" s="4" t="s">
        <v>806</v>
      </c>
      <c r="B25" s="2">
        <f t="shared" si="0"/>
        <v>7110</v>
      </c>
      <c r="C25" s="4" t="s">
        <v>810</v>
      </c>
      <c r="D25" s="4" t="s">
        <v>293</v>
      </c>
      <c r="E25" s="2">
        <f>VALUE("2017")</f>
        <v>2017</v>
      </c>
      <c r="F25" s="4" t="s">
        <v>806</v>
      </c>
      <c r="G25" s="8" t="s">
        <v>811</v>
      </c>
    </row>
    <row r="26" spans="1:7" x14ac:dyDescent="0.25">
      <c r="A26" s="4" t="s">
        <v>806</v>
      </c>
      <c r="B26" s="2">
        <f t="shared" si="0"/>
        <v>7110</v>
      </c>
      <c r="C26" s="4" t="s">
        <v>812</v>
      </c>
      <c r="D26" s="4" t="s">
        <v>293</v>
      </c>
      <c r="E26" s="2">
        <f>VALUE("2017")</f>
        <v>2017</v>
      </c>
      <c r="F26" s="4" t="s">
        <v>806</v>
      </c>
      <c r="G26" s="8" t="s">
        <v>813</v>
      </c>
    </row>
    <row r="27" spans="1:7" x14ac:dyDescent="0.25">
      <c r="A27" s="4" t="s">
        <v>806</v>
      </c>
      <c r="B27" s="2">
        <f t="shared" si="0"/>
        <v>7110</v>
      </c>
      <c r="C27" s="4" t="s">
        <v>826</v>
      </c>
      <c r="D27" s="4" t="s">
        <v>293</v>
      </c>
      <c r="E27" s="2">
        <f>VALUE("2017")</f>
        <v>2017</v>
      </c>
      <c r="F27" s="4" t="s">
        <v>806</v>
      </c>
      <c r="G27" s="8" t="s">
        <v>827</v>
      </c>
    </row>
    <row r="28" spans="1:7" x14ac:dyDescent="0.25">
      <c r="A28" s="4" t="s">
        <v>806</v>
      </c>
      <c r="B28" s="2">
        <f>VALUE("7170")</f>
        <v>7170</v>
      </c>
      <c r="C28" s="4" t="s">
        <v>1006</v>
      </c>
      <c r="D28" s="4" t="s">
        <v>1007</v>
      </c>
      <c r="E28" s="2">
        <f>VALUE("2012")</f>
        <v>2012</v>
      </c>
      <c r="F28" t="s">
        <v>806</v>
      </c>
    </row>
    <row r="29" spans="1:7" x14ac:dyDescent="0.25">
      <c r="A29" s="4" t="s">
        <v>806</v>
      </c>
      <c r="B29" s="2">
        <f>VALUE("7515")</f>
        <v>7515</v>
      </c>
      <c r="C29" s="4" t="s">
        <v>1889</v>
      </c>
      <c r="D29" s="4" t="s">
        <v>293</v>
      </c>
      <c r="E29" s="2">
        <f>VALUE("2013")</f>
        <v>2013</v>
      </c>
      <c r="F29" s="4" t="s">
        <v>806</v>
      </c>
      <c r="G29" s="8" t="s">
        <v>5239</v>
      </c>
    </row>
    <row r="30" spans="1:7" x14ac:dyDescent="0.25">
      <c r="A30" s="4" t="s">
        <v>806</v>
      </c>
      <c r="B30" s="2">
        <f>VALUE("7588")</f>
        <v>7588</v>
      </c>
      <c r="C30" s="4" t="s">
        <v>2011</v>
      </c>
      <c r="D30" s="4" t="s">
        <v>2012</v>
      </c>
      <c r="E30" s="2">
        <f>VALUE("2017")</f>
        <v>2017</v>
      </c>
      <c r="F30" t="s">
        <v>806</v>
      </c>
      <c r="G30" s="8" t="s">
        <v>2013</v>
      </c>
    </row>
    <row r="31" spans="1:7" x14ac:dyDescent="0.25">
      <c r="A31" s="4" t="s">
        <v>806</v>
      </c>
      <c r="B31" s="2">
        <f>VALUE("7588")</f>
        <v>7588</v>
      </c>
      <c r="C31" s="4" t="s">
        <v>2014</v>
      </c>
      <c r="D31" s="4" t="s">
        <v>293</v>
      </c>
      <c r="E31" s="2">
        <f>VALUE("2016")</f>
        <v>2016</v>
      </c>
      <c r="F31" t="s">
        <v>806</v>
      </c>
      <c r="G31" s="8" t="s">
        <v>2015</v>
      </c>
    </row>
    <row r="32" spans="1:7" x14ac:dyDescent="0.25">
      <c r="A32" s="4" t="s">
        <v>806</v>
      </c>
      <c r="B32" s="2">
        <f>VALUE("7841")</f>
        <v>7841</v>
      </c>
      <c r="C32" s="4" t="s">
        <v>2687</v>
      </c>
      <c r="D32" s="4" t="s">
        <v>2688</v>
      </c>
      <c r="E32" s="2">
        <f>VALUE("2017")</f>
        <v>2017</v>
      </c>
      <c r="F32" t="s">
        <v>806</v>
      </c>
    </row>
    <row r="33" spans="1:7" x14ac:dyDescent="0.25">
      <c r="A33" s="4" t="s">
        <v>806</v>
      </c>
      <c r="B33" s="2">
        <f>VALUE("7841")</f>
        <v>7841</v>
      </c>
      <c r="C33" s="4" t="s">
        <v>2689</v>
      </c>
      <c r="D33" s="4" t="s">
        <v>293</v>
      </c>
      <c r="E33" s="2">
        <f>VALUE("2022")</f>
        <v>2022</v>
      </c>
      <c r="F33" t="s">
        <v>806</v>
      </c>
      <c r="G33" s="8" t="s">
        <v>2690</v>
      </c>
    </row>
    <row r="34" spans="1:7" x14ac:dyDescent="0.25">
      <c r="A34" s="4" t="s">
        <v>806</v>
      </c>
      <c r="B34" s="2">
        <f>VALUE("7844")</f>
        <v>7844</v>
      </c>
      <c r="C34" s="4" t="s">
        <v>2696</v>
      </c>
      <c r="D34" s="4" t="s">
        <v>293</v>
      </c>
      <c r="E34" s="2">
        <f>VALUE("2023")</f>
        <v>2023</v>
      </c>
      <c r="F34" t="s">
        <v>806</v>
      </c>
      <c r="G34" s="8" t="s">
        <v>2697</v>
      </c>
    </row>
    <row r="35" spans="1:7" x14ac:dyDescent="0.25">
      <c r="A35" s="4" t="s">
        <v>806</v>
      </c>
      <c r="B35" s="2">
        <f>VALUE("7844")</f>
        <v>7844</v>
      </c>
      <c r="C35" s="4" t="s">
        <v>2693</v>
      </c>
      <c r="D35" s="4" t="s">
        <v>2694</v>
      </c>
      <c r="E35" s="2">
        <f>VALUE("2023")</f>
        <v>2023</v>
      </c>
      <c r="F35" t="s">
        <v>806</v>
      </c>
      <c r="G35" s="8" t="s">
        <v>2695</v>
      </c>
    </row>
    <row r="36" spans="1:7" x14ac:dyDescent="0.25">
      <c r="A36" s="4" t="s">
        <v>806</v>
      </c>
      <c r="B36" s="2">
        <f>VALUE("7844")</f>
        <v>7844</v>
      </c>
      <c r="C36" s="4" t="s">
        <v>2691</v>
      </c>
      <c r="D36" s="4" t="s">
        <v>293</v>
      </c>
      <c r="E36" s="2">
        <f>VALUE("2020")</f>
        <v>2020</v>
      </c>
      <c r="F36" t="s">
        <v>806</v>
      </c>
      <c r="G36" s="8" t="s">
        <v>2692</v>
      </c>
    </row>
    <row r="37" spans="1:7" x14ac:dyDescent="0.25">
      <c r="A37" s="4" t="s">
        <v>806</v>
      </c>
      <c r="B37" s="2">
        <f>VALUE("8380")</f>
        <v>8380</v>
      </c>
      <c r="C37" s="4" t="s">
        <v>3839</v>
      </c>
      <c r="D37" s="4" t="s">
        <v>3840</v>
      </c>
      <c r="E37" s="2">
        <f>VALUE("2019")</f>
        <v>2019</v>
      </c>
      <c r="F37" t="s">
        <v>806</v>
      </c>
      <c r="G37" s="8" t="s">
        <v>3841</v>
      </c>
    </row>
    <row r="38" spans="1:7" x14ac:dyDescent="0.25">
      <c r="A38" s="4" t="s">
        <v>806</v>
      </c>
      <c r="B38" s="2">
        <f>VALUE("8530")</f>
        <v>8530</v>
      </c>
      <c r="C38" s="4" t="s">
        <v>4192</v>
      </c>
      <c r="D38" s="4" t="s">
        <v>4193</v>
      </c>
      <c r="E38" s="2">
        <f>VALUE("2022")</f>
        <v>2022</v>
      </c>
      <c r="F38" t="s">
        <v>806</v>
      </c>
      <c r="G38" s="8" t="s">
        <v>4194</v>
      </c>
    </row>
    <row r="39" spans="1:7" x14ac:dyDescent="0.25">
      <c r="A39" s="4" t="s">
        <v>806</v>
      </c>
      <c r="B39" s="2">
        <f>VALUE("8530")</f>
        <v>8530</v>
      </c>
      <c r="C39" s="4" t="s">
        <v>4186</v>
      </c>
      <c r="D39" s="4" t="s">
        <v>4187</v>
      </c>
      <c r="E39" s="2">
        <f>VALUE("2018")</f>
        <v>2018</v>
      </c>
      <c r="F39" t="s">
        <v>806</v>
      </c>
      <c r="G39" s="8" t="s">
        <v>4188</v>
      </c>
    </row>
    <row r="40" spans="1:7" x14ac:dyDescent="0.25">
      <c r="A40" s="4" t="s">
        <v>806</v>
      </c>
      <c r="B40" s="2">
        <f>VALUE("8530")</f>
        <v>8530</v>
      </c>
      <c r="C40" s="4" t="s">
        <v>4189</v>
      </c>
      <c r="D40" s="4" t="s">
        <v>4190</v>
      </c>
      <c r="E40" s="2">
        <f>VALUE("2022")</f>
        <v>2022</v>
      </c>
      <c r="F40" t="s">
        <v>806</v>
      </c>
      <c r="G40" s="8" t="s">
        <v>4191</v>
      </c>
    </row>
    <row r="41" spans="1:7" x14ac:dyDescent="0.25">
      <c r="A41" s="4" t="s">
        <v>806</v>
      </c>
      <c r="B41" s="2">
        <f>VALUE("8530")</f>
        <v>8530</v>
      </c>
      <c r="C41" s="4" t="s">
        <v>4184</v>
      </c>
      <c r="D41" s="4" t="s">
        <v>293</v>
      </c>
      <c r="E41" s="2">
        <f>VALUE("2021")</f>
        <v>2021</v>
      </c>
      <c r="F41" t="s">
        <v>806</v>
      </c>
      <c r="G41" s="8" t="s">
        <v>4185</v>
      </c>
    </row>
    <row r="42" spans="1:7" x14ac:dyDescent="0.25">
      <c r="A42" s="4" t="s">
        <v>806</v>
      </c>
      <c r="B42" s="2">
        <f>VALUE("8667")</f>
        <v>8667</v>
      </c>
      <c r="C42" s="4" t="s">
        <v>4489</v>
      </c>
      <c r="D42" s="4" t="s">
        <v>293</v>
      </c>
      <c r="E42" s="2">
        <f>VALUE("2020")</f>
        <v>2020</v>
      </c>
      <c r="F42" t="s">
        <v>806</v>
      </c>
      <c r="G42" s="8" t="s">
        <v>4490</v>
      </c>
    </row>
    <row r="43" spans="1:7" x14ac:dyDescent="0.25">
      <c r="A43" s="4" t="s">
        <v>806</v>
      </c>
      <c r="B43" s="2">
        <f>VALUE("8708")</f>
        <v>8708</v>
      </c>
      <c r="C43" s="4" t="s">
        <v>4531</v>
      </c>
      <c r="D43" s="4" t="s">
        <v>293</v>
      </c>
      <c r="E43" s="2">
        <f>VALUE("2022")</f>
        <v>2022</v>
      </c>
      <c r="F43" t="s">
        <v>806</v>
      </c>
      <c r="G43" s="8" t="s">
        <v>4532</v>
      </c>
    </row>
    <row r="44" spans="1:7" x14ac:dyDescent="0.25">
      <c r="A44" s="4" t="s">
        <v>806</v>
      </c>
      <c r="B44" s="2">
        <f t="shared" ref="B44:B60" si="1">VALUE("8720")</f>
        <v>8720</v>
      </c>
      <c r="C44" s="4" t="s">
        <v>4576</v>
      </c>
      <c r="D44" s="4" t="s">
        <v>836</v>
      </c>
      <c r="E44" s="2">
        <f>VALUE("2020")</f>
        <v>2020</v>
      </c>
      <c r="F44" t="s">
        <v>806</v>
      </c>
    </row>
    <row r="45" spans="1:7" x14ac:dyDescent="0.25">
      <c r="A45" s="4" t="s">
        <v>806</v>
      </c>
      <c r="B45" s="2">
        <f t="shared" si="1"/>
        <v>8720</v>
      </c>
      <c r="C45" s="4" t="s">
        <v>4566</v>
      </c>
      <c r="D45" s="4" t="s">
        <v>293</v>
      </c>
      <c r="E45" s="2">
        <f>VALUE("2020")</f>
        <v>2020</v>
      </c>
      <c r="F45" t="s">
        <v>806</v>
      </c>
      <c r="G45" s="8" t="s">
        <v>4567</v>
      </c>
    </row>
    <row r="46" spans="1:7" x14ac:dyDescent="0.25">
      <c r="A46" s="4" t="s">
        <v>806</v>
      </c>
      <c r="B46" s="2">
        <f t="shared" si="1"/>
        <v>8720</v>
      </c>
      <c r="C46" s="4" t="s">
        <v>4566</v>
      </c>
      <c r="D46" s="4" t="s">
        <v>293</v>
      </c>
      <c r="E46" s="2">
        <f>VALUE("2020")</f>
        <v>2020</v>
      </c>
      <c r="F46" t="s">
        <v>806</v>
      </c>
    </row>
    <row r="47" spans="1:7" x14ac:dyDescent="0.25">
      <c r="A47" s="4" t="s">
        <v>806</v>
      </c>
      <c r="B47" s="2">
        <f t="shared" si="1"/>
        <v>8720</v>
      </c>
      <c r="C47" s="4" t="s">
        <v>4580</v>
      </c>
      <c r="D47" s="4" t="s">
        <v>293</v>
      </c>
      <c r="E47" s="2">
        <f>VALUE("2020")</f>
        <v>2020</v>
      </c>
      <c r="F47" t="s">
        <v>806</v>
      </c>
      <c r="G47" s="8" t="s">
        <v>4581</v>
      </c>
    </row>
    <row r="48" spans="1:7" x14ac:dyDescent="0.25">
      <c r="A48" s="4" t="s">
        <v>806</v>
      </c>
      <c r="B48" s="2">
        <f t="shared" si="1"/>
        <v>8720</v>
      </c>
      <c r="C48" s="4" t="s">
        <v>4572</v>
      </c>
      <c r="D48" s="4" t="s">
        <v>293</v>
      </c>
      <c r="E48" s="2">
        <f>VALUE("2020")</f>
        <v>2020</v>
      </c>
      <c r="F48" t="s">
        <v>806</v>
      </c>
      <c r="G48" s="8" t="s">
        <v>4573</v>
      </c>
    </row>
    <row r="49" spans="1:7" x14ac:dyDescent="0.25">
      <c r="A49" s="4" t="s">
        <v>806</v>
      </c>
      <c r="B49" s="2">
        <f t="shared" si="1"/>
        <v>8720</v>
      </c>
      <c r="C49" s="4" t="s">
        <v>4585</v>
      </c>
      <c r="D49" s="4" t="s">
        <v>836</v>
      </c>
      <c r="E49" s="2">
        <f>VALUE("2022")</f>
        <v>2022</v>
      </c>
      <c r="F49" t="s">
        <v>4583</v>
      </c>
      <c r="G49" s="8" t="s">
        <v>4586</v>
      </c>
    </row>
    <row r="50" spans="1:7" x14ac:dyDescent="0.25">
      <c r="A50" s="4" t="s">
        <v>806</v>
      </c>
      <c r="B50" s="2">
        <f t="shared" si="1"/>
        <v>8720</v>
      </c>
      <c r="C50" s="4" t="s">
        <v>4585</v>
      </c>
      <c r="D50" s="4" t="s">
        <v>836</v>
      </c>
      <c r="E50" s="2">
        <f>VALUE("2022")</f>
        <v>2022</v>
      </c>
      <c r="F50" t="s">
        <v>4583</v>
      </c>
      <c r="G50" s="8" t="s">
        <v>4587</v>
      </c>
    </row>
    <row r="51" spans="1:7" x14ac:dyDescent="0.25">
      <c r="A51" s="4" t="s">
        <v>806</v>
      </c>
      <c r="B51" s="2">
        <f t="shared" si="1"/>
        <v>8720</v>
      </c>
      <c r="C51" s="4" t="s">
        <v>4588</v>
      </c>
      <c r="D51" s="4" t="s">
        <v>293</v>
      </c>
      <c r="E51" s="2">
        <f>VALUE("2022")</f>
        <v>2022</v>
      </c>
      <c r="F51" t="s">
        <v>806</v>
      </c>
      <c r="G51" s="8" t="s">
        <v>4589</v>
      </c>
    </row>
    <row r="52" spans="1:7" x14ac:dyDescent="0.25">
      <c r="A52" s="4" t="s">
        <v>806</v>
      </c>
      <c r="B52" s="2">
        <f t="shared" si="1"/>
        <v>8720</v>
      </c>
      <c r="C52" s="4" t="s">
        <v>4582</v>
      </c>
      <c r="D52" s="4" t="s">
        <v>293</v>
      </c>
      <c r="E52" s="2">
        <f>VALUE("2021")</f>
        <v>2021</v>
      </c>
      <c r="F52" t="s">
        <v>4583</v>
      </c>
      <c r="G52" s="8" t="s">
        <v>4584</v>
      </c>
    </row>
    <row r="53" spans="1:7" x14ac:dyDescent="0.25">
      <c r="A53" s="4" t="s">
        <v>806</v>
      </c>
      <c r="B53" s="2">
        <f t="shared" si="1"/>
        <v>8720</v>
      </c>
      <c r="C53" s="4" t="s">
        <v>4570</v>
      </c>
      <c r="D53" s="4" t="s">
        <v>293</v>
      </c>
      <c r="E53" s="2">
        <f>VALUE("2019")</f>
        <v>2019</v>
      </c>
      <c r="F53" t="s">
        <v>806</v>
      </c>
      <c r="G53" s="8" t="s">
        <v>4571</v>
      </c>
    </row>
    <row r="54" spans="1:7" x14ac:dyDescent="0.25">
      <c r="A54" s="4" t="s">
        <v>806</v>
      </c>
      <c r="B54" s="2">
        <f t="shared" si="1"/>
        <v>8720</v>
      </c>
      <c r="C54" s="4" t="s">
        <v>4574</v>
      </c>
      <c r="D54" s="4" t="s">
        <v>293</v>
      </c>
      <c r="E54" s="2">
        <f>VALUE("2019")</f>
        <v>2019</v>
      </c>
      <c r="F54" t="s">
        <v>806</v>
      </c>
      <c r="G54" s="8" t="s">
        <v>4575</v>
      </c>
    </row>
    <row r="55" spans="1:7" x14ac:dyDescent="0.25">
      <c r="A55" s="4" t="s">
        <v>806</v>
      </c>
      <c r="B55" s="2">
        <f t="shared" si="1"/>
        <v>8720</v>
      </c>
      <c r="C55" s="4" t="s">
        <v>4564</v>
      </c>
      <c r="D55" s="4" t="s">
        <v>293</v>
      </c>
      <c r="E55" s="2">
        <f>VALUE("2020")</f>
        <v>2020</v>
      </c>
      <c r="F55" t="s">
        <v>806</v>
      </c>
      <c r="G55" s="8" t="s">
        <v>4565</v>
      </c>
    </row>
    <row r="56" spans="1:7" x14ac:dyDescent="0.25">
      <c r="A56" s="4" t="s">
        <v>806</v>
      </c>
      <c r="B56" s="2">
        <f t="shared" si="1"/>
        <v>8720</v>
      </c>
      <c r="C56" s="4" t="s">
        <v>4562</v>
      </c>
      <c r="D56" s="4" t="s">
        <v>293</v>
      </c>
      <c r="E56" s="2">
        <f>VALUE("2020")</f>
        <v>2020</v>
      </c>
      <c r="F56" t="s">
        <v>806</v>
      </c>
      <c r="G56" s="8" t="s">
        <v>4563</v>
      </c>
    </row>
    <row r="57" spans="1:7" x14ac:dyDescent="0.25">
      <c r="A57" s="4" t="s">
        <v>806</v>
      </c>
      <c r="B57" s="2">
        <f t="shared" si="1"/>
        <v>8720</v>
      </c>
      <c r="C57" s="4" t="s">
        <v>4560</v>
      </c>
      <c r="D57" s="4" t="s">
        <v>293</v>
      </c>
      <c r="E57" s="2">
        <f>VALUE("2020")</f>
        <v>2020</v>
      </c>
      <c r="F57" t="s">
        <v>806</v>
      </c>
      <c r="G57" s="8" t="s">
        <v>4561</v>
      </c>
    </row>
    <row r="58" spans="1:7" x14ac:dyDescent="0.25">
      <c r="A58" s="4" t="s">
        <v>806</v>
      </c>
      <c r="B58" s="2">
        <f t="shared" si="1"/>
        <v>8720</v>
      </c>
      <c r="C58" s="4" t="s">
        <v>4578</v>
      </c>
      <c r="D58" s="4" t="s">
        <v>836</v>
      </c>
      <c r="E58" s="2">
        <f>VALUE("2021")</f>
        <v>2021</v>
      </c>
      <c r="F58" t="s">
        <v>806</v>
      </c>
      <c r="G58" s="8" t="s">
        <v>4579</v>
      </c>
    </row>
    <row r="59" spans="1:7" x14ac:dyDescent="0.25">
      <c r="A59" s="4" t="s">
        <v>806</v>
      </c>
      <c r="B59" s="2">
        <f t="shared" si="1"/>
        <v>8720</v>
      </c>
      <c r="C59" s="4" t="s">
        <v>4577</v>
      </c>
      <c r="D59" s="4" t="s">
        <v>836</v>
      </c>
      <c r="E59" s="2">
        <f>VALUE("2020")</f>
        <v>2020</v>
      </c>
      <c r="F59" t="s">
        <v>806</v>
      </c>
    </row>
    <row r="60" spans="1:7" x14ac:dyDescent="0.25">
      <c r="A60" s="4" t="s">
        <v>806</v>
      </c>
      <c r="B60" s="2">
        <f t="shared" si="1"/>
        <v>8720</v>
      </c>
      <c r="C60" s="4" t="s">
        <v>4568</v>
      </c>
      <c r="D60" s="4" t="s">
        <v>293</v>
      </c>
      <c r="E60" s="2">
        <f>VALUE("2020")</f>
        <v>2020</v>
      </c>
      <c r="F60" t="s">
        <v>806</v>
      </c>
      <c r="G60" s="8" t="s">
        <v>4569</v>
      </c>
    </row>
    <row r="61" spans="1:7" x14ac:dyDescent="0.25">
      <c r="A61" s="4" t="s">
        <v>806</v>
      </c>
      <c r="B61" s="2">
        <f>VALUE("8788")</f>
        <v>8788</v>
      </c>
      <c r="C61" s="4" t="s">
        <v>4703</v>
      </c>
      <c r="D61" s="4" t="s">
        <v>293</v>
      </c>
      <c r="E61" s="2">
        <f>VALUE("2022")</f>
        <v>2022</v>
      </c>
      <c r="F61" t="s">
        <v>806</v>
      </c>
      <c r="G61" s="8" t="s">
        <v>4704</v>
      </c>
    </row>
    <row r="62" spans="1:7" x14ac:dyDescent="0.25">
      <c r="A62" s="4" t="s">
        <v>806</v>
      </c>
      <c r="B62" s="2">
        <f>VALUE("8790")</f>
        <v>8790</v>
      </c>
      <c r="C62" s="4" t="s">
        <v>4708</v>
      </c>
      <c r="D62" s="4" t="s">
        <v>293</v>
      </c>
      <c r="E62" s="2">
        <f>VALUE("2020")</f>
        <v>2020</v>
      </c>
      <c r="F62" t="s">
        <v>806</v>
      </c>
      <c r="G62" s="8" t="s">
        <v>4709</v>
      </c>
    </row>
    <row r="63" spans="1:7" x14ac:dyDescent="0.25">
      <c r="A63" s="4" t="s">
        <v>806</v>
      </c>
      <c r="B63" s="2">
        <f>VALUE("8790")</f>
        <v>8790</v>
      </c>
      <c r="C63" s="4" t="s">
        <v>4710</v>
      </c>
      <c r="D63" s="4" t="s">
        <v>293</v>
      </c>
      <c r="E63" s="2">
        <f>VALUE("2020")</f>
        <v>2020</v>
      </c>
      <c r="F63" t="s">
        <v>806</v>
      </c>
      <c r="G63" s="8" t="s">
        <v>4711</v>
      </c>
    </row>
    <row r="64" spans="1:7" x14ac:dyDescent="0.25">
      <c r="A64" s="4" t="s">
        <v>806</v>
      </c>
      <c r="B64" s="2">
        <f>VALUE("8907")</f>
        <v>8907</v>
      </c>
      <c r="C64" s="4" t="s">
        <v>4860</v>
      </c>
      <c r="D64" s="4" t="s">
        <v>293</v>
      </c>
      <c r="E64" s="2">
        <f>VALUE("2020")</f>
        <v>2020</v>
      </c>
      <c r="F64" t="s">
        <v>806</v>
      </c>
      <c r="G64" s="8" t="s">
        <v>4861</v>
      </c>
    </row>
    <row r="65" spans="1:7" x14ac:dyDescent="0.25">
      <c r="A65" s="4" t="s">
        <v>806</v>
      </c>
      <c r="B65" s="2">
        <f>VALUE("9063")</f>
        <v>9063</v>
      </c>
      <c r="C65" s="4" t="s">
        <v>4992</v>
      </c>
      <c r="D65" s="4" t="s">
        <v>4993</v>
      </c>
      <c r="E65" s="2">
        <f>VALUE("2022")</f>
        <v>2022</v>
      </c>
      <c r="F65" t="s">
        <v>806</v>
      </c>
      <c r="G65" s="8" t="s">
        <v>4994</v>
      </c>
    </row>
    <row r="66" spans="1:7" x14ac:dyDescent="0.25">
      <c r="A66" s="4" t="s">
        <v>806</v>
      </c>
      <c r="B66" s="2">
        <f>VALUE("9153")</f>
        <v>9153</v>
      </c>
      <c r="C66" s="4" t="s">
        <v>5064</v>
      </c>
      <c r="D66" s="4" t="s">
        <v>5065</v>
      </c>
      <c r="E66" s="2">
        <f>VALUE("2020")</f>
        <v>2020</v>
      </c>
      <c r="F66" t="s">
        <v>806</v>
      </c>
      <c r="G66" s="8" t="s">
        <v>5066</v>
      </c>
    </row>
    <row r="67" spans="1:7" x14ac:dyDescent="0.25">
      <c r="A67" s="4" t="s">
        <v>806</v>
      </c>
      <c r="B67" s="2">
        <f>VALUE("9307")</f>
        <v>9307</v>
      </c>
      <c r="C67" s="4" t="s">
        <v>5165</v>
      </c>
      <c r="D67" s="4" t="s">
        <v>293</v>
      </c>
      <c r="E67" s="2">
        <f>VALUE("2022")</f>
        <v>2022</v>
      </c>
      <c r="F67" t="s">
        <v>5166</v>
      </c>
      <c r="G67" s="8" t="s">
        <v>5167</v>
      </c>
    </row>
    <row r="68" spans="1:7" x14ac:dyDescent="0.25">
      <c r="A68" s="4" t="s">
        <v>806</v>
      </c>
      <c r="B68" s="2">
        <f>VALUE("9368")</f>
        <v>9368</v>
      </c>
      <c r="C68" s="4" t="s">
        <v>5191</v>
      </c>
      <c r="D68" s="4" t="s">
        <v>5065</v>
      </c>
      <c r="E68" s="2">
        <f>VALUE("2022")</f>
        <v>2022</v>
      </c>
      <c r="F68" t="s">
        <v>806</v>
      </c>
      <c r="G68" s="8" t="s">
        <v>5192</v>
      </c>
    </row>
    <row r="69" spans="1:7" x14ac:dyDescent="0.25">
      <c r="A69" s="4" t="s">
        <v>4095</v>
      </c>
      <c r="B69" s="2">
        <f>VALUE("8497")</f>
        <v>8497</v>
      </c>
      <c r="C69" s="4" t="s">
        <v>4093</v>
      </c>
      <c r="D69" s="4" t="s">
        <v>4094</v>
      </c>
      <c r="E69" s="2">
        <f>VALUE("2019")</f>
        <v>2019</v>
      </c>
      <c r="F69" t="s">
        <v>4095</v>
      </c>
      <c r="G69" s="8" t="s">
        <v>4096</v>
      </c>
    </row>
    <row r="70" spans="1:7" x14ac:dyDescent="0.25">
      <c r="A70" s="4" t="s">
        <v>4095</v>
      </c>
      <c r="B70" s="2">
        <f>VALUE("8580")</f>
        <v>8580</v>
      </c>
      <c r="C70" s="4" t="s">
        <v>4293</v>
      </c>
      <c r="D70" s="4" t="s">
        <v>4294</v>
      </c>
      <c r="E70" s="2">
        <f>VALUE("2020")</f>
        <v>2020</v>
      </c>
      <c r="F70" t="s">
        <v>4095</v>
      </c>
      <c r="G70" s="8" t="s">
        <v>4295</v>
      </c>
    </row>
    <row r="71" spans="1:7" x14ac:dyDescent="0.25">
      <c r="A71" s="4" t="s">
        <v>4095</v>
      </c>
      <c r="B71" s="2">
        <f>VALUE("8580")</f>
        <v>8580</v>
      </c>
      <c r="C71" s="4" t="s">
        <v>4296</v>
      </c>
      <c r="D71" s="4" t="s">
        <v>4294</v>
      </c>
      <c r="E71" s="2">
        <f>VALUE("2020")</f>
        <v>2020</v>
      </c>
      <c r="F71" t="s">
        <v>4095</v>
      </c>
    </row>
    <row r="72" spans="1:7" x14ac:dyDescent="0.25">
      <c r="A72" s="4" t="s">
        <v>4095</v>
      </c>
      <c r="B72" s="2">
        <f>VALUE("8794")</f>
        <v>8794</v>
      </c>
      <c r="C72" s="4" t="s">
        <v>4714</v>
      </c>
      <c r="D72" s="4" t="s">
        <v>293</v>
      </c>
      <c r="E72" s="2">
        <f>VALUE("2021")</f>
        <v>2021</v>
      </c>
      <c r="F72" t="s">
        <v>4095</v>
      </c>
    </row>
    <row r="73" spans="1:7" x14ac:dyDescent="0.25">
      <c r="A73" s="4" t="s">
        <v>4095</v>
      </c>
      <c r="B73" s="2">
        <f>VALUE("8794")</f>
        <v>8794</v>
      </c>
      <c r="C73" s="4" t="s">
        <v>4712</v>
      </c>
      <c r="D73" s="4" t="s">
        <v>4713</v>
      </c>
      <c r="E73" s="2">
        <f>VALUE("2020")</f>
        <v>2020</v>
      </c>
      <c r="F73" t="s">
        <v>4095</v>
      </c>
    </row>
    <row r="74" spans="1:7" x14ac:dyDescent="0.25">
      <c r="A74" s="4" t="s">
        <v>4781</v>
      </c>
      <c r="B74" s="2">
        <f>VALUE("8854")</f>
        <v>8854</v>
      </c>
      <c r="C74" s="4" t="s">
        <v>4785</v>
      </c>
      <c r="D74" s="4" t="s">
        <v>4784</v>
      </c>
      <c r="E74" s="2">
        <f>VALUE("2022")</f>
        <v>2022</v>
      </c>
      <c r="F74" t="s">
        <v>4271</v>
      </c>
    </row>
    <row r="75" spans="1:7" x14ac:dyDescent="0.25">
      <c r="A75" s="4" t="s">
        <v>4781</v>
      </c>
      <c r="B75" s="2">
        <f>VALUE("8854")</f>
        <v>8854</v>
      </c>
      <c r="C75" s="4" t="s">
        <v>4783</v>
      </c>
      <c r="D75" s="4" t="s">
        <v>4784</v>
      </c>
      <c r="E75" s="2">
        <f>VALUE("2022")</f>
        <v>2022</v>
      </c>
      <c r="F75" t="s">
        <v>4271</v>
      </c>
    </row>
    <row r="76" spans="1:7" x14ac:dyDescent="0.25">
      <c r="A76" s="4" t="s">
        <v>4781</v>
      </c>
      <c r="B76" s="2">
        <f>VALUE("8854")</f>
        <v>8854</v>
      </c>
      <c r="C76" s="4" t="s">
        <v>4779</v>
      </c>
      <c r="D76" s="4" t="s">
        <v>4780</v>
      </c>
      <c r="E76" s="2">
        <f>VALUE("2022")</f>
        <v>2022</v>
      </c>
      <c r="F76" t="s">
        <v>4271</v>
      </c>
      <c r="G76" s="8" t="s">
        <v>4782</v>
      </c>
    </row>
    <row r="77" spans="1:7" x14ac:dyDescent="0.25">
      <c r="A77" s="4" t="s">
        <v>4781</v>
      </c>
      <c r="B77" s="2">
        <f>VALUE("9290")</f>
        <v>9290</v>
      </c>
      <c r="C77" s="4" t="s">
        <v>5156</v>
      </c>
      <c r="D77" s="4" t="s">
        <v>5157</v>
      </c>
      <c r="E77" s="2">
        <f>VALUE("2023")</f>
        <v>2023</v>
      </c>
      <c r="F77" t="s">
        <v>4271</v>
      </c>
      <c r="G77" s="8" t="s">
        <v>5158</v>
      </c>
    </row>
    <row r="78" spans="1:7" x14ac:dyDescent="0.25">
      <c r="A78" s="4" t="s">
        <v>4272</v>
      </c>
      <c r="B78" s="2">
        <f>VALUE("8568")</f>
        <v>8568</v>
      </c>
      <c r="C78" s="4" t="s">
        <v>4269</v>
      </c>
      <c r="D78" s="4" t="s">
        <v>4270</v>
      </c>
      <c r="E78" s="2">
        <f>VALUE("2021")</f>
        <v>2021</v>
      </c>
      <c r="F78" t="s">
        <v>4271</v>
      </c>
    </row>
    <row r="79" spans="1:7" x14ac:dyDescent="0.25">
      <c r="A79" s="4" t="s">
        <v>4272</v>
      </c>
      <c r="B79" s="2">
        <f>VALUE("8732")</f>
        <v>8732</v>
      </c>
      <c r="C79" s="4" t="s">
        <v>4619</v>
      </c>
      <c r="D79" s="4" t="s">
        <v>4620</v>
      </c>
      <c r="E79" s="2">
        <f>VALUE("2020")</f>
        <v>2020</v>
      </c>
      <c r="F79" t="s">
        <v>4271</v>
      </c>
      <c r="G79" s="8" t="s">
        <v>4621</v>
      </c>
    </row>
    <row r="80" spans="1:7" x14ac:dyDescent="0.25">
      <c r="A80" s="4" t="s">
        <v>4272</v>
      </c>
      <c r="B80" s="2">
        <f>VALUE("8732")</f>
        <v>8732</v>
      </c>
      <c r="C80" s="4" t="s">
        <v>4622</v>
      </c>
      <c r="D80" s="4" t="s">
        <v>293</v>
      </c>
      <c r="E80" s="2">
        <f>VALUE("2020")</f>
        <v>2020</v>
      </c>
      <c r="F80" t="s">
        <v>4271</v>
      </c>
      <c r="G80" s="8" t="s">
        <v>4623</v>
      </c>
    </row>
    <row r="81" spans="1:7" x14ac:dyDescent="0.25">
      <c r="A81" s="4" t="s">
        <v>4272</v>
      </c>
      <c r="B81" s="2">
        <f>VALUE("8732")</f>
        <v>8732</v>
      </c>
      <c r="C81" s="4" t="s">
        <v>4624</v>
      </c>
      <c r="D81" s="4" t="s">
        <v>4625</v>
      </c>
      <c r="E81" s="2">
        <f>VALUE("2020")</f>
        <v>2020</v>
      </c>
      <c r="F81" t="s">
        <v>4626</v>
      </c>
    </row>
    <row r="82" spans="1:7" x14ac:dyDescent="0.25">
      <c r="A82" s="4" t="s">
        <v>4272</v>
      </c>
      <c r="B82" s="2">
        <f>VALUE("8909")</f>
        <v>8909</v>
      </c>
      <c r="C82" s="4" t="s">
        <v>4862</v>
      </c>
      <c r="D82" s="4" t="s">
        <v>293</v>
      </c>
      <c r="E82" s="2">
        <f>VALUE("2022")</f>
        <v>2022</v>
      </c>
      <c r="F82" t="s">
        <v>4271</v>
      </c>
      <c r="G82" s="8" t="s">
        <v>4863</v>
      </c>
    </row>
    <row r="83" spans="1:7" x14ac:dyDescent="0.25">
      <c r="A83" s="4" t="s">
        <v>4298</v>
      </c>
      <c r="B83" s="2">
        <f>VALUE("8586")</f>
        <v>8586</v>
      </c>
      <c r="C83" s="4" t="s">
        <v>4300</v>
      </c>
      <c r="D83" s="4" t="s">
        <v>4301</v>
      </c>
      <c r="E83" s="2">
        <f>VALUE("2021")</f>
        <v>2021</v>
      </c>
      <c r="F83" t="s">
        <v>4298</v>
      </c>
      <c r="G83" s="8" t="s">
        <v>4302</v>
      </c>
    </row>
    <row r="84" spans="1:7" x14ac:dyDescent="0.25">
      <c r="A84" s="4" t="s">
        <v>4298</v>
      </c>
      <c r="B84" s="2">
        <f>VALUE("8586")</f>
        <v>8586</v>
      </c>
      <c r="C84" s="4" t="s">
        <v>4297</v>
      </c>
      <c r="D84" s="4" t="s">
        <v>293</v>
      </c>
      <c r="E84" s="2">
        <f>VALUE("2020")</f>
        <v>2020</v>
      </c>
      <c r="F84" t="s">
        <v>4298</v>
      </c>
      <c r="G84" s="8" t="s">
        <v>4299</v>
      </c>
    </row>
    <row r="85" spans="1:7" x14ac:dyDescent="0.25">
      <c r="A85" s="4" t="s">
        <v>4298</v>
      </c>
      <c r="B85" s="2">
        <f t="shared" ref="B85:B90" si="2">VALUE("8640")</f>
        <v>8640</v>
      </c>
      <c r="C85" s="4" t="s">
        <v>4417</v>
      </c>
      <c r="D85" s="4" t="s">
        <v>293</v>
      </c>
      <c r="E85" s="2">
        <f>VALUE("2020")</f>
        <v>2020</v>
      </c>
      <c r="F85" t="s">
        <v>4298</v>
      </c>
      <c r="G85" s="8" t="s">
        <v>4418</v>
      </c>
    </row>
    <row r="86" spans="1:7" x14ac:dyDescent="0.25">
      <c r="A86" s="4" t="s">
        <v>4298</v>
      </c>
      <c r="B86" s="2">
        <f t="shared" si="2"/>
        <v>8640</v>
      </c>
      <c r="C86" s="4" t="s">
        <v>4415</v>
      </c>
      <c r="D86" s="4" t="s">
        <v>293</v>
      </c>
      <c r="E86" s="2">
        <f>VALUE("2020")</f>
        <v>2020</v>
      </c>
      <c r="F86" t="s">
        <v>4298</v>
      </c>
      <c r="G86" s="8" t="s">
        <v>4416</v>
      </c>
    </row>
    <row r="87" spans="1:7" x14ac:dyDescent="0.25">
      <c r="A87" s="4" t="s">
        <v>4298</v>
      </c>
      <c r="B87" s="2">
        <f t="shared" si="2"/>
        <v>8640</v>
      </c>
      <c r="C87" s="4" t="s">
        <v>4421</v>
      </c>
      <c r="D87" s="4" t="s">
        <v>293</v>
      </c>
      <c r="E87" s="2">
        <f>VALUE("2021")</f>
        <v>2021</v>
      </c>
      <c r="F87" t="s">
        <v>4298</v>
      </c>
      <c r="G87" s="8" t="s">
        <v>4422</v>
      </c>
    </row>
    <row r="88" spans="1:7" x14ac:dyDescent="0.25">
      <c r="A88" s="4" t="s">
        <v>4298</v>
      </c>
      <c r="B88" s="2">
        <f t="shared" si="2"/>
        <v>8640</v>
      </c>
      <c r="C88" s="4" t="s">
        <v>4419</v>
      </c>
      <c r="D88" s="4" t="s">
        <v>293</v>
      </c>
      <c r="E88" s="2">
        <f>VALUE("2020")</f>
        <v>2020</v>
      </c>
      <c r="F88" t="s">
        <v>4298</v>
      </c>
      <c r="G88" s="8" t="s">
        <v>4420</v>
      </c>
    </row>
    <row r="89" spans="1:7" x14ac:dyDescent="0.25">
      <c r="A89" s="4" t="s">
        <v>4298</v>
      </c>
      <c r="B89" s="2">
        <f t="shared" si="2"/>
        <v>8640</v>
      </c>
      <c r="C89" s="4" t="s">
        <v>4425</v>
      </c>
      <c r="D89" s="4" t="s">
        <v>4426</v>
      </c>
      <c r="E89" s="2">
        <f>VALUE("2021")</f>
        <v>2021</v>
      </c>
      <c r="F89" t="s">
        <v>4298</v>
      </c>
      <c r="G89" s="8" t="s">
        <v>4427</v>
      </c>
    </row>
    <row r="90" spans="1:7" x14ac:dyDescent="0.25">
      <c r="A90" s="4" t="s">
        <v>4298</v>
      </c>
      <c r="B90" s="2">
        <f t="shared" si="2"/>
        <v>8640</v>
      </c>
      <c r="C90" s="4" t="s">
        <v>4423</v>
      </c>
      <c r="D90" s="4" t="s">
        <v>293</v>
      </c>
      <c r="E90" s="2">
        <f>VALUE("2021")</f>
        <v>2021</v>
      </c>
      <c r="F90" t="s">
        <v>4298</v>
      </c>
      <c r="G90" s="8" t="s">
        <v>4424</v>
      </c>
    </row>
    <row r="91" spans="1:7" x14ac:dyDescent="0.25">
      <c r="A91" s="4" t="s">
        <v>4298</v>
      </c>
      <c r="B91" s="2">
        <f>VALUE("8951")</f>
        <v>8951</v>
      </c>
      <c r="C91" s="4" t="s">
        <v>4903</v>
      </c>
      <c r="D91" s="4" t="s">
        <v>4904</v>
      </c>
      <c r="E91" s="2">
        <f>VALUE("2021")</f>
        <v>2021</v>
      </c>
      <c r="F91" t="s">
        <v>4298</v>
      </c>
      <c r="G91" s="8" t="s">
        <v>4905</v>
      </c>
    </row>
    <row r="92" spans="1:7" x14ac:dyDescent="0.25">
      <c r="A92" s="4" t="s">
        <v>4298</v>
      </c>
      <c r="B92" s="2">
        <f>VALUE("9096")</f>
        <v>9096</v>
      </c>
      <c r="C92" s="4" t="s">
        <v>5022</v>
      </c>
      <c r="D92" s="4" t="s">
        <v>293</v>
      </c>
      <c r="E92" s="2">
        <f>VALUE("2021")</f>
        <v>2021</v>
      </c>
      <c r="F92" t="s">
        <v>4298</v>
      </c>
      <c r="G92" s="8" t="s">
        <v>5023</v>
      </c>
    </row>
    <row r="93" spans="1:7" x14ac:dyDescent="0.25">
      <c r="A93" s="4" t="s">
        <v>4298</v>
      </c>
      <c r="B93" s="2">
        <f>VALUE("9096")</f>
        <v>9096</v>
      </c>
      <c r="C93" s="4" t="s">
        <v>5028</v>
      </c>
      <c r="D93" s="4" t="s">
        <v>293</v>
      </c>
      <c r="E93" s="2">
        <f>VALUE("2023")</f>
        <v>2023</v>
      </c>
      <c r="F93" t="s">
        <v>4298</v>
      </c>
      <c r="G93" s="8" t="s">
        <v>5029</v>
      </c>
    </row>
    <row r="94" spans="1:7" x14ac:dyDescent="0.25">
      <c r="A94" s="4" t="s">
        <v>4298</v>
      </c>
      <c r="B94" s="2">
        <f>VALUE("9096")</f>
        <v>9096</v>
      </c>
      <c r="C94" s="4" t="s">
        <v>5024</v>
      </c>
      <c r="D94" s="4" t="s">
        <v>293</v>
      </c>
      <c r="E94" s="2">
        <f>VALUE("2022")</f>
        <v>2022</v>
      </c>
      <c r="F94" t="s">
        <v>5025</v>
      </c>
      <c r="G94" s="8" t="s">
        <v>5222</v>
      </c>
    </row>
    <row r="95" spans="1:7" x14ac:dyDescent="0.25">
      <c r="A95" s="4" t="s">
        <v>4298</v>
      </c>
      <c r="B95" s="2">
        <f>VALUE("9096")</f>
        <v>9096</v>
      </c>
      <c r="C95" s="4" t="s">
        <v>5026</v>
      </c>
      <c r="D95" s="4" t="s">
        <v>293</v>
      </c>
      <c r="E95" s="2">
        <f>VALUE("2022")</f>
        <v>2022</v>
      </c>
      <c r="F95" t="s">
        <v>4298</v>
      </c>
      <c r="G95" s="8" t="s">
        <v>5027</v>
      </c>
    </row>
    <row r="96" spans="1:7" x14ac:dyDescent="0.25">
      <c r="A96" s="4" t="s">
        <v>4298</v>
      </c>
      <c r="B96" s="2">
        <f>VALUE("9097")</f>
        <v>9097</v>
      </c>
      <c r="C96" s="4" t="s">
        <v>5030</v>
      </c>
      <c r="D96" s="4" t="s">
        <v>5031</v>
      </c>
      <c r="E96" s="2">
        <f>VALUE("2022")</f>
        <v>2022</v>
      </c>
      <c r="F96" t="s">
        <v>1073</v>
      </c>
      <c r="G96" s="8" t="s">
        <v>5032</v>
      </c>
    </row>
    <row r="97" spans="1:7" x14ac:dyDescent="0.25">
      <c r="A97" s="4" t="s">
        <v>4298</v>
      </c>
      <c r="B97" s="2">
        <f>VALUE("9097")</f>
        <v>9097</v>
      </c>
      <c r="C97" s="4" t="s">
        <v>5037</v>
      </c>
      <c r="D97" s="4" t="s">
        <v>5038</v>
      </c>
      <c r="E97" s="2">
        <f>VALUE("2023")</f>
        <v>2023</v>
      </c>
      <c r="F97" t="s">
        <v>5039</v>
      </c>
      <c r="G97" s="8" t="s">
        <v>5040</v>
      </c>
    </row>
    <row r="98" spans="1:7" x14ac:dyDescent="0.25">
      <c r="A98" s="4" t="s">
        <v>4298</v>
      </c>
      <c r="B98" s="2">
        <f>VALUE("9097")</f>
        <v>9097</v>
      </c>
      <c r="C98" s="4" t="s">
        <v>5035</v>
      </c>
      <c r="D98" s="4" t="s">
        <v>5036</v>
      </c>
      <c r="E98" s="2">
        <f>VALUE("2022")</f>
        <v>2022</v>
      </c>
      <c r="F98" t="s">
        <v>4298</v>
      </c>
    </row>
    <row r="99" spans="1:7" x14ac:dyDescent="0.25">
      <c r="A99" s="4" t="s">
        <v>4298</v>
      </c>
      <c r="B99" s="2">
        <f>VALUE("9097")</f>
        <v>9097</v>
      </c>
      <c r="C99" s="4" t="s">
        <v>5033</v>
      </c>
      <c r="D99" s="4" t="s">
        <v>5034</v>
      </c>
      <c r="E99" s="2">
        <f>VALUE("2022")</f>
        <v>2022</v>
      </c>
      <c r="F99" t="s">
        <v>4298</v>
      </c>
    </row>
    <row r="100" spans="1:7" x14ac:dyDescent="0.25">
      <c r="A100" s="4" t="s">
        <v>4298</v>
      </c>
      <c r="B100" s="2">
        <f>VALUE("9098")</f>
        <v>9098</v>
      </c>
      <c r="C100" s="4" t="s">
        <v>5041</v>
      </c>
      <c r="D100" s="4" t="s">
        <v>5042</v>
      </c>
      <c r="E100" s="2">
        <f>VALUE("2022")</f>
        <v>2022</v>
      </c>
      <c r="F100" t="s">
        <v>974</v>
      </c>
      <c r="G100" s="8" t="s">
        <v>5043</v>
      </c>
    </row>
    <row r="101" spans="1:7" x14ac:dyDescent="0.25">
      <c r="A101" s="4" t="s">
        <v>1382</v>
      </c>
      <c r="B101" s="2">
        <f>VALUE("7409")</f>
        <v>7409</v>
      </c>
      <c r="C101" s="4" t="s">
        <v>1639</v>
      </c>
      <c r="D101" s="4" t="s">
        <v>1640</v>
      </c>
      <c r="E101" s="2">
        <f>VALUE("2013")</f>
        <v>2013</v>
      </c>
      <c r="F101" t="s">
        <v>1382</v>
      </c>
      <c r="G101" s="8" t="s">
        <v>1641</v>
      </c>
    </row>
    <row r="102" spans="1:7" x14ac:dyDescent="0.25">
      <c r="A102" s="4" t="s">
        <v>1382</v>
      </c>
      <c r="B102" s="2">
        <f>VALUE("7729")</f>
        <v>7729</v>
      </c>
      <c r="C102" s="4" t="s">
        <v>2455</v>
      </c>
      <c r="D102" s="4" t="s">
        <v>2456</v>
      </c>
      <c r="E102" s="2">
        <f>VALUE("2015")</f>
        <v>2015</v>
      </c>
      <c r="F102" t="s">
        <v>1382</v>
      </c>
    </row>
    <row r="103" spans="1:7" x14ac:dyDescent="0.25">
      <c r="A103" s="4" t="s">
        <v>1382</v>
      </c>
      <c r="B103" s="2">
        <f>VALUE("7773")</f>
        <v>7773</v>
      </c>
      <c r="C103" s="4" t="s">
        <v>2549</v>
      </c>
      <c r="D103" s="4" t="s">
        <v>2550</v>
      </c>
      <c r="E103" s="2">
        <f>VALUE("2016")</f>
        <v>2016</v>
      </c>
      <c r="F103" t="s">
        <v>1382</v>
      </c>
      <c r="G103" s="8" t="s">
        <v>2551</v>
      </c>
    </row>
    <row r="104" spans="1:7" x14ac:dyDescent="0.25">
      <c r="A104" s="4" t="s">
        <v>1382</v>
      </c>
      <c r="B104" s="2">
        <f>VALUE("8018")</f>
        <v>8018</v>
      </c>
      <c r="C104" s="4" t="s">
        <v>3028</v>
      </c>
      <c r="D104" s="4" t="s">
        <v>3029</v>
      </c>
      <c r="E104" s="2">
        <f>VALUE("2018")</f>
        <v>2018</v>
      </c>
      <c r="F104" t="s">
        <v>1382</v>
      </c>
      <c r="G104" s="8" t="s">
        <v>3030</v>
      </c>
    </row>
    <row r="105" spans="1:7" x14ac:dyDescent="0.25">
      <c r="A105" s="4" t="s">
        <v>3083</v>
      </c>
      <c r="B105" s="2">
        <f>VALUE("8041")</f>
        <v>8041</v>
      </c>
      <c r="C105" s="4" t="s">
        <v>3080</v>
      </c>
      <c r="D105" s="4" t="s">
        <v>3081</v>
      </c>
      <c r="E105" s="2">
        <f>VALUE("2017")</f>
        <v>2017</v>
      </c>
      <c r="F105" t="s">
        <v>3082</v>
      </c>
    </row>
    <row r="106" spans="1:7" x14ac:dyDescent="0.25">
      <c r="A106" s="4" t="s">
        <v>3083</v>
      </c>
      <c r="B106" s="2">
        <f>VALUE("8182")</f>
        <v>8182</v>
      </c>
      <c r="C106" s="4" t="s">
        <v>3434</v>
      </c>
      <c r="D106" s="4" t="s">
        <v>3435</v>
      </c>
      <c r="E106" s="2">
        <f>VALUE("2018")</f>
        <v>2018</v>
      </c>
      <c r="F106" t="s">
        <v>3436</v>
      </c>
      <c r="G106" s="8" t="s">
        <v>3437</v>
      </c>
    </row>
    <row r="107" spans="1:7" x14ac:dyDescent="0.25">
      <c r="A107" s="4" t="s">
        <v>3083</v>
      </c>
      <c r="B107" s="2">
        <f>VALUE("8353")</f>
        <v>8353</v>
      </c>
      <c r="C107" s="4" t="s">
        <v>3807</v>
      </c>
      <c r="D107" s="4" t="s">
        <v>3808</v>
      </c>
      <c r="E107" s="2">
        <f>VALUE("2019")</f>
        <v>2019</v>
      </c>
      <c r="F107" t="s">
        <v>3083</v>
      </c>
      <c r="G107" s="8" t="s">
        <v>3809</v>
      </c>
    </row>
    <row r="108" spans="1:7" x14ac:dyDescent="0.25">
      <c r="A108" s="4" t="s">
        <v>3083</v>
      </c>
      <c r="B108" s="2">
        <f>VALUE("8422")</f>
        <v>8422</v>
      </c>
      <c r="C108" s="4" t="s">
        <v>3909</v>
      </c>
      <c r="D108" s="4" t="s">
        <v>3910</v>
      </c>
      <c r="E108" s="2">
        <f>VALUE("2020")</f>
        <v>2020</v>
      </c>
      <c r="F108" t="s">
        <v>3911</v>
      </c>
    </row>
    <row r="109" spans="1:7" x14ac:dyDescent="0.25">
      <c r="A109" s="4" t="s">
        <v>3083</v>
      </c>
      <c r="B109" s="2">
        <f>VALUE("8470")</f>
        <v>8470</v>
      </c>
      <c r="C109" s="4" t="s">
        <v>3982</v>
      </c>
      <c r="D109" s="4" t="s">
        <v>3983</v>
      </c>
      <c r="E109" s="2">
        <f>VALUE("2022")</f>
        <v>2022</v>
      </c>
      <c r="F109" t="s">
        <v>2055</v>
      </c>
      <c r="G109" s="8" t="s">
        <v>3984</v>
      </c>
    </row>
    <row r="110" spans="1:7" x14ac:dyDescent="0.25">
      <c r="A110" s="4" t="s">
        <v>3083</v>
      </c>
      <c r="B110" s="2">
        <f>VALUE("8495")</f>
        <v>8495</v>
      </c>
      <c r="C110" s="4" t="s">
        <v>4082</v>
      </c>
      <c r="D110" s="4" t="s">
        <v>4083</v>
      </c>
      <c r="E110" s="2">
        <f>VALUE("2019")</f>
        <v>2019</v>
      </c>
      <c r="F110" t="s">
        <v>3083</v>
      </c>
      <c r="G110" s="8" t="s">
        <v>4084</v>
      </c>
    </row>
    <row r="111" spans="1:7" x14ac:dyDescent="0.25">
      <c r="A111" s="4" t="s">
        <v>3083</v>
      </c>
      <c r="B111" s="2">
        <f>VALUE("8538")</f>
        <v>8538</v>
      </c>
      <c r="C111" s="4" t="s">
        <v>4213</v>
      </c>
      <c r="D111" s="4" t="s">
        <v>4214</v>
      </c>
      <c r="E111" s="2">
        <f>VALUE("2020")</f>
        <v>2020</v>
      </c>
      <c r="F111" t="s">
        <v>4215</v>
      </c>
      <c r="G111" s="8" t="s">
        <v>4216</v>
      </c>
    </row>
    <row r="112" spans="1:7" x14ac:dyDescent="0.25">
      <c r="A112" s="4" t="s">
        <v>3083</v>
      </c>
      <c r="B112" s="2">
        <f>VALUE("8684")</f>
        <v>8684</v>
      </c>
      <c r="C112" s="4" t="s">
        <v>4512</v>
      </c>
      <c r="D112" s="4" t="s">
        <v>4513</v>
      </c>
      <c r="E112" s="2">
        <f>VALUE("2021")</f>
        <v>2021</v>
      </c>
      <c r="F112" t="s">
        <v>3083</v>
      </c>
      <c r="G112" s="8" t="s">
        <v>4514</v>
      </c>
    </row>
    <row r="113" spans="1:7" x14ac:dyDescent="0.25">
      <c r="A113" s="4" t="s">
        <v>3083</v>
      </c>
      <c r="B113" s="2">
        <f>VALUE("8750")</f>
        <v>8750</v>
      </c>
      <c r="C113" s="4" t="s">
        <v>4651</v>
      </c>
      <c r="D113" s="4" t="s">
        <v>4652</v>
      </c>
      <c r="E113" s="2">
        <f>VALUE("2020")</f>
        <v>2020</v>
      </c>
      <c r="F113" t="s">
        <v>3083</v>
      </c>
      <c r="G113" s="8" t="s">
        <v>4653</v>
      </c>
    </row>
    <row r="114" spans="1:7" x14ac:dyDescent="0.25">
      <c r="A114" s="4" t="s">
        <v>3083</v>
      </c>
      <c r="B114" s="2">
        <f>VALUE("8864")</f>
        <v>8864</v>
      </c>
      <c r="C114" s="4" t="s">
        <v>4794</v>
      </c>
      <c r="D114" s="4" t="s">
        <v>4795</v>
      </c>
      <c r="E114" s="2">
        <f>VALUE("2021")</f>
        <v>2021</v>
      </c>
      <c r="F114" t="s">
        <v>4796</v>
      </c>
      <c r="G114" s="8" t="s">
        <v>4797</v>
      </c>
    </row>
    <row r="115" spans="1:7" x14ac:dyDescent="0.25">
      <c r="A115" s="4" t="s">
        <v>3083</v>
      </c>
      <c r="B115" s="2">
        <f>VALUE("8881")</f>
        <v>8881</v>
      </c>
      <c r="C115" s="4" t="s">
        <v>4831</v>
      </c>
      <c r="D115" s="4" t="s">
        <v>293</v>
      </c>
      <c r="E115" s="2">
        <f>VALUE("2021")</f>
        <v>2021</v>
      </c>
      <c r="F115" t="s">
        <v>4832</v>
      </c>
      <c r="G115" s="8" t="s">
        <v>4833</v>
      </c>
    </row>
    <row r="116" spans="1:7" x14ac:dyDescent="0.25">
      <c r="A116" s="4" t="s">
        <v>3083</v>
      </c>
      <c r="B116" s="2">
        <f>VALUE("8948")</f>
        <v>8948</v>
      </c>
      <c r="C116" s="4" t="s">
        <v>4897</v>
      </c>
      <c r="D116" s="4" t="s">
        <v>4895</v>
      </c>
      <c r="E116" s="2">
        <f>VALUE("2021")</f>
        <v>2021</v>
      </c>
      <c r="F116" t="s">
        <v>3436</v>
      </c>
      <c r="G116" s="8" t="s">
        <v>4896</v>
      </c>
    </row>
    <row r="117" spans="1:7" x14ac:dyDescent="0.25">
      <c r="A117" s="4" t="s">
        <v>3083</v>
      </c>
      <c r="B117" s="2">
        <f>VALUE("8948")</f>
        <v>8948</v>
      </c>
      <c r="C117" s="4" t="s">
        <v>4894</v>
      </c>
      <c r="D117" s="4" t="s">
        <v>4895</v>
      </c>
      <c r="E117" s="2">
        <f>VALUE("2021")</f>
        <v>2021</v>
      </c>
      <c r="F117" t="s">
        <v>3436</v>
      </c>
      <c r="G117" s="8" t="s">
        <v>4896</v>
      </c>
    </row>
    <row r="118" spans="1:7" x14ac:dyDescent="0.25">
      <c r="A118" s="4" t="s">
        <v>3223</v>
      </c>
      <c r="B118" s="2">
        <f>VALUE("8106")</f>
        <v>8106</v>
      </c>
      <c r="C118" s="4" t="s">
        <v>3222</v>
      </c>
      <c r="D118" s="4" t="s">
        <v>293</v>
      </c>
      <c r="E118" s="2">
        <f>VALUE("2019")</f>
        <v>2019</v>
      </c>
      <c r="F118" t="s">
        <v>3223</v>
      </c>
      <c r="G118" s="8" t="s">
        <v>3224</v>
      </c>
    </row>
    <row r="119" spans="1:7" x14ac:dyDescent="0.25">
      <c r="A119" s="4" t="s">
        <v>3223</v>
      </c>
      <c r="B119" s="2">
        <f>VALUE("8390")</f>
        <v>8390</v>
      </c>
      <c r="C119" s="4" t="s">
        <v>3850</v>
      </c>
      <c r="D119" s="4" t="s">
        <v>293</v>
      </c>
      <c r="E119" s="2">
        <f>VALUE("2019")</f>
        <v>2019</v>
      </c>
      <c r="F119" t="s">
        <v>3223</v>
      </c>
    </row>
    <row r="120" spans="1:7" x14ac:dyDescent="0.25">
      <c r="A120" s="4" t="s">
        <v>3223</v>
      </c>
      <c r="B120" s="2">
        <f>VALUE("8390")</f>
        <v>8390</v>
      </c>
      <c r="C120" s="4" t="s">
        <v>3851</v>
      </c>
      <c r="D120" s="4" t="s">
        <v>293</v>
      </c>
      <c r="E120" s="2">
        <f>VALUE("2020")</f>
        <v>2020</v>
      </c>
      <c r="F120" t="s">
        <v>3223</v>
      </c>
    </row>
    <row r="121" spans="1:7" x14ac:dyDescent="0.25">
      <c r="A121" s="4" t="s">
        <v>2846</v>
      </c>
      <c r="B121" s="2">
        <f>VALUE("7901")</f>
        <v>7901</v>
      </c>
      <c r="C121" s="4" t="s">
        <v>2844</v>
      </c>
      <c r="D121" s="4" t="s">
        <v>2845</v>
      </c>
      <c r="E121" s="2">
        <f>VALUE("2016")</f>
        <v>2016</v>
      </c>
      <c r="F121" t="s">
        <v>2846</v>
      </c>
    </row>
    <row r="122" spans="1:7" x14ac:dyDescent="0.25">
      <c r="A122" s="4" t="s">
        <v>5005</v>
      </c>
      <c r="B122" s="2">
        <f>VALUE("9080")</f>
        <v>9080</v>
      </c>
      <c r="C122" s="4" t="s">
        <v>5003</v>
      </c>
      <c r="D122" s="4" t="s">
        <v>5004</v>
      </c>
      <c r="E122" s="2">
        <f>VALUE("2022")</f>
        <v>2022</v>
      </c>
      <c r="F122" t="s">
        <v>5005</v>
      </c>
      <c r="G122" s="8" t="s">
        <v>5006</v>
      </c>
    </row>
    <row r="123" spans="1:7" x14ac:dyDescent="0.25">
      <c r="A123" s="4" t="s">
        <v>5005</v>
      </c>
      <c r="B123" s="2">
        <f>VALUE("9080")</f>
        <v>9080</v>
      </c>
      <c r="C123" s="4" t="s">
        <v>5007</v>
      </c>
      <c r="D123" s="4" t="s">
        <v>5004</v>
      </c>
      <c r="E123" s="2">
        <f>VALUE("2022")</f>
        <v>2022</v>
      </c>
      <c r="F123" t="s">
        <v>5005</v>
      </c>
      <c r="G123" s="8" t="s">
        <v>5008</v>
      </c>
    </row>
    <row r="124" spans="1:7" x14ac:dyDescent="0.25">
      <c r="A124" s="4" t="s">
        <v>5005</v>
      </c>
      <c r="B124" s="2">
        <f>VALUE("9080")</f>
        <v>9080</v>
      </c>
      <c r="C124" s="4" t="s">
        <v>5009</v>
      </c>
      <c r="D124" s="4" t="s">
        <v>5004</v>
      </c>
      <c r="E124" s="2">
        <f>VALUE("2022")</f>
        <v>2022</v>
      </c>
      <c r="F124" t="s">
        <v>5005</v>
      </c>
      <c r="G124" s="8" t="s">
        <v>5010</v>
      </c>
    </row>
    <row r="125" spans="1:7" x14ac:dyDescent="0.25">
      <c r="A125" s="4" t="s">
        <v>5005</v>
      </c>
      <c r="B125" s="2">
        <f>VALUE("9080")</f>
        <v>9080</v>
      </c>
      <c r="C125" s="4" t="s">
        <v>5011</v>
      </c>
      <c r="D125" s="4" t="s">
        <v>5004</v>
      </c>
      <c r="E125" s="2">
        <f>VALUE("2022")</f>
        <v>2022</v>
      </c>
      <c r="F125" t="s">
        <v>5012</v>
      </c>
      <c r="G125" s="8" t="s">
        <v>5013</v>
      </c>
    </row>
    <row r="126" spans="1:7" x14ac:dyDescent="0.25">
      <c r="A126" s="4" t="s">
        <v>1723</v>
      </c>
      <c r="B126" s="2">
        <f>VALUE("7444")</f>
        <v>7444</v>
      </c>
      <c r="C126" s="4" t="s">
        <v>1720</v>
      </c>
      <c r="D126" s="4" t="s">
        <v>1721</v>
      </c>
      <c r="E126" s="2">
        <f>VALUE("2013")</f>
        <v>2013</v>
      </c>
      <c r="F126" t="s">
        <v>1722</v>
      </c>
    </row>
    <row r="127" spans="1:7" x14ac:dyDescent="0.25">
      <c r="A127" s="4" t="s">
        <v>1723</v>
      </c>
      <c r="B127" s="2">
        <f>VALUE("7505")</f>
        <v>7505</v>
      </c>
      <c r="C127" s="4" t="s">
        <v>1865</v>
      </c>
      <c r="D127" s="4" t="s">
        <v>1866</v>
      </c>
      <c r="E127" s="2">
        <f>VALUE("2013")</f>
        <v>2013</v>
      </c>
      <c r="F127" t="s">
        <v>1722</v>
      </c>
      <c r="G127" s="8" t="s">
        <v>1867</v>
      </c>
    </row>
    <row r="128" spans="1:7" x14ac:dyDescent="0.25">
      <c r="A128" s="4" t="s">
        <v>1723</v>
      </c>
      <c r="B128" s="2">
        <f>VALUE("7542")</f>
        <v>7542</v>
      </c>
      <c r="C128" s="4" t="s">
        <v>1933</v>
      </c>
      <c r="D128" s="4" t="s">
        <v>1721</v>
      </c>
      <c r="E128" s="2">
        <f>VALUE("2013")</f>
        <v>2013</v>
      </c>
      <c r="F128" t="s">
        <v>1722</v>
      </c>
      <c r="G128" s="8" t="s">
        <v>1934</v>
      </c>
    </row>
    <row r="129" spans="1:7" x14ac:dyDescent="0.25">
      <c r="A129" s="4" t="s">
        <v>1723</v>
      </c>
      <c r="B129" s="2">
        <f>VALUE("8474")</f>
        <v>8474</v>
      </c>
      <c r="C129" s="4" t="s">
        <v>3985</v>
      </c>
      <c r="D129" s="4" t="s">
        <v>3986</v>
      </c>
      <c r="E129" s="2">
        <f>VALUE("2020")</f>
        <v>2020</v>
      </c>
      <c r="F129" t="s">
        <v>1722</v>
      </c>
      <c r="G129" s="8" t="s">
        <v>3987</v>
      </c>
    </row>
    <row r="130" spans="1:7" x14ac:dyDescent="0.25">
      <c r="A130" s="4" t="s">
        <v>1723</v>
      </c>
      <c r="B130" s="2">
        <f>VALUE("8520")</f>
        <v>8520</v>
      </c>
      <c r="C130" s="4" t="s">
        <v>4155</v>
      </c>
      <c r="D130" s="4" t="s">
        <v>4156</v>
      </c>
      <c r="E130" s="2">
        <f>VALUE("2019")</f>
        <v>2019</v>
      </c>
      <c r="F130" t="s">
        <v>1722</v>
      </c>
      <c r="G130" s="8" t="s">
        <v>4157</v>
      </c>
    </row>
    <row r="131" spans="1:7" x14ac:dyDescent="0.25">
      <c r="A131" s="4" t="s">
        <v>1723</v>
      </c>
      <c r="B131" s="2">
        <f>VALUE("8789")</f>
        <v>8789</v>
      </c>
      <c r="C131" s="4" t="s">
        <v>4705</v>
      </c>
      <c r="D131" s="4" t="s">
        <v>4706</v>
      </c>
      <c r="E131" s="2">
        <f>VALUE("2020")</f>
        <v>2020</v>
      </c>
      <c r="F131" t="s">
        <v>1722</v>
      </c>
      <c r="G131" s="8" t="s">
        <v>4707</v>
      </c>
    </row>
    <row r="132" spans="1:7" x14ac:dyDescent="0.25">
      <c r="A132" s="4" t="s">
        <v>65</v>
      </c>
      <c r="B132" s="2">
        <f>VALUE("1051")</f>
        <v>1051</v>
      </c>
      <c r="C132" s="4" t="s">
        <v>62</v>
      </c>
      <c r="D132" s="4" t="s">
        <v>63</v>
      </c>
      <c r="E132" s="2">
        <f>VALUE("2010")</f>
        <v>2010</v>
      </c>
      <c r="F132" t="s">
        <v>64</v>
      </c>
    </row>
    <row r="133" spans="1:7" x14ac:dyDescent="0.25">
      <c r="A133" s="4" t="s">
        <v>2604</v>
      </c>
      <c r="B133" s="2">
        <f>VALUE("9170")</f>
        <v>9170</v>
      </c>
      <c r="C133" s="4" t="s">
        <v>5086</v>
      </c>
      <c r="D133" s="4" t="s">
        <v>5087</v>
      </c>
      <c r="E133" s="2">
        <f>VALUE("2022")</f>
        <v>2022</v>
      </c>
      <c r="F133" t="s">
        <v>2604</v>
      </c>
      <c r="G133" s="8" t="s">
        <v>5088</v>
      </c>
    </row>
    <row r="134" spans="1:7" x14ac:dyDescent="0.25">
      <c r="A134" s="4" t="s">
        <v>2604</v>
      </c>
      <c r="B134" s="2">
        <f>VALUE("9170")</f>
        <v>9170</v>
      </c>
      <c r="C134" s="4" t="s">
        <v>5083</v>
      </c>
      <c r="D134" s="4" t="s">
        <v>293</v>
      </c>
      <c r="E134" s="2">
        <f>VALUE("2022")</f>
        <v>2022</v>
      </c>
      <c r="F134" t="s">
        <v>5084</v>
      </c>
      <c r="G134" s="8" t="s">
        <v>5085</v>
      </c>
    </row>
    <row r="135" spans="1:7" x14ac:dyDescent="0.25">
      <c r="A135" s="4" t="s">
        <v>3127</v>
      </c>
      <c r="B135" s="2">
        <f>VALUE("8069")</f>
        <v>8069</v>
      </c>
      <c r="C135" s="4" t="s">
        <v>3125</v>
      </c>
      <c r="D135" s="4" t="s">
        <v>3126</v>
      </c>
      <c r="E135" s="2">
        <f>VALUE("2018")</f>
        <v>2018</v>
      </c>
      <c r="F135" t="s">
        <v>2604</v>
      </c>
    </row>
    <row r="136" spans="1:7" x14ac:dyDescent="0.25">
      <c r="A136" s="4" t="s">
        <v>2407</v>
      </c>
      <c r="B136" s="2">
        <f>VALUE("7710")</f>
        <v>7710</v>
      </c>
      <c r="C136" s="4" t="s">
        <v>2405</v>
      </c>
      <c r="D136" s="4" t="s">
        <v>2406</v>
      </c>
      <c r="E136" s="2">
        <f>VALUE("2017")</f>
        <v>2017</v>
      </c>
      <c r="F136" t="s">
        <v>2407</v>
      </c>
      <c r="G136" s="8" t="s">
        <v>2408</v>
      </c>
    </row>
    <row r="137" spans="1:7" x14ac:dyDescent="0.25">
      <c r="A137" s="4" t="s">
        <v>2407</v>
      </c>
      <c r="B137" s="2">
        <f>VALUE("7710")</f>
        <v>7710</v>
      </c>
      <c r="C137" s="4" t="s">
        <v>2409</v>
      </c>
      <c r="D137" s="4" t="s">
        <v>2406</v>
      </c>
      <c r="E137" s="2">
        <f>VALUE("2017")</f>
        <v>2017</v>
      </c>
      <c r="F137" t="s">
        <v>2407</v>
      </c>
    </row>
    <row r="138" spans="1:7" x14ac:dyDescent="0.25">
      <c r="A138" s="4" t="s">
        <v>2407</v>
      </c>
      <c r="B138" s="2">
        <f>VALUE("8658")</f>
        <v>8658</v>
      </c>
      <c r="C138" s="4" t="s">
        <v>4469</v>
      </c>
      <c r="D138" s="4" t="s">
        <v>4470</v>
      </c>
      <c r="E138" s="2">
        <f>VALUE("2022")</f>
        <v>2022</v>
      </c>
      <c r="F138" t="s">
        <v>2407</v>
      </c>
      <c r="G138" s="8" t="s">
        <v>4471</v>
      </c>
    </row>
    <row r="139" spans="1:7" x14ac:dyDescent="0.25">
      <c r="A139" s="4" t="s">
        <v>2407</v>
      </c>
      <c r="B139" s="2">
        <f>VALUE("8658")</f>
        <v>8658</v>
      </c>
      <c r="C139" s="4" t="s">
        <v>4472</v>
      </c>
      <c r="D139" s="4" t="s">
        <v>4473</v>
      </c>
      <c r="E139" s="2">
        <f>VALUE("2021")</f>
        <v>2021</v>
      </c>
      <c r="F139" t="s">
        <v>2407</v>
      </c>
      <c r="G139" s="8" t="s">
        <v>4474</v>
      </c>
    </row>
    <row r="140" spans="1:7" x14ac:dyDescent="0.25">
      <c r="A140" s="4" t="s">
        <v>4752</v>
      </c>
      <c r="B140" s="2">
        <f>VALUE("8812")</f>
        <v>8812</v>
      </c>
      <c r="C140" s="4" t="s">
        <v>4750</v>
      </c>
      <c r="D140" s="4" t="s">
        <v>293</v>
      </c>
      <c r="E140" s="2">
        <f>VALUE("2020")</f>
        <v>2020</v>
      </c>
      <c r="F140" t="s">
        <v>4751</v>
      </c>
    </row>
    <row r="141" spans="1:7" x14ac:dyDescent="0.25">
      <c r="A141" s="4" t="s">
        <v>4678</v>
      </c>
      <c r="B141" s="2">
        <f>VALUE("8765")</f>
        <v>8765</v>
      </c>
      <c r="C141" s="4" t="s">
        <v>4676</v>
      </c>
      <c r="D141" s="4" t="s">
        <v>4677</v>
      </c>
      <c r="E141" s="2">
        <f>VALUE("2021")</f>
        <v>2021</v>
      </c>
      <c r="F141" t="s">
        <v>4678</v>
      </c>
      <c r="G141" s="8" t="s">
        <v>4679</v>
      </c>
    </row>
    <row r="142" spans="1:7" x14ac:dyDescent="0.25">
      <c r="A142" s="4" t="s">
        <v>4749</v>
      </c>
      <c r="B142" s="2">
        <f>VALUE("8811")</f>
        <v>8811</v>
      </c>
      <c r="C142" s="4" t="s">
        <v>4747</v>
      </c>
      <c r="D142" s="4" t="s">
        <v>4748</v>
      </c>
      <c r="E142" s="2">
        <f>VALUE("2021")</f>
        <v>2021</v>
      </c>
      <c r="F142" s="4" t="s">
        <v>4749</v>
      </c>
      <c r="G142" s="8" t="s">
        <v>5223</v>
      </c>
    </row>
    <row r="143" spans="1:7" x14ac:dyDescent="0.25">
      <c r="A143" s="4" t="s">
        <v>4749</v>
      </c>
      <c r="B143" s="2">
        <f>VALUE("8987")</f>
        <v>8987</v>
      </c>
      <c r="C143" s="4" t="s">
        <v>4944</v>
      </c>
      <c r="D143" s="4" t="s">
        <v>4945</v>
      </c>
      <c r="E143" s="2">
        <f>VALUE("2022")</f>
        <v>2022</v>
      </c>
      <c r="F143" t="s">
        <v>4749</v>
      </c>
    </row>
    <row r="144" spans="1:7" x14ac:dyDescent="0.25">
      <c r="A144" s="4" t="s">
        <v>30</v>
      </c>
      <c r="B144" s="2">
        <f>VALUE("7197")</f>
        <v>7197</v>
      </c>
      <c r="C144" s="4" t="s">
        <v>1042</v>
      </c>
      <c r="D144" s="4" t="s">
        <v>1043</v>
      </c>
      <c r="E144" s="2">
        <f>VALUE("2012")</f>
        <v>2012</v>
      </c>
      <c r="F144" t="s">
        <v>30</v>
      </c>
    </row>
    <row r="145" spans="1:7" x14ac:dyDescent="0.25">
      <c r="A145" s="4" t="s">
        <v>30</v>
      </c>
      <c r="B145" s="2">
        <f>VALUE("8577")</f>
        <v>8577</v>
      </c>
      <c r="C145" s="4" t="s">
        <v>4286</v>
      </c>
      <c r="D145" s="4" t="s">
        <v>4287</v>
      </c>
      <c r="E145" s="2">
        <f>VALUE("2019")</f>
        <v>2019</v>
      </c>
      <c r="F145" t="s">
        <v>30</v>
      </c>
      <c r="G145" s="8" t="s">
        <v>4288</v>
      </c>
    </row>
    <row r="146" spans="1:7" x14ac:dyDescent="0.25">
      <c r="A146" s="4" t="s">
        <v>30</v>
      </c>
      <c r="B146" s="2">
        <f>VALUE("8577")</f>
        <v>8577</v>
      </c>
      <c r="C146" s="4" t="s">
        <v>4289</v>
      </c>
      <c r="D146" s="4" t="s">
        <v>4290</v>
      </c>
      <c r="E146" s="2">
        <f>VALUE("2019")</f>
        <v>2019</v>
      </c>
      <c r="F146" t="s">
        <v>4291</v>
      </c>
      <c r="G146" s="8" t="s">
        <v>4292</v>
      </c>
    </row>
    <row r="147" spans="1:7" x14ac:dyDescent="0.25">
      <c r="A147" s="4" t="s">
        <v>1101</v>
      </c>
      <c r="B147" s="2">
        <f>VALUE("7222")</f>
        <v>7222</v>
      </c>
      <c r="C147" s="4" t="s">
        <v>1098</v>
      </c>
      <c r="D147" s="4" t="s">
        <v>1099</v>
      </c>
      <c r="E147" s="2">
        <f>VALUE("2012")</f>
        <v>2012</v>
      </c>
      <c r="F147" t="s">
        <v>1100</v>
      </c>
      <c r="G147" s="8" t="s">
        <v>1102</v>
      </c>
    </row>
    <row r="148" spans="1:7" x14ac:dyDescent="0.25">
      <c r="A148" s="4" t="s">
        <v>1521</v>
      </c>
      <c r="B148" s="2">
        <f>VALUE("7345")</f>
        <v>7345</v>
      </c>
      <c r="C148" s="4" t="s">
        <v>1518</v>
      </c>
      <c r="D148" s="4" t="s">
        <v>1519</v>
      </c>
      <c r="E148" s="2">
        <f>VALUE("2013")</f>
        <v>2013</v>
      </c>
      <c r="F148" t="s">
        <v>1520</v>
      </c>
    </row>
    <row r="149" spans="1:7" x14ac:dyDescent="0.25">
      <c r="A149" s="4" t="s">
        <v>105</v>
      </c>
      <c r="B149" s="2">
        <f>VALUE("8165")</f>
        <v>8165</v>
      </c>
      <c r="C149" s="4" t="s">
        <v>3399</v>
      </c>
      <c r="D149" s="4" t="s">
        <v>293</v>
      </c>
      <c r="E149" s="2">
        <f>VALUE("2019")</f>
        <v>2019</v>
      </c>
      <c r="F149" t="s">
        <v>30</v>
      </c>
      <c r="G149" s="8" t="s">
        <v>3400</v>
      </c>
    </row>
    <row r="150" spans="1:7" x14ac:dyDescent="0.25">
      <c r="A150" s="4" t="s">
        <v>105</v>
      </c>
      <c r="B150" s="2">
        <f>VALUE("8185")</f>
        <v>8185</v>
      </c>
      <c r="C150" s="4" t="s">
        <v>3444</v>
      </c>
      <c r="D150" s="4" t="s">
        <v>3445</v>
      </c>
      <c r="E150" s="2">
        <f>VALUE("2018")</f>
        <v>2018</v>
      </c>
      <c r="F150" t="s">
        <v>3446</v>
      </c>
      <c r="G150" s="8" t="s">
        <v>3447</v>
      </c>
    </row>
    <row r="151" spans="1:7" x14ac:dyDescent="0.25">
      <c r="A151" s="4" t="s">
        <v>105</v>
      </c>
      <c r="B151" s="2">
        <f>VALUE("8190")</f>
        <v>8190</v>
      </c>
      <c r="C151" s="4" t="s">
        <v>3451</v>
      </c>
      <c r="D151" s="4" t="s">
        <v>293</v>
      </c>
      <c r="E151" s="2">
        <f>VALUE("2018")</f>
        <v>2018</v>
      </c>
      <c r="F151" t="s">
        <v>3452</v>
      </c>
      <c r="G151" s="8" t="s">
        <v>3453</v>
      </c>
    </row>
    <row r="152" spans="1:7" x14ac:dyDescent="0.25">
      <c r="A152" s="4" t="s">
        <v>105</v>
      </c>
      <c r="B152" s="2">
        <f>VALUE("8212")</f>
        <v>8212</v>
      </c>
      <c r="C152" s="4" t="s">
        <v>3481</v>
      </c>
      <c r="D152" s="4" t="s">
        <v>3482</v>
      </c>
      <c r="E152" s="2">
        <f>VALUE("2018")</f>
        <v>2018</v>
      </c>
      <c r="F152" t="s">
        <v>3483</v>
      </c>
      <c r="G152" s="8" t="s">
        <v>3484</v>
      </c>
    </row>
    <row r="153" spans="1:7" x14ac:dyDescent="0.25">
      <c r="A153" s="4" t="s">
        <v>105</v>
      </c>
      <c r="B153" s="2">
        <f>VALUE("8298")</f>
        <v>8298</v>
      </c>
      <c r="C153" s="4" t="s">
        <v>3689</v>
      </c>
      <c r="D153" s="4" t="s">
        <v>293</v>
      </c>
      <c r="E153" s="2">
        <f>VALUE("2019")</f>
        <v>2019</v>
      </c>
      <c r="F153" t="s">
        <v>3690</v>
      </c>
      <c r="G153" s="8" t="s">
        <v>3691</v>
      </c>
    </row>
    <row r="154" spans="1:7" x14ac:dyDescent="0.25">
      <c r="A154" s="4" t="s">
        <v>105</v>
      </c>
      <c r="B154" s="2">
        <f>VALUE("8351")</f>
        <v>8351</v>
      </c>
      <c r="C154" s="4" t="s">
        <v>3801</v>
      </c>
      <c r="D154" s="4" t="s">
        <v>293</v>
      </c>
      <c r="E154" s="2">
        <f>VALUE("2019")</f>
        <v>2019</v>
      </c>
      <c r="F154" t="s">
        <v>3802</v>
      </c>
      <c r="G154" s="8" t="s">
        <v>3803</v>
      </c>
    </row>
    <row r="155" spans="1:7" x14ac:dyDescent="0.25">
      <c r="A155" s="4" t="s">
        <v>105</v>
      </c>
      <c r="B155" s="2">
        <f>VALUE("8399")</f>
        <v>8399</v>
      </c>
      <c r="C155" s="4" t="s">
        <v>3882</v>
      </c>
      <c r="D155" s="4" t="s">
        <v>3883</v>
      </c>
      <c r="E155" s="2">
        <f>VALUE("2020")</f>
        <v>2020</v>
      </c>
      <c r="F155" t="s">
        <v>3884</v>
      </c>
      <c r="G155" s="8" t="s">
        <v>3885</v>
      </c>
    </row>
    <row r="156" spans="1:7" x14ac:dyDescent="0.25">
      <c r="A156" s="4" t="s">
        <v>105</v>
      </c>
      <c r="B156" s="2">
        <f>VALUE("8405")</f>
        <v>8405</v>
      </c>
      <c r="C156" s="4" t="s">
        <v>3890</v>
      </c>
      <c r="D156" s="4" t="s">
        <v>3891</v>
      </c>
      <c r="E156" s="2">
        <f>VALUE("2019")</f>
        <v>2019</v>
      </c>
      <c r="F156" t="s">
        <v>3892</v>
      </c>
      <c r="G156" s="8" t="s">
        <v>3893</v>
      </c>
    </row>
    <row r="157" spans="1:7" x14ac:dyDescent="0.25">
      <c r="A157" s="4" t="s">
        <v>105</v>
      </c>
      <c r="B157" s="2">
        <f>VALUE("8463")</f>
        <v>8463</v>
      </c>
      <c r="C157" s="4" t="s">
        <v>3976</v>
      </c>
      <c r="D157" s="4" t="s">
        <v>3977</v>
      </c>
      <c r="E157" s="2">
        <f>VALUE("2020")</f>
        <v>2020</v>
      </c>
      <c r="F157" t="s">
        <v>3884</v>
      </c>
      <c r="G157" s="8" t="s">
        <v>3978</v>
      </c>
    </row>
    <row r="158" spans="1:7" x14ac:dyDescent="0.25">
      <c r="A158" s="4" t="s">
        <v>105</v>
      </c>
      <c r="B158" s="2">
        <f>VALUE("8553")</f>
        <v>8553</v>
      </c>
      <c r="C158" s="4" t="s">
        <v>4248</v>
      </c>
      <c r="D158" s="4" t="s">
        <v>293</v>
      </c>
      <c r="E158" s="2">
        <f>VALUE("2019")</f>
        <v>2019</v>
      </c>
      <c r="F158" t="s">
        <v>4249</v>
      </c>
      <c r="G158" s="8" t="s">
        <v>4250</v>
      </c>
    </row>
    <row r="159" spans="1:7" x14ac:dyDescent="0.25">
      <c r="A159" s="4" t="s">
        <v>105</v>
      </c>
      <c r="B159" s="2">
        <f>VALUE("8604")</f>
        <v>8604</v>
      </c>
      <c r="C159" s="4" t="s">
        <v>4330</v>
      </c>
      <c r="D159" s="4" t="s">
        <v>293</v>
      </c>
      <c r="E159" s="2">
        <f>VALUE("2021")</f>
        <v>2021</v>
      </c>
      <c r="F159" t="s">
        <v>4331</v>
      </c>
      <c r="G159" s="8" t="s">
        <v>4332</v>
      </c>
    </row>
    <row r="160" spans="1:7" x14ac:dyDescent="0.25">
      <c r="A160" s="4" t="s">
        <v>105</v>
      </c>
      <c r="B160" s="2">
        <f>VALUE("8649")</f>
        <v>8649</v>
      </c>
      <c r="C160" s="4" t="s">
        <v>4445</v>
      </c>
      <c r="D160" s="4" t="s">
        <v>293</v>
      </c>
      <c r="E160" s="2">
        <f>VALUE("2020")</f>
        <v>2020</v>
      </c>
      <c r="F160" t="s">
        <v>30</v>
      </c>
      <c r="G160" s="8" t="s">
        <v>4446</v>
      </c>
    </row>
    <row r="161" spans="1:7" x14ac:dyDescent="0.25">
      <c r="A161" s="4" t="s">
        <v>105</v>
      </c>
      <c r="B161" s="2">
        <f>VALUE("8757")</f>
        <v>8757</v>
      </c>
      <c r="C161" s="4" t="s">
        <v>4661</v>
      </c>
      <c r="D161" s="4" t="s">
        <v>4662</v>
      </c>
      <c r="E161" s="2">
        <f>VALUE("2020")</f>
        <v>2020</v>
      </c>
      <c r="F161" t="s">
        <v>4663</v>
      </c>
      <c r="G161" s="8" t="s">
        <v>4664</v>
      </c>
    </row>
    <row r="162" spans="1:7" x14ac:dyDescent="0.25">
      <c r="A162" s="4" t="s">
        <v>105</v>
      </c>
      <c r="B162" s="2">
        <f>VALUE("8805")</f>
        <v>8805</v>
      </c>
      <c r="C162" s="4" t="s">
        <v>4738</v>
      </c>
      <c r="D162" s="4" t="s">
        <v>293</v>
      </c>
      <c r="E162" s="2">
        <f>VALUE("2020")</f>
        <v>2020</v>
      </c>
      <c r="F162" t="s">
        <v>4739</v>
      </c>
      <c r="G162" s="8" t="s">
        <v>4740</v>
      </c>
    </row>
    <row r="163" spans="1:7" x14ac:dyDescent="0.25">
      <c r="A163" s="4" t="s">
        <v>105</v>
      </c>
      <c r="B163" s="2">
        <f>VALUE("8805")</f>
        <v>8805</v>
      </c>
      <c r="C163" s="4" t="s">
        <v>4741</v>
      </c>
      <c r="D163" s="4" t="s">
        <v>293</v>
      </c>
      <c r="E163" s="2">
        <f>VALUE("2020")</f>
        <v>2020</v>
      </c>
      <c r="F163" t="s">
        <v>4739</v>
      </c>
      <c r="G163" s="8" t="s">
        <v>4742</v>
      </c>
    </row>
    <row r="164" spans="1:7" x14ac:dyDescent="0.25">
      <c r="A164" s="4" t="s">
        <v>3589</v>
      </c>
      <c r="B164" s="2" t="s">
        <v>5254</v>
      </c>
      <c r="C164" s="4" t="s">
        <v>3587</v>
      </c>
      <c r="D164" s="4" t="s">
        <v>3588</v>
      </c>
      <c r="E164" s="2">
        <f>VALUE("2019")</f>
        <v>2019</v>
      </c>
      <c r="F164" t="s">
        <v>224</v>
      </c>
      <c r="G164" s="8" t="s">
        <v>3590</v>
      </c>
    </row>
    <row r="165" spans="1:7" x14ac:dyDescent="0.25">
      <c r="A165" s="4" t="s">
        <v>3873</v>
      </c>
      <c r="B165" s="2">
        <f>VALUE("8396")</f>
        <v>8396</v>
      </c>
      <c r="C165" s="4" t="s">
        <v>3871</v>
      </c>
      <c r="D165" s="4" t="s">
        <v>3872</v>
      </c>
      <c r="E165" s="2">
        <f>VALUE("2022")</f>
        <v>2022</v>
      </c>
      <c r="F165" t="s">
        <v>30</v>
      </c>
      <c r="G165" s="8" t="s">
        <v>3874</v>
      </c>
    </row>
    <row r="166" spans="1:7" x14ac:dyDescent="0.25">
      <c r="A166" s="4" t="s">
        <v>3026</v>
      </c>
      <c r="B166" s="2">
        <f>VALUE("8017")</f>
        <v>8017</v>
      </c>
      <c r="C166" s="4" t="s">
        <v>3024</v>
      </c>
      <c r="D166" s="4" t="s">
        <v>3025</v>
      </c>
      <c r="E166" s="2">
        <f>VALUE("2019")</f>
        <v>2019</v>
      </c>
      <c r="F166" t="s">
        <v>1321</v>
      </c>
      <c r="G166" s="8" t="s">
        <v>3027</v>
      </c>
    </row>
    <row r="167" spans="1:7" x14ac:dyDescent="0.25">
      <c r="A167" s="4" t="s">
        <v>3123</v>
      </c>
      <c r="B167" s="2">
        <f>VALUE("8068")</f>
        <v>8068</v>
      </c>
      <c r="C167" s="4" t="s">
        <v>3122</v>
      </c>
      <c r="D167" s="4" t="s">
        <v>293</v>
      </c>
      <c r="E167" s="2">
        <f>VALUE("2019")</f>
        <v>2019</v>
      </c>
      <c r="F167" t="s">
        <v>2920</v>
      </c>
      <c r="G167" s="8" t="s">
        <v>3124</v>
      </c>
    </row>
    <row r="168" spans="1:7" x14ac:dyDescent="0.25">
      <c r="A168" s="4" t="s">
        <v>2492</v>
      </c>
      <c r="B168" s="2">
        <f>VALUE("7734")</f>
        <v>7734</v>
      </c>
      <c r="C168" s="4" t="s">
        <v>2490</v>
      </c>
      <c r="D168" s="4" t="s">
        <v>2491</v>
      </c>
      <c r="E168" s="2">
        <f>VALUE("2014")</f>
        <v>2014</v>
      </c>
      <c r="F168" t="s">
        <v>1056</v>
      </c>
    </row>
    <row r="169" spans="1:7" x14ac:dyDescent="0.25">
      <c r="A169" s="4" t="s">
        <v>2492</v>
      </c>
      <c r="B169" s="2">
        <f>VALUE("7734")</f>
        <v>7734</v>
      </c>
      <c r="C169" s="4" t="s">
        <v>2493</v>
      </c>
      <c r="D169" s="4" t="s">
        <v>2494</v>
      </c>
      <c r="E169" s="2">
        <f>VALUE("2019")</f>
        <v>2019</v>
      </c>
      <c r="F169" t="s">
        <v>1056</v>
      </c>
    </row>
    <row r="170" spans="1:7" x14ac:dyDescent="0.25">
      <c r="A170" s="4" t="s">
        <v>3235</v>
      </c>
      <c r="B170" s="2">
        <f>VALUE("8110")</f>
        <v>8110</v>
      </c>
      <c r="C170" s="4" t="s">
        <v>3234</v>
      </c>
      <c r="D170" s="4" t="s">
        <v>293</v>
      </c>
      <c r="E170" s="2">
        <f>VALUE("2017")</f>
        <v>2017</v>
      </c>
      <c r="F170" t="s">
        <v>3235</v>
      </c>
      <c r="G170" s="8" t="s">
        <v>3236</v>
      </c>
    </row>
    <row r="171" spans="1:7" x14ac:dyDescent="0.25">
      <c r="A171" s="4" t="s">
        <v>5173</v>
      </c>
      <c r="B171" s="2">
        <f>VALUE("9320")</f>
        <v>9320</v>
      </c>
      <c r="C171" s="4" t="s">
        <v>3509</v>
      </c>
      <c r="D171" s="4" t="s">
        <v>5171</v>
      </c>
      <c r="E171" s="2">
        <f>VALUE("2022")</f>
        <v>2022</v>
      </c>
      <c r="F171" t="s">
        <v>5172</v>
      </c>
      <c r="G171" s="8" t="s">
        <v>5174</v>
      </c>
    </row>
    <row r="172" spans="1:7" x14ac:dyDescent="0.25">
      <c r="A172" s="4" t="s">
        <v>3512</v>
      </c>
      <c r="B172" s="2" t="s">
        <v>5256</v>
      </c>
      <c r="C172" s="4" t="s">
        <v>3509</v>
      </c>
      <c r="D172" s="4" t="s">
        <v>3510</v>
      </c>
      <c r="E172" s="2">
        <f>VALUE("2020")</f>
        <v>2020</v>
      </c>
      <c r="F172" t="s">
        <v>3511</v>
      </c>
    </row>
    <row r="173" spans="1:7" x14ac:dyDescent="0.25">
      <c r="A173" s="4" t="s">
        <v>146</v>
      </c>
      <c r="B173" s="2">
        <f>VALUE("6014")</f>
        <v>6014</v>
      </c>
      <c r="C173" s="4" t="s">
        <v>144</v>
      </c>
      <c r="D173" s="4" t="s">
        <v>145</v>
      </c>
      <c r="E173" s="2">
        <f>VALUE("2007")</f>
        <v>2007</v>
      </c>
      <c r="F173" t="s">
        <v>146</v>
      </c>
    </row>
    <row r="174" spans="1:7" x14ac:dyDescent="0.25">
      <c r="A174" s="4" t="s">
        <v>146</v>
      </c>
      <c r="B174" s="2">
        <f>VALUE("6079")</f>
        <v>6079</v>
      </c>
      <c r="C174" s="4" t="s">
        <v>250</v>
      </c>
      <c r="D174" s="4" t="s">
        <v>5255</v>
      </c>
      <c r="E174" s="2">
        <f>VALUE("2010")</f>
        <v>2010</v>
      </c>
      <c r="F174" t="s">
        <v>146</v>
      </c>
    </row>
    <row r="175" spans="1:7" x14ac:dyDescent="0.25">
      <c r="A175" s="4" t="s">
        <v>146</v>
      </c>
      <c r="B175" s="2">
        <f>VALUE("6079")</f>
        <v>6079</v>
      </c>
      <c r="C175" s="4" t="s">
        <v>251</v>
      </c>
      <c r="D175" s="4" t="s">
        <v>5255</v>
      </c>
      <c r="E175" s="2">
        <f>VALUE("2010")</f>
        <v>2010</v>
      </c>
      <c r="F175" t="s">
        <v>146</v>
      </c>
      <c r="G175" s="8" t="s">
        <v>252</v>
      </c>
    </row>
    <row r="176" spans="1:7" x14ac:dyDescent="0.25">
      <c r="A176" s="4" t="s">
        <v>146</v>
      </c>
      <c r="B176" s="2">
        <f>VALUE("6079")</f>
        <v>6079</v>
      </c>
      <c r="C176" s="4" t="s">
        <v>253</v>
      </c>
      <c r="D176" s="4" t="s">
        <v>254</v>
      </c>
      <c r="E176" s="2">
        <f>VALUE("2013")</f>
        <v>2013</v>
      </c>
      <c r="F176" t="s">
        <v>146</v>
      </c>
      <c r="G176" s="8" t="s">
        <v>255</v>
      </c>
    </row>
    <row r="177" spans="1:7" x14ac:dyDescent="0.25">
      <c r="A177" s="4" t="s">
        <v>146</v>
      </c>
      <c r="B177" s="2">
        <f>VALUE("7017")</f>
        <v>7017</v>
      </c>
      <c r="C177" s="4" t="s">
        <v>545</v>
      </c>
      <c r="D177" s="4" t="s">
        <v>546</v>
      </c>
      <c r="E177" s="2">
        <f>VALUE("2013")</f>
        <v>2013</v>
      </c>
      <c r="F177" t="s">
        <v>146</v>
      </c>
    </row>
    <row r="178" spans="1:7" x14ac:dyDescent="0.25">
      <c r="A178" s="4" t="s">
        <v>146</v>
      </c>
      <c r="B178" s="2">
        <f>VALUE("7017")</f>
        <v>7017</v>
      </c>
      <c r="C178" s="4" t="s">
        <v>547</v>
      </c>
      <c r="D178" s="4" t="s">
        <v>548</v>
      </c>
      <c r="E178" s="2">
        <f>VALUE("2011")</f>
        <v>2011</v>
      </c>
      <c r="F178" t="s">
        <v>146</v>
      </c>
    </row>
    <row r="179" spans="1:7" x14ac:dyDescent="0.25">
      <c r="A179" s="4" t="s">
        <v>146</v>
      </c>
      <c r="B179" s="2">
        <f>VALUE("7017")</f>
        <v>7017</v>
      </c>
      <c r="C179" s="4" t="s">
        <v>549</v>
      </c>
      <c r="D179" s="4" t="s">
        <v>550</v>
      </c>
      <c r="E179" s="2">
        <f>VALUE("2012")</f>
        <v>2012</v>
      </c>
      <c r="F179" t="s">
        <v>146</v>
      </c>
    </row>
    <row r="180" spans="1:7" x14ac:dyDescent="0.25">
      <c r="A180" s="4" t="s">
        <v>146</v>
      </c>
      <c r="B180" s="2">
        <f>VALUE("7102")</f>
        <v>7102</v>
      </c>
      <c r="C180" s="4" t="s">
        <v>763</v>
      </c>
      <c r="D180" s="4" t="s">
        <v>764</v>
      </c>
      <c r="E180" s="2">
        <f>VALUE("2014")</f>
        <v>2014</v>
      </c>
      <c r="F180" t="s">
        <v>146</v>
      </c>
    </row>
    <row r="181" spans="1:7" x14ac:dyDescent="0.25">
      <c r="A181" s="4" t="s">
        <v>146</v>
      </c>
      <c r="B181" s="2">
        <f>VALUE("7102")</f>
        <v>7102</v>
      </c>
      <c r="C181" s="4" t="s">
        <v>765</v>
      </c>
      <c r="D181" s="4" t="s">
        <v>766</v>
      </c>
      <c r="E181" s="2">
        <f>VALUE("2015")</f>
        <v>2015</v>
      </c>
      <c r="F181" t="s">
        <v>146</v>
      </c>
    </row>
    <row r="182" spans="1:7" x14ac:dyDescent="0.25">
      <c r="A182" s="4" t="s">
        <v>146</v>
      </c>
      <c r="B182" s="2">
        <f>VALUE("7150")</f>
        <v>7150</v>
      </c>
      <c r="C182" s="4" t="s">
        <v>965</v>
      </c>
      <c r="D182" s="4" t="s">
        <v>966</v>
      </c>
      <c r="E182" s="2">
        <f>VALUE("2014")</f>
        <v>2014</v>
      </c>
      <c r="F182" t="s">
        <v>963</v>
      </c>
      <c r="G182" s="8" t="s">
        <v>967</v>
      </c>
    </row>
    <row r="183" spans="1:7" x14ac:dyDescent="0.25">
      <c r="A183" s="4" t="s">
        <v>146</v>
      </c>
      <c r="B183" s="2">
        <f>VALUE("7150")</f>
        <v>7150</v>
      </c>
      <c r="C183" s="4" t="s">
        <v>961</v>
      </c>
      <c r="D183" s="4" t="s">
        <v>962</v>
      </c>
      <c r="E183" s="2">
        <f>VALUE("2016")</f>
        <v>2016</v>
      </c>
      <c r="F183" t="s">
        <v>963</v>
      </c>
      <c r="G183" s="8" t="s">
        <v>964</v>
      </c>
    </row>
    <row r="184" spans="1:7" x14ac:dyDescent="0.25">
      <c r="A184" s="4" t="s">
        <v>146</v>
      </c>
      <c r="B184" s="2">
        <f>VALUE("8337")</f>
        <v>8337</v>
      </c>
      <c r="C184" s="4" t="s">
        <v>3780</v>
      </c>
      <c r="D184" s="4" t="s">
        <v>3781</v>
      </c>
      <c r="E184" s="2">
        <f>VALUE("2018")</f>
        <v>2018</v>
      </c>
      <c r="F184" t="s">
        <v>146</v>
      </c>
      <c r="G184" s="8" t="s">
        <v>3782</v>
      </c>
    </row>
    <row r="185" spans="1:7" x14ac:dyDescent="0.25">
      <c r="A185" s="4" t="s">
        <v>146</v>
      </c>
      <c r="B185" s="2">
        <f>VALUE("8480")</f>
        <v>8480</v>
      </c>
      <c r="C185" s="4" t="s">
        <v>4061</v>
      </c>
      <c r="D185" s="4" t="s">
        <v>293</v>
      </c>
      <c r="E185" s="2">
        <f>VALUE("2020")</f>
        <v>2020</v>
      </c>
      <c r="F185" t="s">
        <v>4059</v>
      </c>
      <c r="G185" s="8" t="s">
        <v>4062</v>
      </c>
    </row>
    <row r="186" spans="1:7" x14ac:dyDescent="0.25">
      <c r="A186" s="4" t="s">
        <v>146</v>
      </c>
      <c r="B186" s="2">
        <f>VALUE("8480")</f>
        <v>8480</v>
      </c>
      <c r="C186" s="4" t="s">
        <v>4058</v>
      </c>
      <c r="D186" s="4" t="s">
        <v>293</v>
      </c>
      <c r="E186" s="2">
        <f>VALUE("2020")</f>
        <v>2020</v>
      </c>
      <c r="F186" t="s">
        <v>4059</v>
      </c>
      <c r="G186" s="8" t="s">
        <v>4060</v>
      </c>
    </row>
    <row r="187" spans="1:7" x14ac:dyDescent="0.25">
      <c r="A187" s="4" t="s">
        <v>146</v>
      </c>
      <c r="B187" s="2">
        <f>VALUE("8559")</f>
        <v>8559</v>
      </c>
      <c r="C187" s="4" t="s">
        <v>4258</v>
      </c>
      <c r="D187" s="4" t="s">
        <v>293</v>
      </c>
      <c r="E187" s="2">
        <f>VALUE("2020")</f>
        <v>2020</v>
      </c>
      <c r="F187" t="s">
        <v>4059</v>
      </c>
      <c r="G187" s="8" t="s">
        <v>4259</v>
      </c>
    </row>
    <row r="188" spans="1:7" x14ac:dyDescent="0.25">
      <c r="A188" s="4" t="s">
        <v>146</v>
      </c>
      <c r="B188" s="2">
        <f>VALUE("8665")</f>
        <v>8665</v>
      </c>
      <c r="C188" s="4" t="s">
        <v>4481</v>
      </c>
      <c r="D188" s="4" t="s">
        <v>4482</v>
      </c>
      <c r="E188" s="2">
        <f>VALUE("2020")</f>
        <v>2020</v>
      </c>
      <c r="F188" t="s">
        <v>146</v>
      </c>
      <c r="G188" s="8" t="s">
        <v>4483</v>
      </c>
    </row>
    <row r="189" spans="1:7" x14ac:dyDescent="0.25">
      <c r="A189" s="4" t="s">
        <v>146</v>
      </c>
      <c r="B189" s="2">
        <f>VALUE("8760")</f>
        <v>8760</v>
      </c>
      <c r="C189" s="4" t="s">
        <v>4668</v>
      </c>
      <c r="D189" s="4" t="s">
        <v>293</v>
      </c>
      <c r="E189" s="2">
        <f>VALUE("2022")</f>
        <v>2022</v>
      </c>
      <c r="F189" t="s">
        <v>146</v>
      </c>
      <c r="G189" s="8" t="s">
        <v>4669</v>
      </c>
    </row>
    <row r="190" spans="1:7" x14ac:dyDescent="0.25">
      <c r="A190" s="4" t="s">
        <v>146</v>
      </c>
      <c r="B190" s="2">
        <f>VALUE("8892")</f>
        <v>8892</v>
      </c>
      <c r="C190" s="4" t="s">
        <v>4846</v>
      </c>
      <c r="D190" s="4" t="s">
        <v>4847</v>
      </c>
      <c r="E190" s="2">
        <f>VALUE("2021")</f>
        <v>2021</v>
      </c>
      <c r="F190" t="s">
        <v>146</v>
      </c>
      <c r="G190" s="8" t="s">
        <v>4848</v>
      </c>
    </row>
    <row r="191" spans="1:7" x14ac:dyDescent="0.25">
      <c r="A191" s="4" t="s">
        <v>600</v>
      </c>
      <c r="B191" s="2">
        <f>VALUE("7028")</f>
        <v>7028</v>
      </c>
      <c r="C191" s="4" t="s">
        <v>599</v>
      </c>
      <c r="D191" s="4" t="s">
        <v>293</v>
      </c>
      <c r="E191" s="2">
        <f>VALUE("2014")</f>
        <v>2014</v>
      </c>
      <c r="F191" t="s">
        <v>600</v>
      </c>
      <c r="G191" s="8" t="s">
        <v>601</v>
      </c>
    </row>
    <row r="192" spans="1:7" x14ac:dyDescent="0.25">
      <c r="A192" s="4" t="s">
        <v>600</v>
      </c>
      <c r="B192" s="2">
        <f>VALUE("7028")</f>
        <v>7028</v>
      </c>
      <c r="C192" s="4" t="s">
        <v>610</v>
      </c>
      <c r="D192" s="4" t="s">
        <v>606</v>
      </c>
      <c r="E192" s="2">
        <f>VALUE("2019")</f>
        <v>2019</v>
      </c>
      <c r="F192" t="s">
        <v>600</v>
      </c>
      <c r="G192" s="8" t="s">
        <v>611</v>
      </c>
    </row>
    <row r="193" spans="1:7" x14ac:dyDescent="0.25">
      <c r="A193" s="4" t="s">
        <v>600</v>
      </c>
      <c r="B193" s="2">
        <f>VALUE("7028")</f>
        <v>7028</v>
      </c>
      <c r="C193" s="4" t="s">
        <v>602</v>
      </c>
      <c r="D193" s="4" t="s">
        <v>603</v>
      </c>
      <c r="E193" s="2">
        <f>VALUE("2021")</f>
        <v>2021</v>
      </c>
      <c r="F193" t="s">
        <v>600</v>
      </c>
      <c r="G193" s="8" t="s">
        <v>604</v>
      </c>
    </row>
    <row r="194" spans="1:7" x14ac:dyDescent="0.25">
      <c r="A194" s="4" t="s">
        <v>600</v>
      </c>
      <c r="B194" s="2">
        <f>VALUE("7028")</f>
        <v>7028</v>
      </c>
      <c r="C194" s="4" t="s">
        <v>605</v>
      </c>
      <c r="D194" s="4" t="s">
        <v>606</v>
      </c>
      <c r="E194" s="2">
        <f>VALUE("2022")</f>
        <v>2022</v>
      </c>
      <c r="F194" t="s">
        <v>600</v>
      </c>
      <c r="G194" s="8" t="s">
        <v>607</v>
      </c>
    </row>
    <row r="195" spans="1:7" x14ac:dyDescent="0.25">
      <c r="A195" s="4" t="s">
        <v>600</v>
      </c>
      <c r="B195" s="2">
        <f>VALUE("7028")</f>
        <v>7028</v>
      </c>
      <c r="C195" s="4" t="s">
        <v>608</v>
      </c>
      <c r="D195" s="4" t="s">
        <v>606</v>
      </c>
      <c r="E195" s="2">
        <f>VALUE("2018")</f>
        <v>2018</v>
      </c>
      <c r="F195" t="s">
        <v>600</v>
      </c>
      <c r="G195" s="8" t="s">
        <v>609</v>
      </c>
    </row>
    <row r="196" spans="1:7" x14ac:dyDescent="0.25">
      <c r="A196" s="4" t="s">
        <v>3518</v>
      </c>
      <c r="B196" s="2">
        <f>VALUE("8226")</f>
        <v>8226</v>
      </c>
      <c r="C196" s="4" t="s">
        <v>3515</v>
      </c>
      <c r="D196" s="4" t="s">
        <v>3516</v>
      </c>
      <c r="E196" s="2">
        <f>VALUE("2020")</f>
        <v>2020</v>
      </c>
      <c r="F196" t="s">
        <v>3517</v>
      </c>
      <c r="G196" s="8" t="s">
        <v>3519</v>
      </c>
    </row>
    <row r="197" spans="1:7" x14ac:dyDescent="0.25">
      <c r="A197" s="4" t="s">
        <v>2208</v>
      </c>
      <c r="B197" s="2">
        <f>VALUE("7656")</f>
        <v>7656</v>
      </c>
      <c r="C197" s="4" t="s">
        <v>2206</v>
      </c>
      <c r="D197" s="4" t="s">
        <v>2207</v>
      </c>
      <c r="E197" s="2">
        <f>VALUE("2014")</f>
        <v>2014</v>
      </c>
      <c r="F197" t="s">
        <v>2208</v>
      </c>
      <c r="G197" s="8" t="s">
        <v>2209</v>
      </c>
    </row>
    <row r="198" spans="1:7" x14ac:dyDescent="0.25">
      <c r="A198" s="4" t="s">
        <v>2208</v>
      </c>
      <c r="B198" s="2">
        <f>VALUE("7715")</f>
        <v>7715</v>
      </c>
      <c r="C198" s="4" t="s">
        <v>2423</v>
      </c>
      <c r="D198" s="4" t="s">
        <v>2424</v>
      </c>
      <c r="E198" s="2">
        <f>VALUE("2015")</f>
        <v>2015</v>
      </c>
      <c r="F198" t="s">
        <v>2208</v>
      </c>
      <c r="G198" s="8" t="s">
        <v>2425</v>
      </c>
    </row>
    <row r="199" spans="1:7" x14ac:dyDescent="0.25">
      <c r="A199" s="4" t="s">
        <v>2208</v>
      </c>
      <c r="B199" s="2">
        <f>VALUE("7761")</f>
        <v>7761</v>
      </c>
      <c r="C199" s="4" t="s">
        <v>2535</v>
      </c>
      <c r="D199" s="4" t="s">
        <v>2536</v>
      </c>
      <c r="E199" s="2">
        <f>VALUE("2015")</f>
        <v>2015</v>
      </c>
      <c r="F199" t="s">
        <v>2208</v>
      </c>
    </row>
    <row r="200" spans="1:7" x14ac:dyDescent="0.25">
      <c r="A200" s="4" t="s">
        <v>2208</v>
      </c>
      <c r="B200" s="2">
        <f>VALUE("8292")</f>
        <v>8292</v>
      </c>
      <c r="C200" s="4" t="s">
        <v>3681</v>
      </c>
      <c r="D200" s="4" t="s">
        <v>3682</v>
      </c>
      <c r="E200" s="2">
        <f>VALUE("2018")</f>
        <v>2018</v>
      </c>
      <c r="F200" t="s">
        <v>2208</v>
      </c>
      <c r="G200" s="8" t="s">
        <v>3683</v>
      </c>
    </row>
    <row r="201" spans="1:7" x14ac:dyDescent="0.25">
      <c r="A201" s="4" t="s">
        <v>2208</v>
      </c>
      <c r="B201" s="2">
        <f>VALUE("8293")</f>
        <v>8293</v>
      </c>
      <c r="C201" s="4" t="s">
        <v>3687</v>
      </c>
      <c r="D201" s="4" t="s">
        <v>293</v>
      </c>
      <c r="E201" s="2">
        <f>VALUE("2019")</f>
        <v>2019</v>
      </c>
      <c r="F201" t="s">
        <v>2208</v>
      </c>
      <c r="G201" s="8" t="s">
        <v>3688</v>
      </c>
    </row>
    <row r="202" spans="1:7" x14ac:dyDescent="0.25">
      <c r="A202" s="4" t="s">
        <v>2208</v>
      </c>
      <c r="B202" s="2">
        <f>VALUE("8293")</f>
        <v>8293</v>
      </c>
      <c r="C202" s="4" t="s">
        <v>3685</v>
      </c>
      <c r="D202" s="4" t="s">
        <v>3686</v>
      </c>
      <c r="E202" s="2">
        <f>VALUE("2018")</f>
        <v>2018</v>
      </c>
      <c r="F202" t="s">
        <v>2208</v>
      </c>
    </row>
    <row r="203" spans="1:7" x14ac:dyDescent="0.25">
      <c r="A203" s="4" t="s">
        <v>2208</v>
      </c>
      <c r="B203" s="2">
        <f>VALUE("8293")</f>
        <v>8293</v>
      </c>
      <c r="C203" s="4" t="s">
        <v>3684</v>
      </c>
      <c r="D203" s="4" t="s">
        <v>293</v>
      </c>
      <c r="E203" s="2">
        <f>VALUE("2019")</f>
        <v>2019</v>
      </c>
      <c r="F203" t="s">
        <v>2208</v>
      </c>
    </row>
    <row r="204" spans="1:7" x14ac:dyDescent="0.25">
      <c r="A204" s="4" t="s">
        <v>2208</v>
      </c>
      <c r="B204" s="2">
        <f>VALUE("8598")</f>
        <v>8598</v>
      </c>
      <c r="C204" s="4" t="s">
        <v>4326</v>
      </c>
      <c r="D204" s="4" t="s">
        <v>4327</v>
      </c>
      <c r="E204" s="2">
        <f>VALUE("2021")</f>
        <v>2021</v>
      </c>
      <c r="F204" t="s">
        <v>4328</v>
      </c>
      <c r="G204" s="8" t="s">
        <v>4329</v>
      </c>
    </row>
    <row r="205" spans="1:7" x14ac:dyDescent="0.25">
      <c r="A205" s="4" t="s">
        <v>2208</v>
      </c>
      <c r="B205" s="2">
        <f>VALUE("8598")</f>
        <v>8598</v>
      </c>
      <c r="C205" s="4" t="s">
        <v>4319</v>
      </c>
      <c r="D205" s="4" t="s">
        <v>4320</v>
      </c>
      <c r="E205" s="2">
        <f>VALUE("2019")</f>
        <v>2019</v>
      </c>
      <c r="F205" t="s">
        <v>2208</v>
      </c>
      <c r="G205" s="8" t="s">
        <v>4321</v>
      </c>
    </row>
    <row r="206" spans="1:7" x14ac:dyDescent="0.25">
      <c r="A206" s="4" t="s">
        <v>2208</v>
      </c>
      <c r="B206" s="2">
        <f>VALUE("8598")</f>
        <v>8598</v>
      </c>
      <c r="C206" s="4" t="s">
        <v>4322</v>
      </c>
      <c r="D206" s="4" t="s">
        <v>293</v>
      </c>
      <c r="E206" s="2">
        <f>VALUE("2020")</f>
        <v>2020</v>
      </c>
      <c r="F206" t="s">
        <v>2208</v>
      </c>
      <c r="G206" s="8" t="s">
        <v>4323</v>
      </c>
    </row>
    <row r="207" spans="1:7" x14ac:dyDescent="0.25">
      <c r="A207" s="4" t="s">
        <v>2208</v>
      </c>
      <c r="B207" s="2">
        <f>VALUE("8598")</f>
        <v>8598</v>
      </c>
      <c r="C207" s="4" t="s">
        <v>4324</v>
      </c>
      <c r="D207" s="4" t="s">
        <v>293</v>
      </c>
      <c r="E207" s="2">
        <f>VALUE("2021")</f>
        <v>2021</v>
      </c>
      <c r="F207" t="s">
        <v>3814</v>
      </c>
      <c r="G207" s="8" t="s">
        <v>4325</v>
      </c>
    </row>
    <row r="208" spans="1:7" x14ac:dyDescent="0.25">
      <c r="A208" s="4" t="s">
        <v>2208</v>
      </c>
      <c r="B208" s="2">
        <f>VALUE("8971")</f>
        <v>8971</v>
      </c>
      <c r="C208" s="4" t="s">
        <v>4923</v>
      </c>
      <c r="D208" s="4" t="s">
        <v>4924</v>
      </c>
      <c r="E208" s="2">
        <f>VALUE("2022")</f>
        <v>2022</v>
      </c>
      <c r="F208" t="s">
        <v>2208</v>
      </c>
      <c r="G208" s="8" t="s">
        <v>4925</v>
      </c>
    </row>
    <row r="209" spans="1:7" x14ac:dyDescent="0.25">
      <c r="A209" s="4" t="s">
        <v>224</v>
      </c>
      <c r="B209" s="2">
        <f>VALUE("6062")</f>
        <v>6062</v>
      </c>
      <c r="C209" s="4" t="s">
        <v>210</v>
      </c>
      <c r="D209" s="4" t="s">
        <v>211</v>
      </c>
      <c r="E209" s="2">
        <f>VALUE("2013")</f>
        <v>2013</v>
      </c>
      <c r="F209" t="s">
        <v>212</v>
      </c>
    </row>
    <row r="210" spans="1:7" x14ac:dyDescent="0.25">
      <c r="A210" s="4" t="s">
        <v>224</v>
      </c>
      <c r="B210" s="2">
        <f>VALUE("6062")</f>
        <v>6062</v>
      </c>
      <c r="C210" s="4" t="s">
        <v>213</v>
      </c>
      <c r="D210" s="4" t="s">
        <v>214</v>
      </c>
      <c r="E210" s="2">
        <f>VALUE("2013")</f>
        <v>2013</v>
      </c>
      <c r="F210" t="s">
        <v>215</v>
      </c>
    </row>
    <row r="211" spans="1:7" x14ac:dyDescent="0.25">
      <c r="A211" s="4" t="s">
        <v>224</v>
      </c>
      <c r="B211" s="2">
        <f>VALUE("6062")</f>
        <v>6062</v>
      </c>
      <c r="C211" s="4" t="s">
        <v>218</v>
      </c>
      <c r="D211" s="4" t="s">
        <v>211</v>
      </c>
      <c r="E211" s="2">
        <f>VALUE("2015")</f>
        <v>2015</v>
      </c>
      <c r="F211" t="s">
        <v>219</v>
      </c>
    </row>
    <row r="212" spans="1:7" x14ac:dyDescent="0.25">
      <c r="A212" s="4" t="s">
        <v>224</v>
      </c>
      <c r="B212" s="2">
        <f>VALUE("6062")</f>
        <v>6062</v>
      </c>
      <c r="C212" s="4" t="s">
        <v>216</v>
      </c>
      <c r="D212" s="4" t="s">
        <v>211</v>
      </c>
      <c r="E212" s="2">
        <f>VALUE("2013")</f>
        <v>2013</v>
      </c>
      <c r="F212" t="s">
        <v>217</v>
      </c>
    </row>
    <row r="213" spans="1:7" x14ac:dyDescent="0.25">
      <c r="A213" s="4" t="s">
        <v>224</v>
      </c>
      <c r="B213" s="2">
        <f>VALUE("6062")</f>
        <v>6062</v>
      </c>
      <c r="C213" s="4" t="s">
        <v>220</v>
      </c>
      <c r="D213" s="4" t="s">
        <v>214</v>
      </c>
      <c r="E213" s="2">
        <f>VALUE("2015")</f>
        <v>2015</v>
      </c>
      <c r="F213" t="s">
        <v>221</v>
      </c>
    </row>
    <row r="214" spans="1:7" x14ac:dyDescent="0.25">
      <c r="A214" s="4" t="s">
        <v>224</v>
      </c>
      <c r="B214" s="2">
        <f>VALUE("6064")</f>
        <v>6064</v>
      </c>
      <c r="C214" s="4" t="s">
        <v>222</v>
      </c>
      <c r="D214" s="4" t="s">
        <v>223</v>
      </c>
      <c r="E214" s="2">
        <f>VALUE("2014")</f>
        <v>2014</v>
      </c>
      <c r="F214" t="s">
        <v>224</v>
      </c>
    </row>
    <row r="215" spans="1:7" x14ac:dyDescent="0.25">
      <c r="A215" s="4" t="s">
        <v>224</v>
      </c>
      <c r="B215" s="2">
        <f>VALUE("6064")</f>
        <v>6064</v>
      </c>
      <c r="C215" s="4" t="s">
        <v>225</v>
      </c>
      <c r="D215" s="4" t="s">
        <v>226</v>
      </c>
      <c r="E215" s="2">
        <f>VALUE("2012")</f>
        <v>2012</v>
      </c>
      <c r="F215" t="s">
        <v>224</v>
      </c>
    </row>
    <row r="216" spans="1:7" x14ac:dyDescent="0.25">
      <c r="A216" s="4" t="s">
        <v>224</v>
      </c>
      <c r="B216" s="2">
        <f>VALUE("6064")</f>
        <v>6064</v>
      </c>
      <c r="C216" s="4" t="s">
        <v>227</v>
      </c>
      <c r="D216" s="4" t="s">
        <v>228</v>
      </c>
      <c r="E216" s="2">
        <f>VALUE("2011")</f>
        <v>2011</v>
      </c>
      <c r="F216" t="s">
        <v>229</v>
      </c>
    </row>
    <row r="217" spans="1:7" x14ac:dyDescent="0.25">
      <c r="A217" s="4" t="s">
        <v>224</v>
      </c>
      <c r="B217" s="2">
        <f t="shared" ref="B217:B223" si="3">VALUE("6088")</f>
        <v>6088</v>
      </c>
      <c r="C217" s="4" t="s">
        <v>259</v>
      </c>
      <c r="D217" s="4" t="s">
        <v>260</v>
      </c>
      <c r="E217" s="2">
        <f>VALUE("2012")</f>
        <v>2012</v>
      </c>
      <c r="F217" t="s">
        <v>224</v>
      </c>
      <c r="G217" s="8" t="s">
        <v>261</v>
      </c>
    </row>
    <row r="218" spans="1:7" x14ac:dyDescent="0.25">
      <c r="A218" s="4" t="s">
        <v>224</v>
      </c>
      <c r="B218" s="2">
        <f t="shared" si="3"/>
        <v>6088</v>
      </c>
      <c r="C218" s="4" t="s">
        <v>262</v>
      </c>
      <c r="D218" s="4" t="s">
        <v>263</v>
      </c>
      <c r="E218" s="2">
        <f>VALUE("2008")</f>
        <v>2008</v>
      </c>
      <c r="F218" t="s">
        <v>229</v>
      </c>
      <c r="G218" s="8" t="s">
        <v>264</v>
      </c>
    </row>
    <row r="219" spans="1:7" x14ac:dyDescent="0.25">
      <c r="A219" s="4" t="s">
        <v>224</v>
      </c>
      <c r="B219" s="2">
        <f t="shared" si="3"/>
        <v>6088</v>
      </c>
      <c r="C219" s="4" t="s">
        <v>265</v>
      </c>
      <c r="D219" s="4" t="s">
        <v>263</v>
      </c>
      <c r="E219" s="2">
        <f>VALUE("2010")</f>
        <v>2010</v>
      </c>
      <c r="F219" t="s">
        <v>224</v>
      </c>
    </row>
    <row r="220" spans="1:7" x14ac:dyDescent="0.25">
      <c r="A220" s="4" t="s">
        <v>224</v>
      </c>
      <c r="B220" s="2">
        <f t="shared" si="3"/>
        <v>6088</v>
      </c>
      <c r="C220" s="4" t="s">
        <v>269</v>
      </c>
      <c r="D220" s="4" t="s">
        <v>270</v>
      </c>
      <c r="E220" s="2">
        <f>VALUE("2011")</f>
        <v>2011</v>
      </c>
      <c r="F220" t="s">
        <v>224</v>
      </c>
      <c r="G220" s="8" t="s">
        <v>271</v>
      </c>
    </row>
    <row r="221" spans="1:7" x14ac:dyDescent="0.25">
      <c r="A221" s="4" t="s">
        <v>224</v>
      </c>
      <c r="B221" s="2">
        <f t="shared" si="3"/>
        <v>6088</v>
      </c>
      <c r="C221" s="4" t="s">
        <v>272</v>
      </c>
      <c r="D221" s="4" t="s">
        <v>273</v>
      </c>
      <c r="E221" s="2">
        <f>VALUE("2011")</f>
        <v>2011</v>
      </c>
      <c r="F221" t="s">
        <v>224</v>
      </c>
      <c r="G221" s="8" t="s">
        <v>274</v>
      </c>
    </row>
    <row r="222" spans="1:7" x14ac:dyDescent="0.25">
      <c r="A222" s="4" t="s">
        <v>224</v>
      </c>
      <c r="B222" s="2">
        <f t="shared" si="3"/>
        <v>6088</v>
      </c>
      <c r="C222" s="4" t="s">
        <v>275</v>
      </c>
      <c r="D222" s="4" t="s">
        <v>276</v>
      </c>
      <c r="E222" s="2">
        <f>VALUE("2012")</f>
        <v>2012</v>
      </c>
      <c r="F222" t="s">
        <v>224</v>
      </c>
    </row>
    <row r="223" spans="1:7" x14ac:dyDescent="0.25">
      <c r="A223" s="4" t="s">
        <v>224</v>
      </c>
      <c r="B223" s="2">
        <f t="shared" si="3"/>
        <v>6088</v>
      </c>
      <c r="C223" s="4" t="s">
        <v>277</v>
      </c>
      <c r="D223" s="4" t="s">
        <v>278</v>
      </c>
      <c r="E223" s="2">
        <f>VALUE("2011")</f>
        <v>2011</v>
      </c>
      <c r="F223" t="s">
        <v>224</v>
      </c>
      <c r="G223" s="8" t="s">
        <v>279</v>
      </c>
    </row>
    <row r="224" spans="1:7" x14ac:dyDescent="0.25">
      <c r="A224" s="4" t="s">
        <v>224</v>
      </c>
      <c r="B224" s="2">
        <f>VALUE("7141")</f>
        <v>7141</v>
      </c>
      <c r="C224" s="4" t="s">
        <v>956</v>
      </c>
      <c r="D224" s="4" t="s">
        <v>957</v>
      </c>
      <c r="E224" s="2">
        <f>VALUE("2013")</f>
        <v>2013</v>
      </c>
      <c r="F224" t="s">
        <v>229</v>
      </c>
    </row>
    <row r="225" spans="1:7" x14ac:dyDescent="0.25">
      <c r="A225" s="4" t="s">
        <v>224</v>
      </c>
      <c r="B225" s="2">
        <f>VALUE("7197")</f>
        <v>7197</v>
      </c>
      <c r="C225" s="4" t="s">
        <v>1044</v>
      </c>
      <c r="D225" s="4" t="s">
        <v>1045</v>
      </c>
      <c r="E225" s="2">
        <f>VALUE("2013")</f>
        <v>2013</v>
      </c>
      <c r="F225" t="s">
        <v>224</v>
      </c>
    </row>
    <row r="226" spans="1:7" x14ac:dyDescent="0.25">
      <c r="A226" s="4" t="s">
        <v>224</v>
      </c>
      <c r="B226" s="2">
        <f t="shared" ref="B226:B231" si="4">VALUE("7282")</f>
        <v>7282</v>
      </c>
      <c r="C226" s="4" t="s">
        <v>1341</v>
      </c>
      <c r="D226" s="4" t="s">
        <v>1342</v>
      </c>
      <c r="E226" s="2">
        <f>VALUE("2011")</f>
        <v>2011</v>
      </c>
      <c r="F226" t="s">
        <v>224</v>
      </c>
    </row>
    <row r="227" spans="1:7" x14ac:dyDescent="0.25">
      <c r="A227" s="4" t="s">
        <v>224</v>
      </c>
      <c r="B227" s="2">
        <f t="shared" si="4"/>
        <v>7282</v>
      </c>
      <c r="C227" s="4" t="s">
        <v>1343</v>
      </c>
      <c r="D227" s="4" t="s">
        <v>1344</v>
      </c>
      <c r="E227" s="2">
        <f>VALUE("2014")</f>
        <v>2014</v>
      </c>
      <c r="F227" t="s">
        <v>224</v>
      </c>
      <c r="G227" s="8" t="s">
        <v>1345</v>
      </c>
    </row>
    <row r="228" spans="1:7" x14ac:dyDescent="0.25">
      <c r="A228" s="4" t="s">
        <v>224</v>
      </c>
      <c r="B228" s="2">
        <f t="shared" si="4"/>
        <v>7282</v>
      </c>
      <c r="C228" s="4" t="s">
        <v>1346</v>
      </c>
      <c r="D228" s="4" t="s">
        <v>1347</v>
      </c>
      <c r="E228" s="2">
        <f>VALUE("2012")</f>
        <v>2012</v>
      </c>
      <c r="F228" t="s">
        <v>224</v>
      </c>
    </row>
    <row r="229" spans="1:7" x14ac:dyDescent="0.25">
      <c r="A229" s="4" t="s">
        <v>224</v>
      </c>
      <c r="B229" s="2">
        <f t="shared" si="4"/>
        <v>7282</v>
      </c>
      <c r="C229" s="4" t="s">
        <v>1351</v>
      </c>
      <c r="D229" s="4" t="s">
        <v>1352</v>
      </c>
      <c r="E229" s="2">
        <f>VALUE("2013")</f>
        <v>2013</v>
      </c>
      <c r="F229" t="s">
        <v>224</v>
      </c>
      <c r="G229" s="8" t="s">
        <v>1353</v>
      </c>
    </row>
    <row r="230" spans="1:7" x14ac:dyDescent="0.25">
      <c r="A230" s="4" t="s">
        <v>224</v>
      </c>
      <c r="B230" s="2">
        <f t="shared" si="4"/>
        <v>7282</v>
      </c>
      <c r="C230" s="4" t="s">
        <v>1354</v>
      </c>
      <c r="D230" s="4" t="s">
        <v>1355</v>
      </c>
      <c r="E230" s="2">
        <f>VALUE("2015")</f>
        <v>2015</v>
      </c>
      <c r="F230" t="s">
        <v>224</v>
      </c>
      <c r="G230" s="8" t="s">
        <v>1356</v>
      </c>
    </row>
    <row r="231" spans="1:7" x14ac:dyDescent="0.25">
      <c r="A231" t="s">
        <v>224</v>
      </c>
      <c r="B231" s="2">
        <f t="shared" si="4"/>
        <v>7282</v>
      </c>
      <c r="C231" s="4" t="s">
        <v>266</v>
      </c>
      <c r="D231" s="4" t="s">
        <v>1344</v>
      </c>
      <c r="E231" s="2">
        <f>VALUE("2011")</f>
        <v>2011</v>
      </c>
      <c r="F231" t="s">
        <v>224</v>
      </c>
    </row>
    <row r="232" spans="1:7" x14ac:dyDescent="0.25">
      <c r="A232" t="s">
        <v>224</v>
      </c>
      <c r="B232" s="2">
        <f>VALUE("7306")</f>
        <v>7306</v>
      </c>
      <c r="C232" s="4" t="s">
        <v>1395</v>
      </c>
      <c r="D232" s="4" t="s">
        <v>1396</v>
      </c>
      <c r="E232" s="2">
        <f>VALUE("2013")</f>
        <v>2013</v>
      </c>
      <c r="F232" t="s">
        <v>224</v>
      </c>
    </row>
    <row r="233" spans="1:7" x14ac:dyDescent="0.25">
      <c r="A233" t="s">
        <v>224</v>
      </c>
      <c r="B233" s="2">
        <f>VALUE("7332")</f>
        <v>7332</v>
      </c>
      <c r="C233" s="4" t="s">
        <v>1506</v>
      </c>
      <c r="D233" s="4" t="s">
        <v>224</v>
      </c>
      <c r="E233" s="2">
        <f>VALUE("2012")</f>
        <v>2012</v>
      </c>
      <c r="F233" t="s">
        <v>224</v>
      </c>
    </row>
    <row r="234" spans="1:7" x14ac:dyDescent="0.25">
      <c r="A234" t="s">
        <v>224</v>
      </c>
      <c r="B234" s="2">
        <f>VALUE("7398")</f>
        <v>7398</v>
      </c>
      <c r="C234" s="4" t="s">
        <v>1612</v>
      </c>
      <c r="D234" s="4" t="s">
        <v>1613</v>
      </c>
      <c r="E234" s="2">
        <f>VALUE("2013")</f>
        <v>2013</v>
      </c>
      <c r="F234" t="s">
        <v>224</v>
      </c>
      <c r="G234" s="8" t="s">
        <v>1614</v>
      </c>
    </row>
    <row r="235" spans="1:7" x14ac:dyDescent="0.25">
      <c r="A235" s="4" t="s">
        <v>224</v>
      </c>
      <c r="B235" s="2">
        <f>VALUE("7398")</f>
        <v>7398</v>
      </c>
      <c r="C235" s="4" t="s">
        <v>1615</v>
      </c>
      <c r="D235" s="4" t="s">
        <v>1616</v>
      </c>
      <c r="E235" s="2">
        <f>VALUE("2013")</f>
        <v>2013</v>
      </c>
      <c r="F235" t="s">
        <v>224</v>
      </c>
      <c r="G235" s="8" t="s">
        <v>1617</v>
      </c>
    </row>
    <row r="236" spans="1:7" x14ac:dyDescent="0.25">
      <c r="A236" t="s">
        <v>224</v>
      </c>
      <c r="B236" s="2">
        <f>VALUE("7398")</f>
        <v>7398</v>
      </c>
      <c r="C236" s="4" t="s">
        <v>1618</v>
      </c>
      <c r="D236" s="4" t="s">
        <v>1619</v>
      </c>
      <c r="E236" s="2">
        <f>VALUE("2014")</f>
        <v>2014</v>
      </c>
      <c r="F236" t="s">
        <v>224</v>
      </c>
      <c r="G236" s="8" t="s">
        <v>1620</v>
      </c>
    </row>
    <row r="237" spans="1:7" x14ac:dyDescent="0.25">
      <c r="A237" s="4" t="s">
        <v>224</v>
      </c>
      <c r="B237" s="2">
        <f>VALUE("7439")</f>
        <v>7439</v>
      </c>
      <c r="C237" s="4" t="s">
        <v>1711</v>
      </c>
      <c r="D237" s="4" t="s">
        <v>1712</v>
      </c>
      <c r="E237" s="2">
        <f>VALUE("2015")</f>
        <v>2015</v>
      </c>
      <c r="F237" t="s">
        <v>224</v>
      </c>
      <c r="G237" s="8" t="s">
        <v>1713</v>
      </c>
    </row>
    <row r="238" spans="1:7" x14ac:dyDescent="0.25">
      <c r="A238" s="4" t="s">
        <v>224</v>
      </c>
      <c r="B238" s="2">
        <f>VALUE("7439")</f>
        <v>7439</v>
      </c>
      <c r="C238" s="4" t="s">
        <v>1708</v>
      </c>
      <c r="D238" s="4" t="s">
        <v>1709</v>
      </c>
      <c r="E238" s="2">
        <f>VALUE("2017")</f>
        <v>2017</v>
      </c>
      <c r="F238" t="s">
        <v>224</v>
      </c>
      <c r="G238" s="8" t="s">
        <v>1710</v>
      </c>
    </row>
    <row r="239" spans="1:7" x14ac:dyDescent="0.25">
      <c r="A239" t="s">
        <v>224</v>
      </c>
      <c r="B239" s="2">
        <f>VALUE("7476")</f>
        <v>7476</v>
      </c>
      <c r="C239" s="4" t="s">
        <v>1780</v>
      </c>
      <c r="D239" s="4" t="s">
        <v>1781</v>
      </c>
      <c r="E239" s="2">
        <f>VALUE("2016")</f>
        <v>2016</v>
      </c>
      <c r="F239" t="s">
        <v>224</v>
      </c>
      <c r="G239" s="8" t="s">
        <v>1782</v>
      </c>
    </row>
    <row r="240" spans="1:7" x14ac:dyDescent="0.25">
      <c r="A240" s="4" t="s">
        <v>224</v>
      </c>
      <c r="B240" s="2">
        <f>VALUE("7476")</f>
        <v>7476</v>
      </c>
      <c r="C240" s="4" t="s">
        <v>1783</v>
      </c>
      <c r="D240" s="4" t="s">
        <v>1784</v>
      </c>
      <c r="E240" s="2">
        <f>VALUE("2017")</f>
        <v>2017</v>
      </c>
      <c r="F240" t="s">
        <v>224</v>
      </c>
      <c r="G240" s="8" t="s">
        <v>1785</v>
      </c>
    </row>
    <row r="241" spans="1:7" x14ac:dyDescent="0.25">
      <c r="A241" t="s">
        <v>224</v>
      </c>
      <c r="B241" s="2">
        <f>VALUE("7476")</f>
        <v>7476</v>
      </c>
      <c r="C241" s="4" t="s">
        <v>1786</v>
      </c>
      <c r="D241" s="4" t="s">
        <v>1787</v>
      </c>
      <c r="E241" s="2">
        <f>VALUE("2015")</f>
        <v>2015</v>
      </c>
      <c r="F241" t="s">
        <v>224</v>
      </c>
      <c r="G241" s="8" t="s">
        <v>1788</v>
      </c>
    </row>
    <row r="242" spans="1:7" x14ac:dyDescent="0.25">
      <c r="A242" s="4" t="s">
        <v>224</v>
      </c>
      <c r="B242" s="2">
        <f>VALUE("7581")</f>
        <v>7581</v>
      </c>
      <c r="C242" s="4" t="s">
        <v>1984</v>
      </c>
      <c r="D242" s="4" t="s">
        <v>1985</v>
      </c>
      <c r="E242" s="2">
        <f>VALUE("2016")</f>
        <v>2016</v>
      </c>
      <c r="F242" t="s">
        <v>224</v>
      </c>
      <c r="G242" s="8" t="s">
        <v>1986</v>
      </c>
    </row>
    <row r="243" spans="1:7" x14ac:dyDescent="0.25">
      <c r="A243" s="4" t="s">
        <v>224</v>
      </c>
      <c r="B243" s="2">
        <f>VALUE("7581")</f>
        <v>7581</v>
      </c>
      <c r="C243" s="4" t="s">
        <v>1987</v>
      </c>
      <c r="D243" s="4" t="s">
        <v>1988</v>
      </c>
      <c r="E243" s="2">
        <f>VALUE("2016")</f>
        <v>2016</v>
      </c>
      <c r="F243" t="s">
        <v>224</v>
      </c>
      <c r="G243" s="8" t="s">
        <v>1989</v>
      </c>
    </row>
    <row r="244" spans="1:7" x14ac:dyDescent="0.25">
      <c r="A244" t="s">
        <v>224</v>
      </c>
      <c r="B244" s="2">
        <f>VALUE("7592")</f>
        <v>7592</v>
      </c>
      <c r="C244" s="4" t="s">
        <v>2018</v>
      </c>
      <c r="D244" s="4" t="s">
        <v>2019</v>
      </c>
      <c r="E244" s="2">
        <f>VALUE("2014")</f>
        <v>2014</v>
      </c>
      <c r="F244" t="s">
        <v>224</v>
      </c>
      <c r="G244" s="8" t="s">
        <v>2020</v>
      </c>
    </row>
    <row r="245" spans="1:7" x14ac:dyDescent="0.25">
      <c r="A245" s="4" t="s">
        <v>224</v>
      </c>
      <c r="B245" s="2">
        <f>VALUE("7634")</f>
        <v>7634</v>
      </c>
      <c r="C245" s="4" t="s">
        <v>2138</v>
      </c>
      <c r="D245" s="4" t="s">
        <v>2139</v>
      </c>
      <c r="E245" s="2">
        <f>VALUE("2021")</f>
        <v>2021</v>
      </c>
      <c r="F245" t="s">
        <v>224</v>
      </c>
      <c r="G245" s="8" t="s">
        <v>2140</v>
      </c>
    </row>
    <row r="246" spans="1:7" x14ac:dyDescent="0.25">
      <c r="A246" t="s">
        <v>224</v>
      </c>
      <c r="B246" s="2">
        <f>VALUE("7634")</f>
        <v>7634</v>
      </c>
      <c r="C246" s="4" t="s">
        <v>2141</v>
      </c>
      <c r="D246" s="4" t="s">
        <v>2142</v>
      </c>
      <c r="E246" s="2">
        <f>VALUE("2018")</f>
        <v>2018</v>
      </c>
      <c r="F246" t="s">
        <v>224</v>
      </c>
      <c r="G246" s="8" t="s">
        <v>2143</v>
      </c>
    </row>
    <row r="247" spans="1:7" x14ac:dyDescent="0.25">
      <c r="A247" s="4" t="s">
        <v>224</v>
      </c>
      <c r="B247" s="2">
        <f>VALUE("7663")</f>
        <v>7663</v>
      </c>
      <c r="C247" s="4" t="s">
        <v>2233</v>
      </c>
      <c r="D247" s="4" t="s">
        <v>2234</v>
      </c>
      <c r="E247" s="2">
        <f>VALUE("2022")</f>
        <v>2022</v>
      </c>
      <c r="F247" t="s">
        <v>224</v>
      </c>
      <c r="G247" s="8" t="s">
        <v>2235</v>
      </c>
    </row>
    <row r="248" spans="1:7" x14ac:dyDescent="0.25">
      <c r="A248" t="s">
        <v>224</v>
      </c>
      <c r="B248" s="2">
        <f>VALUE("7663")</f>
        <v>7663</v>
      </c>
      <c r="C248" s="4" t="s">
        <v>2230</v>
      </c>
      <c r="D248" s="4" t="s">
        <v>2231</v>
      </c>
      <c r="E248" s="2">
        <f>VALUE("2019")</f>
        <v>2019</v>
      </c>
      <c r="F248" t="s">
        <v>224</v>
      </c>
      <c r="G248" s="8" t="s">
        <v>2232</v>
      </c>
    </row>
    <row r="249" spans="1:7" x14ac:dyDescent="0.25">
      <c r="A249" s="4" t="s">
        <v>224</v>
      </c>
      <c r="B249" s="2">
        <f>VALUE("7698")</f>
        <v>7698</v>
      </c>
      <c r="C249" s="4" t="s">
        <v>2383</v>
      </c>
      <c r="D249" s="4" t="s">
        <v>2384</v>
      </c>
      <c r="E249" s="2">
        <f>VALUE("2017")</f>
        <v>2017</v>
      </c>
      <c r="F249" t="s">
        <v>224</v>
      </c>
    </row>
    <row r="250" spans="1:7" x14ac:dyDescent="0.25">
      <c r="A250" s="4" t="s">
        <v>224</v>
      </c>
      <c r="B250" s="2">
        <f>VALUE("7698")</f>
        <v>7698</v>
      </c>
      <c r="C250" s="4" t="s">
        <v>2380</v>
      </c>
      <c r="D250" s="4" t="s">
        <v>2381</v>
      </c>
      <c r="E250" s="2">
        <f>VALUE("2021")</f>
        <v>2021</v>
      </c>
      <c r="F250" t="s">
        <v>2382</v>
      </c>
    </row>
    <row r="251" spans="1:7" x14ac:dyDescent="0.25">
      <c r="A251" s="4" t="s">
        <v>224</v>
      </c>
      <c r="B251" s="2">
        <f>VALUE("7698")</f>
        <v>7698</v>
      </c>
      <c r="C251" s="4" t="s">
        <v>2385</v>
      </c>
      <c r="D251" s="4" t="s">
        <v>2386</v>
      </c>
      <c r="E251" s="2">
        <f>VALUE("2015")</f>
        <v>2015</v>
      </c>
      <c r="F251" t="s">
        <v>224</v>
      </c>
    </row>
    <row r="252" spans="1:7" x14ac:dyDescent="0.25">
      <c r="A252" t="s">
        <v>224</v>
      </c>
      <c r="B252" s="2">
        <f>VALUE("7699")</f>
        <v>7699</v>
      </c>
      <c r="C252" s="4" t="s">
        <v>2389</v>
      </c>
      <c r="D252" s="4" t="s">
        <v>2390</v>
      </c>
      <c r="E252" s="2">
        <f>VALUE("2015")</f>
        <v>2015</v>
      </c>
      <c r="F252" t="s">
        <v>224</v>
      </c>
    </row>
    <row r="253" spans="1:7" x14ac:dyDescent="0.25">
      <c r="A253" t="s">
        <v>224</v>
      </c>
      <c r="B253" s="2">
        <f>VALUE("7699")</f>
        <v>7699</v>
      </c>
      <c r="C253" s="4" t="s">
        <v>2387</v>
      </c>
      <c r="D253" s="4" t="s">
        <v>2388</v>
      </c>
      <c r="E253" s="2">
        <f>VALUE("2017")</f>
        <v>2017</v>
      </c>
      <c r="F253" t="s">
        <v>224</v>
      </c>
    </row>
    <row r="254" spans="1:7" x14ac:dyDescent="0.25">
      <c r="A254" s="4" t="s">
        <v>224</v>
      </c>
      <c r="B254" s="2">
        <f>VALUE("7724")</f>
        <v>7724</v>
      </c>
      <c r="C254" s="4" t="s">
        <v>2441</v>
      </c>
      <c r="D254" s="4" t="s">
        <v>2442</v>
      </c>
      <c r="E254" s="2">
        <f>VALUE("2017")</f>
        <v>2017</v>
      </c>
      <c r="F254" t="s">
        <v>224</v>
      </c>
      <c r="G254" s="8" t="s">
        <v>2443</v>
      </c>
    </row>
    <row r="255" spans="1:7" x14ac:dyDescent="0.25">
      <c r="A255" s="4" t="s">
        <v>224</v>
      </c>
      <c r="B255" s="2">
        <f>VALUE("7724")</f>
        <v>7724</v>
      </c>
      <c r="C255" s="4" t="s">
        <v>2438</v>
      </c>
      <c r="D255" s="4" t="s">
        <v>2439</v>
      </c>
      <c r="E255" s="2">
        <f>VALUE("2016")</f>
        <v>2016</v>
      </c>
      <c r="F255" t="s">
        <v>224</v>
      </c>
      <c r="G255" s="8" t="s">
        <v>2440</v>
      </c>
    </row>
    <row r="256" spans="1:7" x14ac:dyDescent="0.25">
      <c r="A256" s="4" t="s">
        <v>224</v>
      </c>
      <c r="B256" s="2">
        <f>VALUE("7757")</f>
        <v>7757</v>
      </c>
      <c r="C256" s="4" t="s">
        <v>2529</v>
      </c>
      <c r="D256" s="4" t="s">
        <v>2530</v>
      </c>
      <c r="E256" s="2">
        <f>VALUE("2019")</f>
        <v>2019</v>
      </c>
      <c r="F256" t="s">
        <v>224</v>
      </c>
      <c r="G256" s="8" t="s">
        <v>2531</v>
      </c>
    </row>
    <row r="257" spans="1:7" x14ac:dyDescent="0.25">
      <c r="A257" s="4" t="s">
        <v>224</v>
      </c>
      <c r="B257" s="2">
        <f>VALUE("7780")</f>
        <v>7780</v>
      </c>
      <c r="C257" s="4" t="s">
        <v>2554</v>
      </c>
      <c r="D257" s="4" t="s">
        <v>2555</v>
      </c>
      <c r="E257" s="2">
        <f>VALUE("2020")</f>
        <v>2020</v>
      </c>
      <c r="F257" t="s">
        <v>224</v>
      </c>
    </row>
    <row r="258" spans="1:7" x14ac:dyDescent="0.25">
      <c r="A258" s="4" t="s">
        <v>224</v>
      </c>
      <c r="B258" s="2">
        <f>VALUE("7828")</f>
        <v>7828</v>
      </c>
      <c r="C258" s="4" t="s">
        <v>2641</v>
      </c>
      <c r="D258" s="4" t="s">
        <v>2642</v>
      </c>
      <c r="E258" s="2">
        <f>VALUE("2016")</f>
        <v>2016</v>
      </c>
      <c r="F258" t="s">
        <v>224</v>
      </c>
      <c r="G258" s="8" t="s">
        <v>2643</v>
      </c>
    </row>
    <row r="259" spans="1:7" x14ac:dyDescent="0.25">
      <c r="A259" s="4" t="s">
        <v>224</v>
      </c>
      <c r="B259" s="2">
        <f>VALUE("7828")</f>
        <v>7828</v>
      </c>
      <c r="C259" s="4" t="s">
        <v>2644</v>
      </c>
      <c r="D259" s="4" t="s">
        <v>2642</v>
      </c>
      <c r="E259" s="2">
        <f>VALUE("2016")</f>
        <v>2016</v>
      </c>
      <c r="F259" t="s">
        <v>224</v>
      </c>
      <c r="G259" s="8" t="s">
        <v>2645</v>
      </c>
    </row>
    <row r="260" spans="1:7" x14ac:dyDescent="0.25">
      <c r="A260" s="4" t="s">
        <v>224</v>
      </c>
      <c r="B260" s="2">
        <f>VALUE("7853")</f>
        <v>7853</v>
      </c>
      <c r="C260" s="4" t="s">
        <v>2725</v>
      </c>
      <c r="D260" s="4" t="s">
        <v>2726</v>
      </c>
      <c r="E260" s="2">
        <f>VALUE("2018")</f>
        <v>2018</v>
      </c>
      <c r="F260" t="s">
        <v>224</v>
      </c>
      <c r="G260" s="8" t="s">
        <v>2727</v>
      </c>
    </row>
    <row r="261" spans="1:7" x14ac:dyDescent="0.25">
      <c r="A261" s="4" t="s">
        <v>224</v>
      </c>
      <c r="B261" s="2">
        <f>VALUE("7853")</f>
        <v>7853</v>
      </c>
      <c r="C261" s="4" t="s">
        <v>2716</v>
      </c>
      <c r="D261" s="4" t="s">
        <v>2717</v>
      </c>
      <c r="E261" s="2">
        <f>VALUE("2016")</f>
        <v>2016</v>
      </c>
      <c r="F261" t="s">
        <v>224</v>
      </c>
    </row>
    <row r="262" spans="1:7" x14ac:dyDescent="0.25">
      <c r="A262" s="4" t="s">
        <v>224</v>
      </c>
      <c r="B262" s="2">
        <f>VALUE("7853")</f>
        <v>7853</v>
      </c>
      <c r="C262" s="4" t="s">
        <v>2723</v>
      </c>
      <c r="D262" s="4" t="s">
        <v>2717</v>
      </c>
      <c r="E262" s="2">
        <f>VALUE("2018")</f>
        <v>2018</v>
      </c>
      <c r="F262" t="s">
        <v>224</v>
      </c>
      <c r="G262" s="8" t="s">
        <v>2724</v>
      </c>
    </row>
    <row r="263" spans="1:7" x14ac:dyDescent="0.25">
      <c r="A263" s="4" t="s">
        <v>224</v>
      </c>
      <c r="B263" s="2">
        <f>VALUE("7853")</f>
        <v>7853</v>
      </c>
      <c r="C263" s="4" t="s">
        <v>2718</v>
      </c>
      <c r="D263" s="4" t="s">
        <v>2719</v>
      </c>
      <c r="E263" s="2">
        <f>VALUE("2017")</f>
        <v>2017</v>
      </c>
      <c r="F263" t="s">
        <v>224</v>
      </c>
    </row>
    <row r="264" spans="1:7" x14ac:dyDescent="0.25">
      <c r="A264" s="4" t="s">
        <v>224</v>
      </c>
      <c r="B264" s="2">
        <f>VALUE("7853")</f>
        <v>7853</v>
      </c>
      <c r="C264" s="4" t="s">
        <v>2720</v>
      </c>
      <c r="D264" s="4" t="s">
        <v>2721</v>
      </c>
      <c r="E264" s="2">
        <f>VALUE("2018")</f>
        <v>2018</v>
      </c>
      <c r="F264" t="s">
        <v>224</v>
      </c>
      <c r="G264" s="8" t="s">
        <v>2722</v>
      </c>
    </row>
    <row r="265" spans="1:7" x14ac:dyDescent="0.25">
      <c r="A265" s="4" t="s">
        <v>224</v>
      </c>
      <c r="B265" s="2">
        <f>VALUE("7854")</f>
        <v>7854</v>
      </c>
      <c r="C265" s="4" t="s">
        <v>2731</v>
      </c>
      <c r="D265" s="4" t="s">
        <v>293</v>
      </c>
      <c r="E265" s="2">
        <f>VALUE("2016")</f>
        <v>2016</v>
      </c>
      <c r="F265" t="s">
        <v>224</v>
      </c>
      <c r="G265" s="8" t="s">
        <v>2732</v>
      </c>
    </row>
    <row r="266" spans="1:7" x14ac:dyDescent="0.25">
      <c r="A266" s="4" t="s">
        <v>224</v>
      </c>
      <c r="B266" s="2">
        <f>VALUE("7854")</f>
        <v>7854</v>
      </c>
      <c r="C266" s="4" t="s">
        <v>2728</v>
      </c>
      <c r="D266" s="4" t="s">
        <v>2729</v>
      </c>
      <c r="E266" s="2">
        <f>VALUE("2022")</f>
        <v>2022</v>
      </c>
      <c r="F266" t="s">
        <v>224</v>
      </c>
      <c r="G266" s="8" t="s">
        <v>2730</v>
      </c>
    </row>
    <row r="267" spans="1:7" x14ac:dyDescent="0.25">
      <c r="A267" s="4" t="s">
        <v>224</v>
      </c>
      <c r="B267" s="2">
        <f>VALUE("7854")</f>
        <v>7854</v>
      </c>
      <c r="C267" s="4" t="s">
        <v>2733</v>
      </c>
      <c r="D267" s="4" t="s">
        <v>2729</v>
      </c>
      <c r="E267" s="2">
        <f>VALUE("2017")</f>
        <v>2017</v>
      </c>
      <c r="F267" t="s">
        <v>224</v>
      </c>
      <c r="G267" s="8" t="s">
        <v>2734</v>
      </c>
    </row>
    <row r="268" spans="1:7" x14ac:dyDescent="0.25">
      <c r="A268" s="4" t="s">
        <v>224</v>
      </c>
      <c r="B268" s="2">
        <f>VALUE("7859")</f>
        <v>7859</v>
      </c>
      <c r="C268" s="4" t="s">
        <v>2743</v>
      </c>
      <c r="D268" s="4" t="s">
        <v>2744</v>
      </c>
      <c r="E268" s="2">
        <f>VALUE("2017")</f>
        <v>2017</v>
      </c>
      <c r="F268" t="s">
        <v>224</v>
      </c>
      <c r="G268" s="8" t="s">
        <v>2745</v>
      </c>
    </row>
    <row r="269" spans="1:7" x14ac:dyDescent="0.25">
      <c r="A269" s="4" t="s">
        <v>224</v>
      </c>
      <c r="B269" s="2">
        <f>VALUE("7859")</f>
        <v>7859</v>
      </c>
      <c r="C269" s="4" t="s">
        <v>2746</v>
      </c>
      <c r="D269" s="4" t="s">
        <v>2747</v>
      </c>
      <c r="E269" s="2">
        <f>VALUE("2021")</f>
        <v>2021</v>
      </c>
      <c r="F269" t="s">
        <v>224</v>
      </c>
      <c r="G269" s="8" t="s">
        <v>2748</v>
      </c>
    </row>
    <row r="270" spans="1:7" x14ac:dyDescent="0.25">
      <c r="A270" s="4" t="s">
        <v>224</v>
      </c>
      <c r="B270" s="2">
        <f>VALUE("7881")</f>
        <v>7881</v>
      </c>
      <c r="C270" s="4" t="s">
        <v>2813</v>
      </c>
      <c r="D270" s="4" t="s">
        <v>2814</v>
      </c>
      <c r="E270" s="2">
        <f>VALUE("2023")</f>
        <v>2023</v>
      </c>
      <c r="F270" t="s">
        <v>224</v>
      </c>
      <c r="G270" s="8" t="s">
        <v>2815</v>
      </c>
    </row>
    <row r="271" spans="1:7" x14ac:dyDescent="0.25">
      <c r="A271" s="4" t="s">
        <v>224</v>
      </c>
      <c r="B271" s="2">
        <f>VALUE("7907")</f>
        <v>7907</v>
      </c>
      <c r="C271" s="4" t="s">
        <v>2864</v>
      </c>
      <c r="D271" s="4" t="s">
        <v>2865</v>
      </c>
      <c r="E271" s="2">
        <f>VALUE("2017")</f>
        <v>2017</v>
      </c>
      <c r="F271" t="s">
        <v>224</v>
      </c>
      <c r="G271" s="8" t="s">
        <v>2866</v>
      </c>
    </row>
    <row r="272" spans="1:7" x14ac:dyDescent="0.25">
      <c r="A272" s="4" t="s">
        <v>224</v>
      </c>
      <c r="B272" s="2">
        <f>VALUE("7907")</f>
        <v>7907</v>
      </c>
      <c r="C272" s="4" t="s">
        <v>2867</v>
      </c>
      <c r="D272" s="4" t="s">
        <v>2868</v>
      </c>
      <c r="E272" s="2">
        <f>VALUE("2017")</f>
        <v>2017</v>
      </c>
      <c r="F272" t="s">
        <v>224</v>
      </c>
      <c r="G272" s="8" t="s">
        <v>2869</v>
      </c>
    </row>
    <row r="273" spans="1:7" x14ac:dyDescent="0.25">
      <c r="A273" s="4" t="s">
        <v>224</v>
      </c>
      <c r="B273" s="2">
        <f>VALUE("7911")</f>
        <v>7911</v>
      </c>
      <c r="C273" s="4" t="s">
        <v>2876</v>
      </c>
      <c r="D273" s="4" t="s">
        <v>2877</v>
      </c>
      <c r="E273" s="2">
        <f>VALUE("2017")</f>
        <v>2017</v>
      </c>
      <c r="F273" t="s">
        <v>224</v>
      </c>
      <c r="G273" s="8" t="s">
        <v>2878</v>
      </c>
    </row>
    <row r="274" spans="1:7" x14ac:dyDescent="0.25">
      <c r="A274" s="4" t="s">
        <v>224</v>
      </c>
      <c r="B274" s="2">
        <f>VALUE("7924")</f>
        <v>7924</v>
      </c>
      <c r="C274" s="4" t="s">
        <v>2899</v>
      </c>
      <c r="D274" s="4" t="s">
        <v>2900</v>
      </c>
      <c r="E274" s="2">
        <f>VALUE("2019")</f>
        <v>2019</v>
      </c>
      <c r="F274" t="s">
        <v>224</v>
      </c>
    </row>
    <row r="275" spans="1:7" x14ac:dyDescent="0.25">
      <c r="A275" s="4" t="s">
        <v>224</v>
      </c>
      <c r="B275" s="2">
        <f>VALUE("7977")</f>
        <v>7977</v>
      </c>
      <c r="C275" s="4" t="s">
        <v>2971</v>
      </c>
      <c r="D275" s="4" t="s">
        <v>2972</v>
      </c>
      <c r="E275" s="2">
        <f>VALUE("2017")</f>
        <v>2017</v>
      </c>
      <c r="F275" t="s">
        <v>224</v>
      </c>
      <c r="G275" s="8" t="s">
        <v>2973</v>
      </c>
    </row>
    <row r="276" spans="1:7" x14ac:dyDescent="0.25">
      <c r="A276" t="s">
        <v>224</v>
      </c>
      <c r="B276" s="2">
        <f>VALUE("7977")</f>
        <v>7977</v>
      </c>
      <c r="C276" s="4" t="s">
        <v>2974</v>
      </c>
      <c r="D276" s="4" t="s">
        <v>2972</v>
      </c>
      <c r="E276" s="2">
        <f>VALUE("2017")</f>
        <v>2017</v>
      </c>
      <c r="F276" t="s">
        <v>224</v>
      </c>
      <c r="G276" s="8" t="s">
        <v>2975</v>
      </c>
    </row>
    <row r="277" spans="1:7" x14ac:dyDescent="0.25">
      <c r="A277" s="4" t="s">
        <v>224</v>
      </c>
      <c r="B277" s="2">
        <f>VALUE("7979")</f>
        <v>7979</v>
      </c>
      <c r="C277" s="4" t="s">
        <v>2976</v>
      </c>
      <c r="D277" s="4" t="s">
        <v>2977</v>
      </c>
      <c r="E277" s="2">
        <f>VALUE("2018")</f>
        <v>2018</v>
      </c>
      <c r="F277" t="s">
        <v>224</v>
      </c>
      <c r="G277" s="8" t="s">
        <v>2978</v>
      </c>
    </row>
    <row r="278" spans="1:7" x14ac:dyDescent="0.25">
      <c r="A278" s="4" t="s">
        <v>224</v>
      </c>
      <c r="B278" s="2">
        <f>VALUE("8049")</f>
        <v>8049</v>
      </c>
      <c r="C278" s="4" t="s">
        <v>3108</v>
      </c>
      <c r="D278" s="4" t="s">
        <v>3109</v>
      </c>
      <c r="E278" s="2">
        <f>VALUE("2019")</f>
        <v>2019</v>
      </c>
      <c r="F278" t="s">
        <v>224</v>
      </c>
    </row>
    <row r="279" spans="1:7" x14ac:dyDescent="0.25">
      <c r="A279" s="4" t="s">
        <v>224</v>
      </c>
      <c r="B279" s="2">
        <f>VALUE("8056")</f>
        <v>8056</v>
      </c>
      <c r="C279" s="4" t="s">
        <v>3112</v>
      </c>
      <c r="D279" s="4" t="s">
        <v>3113</v>
      </c>
      <c r="E279" s="2">
        <f>VALUE("2019")</f>
        <v>2019</v>
      </c>
      <c r="F279" t="s">
        <v>224</v>
      </c>
      <c r="G279" s="8" t="s">
        <v>3114</v>
      </c>
    </row>
    <row r="280" spans="1:7" x14ac:dyDescent="0.25">
      <c r="A280" s="4" t="s">
        <v>224</v>
      </c>
      <c r="B280" s="2">
        <f>VALUE("8056")</f>
        <v>8056</v>
      </c>
      <c r="C280" s="4" t="s">
        <v>3115</v>
      </c>
      <c r="D280" s="4" t="s">
        <v>3116</v>
      </c>
      <c r="E280" s="2">
        <f>VALUE("2019")</f>
        <v>2019</v>
      </c>
      <c r="F280" t="s">
        <v>224</v>
      </c>
      <c r="G280" s="8" t="s">
        <v>5224</v>
      </c>
    </row>
    <row r="281" spans="1:7" x14ac:dyDescent="0.25">
      <c r="A281" s="4" t="s">
        <v>224</v>
      </c>
      <c r="B281" s="2">
        <f>VALUE("8066")</f>
        <v>8066</v>
      </c>
      <c r="C281" s="4" t="s">
        <v>3119</v>
      </c>
      <c r="D281" s="4" t="s">
        <v>3120</v>
      </c>
      <c r="E281" s="2">
        <f>VALUE("2020")</f>
        <v>2020</v>
      </c>
      <c r="F281" t="s">
        <v>224</v>
      </c>
      <c r="G281" s="8" t="s">
        <v>3121</v>
      </c>
    </row>
    <row r="282" spans="1:7" x14ac:dyDescent="0.25">
      <c r="A282" t="s">
        <v>224</v>
      </c>
      <c r="B282" s="2">
        <f>VALUE("8066")</f>
        <v>8066</v>
      </c>
      <c r="C282" s="4" t="s">
        <v>3117</v>
      </c>
      <c r="D282" s="4" t="s">
        <v>3118</v>
      </c>
      <c r="E282" s="2">
        <f>VALUE("2018")</f>
        <v>2018</v>
      </c>
      <c r="F282" t="s">
        <v>224</v>
      </c>
    </row>
    <row r="283" spans="1:7" x14ac:dyDescent="0.25">
      <c r="A283" s="4" t="s">
        <v>224</v>
      </c>
      <c r="B283" s="2">
        <f>VALUE("8074")</f>
        <v>8074</v>
      </c>
      <c r="C283" s="4" t="s">
        <v>3141</v>
      </c>
      <c r="D283" s="4" t="s">
        <v>3142</v>
      </c>
      <c r="E283" s="2">
        <f>VALUE("2019")</f>
        <v>2019</v>
      </c>
      <c r="F283" t="s">
        <v>224</v>
      </c>
    </row>
    <row r="284" spans="1:7" x14ac:dyDescent="0.25">
      <c r="A284" t="s">
        <v>224</v>
      </c>
      <c r="B284" s="2">
        <f>VALUE("8074")</f>
        <v>8074</v>
      </c>
      <c r="C284" s="4" t="s">
        <v>3138</v>
      </c>
      <c r="D284" s="4" t="s">
        <v>3139</v>
      </c>
      <c r="E284" s="2">
        <f>VALUE("2019")</f>
        <v>2019</v>
      </c>
      <c r="F284" t="s">
        <v>224</v>
      </c>
      <c r="G284" s="8" t="s">
        <v>3140</v>
      </c>
    </row>
    <row r="285" spans="1:7" x14ac:dyDescent="0.25">
      <c r="A285" t="s">
        <v>224</v>
      </c>
      <c r="B285" s="2">
        <f>VALUE("8082")</f>
        <v>8082</v>
      </c>
      <c r="C285" s="4" t="s">
        <v>3163</v>
      </c>
      <c r="D285" s="4" t="s">
        <v>3161</v>
      </c>
      <c r="E285" s="2">
        <f>VALUE("2018")</f>
        <v>2018</v>
      </c>
      <c r="F285" t="s">
        <v>224</v>
      </c>
    </row>
    <row r="286" spans="1:7" x14ac:dyDescent="0.25">
      <c r="A286" t="s">
        <v>224</v>
      </c>
      <c r="B286" s="2">
        <f>VALUE("8082")</f>
        <v>8082</v>
      </c>
      <c r="C286" s="4" t="s">
        <v>3160</v>
      </c>
      <c r="D286" s="4" t="s">
        <v>3161</v>
      </c>
      <c r="E286" s="2">
        <f>VALUE("2018")</f>
        <v>2018</v>
      </c>
      <c r="F286" t="s">
        <v>224</v>
      </c>
    </row>
    <row r="287" spans="1:7" x14ac:dyDescent="0.25">
      <c r="A287" t="s">
        <v>224</v>
      </c>
      <c r="B287" s="2">
        <f>VALUE("8082")</f>
        <v>8082</v>
      </c>
      <c r="C287" s="4" t="s">
        <v>3162</v>
      </c>
      <c r="D287" s="4" t="s">
        <v>3161</v>
      </c>
      <c r="E287" s="2">
        <f>VALUE("2018")</f>
        <v>2018</v>
      </c>
      <c r="F287" t="s">
        <v>224</v>
      </c>
    </row>
    <row r="288" spans="1:7" x14ac:dyDescent="0.25">
      <c r="A288" s="4" t="s">
        <v>224</v>
      </c>
      <c r="B288" s="2">
        <f>VALUE("8133")</f>
        <v>8133</v>
      </c>
      <c r="C288" s="4" t="s">
        <v>3302</v>
      </c>
      <c r="D288" s="4" t="s">
        <v>3303</v>
      </c>
      <c r="E288" s="2">
        <f>VALUE("2021")</f>
        <v>2021</v>
      </c>
      <c r="F288" t="s">
        <v>224</v>
      </c>
      <c r="G288" s="8" t="s">
        <v>3304</v>
      </c>
    </row>
    <row r="289" spans="1:7" x14ac:dyDescent="0.25">
      <c r="A289" s="4" t="s">
        <v>224</v>
      </c>
      <c r="B289" s="2">
        <f>VALUE("8133")</f>
        <v>8133</v>
      </c>
      <c r="C289" s="4" t="s">
        <v>3305</v>
      </c>
      <c r="D289" s="4" t="s">
        <v>3306</v>
      </c>
      <c r="E289" s="2">
        <f>VALUE("2022")</f>
        <v>2022</v>
      </c>
      <c r="F289" t="s">
        <v>224</v>
      </c>
      <c r="G289" s="8" t="s">
        <v>3307</v>
      </c>
    </row>
    <row r="290" spans="1:7" x14ac:dyDescent="0.25">
      <c r="A290" s="4" t="s">
        <v>224</v>
      </c>
      <c r="B290" s="2">
        <f>VALUE("8200")</f>
        <v>8200</v>
      </c>
      <c r="C290" s="4" t="s">
        <v>3463</v>
      </c>
      <c r="D290" s="4" t="s">
        <v>3464</v>
      </c>
      <c r="E290" s="2">
        <f>VALUE("2019")</f>
        <v>2019</v>
      </c>
      <c r="F290" t="s">
        <v>224</v>
      </c>
      <c r="G290" s="8" t="s">
        <v>3465</v>
      </c>
    </row>
    <row r="291" spans="1:7" x14ac:dyDescent="0.25">
      <c r="A291" s="4" t="s">
        <v>224</v>
      </c>
      <c r="B291" s="2">
        <f>VALUE("8200")</f>
        <v>8200</v>
      </c>
      <c r="C291" s="4" t="s">
        <v>3466</v>
      </c>
      <c r="D291" s="4" t="s">
        <v>3467</v>
      </c>
      <c r="E291" s="2">
        <f>VALUE("2020")</f>
        <v>2020</v>
      </c>
      <c r="F291" t="s">
        <v>224</v>
      </c>
      <c r="G291" s="8" t="s">
        <v>3468</v>
      </c>
    </row>
    <row r="292" spans="1:7" x14ac:dyDescent="0.25">
      <c r="A292" s="4" t="s">
        <v>224</v>
      </c>
      <c r="B292" s="2">
        <f>VALUE("8236")</f>
        <v>8236</v>
      </c>
      <c r="C292" s="4" t="s">
        <v>3536</v>
      </c>
      <c r="D292" s="4" t="s">
        <v>3537</v>
      </c>
      <c r="E292" s="2">
        <f>VALUE("2020")</f>
        <v>2020</v>
      </c>
      <c r="F292" t="s">
        <v>224</v>
      </c>
      <c r="G292" s="8" t="s">
        <v>3538</v>
      </c>
    </row>
    <row r="293" spans="1:7" x14ac:dyDescent="0.25">
      <c r="A293" s="4" t="s">
        <v>224</v>
      </c>
      <c r="B293" s="2">
        <f>VALUE("8247")</f>
        <v>8247</v>
      </c>
      <c r="C293" s="4" t="s">
        <v>3597</v>
      </c>
      <c r="D293" s="4" t="s">
        <v>3592</v>
      </c>
      <c r="E293" s="2">
        <f>VALUE("2019")</f>
        <v>2019</v>
      </c>
      <c r="F293" t="s">
        <v>3598</v>
      </c>
      <c r="G293" s="8" t="s">
        <v>3599</v>
      </c>
    </row>
    <row r="294" spans="1:7" x14ac:dyDescent="0.25">
      <c r="A294" s="4" t="s">
        <v>224</v>
      </c>
      <c r="B294" s="2">
        <f>VALUE("8247")</f>
        <v>8247</v>
      </c>
      <c r="C294" s="4" t="s">
        <v>3600</v>
      </c>
      <c r="D294" s="4" t="s">
        <v>3601</v>
      </c>
      <c r="E294" s="2">
        <f>VALUE("2019")</f>
        <v>2019</v>
      </c>
      <c r="F294" t="s">
        <v>3602</v>
      </c>
      <c r="G294" s="8" t="s">
        <v>3603</v>
      </c>
    </row>
    <row r="295" spans="1:7" x14ac:dyDescent="0.25">
      <c r="A295" s="4" t="s">
        <v>224</v>
      </c>
      <c r="B295" s="2">
        <f>VALUE("8247")</f>
        <v>8247</v>
      </c>
      <c r="C295" s="4" t="s">
        <v>3591</v>
      </c>
      <c r="D295" s="4" t="s">
        <v>3592</v>
      </c>
      <c r="E295" s="2">
        <f>VALUE("2021")</f>
        <v>2021</v>
      </c>
      <c r="F295" t="s">
        <v>3593</v>
      </c>
      <c r="G295" s="8" t="s">
        <v>3594</v>
      </c>
    </row>
    <row r="296" spans="1:7" x14ac:dyDescent="0.25">
      <c r="A296" s="4" t="s">
        <v>224</v>
      </c>
      <c r="B296" s="2">
        <f>VALUE("8247")</f>
        <v>8247</v>
      </c>
      <c r="C296" s="4" t="s">
        <v>3595</v>
      </c>
      <c r="D296" s="4" t="s">
        <v>3592</v>
      </c>
      <c r="E296" s="2">
        <f>VALUE("2019")</f>
        <v>2019</v>
      </c>
      <c r="F296" t="s">
        <v>149</v>
      </c>
      <c r="G296" s="8" t="s">
        <v>3596</v>
      </c>
    </row>
    <row r="297" spans="1:7" x14ac:dyDescent="0.25">
      <c r="A297" s="4" t="s">
        <v>224</v>
      </c>
      <c r="B297" s="2">
        <f>VALUE("8263")</f>
        <v>8263</v>
      </c>
      <c r="C297" s="4" t="s">
        <v>3625</v>
      </c>
      <c r="D297" s="4" t="s">
        <v>3626</v>
      </c>
      <c r="E297" s="2">
        <f>VALUE("2022")</f>
        <v>2022</v>
      </c>
      <c r="F297" t="s">
        <v>224</v>
      </c>
      <c r="G297" s="8" t="s">
        <v>3627</v>
      </c>
    </row>
    <row r="298" spans="1:7" x14ac:dyDescent="0.25">
      <c r="A298" s="4" t="s">
        <v>224</v>
      </c>
      <c r="B298" s="2">
        <f>VALUE("8332")</f>
        <v>8332</v>
      </c>
      <c r="C298" s="4" t="s">
        <v>3763</v>
      </c>
      <c r="D298" s="4" t="s">
        <v>3764</v>
      </c>
      <c r="E298" s="2">
        <f>VALUE("2020")</f>
        <v>2020</v>
      </c>
      <c r="F298" t="s">
        <v>224</v>
      </c>
      <c r="G298" s="8" t="s">
        <v>3765</v>
      </c>
    </row>
    <row r="299" spans="1:7" x14ac:dyDescent="0.25">
      <c r="A299" s="4" t="s">
        <v>224</v>
      </c>
      <c r="B299" s="2">
        <f>VALUE("8332")</f>
        <v>8332</v>
      </c>
      <c r="C299" s="4" t="s">
        <v>3766</v>
      </c>
      <c r="D299" s="4" t="s">
        <v>3767</v>
      </c>
      <c r="E299" s="2">
        <f>VALUE("2020")</f>
        <v>2020</v>
      </c>
      <c r="F299" t="s">
        <v>3768</v>
      </c>
      <c r="G299" s="8" t="s">
        <v>3769</v>
      </c>
    </row>
    <row r="300" spans="1:7" x14ac:dyDescent="0.25">
      <c r="A300" s="4" t="s">
        <v>224</v>
      </c>
      <c r="B300" s="2">
        <f>VALUE("8333")</f>
        <v>8333</v>
      </c>
      <c r="C300" s="4" t="s">
        <v>3770</v>
      </c>
      <c r="D300" s="4" t="s">
        <v>3771</v>
      </c>
      <c r="E300" s="2">
        <f>VALUE("2019")</f>
        <v>2019</v>
      </c>
      <c r="F300" t="s">
        <v>224</v>
      </c>
      <c r="G300" s="8" t="s">
        <v>3772</v>
      </c>
    </row>
    <row r="301" spans="1:7" x14ac:dyDescent="0.25">
      <c r="A301" s="4" t="s">
        <v>224</v>
      </c>
      <c r="B301" s="2">
        <f>VALUE("8333")</f>
        <v>8333</v>
      </c>
      <c r="C301" s="4" t="s">
        <v>3773</v>
      </c>
      <c r="D301" s="4" t="s">
        <v>3771</v>
      </c>
      <c r="E301" s="2">
        <f>VALUE("2019")</f>
        <v>2019</v>
      </c>
      <c r="F301" t="s">
        <v>224</v>
      </c>
      <c r="G301" s="8" t="s">
        <v>3774</v>
      </c>
    </row>
    <row r="302" spans="1:7" x14ac:dyDescent="0.25">
      <c r="A302" s="4" t="s">
        <v>224</v>
      </c>
      <c r="B302" s="2">
        <f>VALUE("8366")</f>
        <v>8366</v>
      </c>
      <c r="C302" s="4" t="s">
        <v>3817</v>
      </c>
      <c r="D302" s="4" t="s">
        <v>3818</v>
      </c>
      <c r="E302" s="2">
        <f>VALUE("2020")</f>
        <v>2020</v>
      </c>
      <c r="F302" t="s">
        <v>224</v>
      </c>
    </row>
    <row r="303" spans="1:7" x14ac:dyDescent="0.25">
      <c r="A303" s="4" t="s">
        <v>224</v>
      </c>
      <c r="B303" s="2">
        <f>VALUE("8377")</f>
        <v>8377</v>
      </c>
      <c r="C303" s="4" t="s">
        <v>3836</v>
      </c>
      <c r="D303" s="4" t="s">
        <v>3837</v>
      </c>
      <c r="E303" s="2">
        <f>VALUE("2022")</f>
        <v>2022</v>
      </c>
      <c r="F303" t="s">
        <v>224</v>
      </c>
      <c r="G303" s="8" t="s">
        <v>3838</v>
      </c>
    </row>
    <row r="304" spans="1:7" x14ac:dyDescent="0.25">
      <c r="A304" s="4" t="s">
        <v>224</v>
      </c>
      <c r="B304" s="2">
        <f>VALUE("8377")</f>
        <v>8377</v>
      </c>
      <c r="C304" s="4" t="s">
        <v>3833</v>
      </c>
      <c r="D304" s="4" t="s">
        <v>3834</v>
      </c>
      <c r="E304" s="2">
        <f>VALUE("2021")</f>
        <v>2021</v>
      </c>
      <c r="F304" t="s">
        <v>224</v>
      </c>
      <c r="G304" s="8" t="s">
        <v>3835</v>
      </c>
    </row>
    <row r="305" spans="1:7" x14ac:dyDescent="0.25">
      <c r="A305" s="4" t="s">
        <v>224</v>
      </c>
      <c r="B305" s="2">
        <f>VALUE("8388")</f>
        <v>8388</v>
      </c>
      <c r="C305" s="4" t="s">
        <v>3846</v>
      </c>
      <c r="D305" s="4" t="s">
        <v>3847</v>
      </c>
      <c r="E305" s="2">
        <f>VALUE("2020")</f>
        <v>2020</v>
      </c>
      <c r="F305" t="s">
        <v>3848</v>
      </c>
      <c r="G305" s="8" t="s">
        <v>3849</v>
      </c>
    </row>
    <row r="306" spans="1:7" x14ac:dyDescent="0.25">
      <c r="A306" s="4" t="s">
        <v>224</v>
      </c>
      <c r="B306" s="2">
        <f>VALUE("8431")</f>
        <v>8431</v>
      </c>
      <c r="C306" s="4" t="s">
        <v>3923</v>
      </c>
      <c r="D306" s="4" t="s">
        <v>3924</v>
      </c>
      <c r="E306" s="2">
        <f>VALUE("2021")</f>
        <v>2021</v>
      </c>
      <c r="F306" t="s">
        <v>224</v>
      </c>
    </row>
    <row r="307" spans="1:7" x14ac:dyDescent="0.25">
      <c r="A307" s="4" t="s">
        <v>224</v>
      </c>
      <c r="B307" s="2">
        <f>VALUE("8455")</f>
        <v>8455</v>
      </c>
      <c r="C307" s="4" t="s">
        <v>3965</v>
      </c>
      <c r="D307" s="4" t="s">
        <v>293</v>
      </c>
      <c r="E307" s="2">
        <f>VALUE("2020")</f>
        <v>2020</v>
      </c>
      <c r="F307" t="s">
        <v>224</v>
      </c>
    </row>
    <row r="308" spans="1:7" x14ac:dyDescent="0.25">
      <c r="A308" s="4" t="s">
        <v>224</v>
      </c>
      <c r="B308" s="2">
        <f>VALUE("8459")</f>
        <v>8459</v>
      </c>
      <c r="C308" s="4" t="s">
        <v>3966</v>
      </c>
      <c r="D308" s="4" t="s">
        <v>3967</v>
      </c>
      <c r="E308" s="2">
        <f>VALUE("2022")</f>
        <v>2022</v>
      </c>
      <c r="F308" t="s">
        <v>224</v>
      </c>
      <c r="G308" s="8" t="s">
        <v>3968</v>
      </c>
    </row>
    <row r="309" spans="1:7" x14ac:dyDescent="0.25">
      <c r="A309" s="4" t="s">
        <v>224</v>
      </c>
      <c r="B309" s="2">
        <f>VALUE("8478")</f>
        <v>8478</v>
      </c>
      <c r="C309" s="4" t="s">
        <v>4029</v>
      </c>
      <c r="D309" s="4" t="s">
        <v>4030</v>
      </c>
      <c r="E309" s="2">
        <f>VALUE("2020")</f>
        <v>2020</v>
      </c>
      <c r="F309" t="s">
        <v>224</v>
      </c>
      <c r="G309" s="8" t="s">
        <v>4031</v>
      </c>
    </row>
    <row r="310" spans="1:7" x14ac:dyDescent="0.25">
      <c r="A310" s="4" t="s">
        <v>224</v>
      </c>
      <c r="B310" s="2">
        <f>VALUE("8478")</f>
        <v>8478</v>
      </c>
      <c r="C310" s="4" t="s">
        <v>4032</v>
      </c>
      <c r="D310" s="4" t="s">
        <v>4033</v>
      </c>
      <c r="E310" s="2">
        <f>VALUE("2022")</f>
        <v>2022</v>
      </c>
      <c r="F310" t="s">
        <v>224</v>
      </c>
      <c r="G310" s="8" t="s">
        <v>4034</v>
      </c>
    </row>
    <row r="311" spans="1:7" x14ac:dyDescent="0.25">
      <c r="A311" s="4" t="s">
        <v>224</v>
      </c>
      <c r="B311" s="2">
        <f>VALUE("8478")</f>
        <v>8478</v>
      </c>
      <c r="C311" s="4" t="s">
        <v>4035</v>
      </c>
      <c r="D311" s="4" t="s">
        <v>4036</v>
      </c>
      <c r="E311" s="2">
        <f>VALUE("2023")</f>
        <v>2023</v>
      </c>
      <c r="F311" t="s">
        <v>201</v>
      </c>
      <c r="G311" s="8" t="s">
        <v>4037</v>
      </c>
    </row>
    <row r="312" spans="1:7" x14ac:dyDescent="0.25">
      <c r="A312" s="4" t="s">
        <v>224</v>
      </c>
      <c r="B312" s="2">
        <f>VALUE("8647")</f>
        <v>8647</v>
      </c>
      <c r="C312" s="4" t="s">
        <v>4439</v>
      </c>
      <c r="D312" s="4" t="s">
        <v>4440</v>
      </c>
      <c r="E312" s="2">
        <f>VALUE("2020")</f>
        <v>2020</v>
      </c>
      <c r="F312" t="s">
        <v>224</v>
      </c>
      <c r="G312" s="8" t="s">
        <v>4441</v>
      </c>
    </row>
    <row r="313" spans="1:7" x14ac:dyDescent="0.25">
      <c r="A313" s="4" t="s">
        <v>224</v>
      </c>
      <c r="B313" s="2">
        <f>VALUE("8655")</f>
        <v>8655</v>
      </c>
      <c r="C313" s="4" t="s">
        <v>4447</v>
      </c>
      <c r="D313" s="4" t="s">
        <v>4448</v>
      </c>
      <c r="E313" s="2">
        <f>VALUE("2020")</f>
        <v>2020</v>
      </c>
      <c r="F313" t="s">
        <v>224</v>
      </c>
      <c r="G313" s="8" t="s">
        <v>4449</v>
      </c>
    </row>
    <row r="314" spans="1:7" x14ac:dyDescent="0.25">
      <c r="A314" s="4" t="s">
        <v>224</v>
      </c>
      <c r="B314" s="2">
        <f>VALUE("8655")</f>
        <v>8655</v>
      </c>
      <c r="C314" s="4" t="s">
        <v>4450</v>
      </c>
      <c r="D314" s="4" t="s">
        <v>293</v>
      </c>
      <c r="E314" s="2">
        <f>VALUE("2020")</f>
        <v>2020</v>
      </c>
      <c r="F314" t="s">
        <v>4451</v>
      </c>
      <c r="G314" s="8" t="s">
        <v>4452</v>
      </c>
    </row>
    <row r="315" spans="1:7" x14ac:dyDescent="0.25">
      <c r="A315" s="4" t="s">
        <v>224</v>
      </c>
      <c r="B315" s="2">
        <f>VALUE("8655")</f>
        <v>8655</v>
      </c>
      <c r="C315" s="4" t="s">
        <v>4453</v>
      </c>
      <c r="D315" s="4" t="s">
        <v>4454</v>
      </c>
      <c r="E315" s="2">
        <f>VALUE("2022")</f>
        <v>2022</v>
      </c>
      <c r="F315" t="s">
        <v>224</v>
      </c>
    </row>
    <row r="316" spans="1:7" x14ac:dyDescent="0.25">
      <c r="A316" s="4" t="s">
        <v>224</v>
      </c>
      <c r="B316" s="2">
        <f>VALUE("8675")</f>
        <v>8675</v>
      </c>
      <c r="C316" s="4" t="s">
        <v>4503</v>
      </c>
      <c r="D316" s="4" t="s">
        <v>4504</v>
      </c>
      <c r="E316" s="2">
        <f>VALUE("2021")</f>
        <v>2021</v>
      </c>
      <c r="F316" t="s">
        <v>224</v>
      </c>
      <c r="G316" s="8" t="s">
        <v>4505</v>
      </c>
    </row>
    <row r="317" spans="1:7" x14ac:dyDescent="0.25">
      <c r="A317" s="4" t="s">
        <v>224</v>
      </c>
      <c r="B317" s="2">
        <f>VALUE("8832")</f>
        <v>8832</v>
      </c>
      <c r="C317" s="4" t="s">
        <v>4763</v>
      </c>
      <c r="D317" s="4" t="s">
        <v>4764</v>
      </c>
      <c r="E317" s="2">
        <f>VALUE("2021")</f>
        <v>2021</v>
      </c>
      <c r="F317" t="s">
        <v>224</v>
      </c>
    </row>
    <row r="318" spans="1:7" x14ac:dyDescent="0.25">
      <c r="A318" s="4" t="s">
        <v>224</v>
      </c>
      <c r="B318" s="2">
        <f>VALUE("8941")</f>
        <v>8941</v>
      </c>
      <c r="C318" s="4" t="s">
        <v>4888</v>
      </c>
      <c r="D318" s="4" t="s">
        <v>4889</v>
      </c>
      <c r="E318" s="2">
        <f>VALUE("2022")</f>
        <v>2022</v>
      </c>
      <c r="F318" t="s">
        <v>224</v>
      </c>
      <c r="G318" s="8" t="s">
        <v>4890</v>
      </c>
    </row>
    <row r="319" spans="1:7" x14ac:dyDescent="0.25">
      <c r="A319" s="4" t="s">
        <v>224</v>
      </c>
      <c r="B319" s="2">
        <f>VALUE("9026")</f>
        <v>9026</v>
      </c>
      <c r="C319" s="4" t="s">
        <v>4964</v>
      </c>
      <c r="D319" s="4" t="s">
        <v>4965</v>
      </c>
      <c r="E319" s="2">
        <f>VALUE("2022")</f>
        <v>2022</v>
      </c>
      <c r="F319" t="s">
        <v>224</v>
      </c>
      <c r="G319" s="8" t="s">
        <v>4966</v>
      </c>
    </row>
    <row r="320" spans="1:7" x14ac:dyDescent="0.25">
      <c r="A320" s="4" t="s">
        <v>224</v>
      </c>
      <c r="B320" s="2">
        <f>VALUE("9219")</f>
        <v>9219</v>
      </c>
      <c r="C320" s="4" t="s">
        <v>5121</v>
      </c>
      <c r="D320" s="4" t="s">
        <v>5122</v>
      </c>
      <c r="E320" s="2">
        <f>VALUE("2023")</f>
        <v>2023</v>
      </c>
      <c r="F320" t="s">
        <v>224</v>
      </c>
      <c r="G320" s="8" t="s">
        <v>5123</v>
      </c>
    </row>
    <row r="321" spans="1:7" x14ac:dyDescent="0.25">
      <c r="A321" s="4" t="s">
        <v>224</v>
      </c>
      <c r="B321" s="2">
        <f>VALUE("9238")</f>
        <v>9238</v>
      </c>
      <c r="C321" s="4" t="s">
        <v>5128</v>
      </c>
      <c r="D321" s="4" t="s">
        <v>5129</v>
      </c>
      <c r="E321" s="2">
        <f>VALUE("2023")</f>
        <v>2023</v>
      </c>
      <c r="F321" t="s">
        <v>5130</v>
      </c>
      <c r="G321" s="8" t="s">
        <v>5131</v>
      </c>
    </row>
    <row r="322" spans="1:7" x14ac:dyDescent="0.25">
      <c r="A322" s="4" t="s">
        <v>224</v>
      </c>
      <c r="B322" s="2">
        <f>VALUE("9257")</f>
        <v>9257</v>
      </c>
      <c r="C322" s="4" t="s">
        <v>5142</v>
      </c>
      <c r="D322" s="4" t="s">
        <v>5143</v>
      </c>
      <c r="E322" s="2">
        <f>VALUE("2023")</f>
        <v>2023</v>
      </c>
      <c r="F322" t="s">
        <v>224</v>
      </c>
      <c r="G322" s="8" t="s">
        <v>5144</v>
      </c>
    </row>
    <row r="323" spans="1:7" x14ac:dyDescent="0.25">
      <c r="A323" t="s">
        <v>224</v>
      </c>
      <c r="B323" s="2" t="s">
        <v>5219</v>
      </c>
      <c r="C323" s="4" t="s">
        <v>266</v>
      </c>
      <c r="D323" s="4" t="s">
        <v>267</v>
      </c>
      <c r="E323" s="2">
        <f>VALUE("2011")</f>
        <v>2011</v>
      </c>
      <c r="F323" t="s">
        <v>224</v>
      </c>
      <c r="G323" s="8" t="s">
        <v>268</v>
      </c>
    </row>
    <row r="324" spans="1:7" x14ac:dyDescent="0.25">
      <c r="A324" s="4" t="s">
        <v>224</v>
      </c>
      <c r="B324" s="2" t="s">
        <v>5225</v>
      </c>
      <c r="C324" s="4" t="s">
        <v>1348</v>
      </c>
      <c r="D324" s="4" t="s">
        <v>1349</v>
      </c>
      <c r="E324" s="2">
        <f>VALUE("2014")</f>
        <v>2014</v>
      </c>
      <c r="F324" t="s">
        <v>229</v>
      </c>
      <c r="G324" s="8" t="s">
        <v>1350</v>
      </c>
    </row>
    <row r="325" spans="1:7" x14ac:dyDescent="0.25">
      <c r="A325" t="s">
        <v>229</v>
      </c>
      <c r="B325" s="2">
        <f>VALUE("7581")</f>
        <v>7581</v>
      </c>
      <c r="C325" s="4" t="s">
        <v>1990</v>
      </c>
      <c r="D325" s="4" t="s">
        <v>1991</v>
      </c>
      <c r="E325" s="2">
        <f>VALUE("2018")</f>
        <v>2018</v>
      </c>
      <c r="F325" t="s">
        <v>229</v>
      </c>
    </row>
    <row r="326" spans="1:7" x14ac:dyDescent="0.25">
      <c r="A326" t="s">
        <v>4457</v>
      </c>
      <c r="B326" s="2">
        <f>VALUE("8655")</f>
        <v>8655</v>
      </c>
      <c r="C326" s="4" t="s">
        <v>4455</v>
      </c>
      <c r="D326" s="4" t="s">
        <v>4456</v>
      </c>
      <c r="E326" s="2">
        <f>VALUE("2022")</f>
        <v>2022</v>
      </c>
      <c r="F326" t="s">
        <v>4457</v>
      </c>
      <c r="G326" s="8" t="s">
        <v>4458</v>
      </c>
    </row>
    <row r="327" spans="1:7" x14ac:dyDescent="0.25">
      <c r="A327" t="s">
        <v>3604</v>
      </c>
      <c r="B327" s="2">
        <f>VALUE("8247")</f>
        <v>8247</v>
      </c>
      <c r="C327" s="4" t="s">
        <v>3587</v>
      </c>
      <c r="D327" s="4" t="s">
        <v>3592</v>
      </c>
      <c r="E327" s="2">
        <f>VALUE("2019")</f>
        <v>2019</v>
      </c>
      <c r="F327" t="s">
        <v>3604</v>
      </c>
      <c r="G327" s="8" t="s">
        <v>3605</v>
      </c>
    </row>
    <row r="328" spans="1:7" x14ac:dyDescent="0.25">
      <c r="A328" s="4" t="s">
        <v>5148</v>
      </c>
      <c r="B328" s="2">
        <f>VALUE("9259")</f>
        <v>9259</v>
      </c>
      <c r="C328" s="4" t="s">
        <v>5150</v>
      </c>
      <c r="D328" s="4" t="s">
        <v>5146</v>
      </c>
      <c r="E328" s="2">
        <f>VALUE("2022")</f>
        <v>2022</v>
      </c>
      <c r="F328" t="s">
        <v>5147</v>
      </c>
      <c r="G328" s="8" t="s">
        <v>5151</v>
      </c>
    </row>
    <row r="329" spans="1:7" x14ac:dyDescent="0.25">
      <c r="A329" s="1" t="s">
        <v>5148</v>
      </c>
      <c r="B329" s="2">
        <f>VALUE("9259")</f>
        <v>9259</v>
      </c>
      <c r="C329" s="4" t="s">
        <v>5145</v>
      </c>
      <c r="D329" s="1" t="s">
        <v>5146</v>
      </c>
      <c r="E329" s="2">
        <f>VALUE("2022")</f>
        <v>2022</v>
      </c>
      <c r="F329" t="s">
        <v>5147</v>
      </c>
      <c r="G329" s="8" t="s">
        <v>5149</v>
      </c>
    </row>
    <row r="330" spans="1:7" x14ac:dyDescent="0.25">
      <c r="A330" s="4" t="s">
        <v>4390</v>
      </c>
      <c r="B330" s="2">
        <f>VALUE("8629")</f>
        <v>8629</v>
      </c>
      <c r="C330" s="4" t="s">
        <v>4388</v>
      </c>
      <c r="D330" s="4" t="s">
        <v>4389</v>
      </c>
      <c r="E330" s="2">
        <f>VALUE("2020")</f>
        <v>2020</v>
      </c>
      <c r="F330" t="s">
        <v>4390</v>
      </c>
      <c r="G330" s="8" t="s">
        <v>4391</v>
      </c>
    </row>
    <row r="331" spans="1:7" x14ac:dyDescent="0.25">
      <c r="A331" s="4" t="s">
        <v>3729</v>
      </c>
      <c r="B331" s="2">
        <f t="shared" ref="B331:B337" si="5">VALUE("8315")</f>
        <v>8315</v>
      </c>
      <c r="C331" s="4" t="s">
        <v>3734</v>
      </c>
      <c r="D331" s="4" t="s">
        <v>3735</v>
      </c>
      <c r="E331" s="2">
        <f>VALUE("2021")</f>
        <v>2021</v>
      </c>
      <c r="F331" t="s">
        <v>3736</v>
      </c>
      <c r="G331" s="8" t="s">
        <v>3737</v>
      </c>
    </row>
    <row r="332" spans="1:7" x14ac:dyDescent="0.25">
      <c r="A332" s="4" t="s">
        <v>3729</v>
      </c>
      <c r="B332" s="2">
        <f t="shared" si="5"/>
        <v>8315</v>
      </c>
      <c r="C332" s="4" t="s">
        <v>3727</v>
      </c>
      <c r="D332" s="4" t="s">
        <v>3728</v>
      </c>
      <c r="E332" s="2">
        <f>VALUE("2020")</f>
        <v>2020</v>
      </c>
      <c r="F332" t="s">
        <v>3729</v>
      </c>
      <c r="G332" s="8" t="s">
        <v>3730</v>
      </c>
    </row>
    <row r="333" spans="1:7" x14ac:dyDescent="0.25">
      <c r="A333" s="4" t="s">
        <v>3729</v>
      </c>
      <c r="B333" s="2">
        <f t="shared" si="5"/>
        <v>8315</v>
      </c>
      <c r="C333" s="4" t="s">
        <v>3747</v>
      </c>
      <c r="D333" s="4" t="s">
        <v>293</v>
      </c>
      <c r="E333" s="2">
        <f>VALUE("2022")</f>
        <v>2022</v>
      </c>
      <c r="F333" t="s">
        <v>3729</v>
      </c>
      <c r="G333" s="8" t="s">
        <v>3748</v>
      </c>
    </row>
    <row r="334" spans="1:7" x14ac:dyDescent="0.25">
      <c r="A334" s="4" t="s">
        <v>3729</v>
      </c>
      <c r="B334" s="2">
        <f t="shared" si="5"/>
        <v>8315</v>
      </c>
      <c r="C334" s="4" t="s">
        <v>3742</v>
      </c>
      <c r="D334" s="4" t="s">
        <v>3743</v>
      </c>
      <c r="E334" s="2">
        <f>VALUE("2019")</f>
        <v>2019</v>
      </c>
      <c r="F334" t="s">
        <v>3736</v>
      </c>
      <c r="G334" s="8" t="s">
        <v>3744</v>
      </c>
    </row>
    <row r="335" spans="1:7" x14ac:dyDescent="0.25">
      <c r="A335" s="4" t="s">
        <v>3729</v>
      </c>
      <c r="B335" s="2">
        <f t="shared" si="5"/>
        <v>8315</v>
      </c>
      <c r="C335" s="4" t="s">
        <v>3731</v>
      </c>
      <c r="D335" s="4" t="s">
        <v>3732</v>
      </c>
      <c r="E335" s="2">
        <f>VALUE("2020")</f>
        <v>2020</v>
      </c>
      <c r="F335" t="s">
        <v>3729</v>
      </c>
      <c r="G335" s="8" t="s">
        <v>3733</v>
      </c>
    </row>
    <row r="336" spans="1:7" x14ac:dyDescent="0.25">
      <c r="A336" s="4" t="s">
        <v>3729</v>
      </c>
      <c r="B336" s="2">
        <f t="shared" si="5"/>
        <v>8315</v>
      </c>
      <c r="C336" s="4" t="s">
        <v>3738</v>
      </c>
      <c r="D336" s="4" t="s">
        <v>3739</v>
      </c>
      <c r="E336" s="2">
        <f>VALUE("2020")</f>
        <v>2020</v>
      </c>
      <c r="F336" t="s">
        <v>3740</v>
      </c>
      <c r="G336" s="8" t="s">
        <v>3741</v>
      </c>
    </row>
    <row r="337" spans="1:7" x14ac:dyDescent="0.25">
      <c r="A337" s="4" t="s">
        <v>3729</v>
      </c>
      <c r="B337" s="2">
        <f t="shared" si="5"/>
        <v>8315</v>
      </c>
      <c r="C337" s="4" t="s">
        <v>3745</v>
      </c>
      <c r="D337" s="4" t="s">
        <v>3746</v>
      </c>
      <c r="E337" s="2">
        <f>VALUE("2020")</f>
        <v>2020</v>
      </c>
      <c r="F337" t="s">
        <v>3729</v>
      </c>
    </row>
    <row r="338" spans="1:7" x14ac:dyDescent="0.25">
      <c r="A338" s="4" t="s">
        <v>3729</v>
      </c>
      <c r="B338" s="2">
        <f>VALUE("9032")</f>
        <v>9032</v>
      </c>
      <c r="C338" s="4" t="s">
        <v>4970</v>
      </c>
      <c r="D338" s="4" t="s">
        <v>293</v>
      </c>
      <c r="E338" s="2">
        <f>VALUE("2022")</f>
        <v>2022</v>
      </c>
      <c r="F338" t="s">
        <v>3729</v>
      </c>
      <c r="G338" s="8" t="s">
        <v>3748</v>
      </c>
    </row>
    <row r="339" spans="1:7" x14ac:dyDescent="0.25">
      <c r="A339" s="4" t="s">
        <v>4518</v>
      </c>
      <c r="B339" s="2">
        <f>VALUE("8687")</f>
        <v>8687</v>
      </c>
      <c r="C339" s="4" t="s">
        <v>4515</v>
      </c>
      <c r="D339" s="4" t="s">
        <v>4516</v>
      </c>
      <c r="E339" s="2">
        <f>VALUE("2021")</f>
        <v>2021</v>
      </c>
      <c r="F339" t="s">
        <v>4517</v>
      </c>
      <c r="G339" s="8" t="s">
        <v>4519</v>
      </c>
    </row>
    <row r="340" spans="1:7" x14ac:dyDescent="0.25">
      <c r="A340" s="4" t="s">
        <v>4518</v>
      </c>
      <c r="B340" s="2">
        <f>VALUE("8694")</f>
        <v>8694</v>
      </c>
      <c r="C340" s="4" t="s">
        <v>4525</v>
      </c>
      <c r="D340" s="4" t="s">
        <v>4526</v>
      </c>
      <c r="E340" s="2">
        <f>VALUE("2020")</f>
        <v>2020</v>
      </c>
      <c r="F340" t="s">
        <v>4517</v>
      </c>
      <c r="G340" s="8" t="s">
        <v>4527</v>
      </c>
    </row>
    <row r="341" spans="1:7" x14ac:dyDescent="0.25">
      <c r="A341" s="4" t="s">
        <v>1554</v>
      </c>
      <c r="B341" s="2">
        <f>VALUE("7365")</f>
        <v>7365</v>
      </c>
      <c r="C341" s="4" t="s">
        <v>1552</v>
      </c>
      <c r="D341" s="4" t="s">
        <v>1553</v>
      </c>
      <c r="E341" s="2">
        <f>VALUE("2012")</f>
        <v>2012</v>
      </c>
      <c r="F341" t="s">
        <v>1554</v>
      </c>
      <c r="G341" s="8" t="s">
        <v>1555</v>
      </c>
    </row>
    <row r="342" spans="1:7" x14ac:dyDescent="0.25">
      <c r="A342" s="4" t="s">
        <v>1554</v>
      </c>
      <c r="B342" s="2">
        <f>VALUE("7365")</f>
        <v>7365</v>
      </c>
      <c r="C342" s="4" t="s">
        <v>1556</v>
      </c>
      <c r="D342" s="4" t="s">
        <v>1553</v>
      </c>
      <c r="E342" s="2">
        <f>VALUE("2012")</f>
        <v>2012</v>
      </c>
      <c r="F342" t="s">
        <v>1554</v>
      </c>
      <c r="G342" s="8" t="s">
        <v>1555</v>
      </c>
    </row>
    <row r="343" spans="1:7" x14ac:dyDescent="0.25">
      <c r="A343" s="4" t="s">
        <v>1554</v>
      </c>
      <c r="B343" s="2">
        <f>VALUE("7731")</f>
        <v>7731</v>
      </c>
      <c r="C343" s="4" t="s">
        <v>2480</v>
      </c>
      <c r="D343" s="4" t="s">
        <v>2481</v>
      </c>
      <c r="E343" s="2">
        <f>VALUE("2015")</f>
        <v>2015</v>
      </c>
      <c r="F343" t="s">
        <v>1554</v>
      </c>
    </row>
    <row r="344" spans="1:7" x14ac:dyDescent="0.25">
      <c r="A344" s="4" t="s">
        <v>1554</v>
      </c>
      <c r="B344" s="2">
        <f>VALUE("7731")</f>
        <v>7731</v>
      </c>
      <c r="C344" s="4" t="s">
        <v>2482</v>
      </c>
      <c r="D344" s="4" t="s">
        <v>2483</v>
      </c>
      <c r="E344" s="2">
        <f>VALUE("2017")</f>
        <v>2017</v>
      </c>
      <c r="F344" t="s">
        <v>2484</v>
      </c>
    </row>
    <row r="345" spans="1:7" x14ac:dyDescent="0.25">
      <c r="A345" s="4" t="s">
        <v>1554</v>
      </c>
      <c r="B345" s="2">
        <f>VALUE("7954")</f>
        <v>7954</v>
      </c>
      <c r="C345" s="4" t="s">
        <v>2947</v>
      </c>
      <c r="D345" s="4" t="s">
        <v>2948</v>
      </c>
      <c r="E345" s="2">
        <f>VALUE("2016")</f>
        <v>2016</v>
      </c>
      <c r="F345" t="s">
        <v>1554</v>
      </c>
      <c r="G345" s="8" t="s">
        <v>2949</v>
      </c>
    </row>
    <row r="346" spans="1:7" x14ac:dyDescent="0.25">
      <c r="A346" s="4" t="s">
        <v>1554</v>
      </c>
      <c r="B346" s="2">
        <f>VALUE("8031")</f>
        <v>8031</v>
      </c>
      <c r="C346" s="4" t="s">
        <v>3059</v>
      </c>
      <c r="D346" s="4" t="s">
        <v>3060</v>
      </c>
      <c r="E346" s="2">
        <f>VALUE("2017")</f>
        <v>2017</v>
      </c>
      <c r="F346" t="s">
        <v>1554</v>
      </c>
    </row>
    <row r="347" spans="1:7" x14ac:dyDescent="0.25">
      <c r="A347" s="4" t="s">
        <v>1554</v>
      </c>
      <c r="B347" s="2">
        <f>VALUE("8031")</f>
        <v>8031</v>
      </c>
      <c r="C347" s="4" t="s">
        <v>3057</v>
      </c>
      <c r="D347" s="4" t="s">
        <v>293</v>
      </c>
      <c r="E347" s="2">
        <f>VALUE("2017")</f>
        <v>2017</v>
      </c>
      <c r="F347" t="s">
        <v>1554</v>
      </c>
      <c r="G347" s="8" t="s">
        <v>3058</v>
      </c>
    </row>
    <row r="348" spans="1:7" x14ac:dyDescent="0.25">
      <c r="A348" s="4" t="s">
        <v>1554</v>
      </c>
      <c r="B348" s="2">
        <f>VALUE("8038")</f>
        <v>8038</v>
      </c>
      <c r="C348" s="4" t="s">
        <v>3069</v>
      </c>
      <c r="D348" s="4" t="s">
        <v>3070</v>
      </c>
      <c r="E348" s="2">
        <f>VALUE("2017")</f>
        <v>2017</v>
      </c>
      <c r="F348" t="s">
        <v>1554</v>
      </c>
      <c r="G348" s="8" t="s">
        <v>3071</v>
      </c>
    </row>
    <row r="349" spans="1:7" x14ac:dyDescent="0.25">
      <c r="A349" s="4" t="s">
        <v>1554</v>
      </c>
      <c r="B349" s="2">
        <f>VALUE("8241")</f>
        <v>8241</v>
      </c>
      <c r="C349" s="4" t="s">
        <v>3545</v>
      </c>
      <c r="D349" s="4" t="s">
        <v>3546</v>
      </c>
      <c r="E349" s="2">
        <f>VALUE("2018")</f>
        <v>2018</v>
      </c>
      <c r="F349" t="s">
        <v>1554</v>
      </c>
      <c r="G349" s="8" t="s">
        <v>3547</v>
      </c>
    </row>
    <row r="350" spans="1:7" x14ac:dyDescent="0.25">
      <c r="A350" s="4" t="s">
        <v>1554</v>
      </c>
      <c r="B350" s="2">
        <f>VALUE("8316")</f>
        <v>8316</v>
      </c>
      <c r="C350" s="4" t="s">
        <v>3749</v>
      </c>
      <c r="D350" s="4" t="s">
        <v>3750</v>
      </c>
      <c r="E350" s="2">
        <f>VALUE("2019")</f>
        <v>2019</v>
      </c>
      <c r="F350" t="s">
        <v>1554</v>
      </c>
    </row>
    <row r="351" spans="1:7" x14ac:dyDescent="0.25">
      <c r="A351" s="4" t="s">
        <v>1554</v>
      </c>
      <c r="B351" s="2">
        <f>VALUE("8623")</f>
        <v>8623</v>
      </c>
      <c r="C351" s="4" t="s">
        <v>4380</v>
      </c>
      <c r="D351" s="4" t="s">
        <v>4381</v>
      </c>
      <c r="E351" s="2">
        <f>VALUE("2021")</f>
        <v>2021</v>
      </c>
      <c r="F351" t="s">
        <v>1554</v>
      </c>
    </row>
    <row r="352" spans="1:7" x14ac:dyDescent="0.25">
      <c r="A352" s="4" t="s">
        <v>1554</v>
      </c>
      <c r="B352" s="2">
        <f>VALUE("8627")</f>
        <v>8627</v>
      </c>
      <c r="C352" s="4" t="s">
        <v>4385</v>
      </c>
      <c r="D352" s="4" t="s">
        <v>4386</v>
      </c>
      <c r="E352" s="2">
        <f>VALUE("2019")</f>
        <v>2019</v>
      </c>
      <c r="F352" t="s">
        <v>1554</v>
      </c>
      <c r="G352" s="8" t="s">
        <v>4387</v>
      </c>
    </row>
    <row r="353" spans="1:7" x14ac:dyDescent="0.25">
      <c r="A353" s="4" t="s">
        <v>1554</v>
      </c>
      <c r="B353" s="2">
        <f>VALUE("8662")</f>
        <v>8662</v>
      </c>
      <c r="C353" s="4" t="s">
        <v>4475</v>
      </c>
      <c r="D353" s="4" t="s">
        <v>4476</v>
      </c>
      <c r="E353" s="2">
        <f>VALUE("2020")</f>
        <v>2020</v>
      </c>
      <c r="F353" t="s">
        <v>1554</v>
      </c>
      <c r="G353" s="8" t="s">
        <v>4477</v>
      </c>
    </row>
    <row r="354" spans="1:7" x14ac:dyDescent="0.25">
      <c r="A354" s="4" t="s">
        <v>1554</v>
      </c>
      <c r="B354" s="2">
        <f>VALUE("8683")</f>
        <v>8683</v>
      </c>
      <c r="C354" s="4" t="s">
        <v>4509</v>
      </c>
      <c r="D354" s="4" t="s">
        <v>4510</v>
      </c>
      <c r="E354" s="2">
        <f>VALUE("2020")</f>
        <v>2020</v>
      </c>
      <c r="F354" t="s">
        <v>1554</v>
      </c>
      <c r="G354" s="8" t="s">
        <v>4511</v>
      </c>
    </row>
    <row r="355" spans="1:7" x14ac:dyDescent="0.25">
      <c r="A355" s="4" t="s">
        <v>1554</v>
      </c>
      <c r="B355" s="2">
        <f>VALUE("8745")</f>
        <v>8745</v>
      </c>
      <c r="C355" s="4" t="s">
        <v>4646</v>
      </c>
      <c r="D355" s="4" t="s">
        <v>4647</v>
      </c>
      <c r="E355" s="2">
        <f>VALUE("2020")</f>
        <v>2020</v>
      </c>
      <c r="F355" t="s">
        <v>1554</v>
      </c>
      <c r="G355" s="8" t="s">
        <v>4648</v>
      </c>
    </row>
    <row r="356" spans="1:7" x14ac:dyDescent="0.25">
      <c r="A356" s="4" t="s">
        <v>1554</v>
      </c>
      <c r="B356" s="2">
        <f>VALUE("8783")</f>
        <v>8783</v>
      </c>
      <c r="C356" s="4" t="s">
        <v>4693</v>
      </c>
      <c r="D356" s="4" t="s">
        <v>293</v>
      </c>
      <c r="E356" s="2">
        <f>VALUE("2020")</f>
        <v>2020</v>
      </c>
      <c r="F356" t="s">
        <v>4694</v>
      </c>
      <c r="G356" s="8" t="s">
        <v>4695</v>
      </c>
    </row>
    <row r="357" spans="1:7" x14ac:dyDescent="0.25">
      <c r="A357" s="4" t="s">
        <v>1554</v>
      </c>
      <c r="B357" s="2">
        <f>VALUE("8827")</f>
        <v>8827</v>
      </c>
      <c r="C357" s="4" t="s">
        <v>4753</v>
      </c>
      <c r="D357" s="4" t="s">
        <v>4754</v>
      </c>
      <c r="E357" s="2">
        <f>VALUE("2020")</f>
        <v>2020</v>
      </c>
      <c r="F357" t="s">
        <v>1554</v>
      </c>
      <c r="G357" s="8" t="s">
        <v>4755</v>
      </c>
    </row>
    <row r="358" spans="1:7" x14ac:dyDescent="0.25">
      <c r="A358" s="4" t="s">
        <v>1554</v>
      </c>
      <c r="B358" s="2">
        <f>VALUE("8879")</f>
        <v>8879</v>
      </c>
      <c r="C358" s="4" t="s">
        <v>4826</v>
      </c>
      <c r="D358" s="4" t="s">
        <v>4827</v>
      </c>
      <c r="E358" s="2">
        <f>VALUE("2021")</f>
        <v>2021</v>
      </c>
      <c r="F358" t="s">
        <v>1554</v>
      </c>
      <c r="G358" s="8" t="s">
        <v>4828</v>
      </c>
    </row>
    <row r="359" spans="1:7" x14ac:dyDescent="0.25">
      <c r="A359" s="4" t="s">
        <v>1554</v>
      </c>
      <c r="B359" s="2">
        <f>VALUE("8942")</f>
        <v>8942</v>
      </c>
      <c r="C359" s="4" t="s">
        <v>4891</v>
      </c>
      <c r="D359" s="4" t="s">
        <v>4892</v>
      </c>
      <c r="E359" s="2">
        <f>VALUE("2021")</f>
        <v>2021</v>
      </c>
      <c r="F359" t="s">
        <v>1554</v>
      </c>
      <c r="G359" s="8" t="s">
        <v>4893</v>
      </c>
    </row>
    <row r="360" spans="1:7" x14ac:dyDescent="0.25">
      <c r="A360" s="4" t="s">
        <v>1554</v>
      </c>
      <c r="B360" s="2">
        <f>VALUE("9065")</f>
        <v>9065</v>
      </c>
      <c r="C360" s="4" t="s">
        <v>4997</v>
      </c>
      <c r="D360" s="4" t="s">
        <v>4998</v>
      </c>
      <c r="E360" s="2">
        <f>VALUE("2022")</f>
        <v>2022</v>
      </c>
      <c r="F360" t="s">
        <v>1554</v>
      </c>
      <c r="G360" s="8" t="s">
        <v>4999</v>
      </c>
    </row>
    <row r="361" spans="1:7" x14ac:dyDescent="0.25">
      <c r="A361" s="4" t="s">
        <v>1554</v>
      </c>
      <c r="B361" s="2">
        <f>VALUE("9401")</f>
        <v>9401</v>
      </c>
      <c r="C361" s="4" t="s">
        <v>5199</v>
      </c>
      <c r="D361" s="4" t="s">
        <v>5200</v>
      </c>
      <c r="E361" s="2">
        <f>VALUE("2023")</f>
        <v>2023</v>
      </c>
      <c r="F361" t="s">
        <v>5201</v>
      </c>
      <c r="G361" s="8" t="s">
        <v>5202</v>
      </c>
    </row>
    <row r="362" spans="1:7" s="4" customFormat="1" x14ac:dyDescent="0.25">
      <c r="A362" s="4" t="s">
        <v>4733</v>
      </c>
      <c r="B362" s="2">
        <f>VALUE("8802")</f>
        <v>8802</v>
      </c>
      <c r="C362" s="4" t="s">
        <v>4731</v>
      </c>
      <c r="D362" s="4" t="s">
        <v>4732</v>
      </c>
      <c r="E362" s="2">
        <f>VALUE("2020")</f>
        <v>2020</v>
      </c>
      <c r="F362" t="s">
        <v>4733</v>
      </c>
      <c r="G362" s="11" t="s">
        <v>5242</v>
      </c>
    </row>
    <row r="363" spans="1:7" x14ac:dyDescent="0.25">
      <c r="A363" s="4" t="s">
        <v>2176</v>
      </c>
      <c r="B363" s="2">
        <f>VALUE("7647")</f>
        <v>7647</v>
      </c>
      <c r="C363" s="4" t="s">
        <v>2178</v>
      </c>
      <c r="D363" s="4" t="s">
        <v>2179</v>
      </c>
      <c r="E363" s="2">
        <f>VALUE("2022")</f>
        <v>2022</v>
      </c>
      <c r="F363" t="s">
        <v>153</v>
      </c>
      <c r="G363" s="8" t="s">
        <v>2180</v>
      </c>
    </row>
    <row r="364" spans="1:7" x14ac:dyDescent="0.25">
      <c r="A364" s="4" t="s">
        <v>2176</v>
      </c>
      <c r="B364" s="2">
        <f>VALUE("7647")</f>
        <v>7647</v>
      </c>
      <c r="C364" s="4" t="s">
        <v>2184</v>
      </c>
      <c r="D364" s="4" t="s">
        <v>2185</v>
      </c>
      <c r="E364" s="2">
        <f>VALUE("2022")</f>
        <v>2022</v>
      </c>
      <c r="F364" t="s">
        <v>2175</v>
      </c>
      <c r="G364" s="8" t="s">
        <v>2186</v>
      </c>
    </row>
    <row r="365" spans="1:7" x14ac:dyDescent="0.25">
      <c r="A365" s="4" t="s">
        <v>2176</v>
      </c>
      <c r="B365" s="2">
        <f>VALUE("7647")</f>
        <v>7647</v>
      </c>
      <c r="C365" s="4" t="s">
        <v>2173</v>
      </c>
      <c r="D365" s="4" t="s">
        <v>2174</v>
      </c>
      <c r="E365" s="2">
        <f>VALUE("2022")</f>
        <v>2022</v>
      </c>
      <c r="F365" t="s">
        <v>2175</v>
      </c>
      <c r="G365" s="8" t="s">
        <v>2177</v>
      </c>
    </row>
    <row r="366" spans="1:7" x14ac:dyDescent="0.25">
      <c r="A366" s="4" t="s">
        <v>2176</v>
      </c>
      <c r="B366" s="2">
        <f>VALUE("7647")</f>
        <v>7647</v>
      </c>
      <c r="C366" s="4" t="s">
        <v>2181</v>
      </c>
      <c r="D366" s="4" t="s">
        <v>2182</v>
      </c>
      <c r="E366" s="2">
        <f>VALUE("2022")</f>
        <v>2022</v>
      </c>
      <c r="F366" t="s">
        <v>2175</v>
      </c>
      <c r="G366" s="8" t="s">
        <v>2183</v>
      </c>
    </row>
    <row r="367" spans="1:7" x14ac:dyDescent="0.25">
      <c r="A367" s="4" t="s">
        <v>2176</v>
      </c>
      <c r="B367" s="2">
        <f t="shared" ref="B367:B373" si="6">VALUE("7812")</f>
        <v>7812</v>
      </c>
      <c r="C367" s="4" t="s">
        <v>2611</v>
      </c>
      <c r="D367" s="4" t="s">
        <v>2612</v>
      </c>
      <c r="E367" s="2">
        <f>VALUE("2019")</f>
        <v>2019</v>
      </c>
      <c r="F367" t="s">
        <v>2175</v>
      </c>
      <c r="G367" s="8" t="s">
        <v>2613</v>
      </c>
    </row>
    <row r="368" spans="1:7" x14ac:dyDescent="0.25">
      <c r="A368" s="4" t="s">
        <v>2176</v>
      </c>
      <c r="B368" s="2">
        <f t="shared" si="6"/>
        <v>7812</v>
      </c>
      <c r="C368" s="4" t="s">
        <v>2606</v>
      </c>
      <c r="D368" s="4" t="s">
        <v>2607</v>
      </c>
      <c r="E368" s="2">
        <f>VALUE("2018")</f>
        <v>2018</v>
      </c>
      <c r="F368" t="s">
        <v>149</v>
      </c>
    </row>
    <row r="369" spans="1:7" x14ac:dyDescent="0.25">
      <c r="A369" s="4" t="s">
        <v>2176</v>
      </c>
      <c r="B369" s="2">
        <f t="shared" si="6"/>
        <v>7812</v>
      </c>
      <c r="C369" s="4" t="s">
        <v>2619</v>
      </c>
      <c r="D369" s="4" t="s">
        <v>2620</v>
      </c>
      <c r="E369" s="2">
        <f>VALUE("2021")</f>
        <v>2021</v>
      </c>
      <c r="F369" t="s">
        <v>2175</v>
      </c>
    </row>
    <row r="370" spans="1:7" x14ac:dyDescent="0.25">
      <c r="A370" s="4" t="s">
        <v>2176</v>
      </c>
      <c r="B370" s="2">
        <f t="shared" si="6"/>
        <v>7812</v>
      </c>
      <c r="C370" s="4" t="s">
        <v>2618</v>
      </c>
      <c r="D370" s="4" t="s">
        <v>293</v>
      </c>
      <c r="E370" s="2">
        <f>VALUE("2021")</f>
        <v>2021</v>
      </c>
      <c r="F370" t="s">
        <v>2175</v>
      </c>
    </row>
    <row r="371" spans="1:7" x14ac:dyDescent="0.25">
      <c r="A371" s="4" t="s">
        <v>2176</v>
      </c>
      <c r="B371" s="2">
        <f t="shared" si="6"/>
        <v>7812</v>
      </c>
      <c r="C371" s="4" t="s">
        <v>2608</v>
      </c>
      <c r="D371" s="4" t="s">
        <v>2609</v>
      </c>
      <c r="E371" s="2">
        <f>VALUE("2019")</f>
        <v>2019</v>
      </c>
      <c r="F371" t="s">
        <v>2175</v>
      </c>
      <c r="G371" s="8" t="s">
        <v>2610</v>
      </c>
    </row>
    <row r="372" spans="1:7" x14ac:dyDescent="0.25">
      <c r="A372" s="4" t="s">
        <v>2176</v>
      </c>
      <c r="B372" s="2">
        <f t="shared" si="6"/>
        <v>7812</v>
      </c>
      <c r="C372" s="4" t="s">
        <v>2616</v>
      </c>
      <c r="D372" s="4" t="s">
        <v>2617</v>
      </c>
      <c r="E372" s="2">
        <f>VALUE("2019")</f>
        <v>2019</v>
      </c>
      <c r="F372" t="s">
        <v>2175</v>
      </c>
    </row>
    <row r="373" spans="1:7" x14ac:dyDescent="0.25">
      <c r="A373" s="4" t="s">
        <v>2176</v>
      </c>
      <c r="B373" s="2">
        <f t="shared" si="6"/>
        <v>7812</v>
      </c>
      <c r="C373" s="4" t="s">
        <v>2614</v>
      </c>
      <c r="D373" s="4" t="s">
        <v>2615</v>
      </c>
      <c r="E373" s="2">
        <f>VALUE("2019")</f>
        <v>2019</v>
      </c>
      <c r="F373" t="s">
        <v>2175</v>
      </c>
    </row>
    <row r="374" spans="1:7" x14ac:dyDescent="0.25">
      <c r="A374" s="4" t="s">
        <v>2176</v>
      </c>
      <c r="B374" s="2">
        <f>VALUE("7996")</f>
        <v>7996</v>
      </c>
      <c r="C374" s="4" t="s">
        <v>3000</v>
      </c>
      <c r="D374" s="4" t="s">
        <v>3001</v>
      </c>
      <c r="E374" s="2">
        <f>VALUE("2021")</f>
        <v>2021</v>
      </c>
      <c r="F374" s="4" t="s">
        <v>3002</v>
      </c>
      <c r="G374" s="8" t="s">
        <v>3003</v>
      </c>
    </row>
    <row r="375" spans="1:7" x14ac:dyDescent="0.25">
      <c r="A375" s="4" t="s">
        <v>2176</v>
      </c>
      <c r="B375" s="2">
        <f>VALUE("8429")</f>
        <v>8429</v>
      </c>
      <c r="C375" s="4" t="s">
        <v>3921</v>
      </c>
      <c r="D375" s="4" t="s">
        <v>293</v>
      </c>
      <c r="E375" s="2">
        <f>VALUE("2021")</f>
        <v>2021</v>
      </c>
      <c r="F375" t="s">
        <v>2175</v>
      </c>
      <c r="G375" s="8" t="s">
        <v>3922</v>
      </c>
    </row>
    <row r="376" spans="1:7" x14ac:dyDescent="0.25">
      <c r="A376" s="4" t="s">
        <v>2429</v>
      </c>
      <c r="B376" s="2">
        <f>VALUE("7717")</f>
        <v>7717</v>
      </c>
      <c r="C376" s="4" t="s">
        <v>2426</v>
      </c>
      <c r="D376" s="4" t="s">
        <v>2427</v>
      </c>
      <c r="E376" s="2">
        <f>VALUE("2015")</f>
        <v>2015</v>
      </c>
      <c r="F376" t="s">
        <v>2428</v>
      </c>
      <c r="G376" s="8" t="s">
        <v>2430</v>
      </c>
    </row>
    <row r="377" spans="1:7" x14ac:dyDescent="0.25">
      <c r="A377" s="4" t="s">
        <v>2521</v>
      </c>
      <c r="B377" s="2">
        <f>VALUE("7755")</f>
        <v>7755</v>
      </c>
      <c r="C377" s="4" t="s">
        <v>2519</v>
      </c>
      <c r="D377" s="4" t="s">
        <v>2520</v>
      </c>
      <c r="E377" s="2">
        <f>VALUE("2016")</f>
        <v>2016</v>
      </c>
      <c r="F377" t="s">
        <v>2521</v>
      </c>
      <c r="G377" s="8" t="s">
        <v>2522</v>
      </c>
    </row>
    <row r="378" spans="1:7" x14ac:dyDescent="0.25">
      <c r="A378" s="4" t="s">
        <v>2521</v>
      </c>
      <c r="B378" s="2">
        <f>VALUE("7756")</f>
        <v>7756</v>
      </c>
      <c r="C378" s="4" t="s">
        <v>2526</v>
      </c>
      <c r="D378" s="4" t="s">
        <v>2527</v>
      </c>
      <c r="E378" s="2">
        <f>VALUE("2017")</f>
        <v>2017</v>
      </c>
      <c r="F378" t="s">
        <v>2521</v>
      </c>
      <c r="G378" s="8" t="s">
        <v>2528</v>
      </c>
    </row>
    <row r="379" spans="1:7" x14ac:dyDescent="0.25">
      <c r="A379" s="4" t="s">
        <v>2521</v>
      </c>
      <c r="B379" s="2">
        <f>VALUE("7756")</f>
        <v>7756</v>
      </c>
      <c r="C379" s="4" t="s">
        <v>2523</v>
      </c>
      <c r="D379" s="4" t="s">
        <v>2524</v>
      </c>
      <c r="E379" s="2">
        <f>VALUE("2016")</f>
        <v>2016</v>
      </c>
      <c r="F379" t="s">
        <v>2521</v>
      </c>
      <c r="G379" s="8" t="s">
        <v>2525</v>
      </c>
    </row>
    <row r="380" spans="1:7" x14ac:dyDescent="0.25">
      <c r="A380" s="4" t="s">
        <v>1072</v>
      </c>
      <c r="B380" s="2">
        <f>VALUE("7720")</f>
        <v>7720</v>
      </c>
      <c r="C380" s="4" t="s">
        <v>2434</v>
      </c>
      <c r="D380" s="4" t="s">
        <v>2435</v>
      </c>
      <c r="E380" s="2">
        <f>VALUE("2016")</f>
        <v>2016</v>
      </c>
      <c r="F380" t="s">
        <v>2436</v>
      </c>
      <c r="G380" s="8" t="s">
        <v>2437</v>
      </c>
    </row>
    <row r="381" spans="1:7" x14ac:dyDescent="0.25">
      <c r="A381" s="4" t="s">
        <v>1072</v>
      </c>
      <c r="B381" s="2">
        <f>VALUE("8098")</f>
        <v>8098</v>
      </c>
      <c r="C381" s="4" t="s">
        <v>3206</v>
      </c>
      <c r="D381" s="4" t="s">
        <v>3207</v>
      </c>
      <c r="E381" s="2">
        <f>VALUE("2018")</f>
        <v>2018</v>
      </c>
      <c r="F381" t="s">
        <v>1072</v>
      </c>
      <c r="G381" s="8" t="s">
        <v>3208</v>
      </c>
    </row>
    <row r="382" spans="1:7" x14ac:dyDescent="0.25">
      <c r="A382" s="4" t="s">
        <v>1072</v>
      </c>
      <c r="B382" s="2">
        <f>VALUE("8098")</f>
        <v>8098</v>
      </c>
      <c r="C382" s="4" t="s">
        <v>3211</v>
      </c>
      <c r="D382" s="4" t="s">
        <v>3207</v>
      </c>
      <c r="E382" s="2">
        <f>VALUE("2019")</f>
        <v>2019</v>
      </c>
      <c r="F382" t="s">
        <v>1072</v>
      </c>
      <c r="G382" s="8" t="s">
        <v>3212</v>
      </c>
    </row>
    <row r="383" spans="1:7" x14ac:dyDescent="0.25">
      <c r="A383" s="4" t="s">
        <v>1072</v>
      </c>
      <c r="B383" s="2">
        <f>VALUE("8098")</f>
        <v>8098</v>
      </c>
      <c r="C383" s="4" t="s">
        <v>3209</v>
      </c>
      <c r="D383" s="4" t="s">
        <v>3207</v>
      </c>
      <c r="E383" s="2">
        <f>VALUE("2019")</f>
        <v>2019</v>
      </c>
      <c r="F383" t="s">
        <v>1072</v>
      </c>
      <c r="G383" s="8" t="s">
        <v>3210</v>
      </c>
    </row>
    <row r="384" spans="1:7" x14ac:dyDescent="0.25">
      <c r="A384" s="4" t="s">
        <v>1467</v>
      </c>
      <c r="B384" s="2">
        <f>VALUE("8314")</f>
        <v>8314</v>
      </c>
      <c r="C384" s="4" t="s">
        <v>3724</v>
      </c>
      <c r="D384" s="4" t="s">
        <v>3725</v>
      </c>
      <c r="E384" s="2">
        <f>VALUE("2018")</f>
        <v>2018</v>
      </c>
      <c r="F384" t="s">
        <v>3726</v>
      </c>
    </row>
    <row r="385" spans="1:7" x14ac:dyDescent="0.25">
      <c r="A385" s="4" t="s">
        <v>1467</v>
      </c>
      <c r="B385" s="2">
        <f>VALUE("8562")</f>
        <v>8562</v>
      </c>
      <c r="C385" s="4" t="s">
        <v>4263</v>
      </c>
      <c r="D385" s="4" t="s">
        <v>4264</v>
      </c>
      <c r="E385" s="2">
        <f>VALUE("2020")</f>
        <v>2020</v>
      </c>
      <c r="F385" t="s">
        <v>3726</v>
      </c>
      <c r="G385" s="8" t="s">
        <v>4265</v>
      </c>
    </row>
    <row r="386" spans="1:7" x14ac:dyDescent="0.25">
      <c r="A386" s="4" t="s">
        <v>748</v>
      </c>
      <c r="B386" s="2">
        <f>VALUE("7092")</f>
        <v>7092</v>
      </c>
      <c r="C386" s="4" t="s">
        <v>746</v>
      </c>
      <c r="D386" s="4" t="s">
        <v>747</v>
      </c>
      <c r="E386" s="2">
        <f>VALUE("2015")</f>
        <v>2015</v>
      </c>
      <c r="F386" t="s">
        <v>748</v>
      </c>
      <c r="G386" s="8" t="s">
        <v>749</v>
      </c>
    </row>
    <row r="387" spans="1:7" x14ac:dyDescent="0.25">
      <c r="A387" s="4" t="s">
        <v>748</v>
      </c>
      <c r="B387" s="2">
        <f>VALUE("8464")</f>
        <v>8464</v>
      </c>
      <c r="C387" s="4" t="s">
        <v>3979</v>
      </c>
      <c r="D387" s="4" t="s">
        <v>3980</v>
      </c>
      <c r="E387" s="2">
        <f>VALUE("2021")</f>
        <v>2021</v>
      </c>
      <c r="F387" t="s">
        <v>748</v>
      </c>
      <c r="G387" s="8" t="s">
        <v>3981</v>
      </c>
    </row>
    <row r="388" spans="1:7" x14ac:dyDescent="0.25">
      <c r="A388" s="4" t="s">
        <v>748</v>
      </c>
      <c r="B388" s="2">
        <f>VALUE("9299")</f>
        <v>9299</v>
      </c>
      <c r="C388" s="4" t="s">
        <v>5159</v>
      </c>
      <c r="D388" s="4" t="s">
        <v>5160</v>
      </c>
      <c r="E388" s="2">
        <f>VALUE("2023")</f>
        <v>2023</v>
      </c>
      <c r="F388" t="s">
        <v>748</v>
      </c>
      <c r="G388" s="8" t="s">
        <v>5161</v>
      </c>
    </row>
    <row r="389" spans="1:7" x14ac:dyDescent="0.25">
      <c r="A389" s="4" t="s">
        <v>1698</v>
      </c>
      <c r="B389" s="2">
        <f>VALUE("7433")</f>
        <v>7433</v>
      </c>
      <c r="C389" s="4" t="s">
        <v>1700</v>
      </c>
      <c r="D389" s="4" t="s">
        <v>1701</v>
      </c>
      <c r="E389" s="2">
        <f>VALUE("2014")</f>
        <v>2014</v>
      </c>
      <c r="F389" s="4" t="s">
        <v>1702</v>
      </c>
      <c r="G389" s="8" t="s">
        <v>1703</v>
      </c>
    </row>
    <row r="390" spans="1:7" x14ac:dyDescent="0.25">
      <c r="A390" s="4" t="s">
        <v>1698</v>
      </c>
      <c r="B390" s="2">
        <f>VALUE("7619")</f>
        <v>7619</v>
      </c>
      <c r="C390" s="4" t="s">
        <v>1695</v>
      </c>
      <c r="D390" s="4" t="s">
        <v>1696</v>
      </c>
      <c r="E390" s="2">
        <f>VALUE("2015")</f>
        <v>2015</v>
      </c>
      <c r="F390" t="s">
        <v>1697</v>
      </c>
      <c r="G390" s="8" t="s">
        <v>2098</v>
      </c>
    </row>
    <row r="391" spans="1:7" x14ac:dyDescent="0.25">
      <c r="A391" s="4" t="s">
        <v>1698</v>
      </c>
      <c r="B391" s="2">
        <f>VALUE("8071")</f>
        <v>8071</v>
      </c>
      <c r="C391" s="4" t="s">
        <v>3128</v>
      </c>
      <c r="D391" s="4" t="s">
        <v>1696</v>
      </c>
      <c r="E391" s="2">
        <f>VALUE("2018")</f>
        <v>2018</v>
      </c>
      <c r="F391" t="s">
        <v>3129</v>
      </c>
      <c r="G391" s="8" t="s">
        <v>3130</v>
      </c>
    </row>
    <row r="392" spans="1:7" x14ac:dyDescent="0.25">
      <c r="A392" s="4" t="s">
        <v>1698</v>
      </c>
      <c r="B392" s="2">
        <f>VALUE("8612")</f>
        <v>8612</v>
      </c>
      <c r="C392" s="4" t="s">
        <v>4341</v>
      </c>
      <c r="D392" s="4" t="s">
        <v>4342</v>
      </c>
      <c r="E392" s="2">
        <f>VALUE("2019")</f>
        <v>2019</v>
      </c>
      <c r="F392" t="s">
        <v>1029</v>
      </c>
    </row>
    <row r="393" spans="1:7" x14ac:dyDescent="0.25">
      <c r="A393" s="4" t="s">
        <v>1698</v>
      </c>
      <c r="B393" s="2">
        <f>VALUE("8612")</f>
        <v>8612</v>
      </c>
      <c r="C393" s="4" t="s">
        <v>4339</v>
      </c>
      <c r="D393" s="4" t="s">
        <v>4340</v>
      </c>
      <c r="E393" s="2">
        <f>VALUE("2020")</f>
        <v>2020</v>
      </c>
      <c r="F393" t="s">
        <v>1029</v>
      </c>
    </row>
    <row r="394" spans="1:7" x14ac:dyDescent="0.25">
      <c r="A394" s="4" t="s">
        <v>1698</v>
      </c>
      <c r="B394" s="2">
        <f>VALUE("8612")</f>
        <v>8612</v>
      </c>
      <c r="C394" s="4" t="s">
        <v>4343</v>
      </c>
      <c r="D394" s="4" t="s">
        <v>4344</v>
      </c>
      <c r="E394" s="2">
        <f>VALUE("2022")</f>
        <v>2022</v>
      </c>
      <c r="F394" t="s">
        <v>3129</v>
      </c>
      <c r="G394" s="8" t="s">
        <v>4345</v>
      </c>
    </row>
    <row r="395" spans="1:7" x14ac:dyDescent="0.25">
      <c r="A395" s="4" t="s">
        <v>1698</v>
      </c>
      <c r="B395" s="2">
        <f>VALUE("8612")</f>
        <v>8612</v>
      </c>
      <c r="C395" s="4" t="s">
        <v>4346</v>
      </c>
      <c r="D395" s="4" t="s">
        <v>4347</v>
      </c>
      <c r="E395" s="2">
        <f>VALUE("2023")</f>
        <v>2023</v>
      </c>
      <c r="F395" t="s">
        <v>4348</v>
      </c>
      <c r="G395" s="8" t="s">
        <v>4349</v>
      </c>
    </row>
    <row r="396" spans="1:7" x14ac:dyDescent="0.25">
      <c r="A396" s="4" t="s">
        <v>1698</v>
      </c>
      <c r="B396" s="2">
        <f>VALUE("8834")</f>
        <v>8834</v>
      </c>
      <c r="C396" s="4" t="s">
        <v>4765</v>
      </c>
      <c r="D396" s="4" t="s">
        <v>4766</v>
      </c>
      <c r="E396" s="2">
        <f>VALUE("2021")</f>
        <v>2021</v>
      </c>
      <c r="F396" t="s">
        <v>4767</v>
      </c>
      <c r="G396" s="8" t="s">
        <v>4768</v>
      </c>
    </row>
    <row r="397" spans="1:7" x14ac:dyDescent="0.25">
      <c r="A397" s="9" t="s">
        <v>1698</v>
      </c>
      <c r="B397" s="10" t="s">
        <v>5226</v>
      </c>
      <c r="C397" s="4" t="s">
        <v>1695</v>
      </c>
      <c r="D397" s="4" t="s">
        <v>1696</v>
      </c>
      <c r="E397" s="2">
        <f>VALUE("2015")</f>
        <v>2015</v>
      </c>
      <c r="F397" t="s">
        <v>1697</v>
      </c>
      <c r="G397" s="8" t="s">
        <v>1699</v>
      </c>
    </row>
    <row r="398" spans="1:7" x14ac:dyDescent="0.25">
      <c r="A398" s="4" t="s">
        <v>4435</v>
      </c>
      <c r="B398" s="2">
        <f>VALUE("8644")</f>
        <v>8644</v>
      </c>
      <c r="C398" s="4" t="s">
        <v>4432</v>
      </c>
      <c r="D398" s="4" t="s">
        <v>4433</v>
      </c>
      <c r="E398" s="2">
        <f>VALUE("2022")</f>
        <v>2022</v>
      </c>
      <c r="F398" t="s">
        <v>4434</v>
      </c>
    </row>
    <row r="399" spans="1:7" x14ac:dyDescent="0.25">
      <c r="A399" t="s">
        <v>4246</v>
      </c>
      <c r="B399" s="2">
        <f>VALUE("8552")</f>
        <v>8552</v>
      </c>
      <c r="C399" s="4" t="s">
        <v>4240</v>
      </c>
      <c r="D399" s="4" t="s">
        <v>4245</v>
      </c>
      <c r="E399" s="2">
        <f>VALUE("2022")</f>
        <v>2022</v>
      </c>
      <c r="F399" t="s">
        <v>4246</v>
      </c>
      <c r="G399" s="8" t="s">
        <v>4247</v>
      </c>
    </row>
    <row r="400" spans="1:7" x14ac:dyDescent="0.25">
      <c r="A400" s="4" t="s">
        <v>1587</v>
      </c>
      <c r="B400" s="2">
        <f>VALUE("7392")</f>
        <v>7392</v>
      </c>
      <c r="C400" s="4" t="s">
        <v>1586</v>
      </c>
      <c r="D400" s="4" t="s">
        <v>293</v>
      </c>
      <c r="E400" s="2">
        <f>VALUE("2012")</f>
        <v>2012</v>
      </c>
      <c r="F400" t="s">
        <v>1587</v>
      </c>
      <c r="G400" s="8" t="s">
        <v>1588</v>
      </c>
    </row>
    <row r="401" spans="1:7" x14ac:dyDescent="0.25">
      <c r="A401" s="4" t="s">
        <v>1587</v>
      </c>
      <c r="B401" s="2">
        <f>VALUE("7392")</f>
        <v>7392</v>
      </c>
      <c r="C401" s="4" t="s">
        <v>1589</v>
      </c>
      <c r="D401" s="4" t="s">
        <v>1590</v>
      </c>
      <c r="E401" s="2">
        <f>VALUE("2013")</f>
        <v>2013</v>
      </c>
      <c r="F401" t="s">
        <v>1587</v>
      </c>
      <c r="G401" s="8" t="s">
        <v>1591</v>
      </c>
    </row>
    <row r="402" spans="1:7" x14ac:dyDescent="0.25">
      <c r="A402" s="4" t="s">
        <v>1587</v>
      </c>
      <c r="B402" s="2">
        <f>VALUE("8269")</f>
        <v>8269</v>
      </c>
      <c r="C402" s="4" t="s">
        <v>3641</v>
      </c>
      <c r="D402" s="4" t="s">
        <v>293</v>
      </c>
      <c r="E402" s="2">
        <f>VALUE("2018")</f>
        <v>2018</v>
      </c>
      <c r="F402" t="s">
        <v>1587</v>
      </c>
      <c r="G402" s="8" t="s">
        <v>5227</v>
      </c>
    </row>
    <row r="403" spans="1:7" x14ac:dyDescent="0.25">
      <c r="A403" s="4" t="s">
        <v>3710</v>
      </c>
      <c r="B403" s="2">
        <f>VALUE("8303")</f>
        <v>8303</v>
      </c>
      <c r="C403" s="4" t="s">
        <v>3707</v>
      </c>
      <c r="D403" s="4" t="s">
        <v>3708</v>
      </c>
      <c r="E403" s="2">
        <f>VALUE("2022")</f>
        <v>2022</v>
      </c>
      <c r="F403" t="s">
        <v>3709</v>
      </c>
      <c r="G403" s="8" t="s">
        <v>3711</v>
      </c>
    </row>
    <row r="404" spans="1:7" x14ac:dyDescent="0.25">
      <c r="A404" s="4" t="s">
        <v>1627</v>
      </c>
      <c r="B404" s="2">
        <f>VALUE("7404")</f>
        <v>7404</v>
      </c>
      <c r="C404" s="4" t="s">
        <v>1624</v>
      </c>
      <c r="D404" s="4" t="s">
        <v>1625</v>
      </c>
      <c r="E404" s="2">
        <f>VALUE("2017")</f>
        <v>2017</v>
      </c>
      <c r="F404" t="s">
        <v>1626</v>
      </c>
    </row>
    <row r="405" spans="1:7" x14ac:dyDescent="0.25">
      <c r="A405" s="4" t="s">
        <v>233</v>
      </c>
      <c r="B405" s="2">
        <f>VALUE("6065")</f>
        <v>6065</v>
      </c>
      <c r="C405" s="4" t="s">
        <v>230</v>
      </c>
      <c r="D405" s="4" t="s">
        <v>231</v>
      </c>
      <c r="E405" s="2">
        <f>VALUE("2010")</f>
        <v>2010</v>
      </c>
      <c r="F405" t="s">
        <v>232</v>
      </c>
    </row>
    <row r="406" spans="1:7" x14ac:dyDescent="0.25">
      <c r="A406" s="4" t="s">
        <v>233</v>
      </c>
      <c r="B406" s="2">
        <f>VALUE("6065")</f>
        <v>6065</v>
      </c>
      <c r="C406" s="4" t="s">
        <v>234</v>
      </c>
      <c r="D406" s="4" t="s">
        <v>235</v>
      </c>
      <c r="E406" s="2">
        <f>VALUE("2011")</f>
        <v>2011</v>
      </c>
      <c r="F406" t="s">
        <v>149</v>
      </c>
    </row>
    <row r="407" spans="1:7" x14ac:dyDescent="0.25">
      <c r="A407" s="4" t="s">
        <v>233</v>
      </c>
      <c r="B407" s="2">
        <f>VALUE("6065")</f>
        <v>6065</v>
      </c>
      <c r="C407" s="4" t="s">
        <v>236</v>
      </c>
      <c r="D407" s="4" t="s">
        <v>237</v>
      </c>
      <c r="E407" s="2">
        <f>VALUE("2008")</f>
        <v>2008</v>
      </c>
      <c r="F407" t="s">
        <v>153</v>
      </c>
    </row>
    <row r="408" spans="1:7" x14ac:dyDescent="0.25">
      <c r="A408" s="4" t="s">
        <v>233</v>
      </c>
      <c r="B408" s="2">
        <f>VALUE("6065")</f>
        <v>6065</v>
      </c>
      <c r="C408" s="4" t="s">
        <v>238</v>
      </c>
      <c r="D408" s="4" t="s">
        <v>239</v>
      </c>
      <c r="E408" s="2">
        <f>VALUE("2008")</f>
        <v>2008</v>
      </c>
      <c r="F408" t="s">
        <v>240</v>
      </c>
    </row>
    <row r="409" spans="1:7" x14ac:dyDescent="0.25">
      <c r="A409" s="4" t="s">
        <v>233</v>
      </c>
      <c r="B409" s="2">
        <f>VALUE("7121")</f>
        <v>7121</v>
      </c>
      <c r="C409" s="4" t="s">
        <v>897</v>
      </c>
      <c r="D409" s="4" t="s">
        <v>898</v>
      </c>
      <c r="E409" s="2">
        <f>VALUE("2017")</f>
        <v>2017</v>
      </c>
      <c r="F409" t="s">
        <v>899</v>
      </c>
    </row>
    <row r="410" spans="1:7" x14ac:dyDescent="0.25">
      <c r="A410" s="4" t="s">
        <v>233</v>
      </c>
      <c r="B410" s="2">
        <f>VALUE("7121")</f>
        <v>7121</v>
      </c>
      <c r="C410" s="4" t="s">
        <v>889</v>
      </c>
      <c r="D410" s="4" t="s">
        <v>890</v>
      </c>
      <c r="E410" s="2">
        <f>VALUE("2013")</f>
        <v>2013</v>
      </c>
      <c r="F410" t="s">
        <v>891</v>
      </c>
    </row>
    <row r="411" spans="1:7" x14ac:dyDescent="0.25">
      <c r="A411" s="4" t="s">
        <v>233</v>
      </c>
      <c r="B411" s="2">
        <f>VALUE("7121")</f>
        <v>7121</v>
      </c>
      <c r="C411" s="4" t="s">
        <v>892</v>
      </c>
      <c r="D411" s="4" t="s">
        <v>893</v>
      </c>
      <c r="E411" s="2">
        <f>VALUE("2014")</f>
        <v>2014</v>
      </c>
      <c r="F411" t="s">
        <v>894</v>
      </c>
    </row>
    <row r="412" spans="1:7" x14ac:dyDescent="0.25">
      <c r="A412" s="4" t="s">
        <v>233</v>
      </c>
      <c r="B412" s="2">
        <f>VALUE("7121")</f>
        <v>7121</v>
      </c>
      <c r="C412" s="4" t="s">
        <v>895</v>
      </c>
      <c r="D412" s="4" t="s">
        <v>890</v>
      </c>
      <c r="E412" s="2">
        <f>VALUE("2015")</f>
        <v>2015</v>
      </c>
      <c r="F412" t="s">
        <v>896</v>
      </c>
    </row>
    <row r="413" spans="1:7" x14ac:dyDescent="0.25">
      <c r="A413" s="4" t="s">
        <v>233</v>
      </c>
      <c r="B413" s="2">
        <f>VALUE("7249")</f>
        <v>7249</v>
      </c>
      <c r="C413" s="4" t="s">
        <v>1153</v>
      </c>
      <c r="D413" s="4" t="s">
        <v>1154</v>
      </c>
      <c r="E413" s="2">
        <f>VALUE("2015")</f>
        <v>2015</v>
      </c>
      <c r="F413" t="s">
        <v>233</v>
      </c>
    </row>
    <row r="414" spans="1:7" x14ac:dyDescent="0.25">
      <c r="A414" s="4" t="s">
        <v>233</v>
      </c>
      <c r="B414" s="2">
        <f>VALUE("7249")</f>
        <v>7249</v>
      </c>
      <c r="C414" s="4" t="s">
        <v>1150</v>
      </c>
      <c r="D414" s="4" t="s">
        <v>1151</v>
      </c>
      <c r="E414" s="2">
        <f>VALUE("2013")</f>
        <v>2013</v>
      </c>
      <c r="F414" t="s">
        <v>1152</v>
      </c>
    </row>
    <row r="415" spans="1:7" x14ac:dyDescent="0.25">
      <c r="A415" s="4" t="s">
        <v>233</v>
      </c>
      <c r="B415" s="2">
        <f>VALUE("7538")</f>
        <v>7538</v>
      </c>
      <c r="C415" s="4" t="s">
        <v>1921</v>
      </c>
      <c r="D415" s="4" t="s">
        <v>1922</v>
      </c>
      <c r="E415" s="2">
        <f>VALUE("2013")</f>
        <v>2013</v>
      </c>
      <c r="F415" t="s">
        <v>233</v>
      </c>
      <c r="G415" s="8" t="s">
        <v>1923</v>
      </c>
    </row>
    <row r="416" spans="1:7" x14ac:dyDescent="0.25">
      <c r="A416" s="4" t="s">
        <v>233</v>
      </c>
      <c r="B416" s="2">
        <f>VALUE("7683")</f>
        <v>7683</v>
      </c>
      <c r="C416" s="4" t="s">
        <v>2336</v>
      </c>
      <c r="D416" s="4" t="s">
        <v>2337</v>
      </c>
      <c r="E416" s="2">
        <f>VALUE("2022")</f>
        <v>2022</v>
      </c>
      <c r="F416" t="s">
        <v>2338</v>
      </c>
      <c r="G416" s="8" t="s">
        <v>5228</v>
      </c>
    </row>
    <row r="417" spans="1:7" x14ac:dyDescent="0.25">
      <c r="A417" s="4" t="s">
        <v>233</v>
      </c>
      <c r="B417" s="2">
        <f>VALUE("7696")</f>
        <v>7696</v>
      </c>
      <c r="C417" s="4" t="s">
        <v>2370</v>
      </c>
      <c r="D417" s="4" t="s">
        <v>2371</v>
      </c>
      <c r="E417" s="2">
        <f>VALUE("2020")</f>
        <v>2020</v>
      </c>
      <c r="F417" t="s">
        <v>149</v>
      </c>
    </row>
    <row r="418" spans="1:7" x14ac:dyDescent="0.25">
      <c r="A418" s="4" t="s">
        <v>233</v>
      </c>
      <c r="B418" s="2">
        <f>VALUE("7696")</f>
        <v>7696</v>
      </c>
      <c r="C418" s="4" t="s">
        <v>2372</v>
      </c>
      <c r="D418" s="4" t="s">
        <v>2373</v>
      </c>
      <c r="E418" s="2">
        <f>VALUE("2020")</f>
        <v>2020</v>
      </c>
      <c r="F418" t="s">
        <v>149</v>
      </c>
    </row>
    <row r="419" spans="1:7" x14ac:dyDescent="0.25">
      <c r="A419" s="4" t="s">
        <v>233</v>
      </c>
      <c r="B419" s="2">
        <f>VALUE("7696")</f>
        <v>7696</v>
      </c>
      <c r="C419" s="4" t="s">
        <v>2368</v>
      </c>
      <c r="D419" s="4" t="s">
        <v>2369</v>
      </c>
      <c r="E419" s="2">
        <f>VALUE("2018")</f>
        <v>2018</v>
      </c>
      <c r="F419" t="s">
        <v>149</v>
      </c>
    </row>
    <row r="420" spans="1:7" x14ac:dyDescent="0.25">
      <c r="A420" s="4" t="s">
        <v>233</v>
      </c>
      <c r="B420" s="2">
        <f t="shared" ref="B420:B425" si="7">VALUE("7953")</f>
        <v>7953</v>
      </c>
      <c r="C420" s="4" t="s">
        <v>2938</v>
      </c>
      <c r="D420" s="4" t="s">
        <v>2939</v>
      </c>
      <c r="E420" s="2">
        <f>VALUE("2018")</f>
        <v>2018</v>
      </c>
      <c r="F420" t="s">
        <v>2940</v>
      </c>
    </row>
    <row r="421" spans="1:7" x14ac:dyDescent="0.25">
      <c r="A421" s="4" t="s">
        <v>233</v>
      </c>
      <c r="B421" s="2">
        <f t="shared" si="7"/>
        <v>7953</v>
      </c>
      <c r="C421" s="4" t="s">
        <v>2927</v>
      </c>
      <c r="D421" s="4" t="s">
        <v>2928</v>
      </c>
      <c r="E421" s="2">
        <f>VALUE("2011")</f>
        <v>2011</v>
      </c>
      <c r="F421" t="s">
        <v>2929</v>
      </c>
      <c r="G421" s="8" t="s">
        <v>2930</v>
      </c>
    </row>
    <row r="422" spans="1:7" x14ac:dyDescent="0.25">
      <c r="A422" s="4" t="s">
        <v>233</v>
      </c>
      <c r="B422" s="2">
        <f t="shared" si="7"/>
        <v>7953</v>
      </c>
      <c r="C422" s="4" t="s">
        <v>2931</v>
      </c>
      <c r="D422" s="4" t="s">
        <v>2932</v>
      </c>
      <c r="E422" s="2">
        <f>VALUE("2013")</f>
        <v>2013</v>
      </c>
      <c r="F422" t="s">
        <v>2929</v>
      </c>
      <c r="G422" s="8" t="s">
        <v>2933</v>
      </c>
    </row>
    <row r="423" spans="1:7" x14ac:dyDescent="0.25">
      <c r="A423" s="4" t="s">
        <v>233</v>
      </c>
      <c r="B423" s="2">
        <f t="shared" si="7"/>
        <v>7953</v>
      </c>
      <c r="C423" s="4" t="s">
        <v>2941</v>
      </c>
      <c r="D423" s="4" t="s">
        <v>2942</v>
      </c>
      <c r="E423" s="2">
        <f>VALUE("2019")</f>
        <v>2019</v>
      </c>
      <c r="F423" t="s">
        <v>2943</v>
      </c>
    </row>
    <row r="424" spans="1:7" x14ac:dyDescent="0.25">
      <c r="A424" s="4" t="s">
        <v>233</v>
      </c>
      <c r="B424" s="2">
        <f t="shared" si="7"/>
        <v>7953</v>
      </c>
      <c r="C424" s="4" t="s">
        <v>2944</v>
      </c>
      <c r="D424" s="4" t="s">
        <v>2945</v>
      </c>
      <c r="E424" s="2">
        <f>VALUE("2022")</f>
        <v>2022</v>
      </c>
      <c r="F424" t="s">
        <v>974</v>
      </c>
      <c r="G424" s="8" t="s">
        <v>2946</v>
      </c>
    </row>
    <row r="425" spans="1:7" x14ac:dyDescent="0.25">
      <c r="A425" s="4" t="s">
        <v>233</v>
      </c>
      <c r="B425" s="2">
        <f t="shared" si="7"/>
        <v>7953</v>
      </c>
      <c r="C425" s="4" t="s">
        <v>2934</v>
      </c>
      <c r="D425" s="4" t="s">
        <v>2935</v>
      </c>
      <c r="E425" s="2">
        <f>VALUE("2020")</f>
        <v>2020</v>
      </c>
      <c r="F425" t="s">
        <v>2936</v>
      </c>
      <c r="G425" s="8" t="s">
        <v>2937</v>
      </c>
    </row>
    <row r="426" spans="1:7" x14ac:dyDescent="0.25">
      <c r="A426" s="4" t="s">
        <v>233</v>
      </c>
      <c r="B426" s="2">
        <f>VALUE("8121")</f>
        <v>8121</v>
      </c>
      <c r="C426" s="4" t="s">
        <v>3244</v>
      </c>
      <c r="D426" s="4" t="s">
        <v>3245</v>
      </c>
      <c r="E426" s="2">
        <f>VALUE("2021")</f>
        <v>2021</v>
      </c>
      <c r="F426" t="s">
        <v>233</v>
      </c>
    </row>
    <row r="427" spans="1:7" x14ac:dyDescent="0.25">
      <c r="A427" s="4" t="s">
        <v>233</v>
      </c>
      <c r="B427" s="2">
        <f>VALUE("8151")</f>
        <v>8151</v>
      </c>
      <c r="C427" s="4" t="s">
        <v>3329</v>
      </c>
      <c r="D427" s="4" t="s">
        <v>3330</v>
      </c>
      <c r="E427" s="2">
        <f>VALUE("2021")</f>
        <v>2021</v>
      </c>
      <c r="F427" t="s">
        <v>3331</v>
      </c>
      <c r="G427" s="8" t="s">
        <v>3332</v>
      </c>
    </row>
    <row r="428" spans="1:7" x14ac:dyDescent="0.25">
      <c r="A428" s="4" t="s">
        <v>233</v>
      </c>
      <c r="B428" s="2">
        <f>VALUE("8151")</f>
        <v>8151</v>
      </c>
      <c r="C428" s="4" t="s">
        <v>3327</v>
      </c>
      <c r="D428" s="4" t="s">
        <v>293</v>
      </c>
      <c r="E428" s="2">
        <f>VALUE("2021")</f>
        <v>2021</v>
      </c>
      <c r="F428" t="s">
        <v>233</v>
      </c>
      <c r="G428" s="8" t="s">
        <v>3328</v>
      </c>
    </row>
    <row r="429" spans="1:7" x14ac:dyDescent="0.25">
      <c r="A429" s="4" t="s">
        <v>233</v>
      </c>
      <c r="B429" s="2">
        <f>VALUE("8441")</f>
        <v>8441</v>
      </c>
      <c r="C429" s="4" t="s">
        <v>3939</v>
      </c>
      <c r="D429" s="4" t="s">
        <v>3940</v>
      </c>
      <c r="E429" s="2">
        <f>VALUE("2021")</f>
        <v>2021</v>
      </c>
      <c r="F429" t="s">
        <v>3941</v>
      </c>
    </row>
    <row r="430" spans="1:7" x14ac:dyDescent="0.25">
      <c r="A430" s="4" t="s">
        <v>233</v>
      </c>
      <c r="B430" s="2">
        <f>VALUE("8441")</f>
        <v>8441</v>
      </c>
      <c r="C430" s="4" t="s">
        <v>3938</v>
      </c>
      <c r="D430" s="4" t="s">
        <v>2848</v>
      </c>
      <c r="E430" s="2">
        <f>VALUE("2020")</f>
        <v>2020</v>
      </c>
      <c r="F430" t="s">
        <v>974</v>
      </c>
    </row>
    <row r="431" spans="1:7" x14ac:dyDescent="0.25">
      <c r="A431" s="4" t="s">
        <v>233</v>
      </c>
      <c r="B431" s="2">
        <f>VALUE("8460")</f>
        <v>8460</v>
      </c>
      <c r="C431" s="4" t="s">
        <v>3969</v>
      </c>
      <c r="D431" s="4" t="s">
        <v>293</v>
      </c>
      <c r="E431" s="2">
        <f>VALUE("2020")</f>
        <v>2020</v>
      </c>
      <c r="F431" t="s">
        <v>233</v>
      </c>
      <c r="G431" s="8" t="s">
        <v>3970</v>
      </c>
    </row>
    <row r="432" spans="1:7" x14ac:dyDescent="0.25">
      <c r="A432" s="4" t="s">
        <v>233</v>
      </c>
      <c r="B432" s="2">
        <f>VALUE("8460")</f>
        <v>8460</v>
      </c>
      <c r="C432" s="4" t="s">
        <v>3971</v>
      </c>
      <c r="D432" s="4" t="s">
        <v>3972</v>
      </c>
      <c r="E432" s="2">
        <f>VALUE("2020")</f>
        <v>2020</v>
      </c>
      <c r="F432" t="s">
        <v>233</v>
      </c>
    </row>
    <row r="433" spans="1:7" x14ac:dyDescent="0.25">
      <c r="A433" s="4" t="s">
        <v>233</v>
      </c>
      <c r="B433" s="2">
        <f>VALUE("8511")</f>
        <v>8511</v>
      </c>
      <c r="C433" s="4" t="s">
        <v>4134</v>
      </c>
      <c r="D433" s="4" t="s">
        <v>4135</v>
      </c>
      <c r="E433" s="2">
        <f>VALUE("2022")</f>
        <v>2022</v>
      </c>
      <c r="F433" t="s">
        <v>4136</v>
      </c>
      <c r="G433" s="8" t="s">
        <v>4137</v>
      </c>
    </row>
    <row r="434" spans="1:7" x14ac:dyDescent="0.25">
      <c r="A434" s="4" t="s">
        <v>233</v>
      </c>
      <c r="B434" s="2">
        <f>VALUE("8511")</f>
        <v>8511</v>
      </c>
      <c r="C434" s="4" t="s">
        <v>4134</v>
      </c>
      <c r="D434" s="4" t="s">
        <v>4138</v>
      </c>
      <c r="E434" s="2">
        <f>VALUE("2023")</f>
        <v>2023</v>
      </c>
      <c r="F434" t="s">
        <v>1456</v>
      </c>
      <c r="G434" s="8" t="s">
        <v>4139</v>
      </c>
    </row>
    <row r="435" spans="1:7" x14ac:dyDescent="0.25">
      <c r="A435" s="4" t="s">
        <v>233</v>
      </c>
      <c r="B435" s="2">
        <f>VALUE("8882")</f>
        <v>8882</v>
      </c>
      <c r="C435" s="4" t="s">
        <v>4834</v>
      </c>
      <c r="D435" s="4" t="s">
        <v>4835</v>
      </c>
      <c r="E435" s="2">
        <f>VALUE("2023")</f>
        <v>2023</v>
      </c>
      <c r="F435" t="s">
        <v>1152</v>
      </c>
      <c r="G435" s="8" t="s">
        <v>4836</v>
      </c>
    </row>
    <row r="436" spans="1:7" x14ac:dyDescent="0.25">
      <c r="A436" s="4" t="s">
        <v>2849</v>
      </c>
      <c r="B436" s="2" t="s">
        <v>5257</v>
      </c>
      <c r="C436" s="4" t="s">
        <v>2847</v>
      </c>
      <c r="D436" s="4" t="s">
        <v>2848</v>
      </c>
      <c r="E436" s="2">
        <f>VALUE("2019")</f>
        <v>2019</v>
      </c>
      <c r="F436" t="s">
        <v>1033</v>
      </c>
      <c r="G436" s="8" t="s">
        <v>2850</v>
      </c>
    </row>
    <row r="437" spans="1:7" x14ac:dyDescent="0.25">
      <c r="A437" s="4" t="s">
        <v>735</v>
      </c>
      <c r="B437" s="2">
        <f t="shared" ref="B437:B442" si="8">VALUE("7086")</f>
        <v>7086</v>
      </c>
      <c r="C437" s="4" t="s">
        <v>732</v>
      </c>
      <c r="D437" s="4" t="s">
        <v>733</v>
      </c>
      <c r="E437" s="2">
        <f>VALUE("2015")</f>
        <v>2015</v>
      </c>
      <c r="F437" t="s">
        <v>734</v>
      </c>
    </row>
    <row r="438" spans="1:7" x14ac:dyDescent="0.25">
      <c r="A438" s="4" t="s">
        <v>735</v>
      </c>
      <c r="B438" s="2">
        <f t="shared" si="8"/>
        <v>7086</v>
      </c>
      <c r="C438" s="4" t="s">
        <v>736</v>
      </c>
      <c r="D438" s="4" t="s">
        <v>737</v>
      </c>
      <c r="E438" s="2">
        <f>VALUE("2012")</f>
        <v>2012</v>
      </c>
      <c r="F438" t="s">
        <v>738</v>
      </c>
    </row>
    <row r="439" spans="1:7" x14ac:dyDescent="0.25">
      <c r="A439" s="4" t="s">
        <v>735</v>
      </c>
      <c r="B439" s="2">
        <f t="shared" si="8"/>
        <v>7086</v>
      </c>
      <c r="C439" s="4" t="s">
        <v>739</v>
      </c>
      <c r="D439" s="4" t="s">
        <v>737</v>
      </c>
      <c r="E439" s="2">
        <f>VALUE("2014")</f>
        <v>2014</v>
      </c>
      <c r="F439" t="s">
        <v>738</v>
      </c>
    </row>
    <row r="440" spans="1:7" x14ac:dyDescent="0.25">
      <c r="A440" s="4" t="s">
        <v>735</v>
      </c>
      <c r="B440" s="2">
        <f t="shared" si="8"/>
        <v>7086</v>
      </c>
      <c r="C440" s="4" t="s">
        <v>740</v>
      </c>
      <c r="D440" s="4" t="s">
        <v>737</v>
      </c>
      <c r="E440" s="2">
        <f>VALUE("2012")</f>
        <v>2012</v>
      </c>
      <c r="F440" t="s">
        <v>735</v>
      </c>
    </row>
    <row r="441" spans="1:7" x14ac:dyDescent="0.25">
      <c r="A441" s="4" t="s">
        <v>735</v>
      </c>
      <c r="B441" s="2">
        <f t="shared" si="8"/>
        <v>7086</v>
      </c>
      <c r="C441" s="4" t="s">
        <v>741</v>
      </c>
      <c r="D441" s="4" t="s">
        <v>742</v>
      </c>
      <c r="E441" s="2">
        <f>VALUE("2013")</f>
        <v>2013</v>
      </c>
      <c r="F441" t="s">
        <v>743</v>
      </c>
    </row>
    <row r="442" spans="1:7" x14ac:dyDescent="0.25">
      <c r="A442" s="4" t="s">
        <v>735</v>
      </c>
      <c r="B442" s="2">
        <f t="shared" si="8"/>
        <v>7086</v>
      </c>
      <c r="C442" s="4" t="s">
        <v>744</v>
      </c>
      <c r="D442" s="4" t="s">
        <v>745</v>
      </c>
      <c r="E442" s="2">
        <f>VALUE("2019")</f>
        <v>2019</v>
      </c>
      <c r="F442" t="s">
        <v>735</v>
      </c>
    </row>
    <row r="443" spans="1:7" x14ac:dyDescent="0.25">
      <c r="A443" s="4" t="s">
        <v>735</v>
      </c>
      <c r="B443" s="2">
        <f>VALUE("7261")</f>
        <v>7261</v>
      </c>
      <c r="C443" s="4" t="s">
        <v>1187</v>
      </c>
      <c r="D443" s="4" t="s">
        <v>1188</v>
      </c>
      <c r="E443" s="2">
        <f>VALUE("2014")</f>
        <v>2014</v>
      </c>
      <c r="F443" t="s">
        <v>1189</v>
      </c>
      <c r="G443" s="8" t="s">
        <v>1190</v>
      </c>
    </row>
    <row r="444" spans="1:7" x14ac:dyDescent="0.25">
      <c r="A444" s="4" t="s">
        <v>735</v>
      </c>
      <c r="B444" s="2">
        <f>VALUE("7366")</f>
        <v>7366</v>
      </c>
      <c r="C444" s="4" t="s">
        <v>1557</v>
      </c>
      <c r="D444" s="4" t="s">
        <v>1558</v>
      </c>
      <c r="E444" s="2">
        <f>VALUE("2020")</f>
        <v>2020</v>
      </c>
      <c r="F444" t="s">
        <v>735</v>
      </c>
    </row>
    <row r="445" spans="1:7" x14ac:dyDescent="0.25">
      <c r="A445" s="4" t="s">
        <v>4761</v>
      </c>
      <c r="B445" s="2">
        <f>VALUE("8831")</f>
        <v>8831</v>
      </c>
      <c r="C445" s="4" t="s">
        <v>4759</v>
      </c>
      <c r="D445" s="4" t="s">
        <v>4760</v>
      </c>
      <c r="E445" s="2">
        <f>VALUE("2023")</f>
        <v>2023</v>
      </c>
      <c r="F445" t="s">
        <v>974</v>
      </c>
      <c r="G445" s="8" t="s">
        <v>4762</v>
      </c>
    </row>
    <row r="446" spans="1:7" x14ac:dyDescent="0.25">
      <c r="A446" s="4" t="s">
        <v>4761</v>
      </c>
      <c r="B446" s="2">
        <f>VALUE("9064")</f>
        <v>9064</v>
      </c>
      <c r="C446" s="4" t="s">
        <v>4995</v>
      </c>
      <c r="D446" s="4" t="s">
        <v>293</v>
      </c>
      <c r="E446" s="2">
        <f>VALUE("2022")</f>
        <v>2022</v>
      </c>
      <c r="F446" t="s">
        <v>4761</v>
      </c>
      <c r="G446" s="8" t="s">
        <v>4996</v>
      </c>
    </row>
    <row r="447" spans="1:7" x14ac:dyDescent="0.25">
      <c r="A447" s="4" t="s">
        <v>640</v>
      </c>
      <c r="B447" s="2">
        <f>VALUE("7040")</f>
        <v>7040</v>
      </c>
      <c r="C447" s="4" t="s">
        <v>637</v>
      </c>
      <c r="D447" s="4" t="s">
        <v>638</v>
      </c>
      <c r="E447" s="2">
        <f>VALUE("2012")</f>
        <v>2012</v>
      </c>
      <c r="F447" t="s">
        <v>639</v>
      </c>
    </row>
    <row r="448" spans="1:7" x14ac:dyDescent="0.25">
      <c r="A448" s="4" t="s">
        <v>640</v>
      </c>
      <c r="B448" s="2">
        <f>VALUE("7223")</f>
        <v>7223</v>
      </c>
      <c r="C448" s="4" t="s">
        <v>1103</v>
      </c>
      <c r="D448" s="4" t="s">
        <v>1104</v>
      </c>
      <c r="E448" s="2">
        <f>VALUE("2012")</f>
        <v>2012</v>
      </c>
      <c r="F448" t="s">
        <v>1104</v>
      </c>
    </row>
    <row r="449" spans="1:7" x14ac:dyDescent="0.25">
      <c r="A449" s="4" t="s">
        <v>640</v>
      </c>
      <c r="B449" s="2">
        <f>VALUE("8350")</f>
        <v>8350</v>
      </c>
      <c r="C449" s="4" t="s">
        <v>3798</v>
      </c>
      <c r="D449" s="4" t="s">
        <v>3799</v>
      </c>
      <c r="E449" s="2">
        <f>VALUE("2018")</f>
        <v>2018</v>
      </c>
      <c r="F449" t="s">
        <v>640</v>
      </c>
      <c r="G449" s="8" t="s">
        <v>3800</v>
      </c>
    </row>
    <row r="450" spans="1:7" x14ac:dyDescent="0.25">
      <c r="A450" s="4" t="s">
        <v>1937</v>
      </c>
      <c r="B450" s="2">
        <f>VALUE("7546")</f>
        <v>7546</v>
      </c>
      <c r="C450" s="4" t="s">
        <v>1935</v>
      </c>
      <c r="D450" s="4" t="s">
        <v>1936</v>
      </c>
      <c r="E450" s="2">
        <f>VALUE("2014")</f>
        <v>2014</v>
      </c>
      <c r="F450" t="s">
        <v>1936</v>
      </c>
    </row>
    <row r="451" spans="1:7" x14ac:dyDescent="0.25">
      <c r="A451" s="4" t="s">
        <v>1937</v>
      </c>
      <c r="B451" s="2">
        <f>VALUE("8262")</f>
        <v>8262</v>
      </c>
      <c r="C451" s="4" t="s">
        <v>3624</v>
      </c>
      <c r="D451" s="4" t="s">
        <v>3621</v>
      </c>
      <c r="E451" s="2">
        <f>VALUE("2019")</f>
        <v>2019</v>
      </c>
      <c r="F451" t="s">
        <v>3622</v>
      </c>
      <c r="G451" s="8" t="s">
        <v>3623</v>
      </c>
    </row>
    <row r="452" spans="1:7" x14ac:dyDescent="0.25">
      <c r="A452" s="4" t="s">
        <v>1937</v>
      </c>
      <c r="B452" s="2">
        <f>VALUE("8262")</f>
        <v>8262</v>
      </c>
      <c r="C452" s="4" t="s">
        <v>3620</v>
      </c>
      <c r="D452" s="4" t="s">
        <v>3621</v>
      </c>
      <c r="E452" s="2">
        <f>VALUE("2019")</f>
        <v>2019</v>
      </c>
      <c r="F452" t="s">
        <v>3622</v>
      </c>
      <c r="G452" s="8" t="s">
        <v>3623</v>
      </c>
    </row>
    <row r="453" spans="1:7" x14ac:dyDescent="0.25">
      <c r="A453" s="4" t="s">
        <v>1937</v>
      </c>
      <c r="B453" s="2">
        <f>VALUE("8398")</f>
        <v>8398</v>
      </c>
      <c r="C453" s="4" t="s">
        <v>3878</v>
      </c>
      <c r="D453" s="4" t="s">
        <v>3879</v>
      </c>
      <c r="E453" s="2">
        <f>VALUE("2019")</f>
        <v>2019</v>
      </c>
      <c r="F453" t="s">
        <v>3880</v>
      </c>
      <c r="G453" s="8" t="s">
        <v>3881</v>
      </c>
    </row>
    <row r="454" spans="1:7" x14ac:dyDescent="0.25">
      <c r="A454" s="4" t="s">
        <v>1937</v>
      </c>
      <c r="B454" s="2">
        <f>VALUE("8693")</f>
        <v>8693</v>
      </c>
      <c r="C454" s="4" t="s">
        <v>4522</v>
      </c>
      <c r="D454" s="4" t="s">
        <v>4523</v>
      </c>
      <c r="E454" s="2">
        <f>VALUE("2020")</f>
        <v>2020</v>
      </c>
      <c r="F454" t="s">
        <v>3622</v>
      </c>
      <c r="G454" s="8" t="s">
        <v>4524</v>
      </c>
    </row>
    <row r="455" spans="1:7" x14ac:dyDescent="0.25">
      <c r="A455" s="4" t="s">
        <v>1937</v>
      </c>
      <c r="B455" s="2">
        <f>VALUE("9372")</f>
        <v>9372</v>
      </c>
      <c r="C455" s="4" t="s">
        <v>5193</v>
      </c>
      <c r="D455" s="4" t="s">
        <v>5194</v>
      </c>
      <c r="E455" s="2">
        <f>VALUE("2023")</f>
        <v>2023</v>
      </c>
      <c r="F455" t="s">
        <v>1029</v>
      </c>
      <c r="G455" s="8" t="s">
        <v>5195</v>
      </c>
    </row>
    <row r="456" spans="1:7" x14ac:dyDescent="0.25">
      <c r="A456" s="4" t="s">
        <v>1228</v>
      </c>
      <c r="B456" s="2">
        <f t="shared" ref="B456:B475" si="9">VALUE("7265")</f>
        <v>7265</v>
      </c>
      <c r="C456" s="4" t="s">
        <v>1275</v>
      </c>
      <c r="D456" s="4" t="s">
        <v>1276</v>
      </c>
      <c r="E456" s="2">
        <f>VALUE("2014")</f>
        <v>2014</v>
      </c>
      <c r="F456" t="s">
        <v>1260</v>
      </c>
      <c r="G456" s="8" t="s">
        <v>1277</v>
      </c>
    </row>
    <row r="457" spans="1:7" x14ac:dyDescent="0.25">
      <c r="A457" s="4" t="s">
        <v>1228</v>
      </c>
      <c r="B457" s="2">
        <f t="shared" si="9"/>
        <v>7265</v>
      </c>
      <c r="C457" s="4" t="s">
        <v>1236</v>
      </c>
      <c r="D457" s="4" t="s">
        <v>1237</v>
      </c>
      <c r="E457" s="2">
        <f>VALUE("2014")</f>
        <v>2014</v>
      </c>
      <c r="F457" t="s">
        <v>1227</v>
      </c>
      <c r="G457" s="8" t="s">
        <v>1238</v>
      </c>
    </row>
    <row r="458" spans="1:7" x14ac:dyDescent="0.25">
      <c r="A458" s="4" t="s">
        <v>1228</v>
      </c>
      <c r="B458" s="2">
        <f t="shared" si="9"/>
        <v>7265</v>
      </c>
      <c r="C458" s="4" t="s">
        <v>1242</v>
      </c>
      <c r="D458" s="4" t="s">
        <v>1243</v>
      </c>
      <c r="E458" s="2">
        <f>VALUE("2015")</f>
        <v>2015</v>
      </c>
      <c r="F458" t="s">
        <v>1241</v>
      </c>
      <c r="G458" s="8" t="s">
        <v>1244</v>
      </c>
    </row>
    <row r="459" spans="1:7" x14ac:dyDescent="0.25">
      <c r="A459" s="4" t="s">
        <v>1228</v>
      </c>
      <c r="B459" s="2">
        <f t="shared" si="9"/>
        <v>7265</v>
      </c>
      <c r="C459" s="4" t="s">
        <v>1256</v>
      </c>
      <c r="D459" s="4" t="s">
        <v>1257</v>
      </c>
      <c r="E459" s="2">
        <f>VALUE("2015")</f>
        <v>2015</v>
      </c>
      <c r="F459" t="s">
        <v>1241</v>
      </c>
    </row>
    <row r="460" spans="1:7" x14ac:dyDescent="0.25">
      <c r="A460" s="4" t="s">
        <v>1228</v>
      </c>
      <c r="B460" s="2">
        <f t="shared" si="9"/>
        <v>7265</v>
      </c>
      <c r="C460" s="4" t="s">
        <v>1232</v>
      </c>
      <c r="D460" s="4" t="s">
        <v>1233</v>
      </c>
      <c r="E460" s="2">
        <f>VALUE("2015")</f>
        <v>2015</v>
      </c>
      <c r="F460" t="s">
        <v>1234</v>
      </c>
      <c r="G460" s="4" t="s">
        <v>1235</v>
      </c>
    </row>
    <row r="461" spans="1:7" x14ac:dyDescent="0.25">
      <c r="A461" s="4" t="s">
        <v>1228</v>
      </c>
      <c r="B461" s="2">
        <f t="shared" si="9"/>
        <v>7265</v>
      </c>
      <c r="C461" s="4" t="s">
        <v>1265</v>
      </c>
      <c r="D461" s="4" t="s">
        <v>1266</v>
      </c>
      <c r="E461" s="2">
        <f>VALUE("2015")</f>
        <v>2015</v>
      </c>
      <c r="F461" t="s">
        <v>1260</v>
      </c>
    </row>
    <row r="462" spans="1:7" x14ac:dyDescent="0.25">
      <c r="A462" s="4" t="s">
        <v>1228</v>
      </c>
      <c r="B462" s="2">
        <f t="shared" si="9"/>
        <v>7265</v>
      </c>
      <c r="C462" s="4" t="s">
        <v>1261</v>
      </c>
      <c r="D462" s="4" t="s">
        <v>1262</v>
      </c>
      <c r="E462" s="2">
        <f>VALUE("2015")</f>
        <v>2015</v>
      </c>
      <c r="F462" t="s">
        <v>1263</v>
      </c>
      <c r="G462" s="8" t="s">
        <v>1264</v>
      </c>
    </row>
    <row r="463" spans="1:7" x14ac:dyDescent="0.25">
      <c r="A463" s="4" t="s">
        <v>1228</v>
      </c>
      <c r="B463" s="2">
        <f t="shared" si="9"/>
        <v>7265</v>
      </c>
      <c r="C463" s="4" t="s">
        <v>1247</v>
      </c>
      <c r="D463" s="4" t="s">
        <v>1248</v>
      </c>
      <c r="E463" s="2">
        <f>VALUE("2014")</f>
        <v>2014</v>
      </c>
      <c r="F463" t="s">
        <v>1241</v>
      </c>
    </row>
    <row r="464" spans="1:7" x14ac:dyDescent="0.25">
      <c r="A464" s="4" t="s">
        <v>1228</v>
      </c>
      <c r="B464" s="2">
        <f t="shared" si="9"/>
        <v>7265</v>
      </c>
      <c r="C464" s="4" t="s">
        <v>1249</v>
      </c>
      <c r="D464" s="4" t="s">
        <v>1248</v>
      </c>
      <c r="E464" s="2">
        <f>VALUE("2014")</f>
        <v>2014</v>
      </c>
      <c r="F464" t="s">
        <v>1241</v>
      </c>
      <c r="G464" s="8" t="s">
        <v>1250</v>
      </c>
    </row>
    <row r="465" spans="1:7" x14ac:dyDescent="0.25">
      <c r="A465" s="4" t="s">
        <v>1228</v>
      </c>
      <c r="B465" s="2">
        <f t="shared" si="9"/>
        <v>7265</v>
      </c>
      <c r="C465" s="4" t="s">
        <v>1229</v>
      </c>
      <c r="D465" s="4" t="s">
        <v>1230</v>
      </c>
      <c r="E465" s="2">
        <f>VALUE("2014")</f>
        <v>2014</v>
      </c>
      <c r="F465" t="s">
        <v>1227</v>
      </c>
      <c r="G465" s="8" t="s">
        <v>1231</v>
      </c>
    </row>
    <row r="466" spans="1:7" x14ac:dyDescent="0.25">
      <c r="A466" s="4" t="s">
        <v>1228</v>
      </c>
      <c r="B466" s="2">
        <f t="shared" si="9"/>
        <v>7265</v>
      </c>
      <c r="C466" s="4" t="s">
        <v>1251</v>
      </c>
      <c r="D466" s="4" t="s">
        <v>1252</v>
      </c>
      <c r="E466" s="2">
        <f>VALUE("2015")</f>
        <v>2015</v>
      </c>
      <c r="F466" t="s">
        <v>1241</v>
      </c>
      <c r="G466" s="8" t="s">
        <v>1253</v>
      </c>
    </row>
    <row r="467" spans="1:7" x14ac:dyDescent="0.25">
      <c r="A467" s="4" t="s">
        <v>1228</v>
      </c>
      <c r="B467" s="2">
        <f t="shared" si="9"/>
        <v>7265</v>
      </c>
      <c r="C467" s="4" t="s">
        <v>1270</v>
      </c>
      <c r="D467" s="4" t="s">
        <v>1271</v>
      </c>
      <c r="E467" s="2">
        <f>VALUE("2014")</f>
        <v>2014</v>
      </c>
      <c r="F467" t="s">
        <v>1260</v>
      </c>
      <c r="G467" s="8" t="s">
        <v>1272</v>
      </c>
    </row>
    <row r="468" spans="1:7" x14ac:dyDescent="0.25">
      <c r="A468" s="4" t="s">
        <v>1228</v>
      </c>
      <c r="B468" s="2">
        <f t="shared" si="9"/>
        <v>7265</v>
      </c>
      <c r="C468" s="4" t="s">
        <v>1267</v>
      </c>
      <c r="D468" s="4" t="s">
        <v>1268</v>
      </c>
      <c r="E468" s="2">
        <f>VALUE("2014")</f>
        <v>2014</v>
      </c>
      <c r="F468" t="s">
        <v>1260</v>
      </c>
      <c r="G468" s="8" t="s">
        <v>1269</v>
      </c>
    </row>
    <row r="469" spans="1:7" x14ac:dyDescent="0.25">
      <c r="A469" s="4" t="s">
        <v>1228</v>
      </c>
      <c r="B469" s="2">
        <f t="shared" si="9"/>
        <v>7265</v>
      </c>
      <c r="C469" s="4" t="s">
        <v>1254</v>
      </c>
      <c r="D469" s="4" t="s">
        <v>1248</v>
      </c>
      <c r="E469" s="2">
        <f>VALUE("2015")</f>
        <v>2015</v>
      </c>
      <c r="F469" t="s">
        <v>1241</v>
      </c>
      <c r="G469" s="8" t="s">
        <v>1255</v>
      </c>
    </row>
    <row r="470" spans="1:7" x14ac:dyDescent="0.25">
      <c r="A470" s="4" t="s">
        <v>1228</v>
      </c>
      <c r="B470" s="2">
        <f t="shared" si="9"/>
        <v>7265</v>
      </c>
      <c r="C470" s="4" t="s">
        <v>1239</v>
      </c>
      <c r="D470" s="4" t="s">
        <v>1240</v>
      </c>
      <c r="E470" s="2">
        <f>VALUE("2014")</f>
        <v>2014</v>
      </c>
      <c r="F470" t="s">
        <v>1241</v>
      </c>
    </row>
    <row r="471" spans="1:7" x14ac:dyDescent="0.25">
      <c r="A471" s="4" t="s">
        <v>1228</v>
      </c>
      <c r="B471" s="2">
        <f t="shared" si="9"/>
        <v>7265</v>
      </c>
      <c r="C471" s="4" t="s">
        <v>1245</v>
      </c>
      <c r="D471" s="4" t="s">
        <v>1246</v>
      </c>
      <c r="E471" s="2">
        <f>VALUE("2015")</f>
        <v>2015</v>
      </c>
      <c r="F471" t="s">
        <v>1241</v>
      </c>
    </row>
    <row r="472" spans="1:7" x14ac:dyDescent="0.25">
      <c r="A472" s="4" t="s">
        <v>1228</v>
      </c>
      <c r="B472" s="2">
        <f t="shared" si="9"/>
        <v>7265</v>
      </c>
      <c r="C472" s="4" t="s">
        <v>1273</v>
      </c>
      <c r="D472" s="4" t="s">
        <v>1274</v>
      </c>
      <c r="E472" s="2">
        <f>VALUE("2014")</f>
        <v>2014</v>
      </c>
      <c r="F472" t="s">
        <v>1260</v>
      </c>
    </row>
    <row r="473" spans="1:7" x14ac:dyDescent="0.25">
      <c r="A473" s="4" t="s">
        <v>1228</v>
      </c>
      <c r="B473" s="2">
        <f t="shared" si="9"/>
        <v>7265</v>
      </c>
      <c r="C473" s="4" t="s">
        <v>1258</v>
      </c>
      <c r="D473" s="4" t="s">
        <v>1259</v>
      </c>
      <c r="E473" s="2">
        <f>VALUE("2014")</f>
        <v>2014</v>
      </c>
      <c r="F473" t="s">
        <v>1260</v>
      </c>
    </row>
    <row r="474" spans="1:7" x14ac:dyDescent="0.25">
      <c r="A474" s="4" t="s">
        <v>1228</v>
      </c>
      <c r="B474" s="2">
        <f t="shared" si="9"/>
        <v>7265</v>
      </c>
      <c r="C474" s="4" t="s">
        <v>1225</v>
      </c>
      <c r="D474" s="4" t="s">
        <v>1226</v>
      </c>
      <c r="E474" s="2">
        <f>VALUE("2014")</f>
        <v>2014</v>
      </c>
      <c r="F474" t="s">
        <v>1227</v>
      </c>
    </row>
    <row r="475" spans="1:7" x14ac:dyDescent="0.25">
      <c r="A475" s="4" t="s">
        <v>1228</v>
      </c>
      <c r="B475" s="2">
        <f t="shared" si="9"/>
        <v>7265</v>
      </c>
      <c r="C475" s="4" t="s">
        <v>1278</v>
      </c>
      <c r="D475" s="4" t="s">
        <v>1279</v>
      </c>
      <c r="E475" s="2">
        <f>VALUE("2014")</f>
        <v>2014</v>
      </c>
      <c r="F475" t="s">
        <v>1260</v>
      </c>
      <c r="G475" s="8" t="s">
        <v>1280</v>
      </c>
    </row>
    <row r="476" spans="1:7" x14ac:dyDescent="0.25">
      <c r="A476" s="4" t="s">
        <v>1228</v>
      </c>
      <c r="B476" s="2">
        <f>VALUE("7550")</f>
        <v>7550</v>
      </c>
      <c r="C476" s="4" t="s">
        <v>1941</v>
      </c>
      <c r="D476" s="4" t="s">
        <v>1942</v>
      </c>
      <c r="E476" s="2">
        <f>VALUE("2017")</f>
        <v>2017</v>
      </c>
      <c r="F476" t="s">
        <v>1943</v>
      </c>
      <c r="G476" s="8" t="s">
        <v>1944</v>
      </c>
    </row>
    <row r="477" spans="1:7" x14ac:dyDescent="0.25">
      <c r="A477" s="4" t="s">
        <v>1228</v>
      </c>
      <c r="B477" s="2">
        <f>VALUE("7550")</f>
        <v>7550</v>
      </c>
      <c r="C477" s="4" t="s">
        <v>1945</v>
      </c>
      <c r="D477" s="4" t="s">
        <v>293</v>
      </c>
      <c r="E477" s="2">
        <f>VALUE("2022")</f>
        <v>2022</v>
      </c>
      <c r="F477" t="s">
        <v>1943</v>
      </c>
      <c r="G477" s="8" t="s">
        <v>1946</v>
      </c>
    </row>
    <row r="478" spans="1:7" x14ac:dyDescent="0.25">
      <c r="A478" s="4" t="s">
        <v>1228</v>
      </c>
      <c r="B478" s="2">
        <f>VALUE("7607")</f>
        <v>7607</v>
      </c>
      <c r="C478" s="4" t="s">
        <v>2065</v>
      </c>
      <c r="D478" s="4" t="s">
        <v>2066</v>
      </c>
      <c r="E478" s="2">
        <f>VALUE("2016")</f>
        <v>2016</v>
      </c>
      <c r="F478" t="s">
        <v>2067</v>
      </c>
      <c r="G478" s="8" t="s">
        <v>2068</v>
      </c>
    </row>
    <row r="479" spans="1:7" x14ac:dyDescent="0.25">
      <c r="A479" s="4" t="s">
        <v>1228</v>
      </c>
      <c r="B479" s="2">
        <f>VALUE("7607")</f>
        <v>7607</v>
      </c>
      <c r="C479" s="4" t="s">
        <v>2069</v>
      </c>
      <c r="D479" s="4" t="s">
        <v>2070</v>
      </c>
      <c r="E479" s="2">
        <f>VALUE("2017")</f>
        <v>2017</v>
      </c>
      <c r="F479" t="s">
        <v>1943</v>
      </c>
      <c r="G479" s="8" t="s">
        <v>1944</v>
      </c>
    </row>
    <row r="480" spans="1:7" x14ac:dyDescent="0.25">
      <c r="A480" s="4" t="s">
        <v>1228</v>
      </c>
      <c r="B480" s="2">
        <f>VALUE("7676")</f>
        <v>7676</v>
      </c>
      <c r="C480" s="4" t="s">
        <v>2295</v>
      </c>
      <c r="D480" s="4" t="s">
        <v>2296</v>
      </c>
      <c r="E480" s="2">
        <f>VALUE("2017")</f>
        <v>2017</v>
      </c>
      <c r="F480" t="s">
        <v>1943</v>
      </c>
      <c r="G480" s="8" t="s">
        <v>1944</v>
      </c>
    </row>
    <row r="481" spans="1:7" x14ac:dyDescent="0.25">
      <c r="A481" s="4" t="s">
        <v>1228</v>
      </c>
      <c r="B481" s="2">
        <f>VALUE("7920")</f>
        <v>7920</v>
      </c>
      <c r="C481" s="4" t="s">
        <v>2891</v>
      </c>
      <c r="D481" s="4" t="s">
        <v>2892</v>
      </c>
      <c r="E481" s="2">
        <f>VALUE("2017")</f>
        <v>2017</v>
      </c>
      <c r="F481" t="s">
        <v>1943</v>
      </c>
      <c r="G481" s="8" t="s">
        <v>1944</v>
      </c>
    </row>
    <row r="482" spans="1:7" x14ac:dyDescent="0.25">
      <c r="A482" s="4" t="s">
        <v>1228</v>
      </c>
      <c r="B482" s="2">
        <f>VALUE("7921")</f>
        <v>7921</v>
      </c>
      <c r="C482" s="4" t="s">
        <v>2893</v>
      </c>
      <c r="D482" s="4" t="s">
        <v>2894</v>
      </c>
      <c r="E482" s="2">
        <f>VALUE("2017")</f>
        <v>2017</v>
      </c>
      <c r="F482" t="s">
        <v>1943</v>
      </c>
      <c r="G482" s="8" t="s">
        <v>1944</v>
      </c>
    </row>
    <row r="483" spans="1:7" x14ac:dyDescent="0.25">
      <c r="A483" s="4" t="s">
        <v>1228</v>
      </c>
      <c r="B483" s="2">
        <f>VALUE("7922")</f>
        <v>7922</v>
      </c>
      <c r="C483" s="4" t="s">
        <v>2895</v>
      </c>
      <c r="D483" s="4" t="s">
        <v>2896</v>
      </c>
      <c r="E483" s="2">
        <f>VALUE("2017")</f>
        <v>2017</v>
      </c>
      <c r="F483" t="s">
        <v>1943</v>
      </c>
      <c r="G483" s="8" t="s">
        <v>1944</v>
      </c>
    </row>
    <row r="484" spans="1:7" x14ac:dyDescent="0.25">
      <c r="A484" s="4" t="s">
        <v>1228</v>
      </c>
      <c r="B484" s="2">
        <f>VALUE("7922")</f>
        <v>7922</v>
      </c>
      <c r="C484" s="4" t="s">
        <v>2897</v>
      </c>
      <c r="D484" s="4" t="s">
        <v>293</v>
      </c>
      <c r="E484" s="2">
        <f>VALUE("2019")</f>
        <v>2019</v>
      </c>
      <c r="F484" t="s">
        <v>1943</v>
      </c>
      <c r="G484" s="8" t="s">
        <v>2898</v>
      </c>
    </row>
    <row r="485" spans="1:7" x14ac:dyDescent="0.25">
      <c r="A485" s="4" t="s">
        <v>1228</v>
      </c>
      <c r="B485" s="2">
        <f>VALUE("8162")</f>
        <v>8162</v>
      </c>
      <c r="C485" s="4" t="s">
        <v>3372</v>
      </c>
      <c r="D485" s="4" t="s">
        <v>3373</v>
      </c>
      <c r="E485" s="2">
        <f>VALUE("2019")</f>
        <v>2019</v>
      </c>
      <c r="F485" t="s">
        <v>3374</v>
      </c>
      <c r="G485" s="8" t="s">
        <v>3375</v>
      </c>
    </row>
    <row r="486" spans="1:7" x14ac:dyDescent="0.25">
      <c r="A486" s="4" t="s">
        <v>1228</v>
      </c>
      <c r="B486" s="2">
        <f>VALUE("8162")</f>
        <v>8162</v>
      </c>
      <c r="C486" s="4" t="s">
        <v>3368</v>
      </c>
      <c r="D486" s="4" t="s">
        <v>3369</v>
      </c>
      <c r="E486" s="2">
        <f>VALUE("2020")</f>
        <v>2020</v>
      </c>
      <c r="F486" t="s">
        <v>3370</v>
      </c>
      <c r="G486" s="8" t="s">
        <v>3371</v>
      </c>
    </row>
    <row r="487" spans="1:7" x14ac:dyDescent="0.25">
      <c r="A487" s="4" t="s">
        <v>4252</v>
      </c>
      <c r="B487" s="2">
        <f>VALUE("8556")</f>
        <v>8556</v>
      </c>
      <c r="C487" s="4" t="s">
        <v>4251</v>
      </c>
      <c r="D487" s="4" t="s">
        <v>293</v>
      </c>
      <c r="E487" s="2">
        <f>VALUE("2021")</f>
        <v>2021</v>
      </c>
      <c r="F487" t="s">
        <v>30</v>
      </c>
      <c r="G487" s="8" t="s">
        <v>4253</v>
      </c>
    </row>
    <row r="488" spans="1:7" x14ac:dyDescent="0.25">
      <c r="A488" s="4" t="s">
        <v>377</v>
      </c>
      <c r="B488" s="2">
        <f t="shared" ref="B488:B497" si="10">VALUE("6125")</f>
        <v>6125</v>
      </c>
      <c r="C488" s="4" t="s">
        <v>383</v>
      </c>
      <c r="D488" s="4" t="s">
        <v>293</v>
      </c>
      <c r="E488" s="2">
        <f>VALUE("2015")</f>
        <v>2015</v>
      </c>
      <c r="F488" t="s">
        <v>376</v>
      </c>
    </row>
    <row r="489" spans="1:7" x14ac:dyDescent="0.25">
      <c r="A489" s="4" t="s">
        <v>377</v>
      </c>
      <c r="B489" s="2">
        <f t="shared" si="10"/>
        <v>6125</v>
      </c>
      <c r="C489" s="4" t="s">
        <v>375</v>
      </c>
      <c r="D489" s="4" t="s">
        <v>293</v>
      </c>
      <c r="E489" s="2">
        <f>VALUE("2018")</f>
        <v>2018</v>
      </c>
      <c r="F489" t="s">
        <v>376</v>
      </c>
      <c r="G489" s="8" t="s">
        <v>378</v>
      </c>
    </row>
    <row r="490" spans="1:7" x14ac:dyDescent="0.25">
      <c r="A490" s="4" t="s">
        <v>377</v>
      </c>
      <c r="B490" s="2">
        <f t="shared" si="10"/>
        <v>6125</v>
      </c>
      <c r="C490" s="4" t="s">
        <v>384</v>
      </c>
      <c r="D490" s="4" t="s">
        <v>293</v>
      </c>
      <c r="E490" s="2">
        <f>VALUE("2013")</f>
        <v>2013</v>
      </c>
      <c r="F490" t="s">
        <v>376</v>
      </c>
    </row>
    <row r="491" spans="1:7" x14ac:dyDescent="0.25">
      <c r="A491" s="4" t="s">
        <v>377</v>
      </c>
      <c r="B491" s="2">
        <f t="shared" si="10"/>
        <v>6125</v>
      </c>
      <c r="C491" s="4" t="s">
        <v>381</v>
      </c>
      <c r="D491" s="4" t="s">
        <v>293</v>
      </c>
      <c r="E491" s="2">
        <f>VALUE("2014")</f>
        <v>2014</v>
      </c>
      <c r="F491" t="s">
        <v>382</v>
      </c>
    </row>
    <row r="492" spans="1:7" x14ac:dyDescent="0.25">
      <c r="A492" s="4" t="s">
        <v>377</v>
      </c>
      <c r="B492" s="2">
        <f t="shared" si="10"/>
        <v>6125</v>
      </c>
      <c r="C492" s="4" t="s">
        <v>385</v>
      </c>
      <c r="D492" s="4" t="s">
        <v>386</v>
      </c>
      <c r="E492" s="2">
        <f>VALUE("2015")</f>
        <v>2015</v>
      </c>
      <c r="F492" t="s">
        <v>387</v>
      </c>
    </row>
    <row r="493" spans="1:7" x14ac:dyDescent="0.25">
      <c r="A493" s="4" t="s">
        <v>377</v>
      </c>
      <c r="B493" s="2">
        <f t="shared" si="10"/>
        <v>6125</v>
      </c>
      <c r="C493" s="4" t="s">
        <v>388</v>
      </c>
      <c r="D493" s="4" t="s">
        <v>389</v>
      </c>
      <c r="E493" s="2">
        <f>VALUE("2016")</f>
        <v>2016</v>
      </c>
      <c r="F493" t="s">
        <v>376</v>
      </c>
    </row>
    <row r="494" spans="1:7" x14ac:dyDescent="0.25">
      <c r="A494" s="4" t="s">
        <v>377</v>
      </c>
      <c r="B494" s="2">
        <f t="shared" si="10"/>
        <v>6125</v>
      </c>
      <c r="C494" s="4" t="s">
        <v>390</v>
      </c>
      <c r="D494" s="4" t="s">
        <v>389</v>
      </c>
      <c r="E494" s="2">
        <f>VALUE("2014")</f>
        <v>2014</v>
      </c>
      <c r="F494" t="s">
        <v>376</v>
      </c>
      <c r="G494" s="8" t="s">
        <v>391</v>
      </c>
    </row>
    <row r="495" spans="1:7" x14ac:dyDescent="0.25">
      <c r="A495" s="4" t="s">
        <v>377</v>
      </c>
      <c r="B495" s="2">
        <f t="shared" si="10"/>
        <v>6125</v>
      </c>
      <c r="C495" s="4" t="s">
        <v>392</v>
      </c>
      <c r="D495" s="4" t="s">
        <v>389</v>
      </c>
      <c r="E495" s="2">
        <f>VALUE("2018")</f>
        <v>2018</v>
      </c>
      <c r="F495" t="s">
        <v>376</v>
      </c>
    </row>
    <row r="496" spans="1:7" x14ac:dyDescent="0.25">
      <c r="A496" s="4" t="s">
        <v>377</v>
      </c>
      <c r="B496" s="2">
        <f t="shared" si="10"/>
        <v>6125</v>
      </c>
      <c r="C496" s="4" t="s">
        <v>379</v>
      </c>
      <c r="D496" s="4" t="s">
        <v>293</v>
      </c>
      <c r="E496" s="2">
        <f>VALUE("2016")</f>
        <v>2016</v>
      </c>
      <c r="F496" t="s">
        <v>376</v>
      </c>
    </row>
    <row r="497" spans="1:7" x14ac:dyDescent="0.25">
      <c r="A497" s="4" t="s">
        <v>377</v>
      </c>
      <c r="B497" s="2">
        <f t="shared" si="10"/>
        <v>6125</v>
      </c>
      <c r="C497" s="4" t="s">
        <v>380</v>
      </c>
      <c r="D497" s="4" t="s">
        <v>293</v>
      </c>
      <c r="E497" s="2">
        <f>VALUE("2017")</f>
        <v>2017</v>
      </c>
      <c r="F497" t="s">
        <v>376</v>
      </c>
    </row>
    <row r="498" spans="1:7" x14ac:dyDescent="0.25">
      <c r="A498" s="4" t="s">
        <v>377</v>
      </c>
      <c r="B498" s="2">
        <f>VALUE("6129")</f>
        <v>6129</v>
      </c>
      <c r="C498" s="4" t="s">
        <v>404</v>
      </c>
      <c r="D498" s="4" t="s">
        <v>405</v>
      </c>
      <c r="E498" s="2">
        <f>VALUE("2010")</f>
        <v>2010</v>
      </c>
      <c r="F498" t="s">
        <v>406</v>
      </c>
      <c r="G498" s="8" t="s">
        <v>407</v>
      </c>
    </row>
    <row r="499" spans="1:7" x14ac:dyDescent="0.25">
      <c r="A499" s="4" t="s">
        <v>377</v>
      </c>
      <c r="B499" s="2">
        <f>VALUE("6129")</f>
        <v>6129</v>
      </c>
      <c r="C499" s="4" t="s">
        <v>408</v>
      </c>
      <c r="D499" s="4" t="s">
        <v>409</v>
      </c>
      <c r="E499" s="2">
        <f>VALUE("2014")</f>
        <v>2014</v>
      </c>
      <c r="F499" t="s">
        <v>409</v>
      </c>
      <c r="G499" s="8" t="s">
        <v>410</v>
      </c>
    </row>
    <row r="500" spans="1:7" x14ac:dyDescent="0.25">
      <c r="A500" s="4" t="s">
        <v>377</v>
      </c>
      <c r="B500" s="2">
        <f>VALUE("6129")</f>
        <v>6129</v>
      </c>
      <c r="C500" s="4" t="s">
        <v>411</v>
      </c>
      <c r="D500" s="4" t="s">
        <v>412</v>
      </c>
      <c r="E500" s="2">
        <f>VALUE("2013")</f>
        <v>2013</v>
      </c>
      <c r="F500" t="s">
        <v>413</v>
      </c>
      <c r="G500" s="8" t="s">
        <v>414</v>
      </c>
    </row>
    <row r="501" spans="1:7" x14ac:dyDescent="0.25">
      <c r="A501" s="4" t="s">
        <v>377</v>
      </c>
      <c r="B501" s="2">
        <f>VALUE("6129")</f>
        <v>6129</v>
      </c>
      <c r="C501" s="4" t="s">
        <v>415</v>
      </c>
      <c r="D501" s="4" t="s">
        <v>416</v>
      </c>
      <c r="E501" s="2">
        <f>VALUE("2013")</f>
        <v>2013</v>
      </c>
      <c r="F501" t="s">
        <v>406</v>
      </c>
      <c r="G501" s="8" t="s">
        <v>417</v>
      </c>
    </row>
    <row r="502" spans="1:7" x14ac:dyDescent="0.25">
      <c r="A502" s="4" t="s">
        <v>377</v>
      </c>
      <c r="B502" s="2">
        <f>VALUE("7119")</f>
        <v>7119</v>
      </c>
      <c r="C502" s="4" t="s">
        <v>886</v>
      </c>
      <c r="D502" s="4" t="s">
        <v>887</v>
      </c>
      <c r="E502" s="2">
        <f>VALUE("2012")</f>
        <v>2012</v>
      </c>
      <c r="F502" t="s">
        <v>888</v>
      </c>
    </row>
    <row r="503" spans="1:7" x14ac:dyDescent="0.25">
      <c r="A503" s="4" t="s">
        <v>377</v>
      </c>
      <c r="B503" s="2">
        <f>VALUE("7541")</f>
        <v>7541</v>
      </c>
      <c r="C503" s="4" t="s">
        <v>1929</v>
      </c>
      <c r="D503" s="4" t="s">
        <v>1930</v>
      </c>
      <c r="E503" s="2">
        <f>VALUE("2014")</f>
        <v>2014</v>
      </c>
      <c r="F503" t="s">
        <v>409</v>
      </c>
    </row>
    <row r="504" spans="1:7" x14ac:dyDescent="0.25">
      <c r="A504" s="4" t="s">
        <v>377</v>
      </c>
      <c r="B504" s="2">
        <f>VALUE("7541")</f>
        <v>7541</v>
      </c>
      <c r="C504" s="4" t="s">
        <v>1931</v>
      </c>
      <c r="D504" s="4" t="s">
        <v>1930</v>
      </c>
      <c r="E504" s="2">
        <f>VALUE("2014")</f>
        <v>2014</v>
      </c>
      <c r="F504" t="s">
        <v>409</v>
      </c>
    </row>
    <row r="505" spans="1:7" x14ac:dyDescent="0.25">
      <c r="A505" s="4" t="s">
        <v>377</v>
      </c>
      <c r="B505" s="2">
        <f>VALUE("7541")</f>
        <v>7541</v>
      </c>
      <c r="C505" s="4" t="s">
        <v>1932</v>
      </c>
      <c r="D505" s="4" t="s">
        <v>1930</v>
      </c>
      <c r="E505" s="2">
        <f>VALUE("2015")</f>
        <v>2015</v>
      </c>
      <c r="F505" t="s">
        <v>409</v>
      </c>
    </row>
    <row r="506" spans="1:7" x14ac:dyDescent="0.25">
      <c r="A506" s="4" t="s">
        <v>377</v>
      </c>
      <c r="B506" s="2">
        <f>VALUE("7560")</f>
        <v>7560</v>
      </c>
      <c r="C506" s="4" t="s">
        <v>1952</v>
      </c>
      <c r="D506" s="4" t="s">
        <v>1953</v>
      </c>
      <c r="E506" s="2">
        <f>VALUE("2014")</f>
        <v>2014</v>
      </c>
      <c r="F506" t="s">
        <v>1954</v>
      </c>
    </row>
    <row r="507" spans="1:7" x14ac:dyDescent="0.25">
      <c r="A507" s="4" t="s">
        <v>377</v>
      </c>
      <c r="B507" s="2">
        <f t="shared" ref="B507:B521" si="11">VALUE("7665")</f>
        <v>7665</v>
      </c>
      <c r="C507" s="4" t="s">
        <v>2265</v>
      </c>
      <c r="D507" s="4" t="s">
        <v>2266</v>
      </c>
      <c r="E507" s="2">
        <f>VALUE("2022")</f>
        <v>2022</v>
      </c>
      <c r="F507" t="s">
        <v>2264</v>
      </c>
    </row>
    <row r="508" spans="1:7" x14ac:dyDescent="0.25">
      <c r="A508" s="4" t="s">
        <v>377</v>
      </c>
      <c r="B508" s="2">
        <f t="shared" si="11"/>
        <v>7665</v>
      </c>
      <c r="C508" s="4" t="s">
        <v>2258</v>
      </c>
      <c r="D508" s="4" t="s">
        <v>2259</v>
      </c>
      <c r="E508" s="2">
        <f>VALUE("2020")</f>
        <v>2020</v>
      </c>
      <c r="F508" t="s">
        <v>2238</v>
      </c>
      <c r="G508" s="8" t="s">
        <v>2257</v>
      </c>
    </row>
    <row r="509" spans="1:7" x14ac:dyDescent="0.25">
      <c r="A509" s="4" t="s">
        <v>377</v>
      </c>
      <c r="B509" s="2">
        <f t="shared" si="11"/>
        <v>7665</v>
      </c>
      <c r="C509" s="4" t="s">
        <v>2247</v>
      </c>
      <c r="D509" s="4" t="s">
        <v>2248</v>
      </c>
      <c r="E509" s="2">
        <f>VALUE("2018")</f>
        <v>2018</v>
      </c>
      <c r="F509" t="s">
        <v>2238</v>
      </c>
    </row>
    <row r="510" spans="1:7" x14ac:dyDescent="0.25">
      <c r="A510" s="4" t="s">
        <v>377</v>
      </c>
      <c r="B510" s="2">
        <f t="shared" si="11"/>
        <v>7665</v>
      </c>
      <c r="C510" s="4" t="s">
        <v>2236</v>
      </c>
      <c r="D510" s="4" t="s">
        <v>2237</v>
      </c>
      <c r="E510" s="2">
        <f>VALUE("2016")</f>
        <v>2016</v>
      </c>
      <c r="F510" t="s">
        <v>2238</v>
      </c>
      <c r="G510" s="8" t="s">
        <v>2239</v>
      </c>
    </row>
    <row r="511" spans="1:7" x14ac:dyDescent="0.25">
      <c r="A511" s="4" t="s">
        <v>377</v>
      </c>
      <c r="B511" s="2">
        <f t="shared" si="11"/>
        <v>7665</v>
      </c>
      <c r="C511" s="4" t="s">
        <v>2240</v>
      </c>
      <c r="D511" s="4" t="s">
        <v>2237</v>
      </c>
      <c r="E511" s="2">
        <f>VALUE("2017")</f>
        <v>2017</v>
      </c>
      <c r="F511" t="s">
        <v>2241</v>
      </c>
      <c r="G511" s="8" t="s">
        <v>2242</v>
      </c>
    </row>
    <row r="512" spans="1:7" x14ac:dyDescent="0.25">
      <c r="A512" s="4" t="s">
        <v>377</v>
      </c>
      <c r="B512" s="2">
        <f t="shared" si="11"/>
        <v>7665</v>
      </c>
      <c r="C512" s="4" t="s">
        <v>2249</v>
      </c>
      <c r="D512" s="4" t="s">
        <v>2250</v>
      </c>
      <c r="E512" s="2">
        <f>VALUE("2018")</f>
        <v>2018</v>
      </c>
      <c r="F512" t="s">
        <v>2238</v>
      </c>
    </row>
    <row r="513" spans="1:7" x14ac:dyDescent="0.25">
      <c r="A513" s="4" t="s">
        <v>377</v>
      </c>
      <c r="B513" s="2">
        <f t="shared" si="11"/>
        <v>7665</v>
      </c>
      <c r="C513" s="4" t="s">
        <v>2251</v>
      </c>
      <c r="D513" s="4" t="s">
        <v>2252</v>
      </c>
      <c r="E513" s="2">
        <f>VALUE("2018")</f>
        <v>2018</v>
      </c>
      <c r="F513" t="s">
        <v>2238</v>
      </c>
    </row>
    <row r="514" spans="1:7" x14ac:dyDescent="0.25">
      <c r="A514" s="4" t="s">
        <v>377</v>
      </c>
      <c r="B514" s="2">
        <f t="shared" si="11"/>
        <v>7665</v>
      </c>
      <c r="C514" s="4" t="s">
        <v>2255</v>
      </c>
      <c r="D514" s="4" t="s">
        <v>2256</v>
      </c>
      <c r="E514" s="2">
        <f>VALUE("2019")</f>
        <v>2019</v>
      </c>
      <c r="F514" t="s">
        <v>2238</v>
      </c>
      <c r="G514" s="8" t="s">
        <v>2257</v>
      </c>
    </row>
    <row r="515" spans="1:7" x14ac:dyDescent="0.25">
      <c r="A515" s="4" t="s">
        <v>377</v>
      </c>
      <c r="B515" s="2">
        <f t="shared" si="11"/>
        <v>7665</v>
      </c>
      <c r="C515" s="4" t="s">
        <v>2253</v>
      </c>
      <c r="D515" s="4" t="s">
        <v>2237</v>
      </c>
      <c r="E515" s="2">
        <f>VALUE("2019")</f>
        <v>2019</v>
      </c>
      <c r="F515" t="s">
        <v>2238</v>
      </c>
    </row>
    <row r="516" spans="1:7" x14ac:dyDescent="0.25">
      <c r="A516" s="4" t="s">
        <v>377</v>
      </c>
      <c r="B516" s="2">
        <f t="shared" si="11"/>
        <v>7665</v>
      </c>
      <c r="C516" s="4" t="s">
        <v>2260</v>
      </c>
      <c r="D516" s="4" t="s">
        <v>2261</v>
      </c>
      <c r="E516" s="2">
        <f>VALUE("2021")</f>
        <v>2021</v>
      </c>
      <c r="F516" t="s">
        <v>2238</v>
      </c>
    </row>
    <row r="517" spans="1:7" x14ac:dyDescent="0.25">
      <c r="A517" s="4" t="s">
        <v>377</v>
      </c>
      <c r="B517" s="2">
        <f t="shared" si="11"/>
        <v>7665</v>
      </c>
      <c r="C517" s="4" t="s">
        <v>2243</v>
      </c>
      <c r="D517" s="4" t="s">
        <v>2244</v>
      </c>
      <c r="E517" s="2">
        <f>VALUE("2017")</f>
        <v>2017</v>
      </c>
      <c r="F517" t="s">
        <v>2245</v>
      </c>
      <c r="G517" s="8" t="s">
        <v>2246</v>
      </c>
    </row>
    <row r="518" spans="1:7" x14ac:dyDescent="0.25">
      <c r="A518" s="4" t="s">
        <v>377</v>
      </c>
      <c r="B518" s="2">
        <f t="shared" si="11"/>
        <v>7665</v>
      </c>
      <c r="C518" s="4" t="s">
        <v>2243</v>
      </c>
      <c r="D518" s="4" t="s">
        <v>2254</v>
      </c>
      <c r="E518" s="2">
        <f>VALUE("2019")</f>
        <v>2019</v>
      </c>
      <c r="F518" t="s">
        <v>2238</v>
      </c>
    </row>
    <row r="519" spans="1:7" x14ac:dyDescent="0.25">
      <c r="A519" s="4" t="s">
        <v>377</v>
      </c>
      <c r="B519" s="2">
        <f t="shared" si="11"/>
        <v>7665</v>
      </c>
      <c r="C519" s="4" t="s">
        <v>2269</v>
      </c>
      <c r="D519" s="4" t="s">
        <v>2270</v>
      </c>
      <c r="E519" s="2">
        <f>VALUE("2022")</f>
        <v>2022</v>
      </c>
      <c r="F519" t="s">
        <v>2264</v>
      </c>
      <c r="G519" s="8" t="s">
        <v>2271</v>
      </c>
    </row>
    <row r="520" spans="1:7" x14ac:dyDescent="0.25">
      <c r="A520" s="4" t="s">
        <v>377</v>
      </c>
      <c r="B520" s="2">
        <f t="shared" si="11"/>
        <v>7665</v>
      </c>
      <c r="C520" s="4" t="s">
        <v>2262</v>
      </c>
      <c r="D520" s="4" t="s">
        <v>2263</v>
      </c>
      <c r="E520" s="2">
        <f>VALUE("2022")</f>
        <v>2022</v>
      </c>
      <c r="F520" t="s">
        <v>2264</v>
      </c>
    </row>
    <row r="521" spans="1:7" x14ac:dyDescent="0.25">
      <c r="A521" s="4" t="s">
        <v>377</v>
      </c>
      <c r="B521" s="2">
        <f t="shared" si="11"/>
        <v>7665</v>
      </c>
      <c r="C521" s="4" t="s">
        <v>2267</v>
      </c>
      <c r="D521" s="4" t="s">
        <v>2268</v>
      </c>
      <c r="E521" s="2">
        <f>VALUE("2022")</f>
        <v>2022</v>
      </c>
      <c r="F521" t="s">
        <v>2264</v>
      </c>
    </row>
    <row r="522" spans="1:7" x14ac:dyDescent="0.25">
      <c r="A522" s="4" t="s">
        <v>377</v>
      </c>
      <c r="B522" s="2">
        <f t="shared" ref="B522:B545" si="12">VALUE("7682")</f>
        <v>7682</v>
      </c>
      <c r="C522" s="4" t="s">
        <v>2335</v>
      </c>
      <c r="D522" s="4" t="s">
        <v>386</v>
      </c>
      <c r="E522" s="2">
        <f>VALUE("2023")</f>
        <v>2023</v>
      </c>
      <c r="F522" t="s">
        <v>377</v>
      </c>
      <c r="G522" s="8" t="s">
        <v>2332</v>
      </c>
    </row>
    <row r="523" spans="1:7" x14ac:dyDescent="0.25">
      <c r="A523" s="4" t="s">
        <v>377</v>
      </c>
      <c r="B523" s="2">
        <f t="shared" si="12"/>
        <v>7682</v>
      </c>
      <c r="C523" s="4" t="s">
        <v>2333</v>
      </c>
      <c r="D523" s="4" t="s">
        <v>386</v>
      </c>
      <c r="E523" s="2">
        <f>VALUE("2022")</f>
        <v>2022</v>
      </c>
      <c r="F523" t="s">
        <v>2313</v>
      </c>
      <c r="G523" s="8" t="s">
        <v>2324</v>
      </c>
    </row>
    <row r="524" spans="1:7" x14ac:dyDescent="0.25">
      <c r="A524" s="4" t="s">
        <v>377</v>
      </c>
      <c r="B524" s="2">
        <f t="shared" si="12"/>
        <v>7682</v>
      </c>
      <c r="C524" s="4" t="s">
        <v>2334</v>
      </c>
      <c r="D524" s="4" t="s">
        <v>386</v>
      </c>
      <c r="E524" s="2">
        <f>VALUE("2022")</f>
        <v>2022</v>
      </c>
      <c r="F524" t="s">
        <v>2313</v>
      </c>
      <c r="G524" s="8" t="s">
        <v>2332</v>
      </c>
    </row>
    <row r="525" spans="1:7" x14ac:dyDescent="0.25">
      <c r="A525" s="4" t="s">
        <v>377</v>
      </c>
      <c r="B525" s="2">
        <f t="shared" si="12"/>
        <v>7682</v>
      </c>
      <c r="C525" s="4" t="s">
        <v>2330</v>
      </c>
      <c r="D525" s="4" t="s">
        <v>389</v>
      </c>
      <c r="E525" s="2">
        <f>VALUE("2021")</f>
        <v>2021</v>
      </c>
      <c r="F525" t="s">
        <v>2313</v>
      </c>
      <c r="G525" s="8" t="s">
        <v>2319</v>
      </c>
    </row>
    <row r="526" spans="1:7" x14ac:dyDescent="0.25">
      <c r="A526" s="4" t="s">
        <v>377</v>
      </c>
      <c r="B526" s="2">
        <f t="shared" si="12"/>
        <v>7682</v>
      </c>
      <c r="C526" s="4" t="s">
        <v>2331</v>
      </c>
      <c r="D526" s="4" t="s">
        <v>389</v>
      </c>
      <c r="E526" s="2">
        <f>VALUE("2022")</f>
        <v>2022</v>
      </c>
      <c r="F526" t="s">
        <v>2313</v>
      </c>
      <c r="G526" s="8" t="s">
        <v>2332</v>
      </c>
    </row>
    <row r="527" spans="1:7" x14ac:dyDescent="0.25">
      <c r="A527" s="4" t="s">
        <v>377</v>
      </c>
      <c r="B527" s="2">
        <f t="shared" si="12"/>
        <v>7682</v>
      </c>
      <c r="C527" s="4" t="s">
        <v>2318</v>
      </c>
      <c r="D527" s="4" t="s">
        <v>386</v>
      </c>
      <c r="E527" s="2">
        <f>VALUE("2020")</f>
        <v>2020</v>
      </c>
      <c r="F527" t="s">
        <v>2313</v>
      </c>
      <c r="G527" s="8" t="s">
        <v>2319</v>
      </c>
    </row>
    <row r="528" spans="1:7" x14ac:dyDescent="0.25">
      <c r="A528" s="4" t="s">
        <v>377</v>
      </c>
      <c r="B528" s="2">
        <f t="shared" si="12"/>
        <v>7682</v>
      </c>
      <c r="C528" s="4" t="s">
        <v>2328</v>
      </c>
      <c r="D528" s="4" t="s">
        <v>389</v>
      </c>
      <c r="E528" s="2">
        <f>VALUE("2021")</f>
        <v>2021</v>
      </c>
      <c r="F528" t="s">
        <v>2313</v>
      </c>
      <c r="G528" s="8" t="s">
        <v>2329</v>
      </c>
    </row>
    <row r="529" spans="1:7" x14ac:dyDescent="0.25">
      <c r="A529" s="4" t="s">
        <v>377</v>
      </c>
      <c r="B529" s="2">
        <f t="shared" si="12"/>
        <v>7682</v>
      </c>
      <c r="C529" s="4" t="s">
        <v>2310</v>
      </c>
      <c r="D529" s="4" t="s">
        <v>386</v>
      </c>
      <c r="E529" s="2">
        <f>VALUE("2018")</f>
        <v>2018</v>
      </c>
      <c r="F529" t="s">
        <v>2301</v>
      </c>
    </row>
    <row r="530" spans="1:7" x14ac:dyDescent="0.25">
      <c r="A530" s="4" t="s">
        <v>377</v>
      </c>
      <c r="B530" s="2">
        <f t="shared" si="12"/>
        <v>7682</v>
      </c>
      <c r="C530" s="4" t="s">
        <v>2311</v>
      </c>
      <c r="D530" s="4" t="s">
        <v>386</v>
      </c>
      <c r="E530" s="2">
        <f>VALUE("2017")</f>
        <v>2017</v>
      </c>
      <c r="F530" t="s">
        <v>413</v>
      </c>
    </row>
    <row r="531" spans="1:7" x14ac:dyDescent="0.25">
      <c r="A531" s="4" t="s">
        <v>377</v>
      </c>
      <c r="B531" s="2">
        <f t="shared" si="12"/>
        <v>7682</v>
      </c>
      <c r="C531" s="4" t="s">
        <v>2320</v>
      </c>
      <c r="D531" s="4" t="s">
        <v>386</v>
      </c>
      <c r="E531" s="2">
        <f>VALUE("2020")</f>
        <v>2020</v>
      </c>
      <c r="F531" t="s">
        <v>2313</v>
      </c>
    </row>
    <row r="532" spans="1:7" x14ac:dyDescent="0.25">
      <c r="A532" s="4" t="s">
        <v>377</v>
      </c>
      <c r="B532" s="2">
        <f t="shared" si="12"/>
        <v>7682</v>
      </c>
      <c r="C532" s="4" t="s">
        <v>2321</v>
      </c>
      <c r="D532" s="4" t="s">
        <v>386</v>
      </c>
      <c r="E532" s="2">
        <f>VALUE("2020")</f>
        <v>2020</v>
      </c>
      <c r="F532" t="s">
        <v>2313</v>
      </c>
    </row>
    <row r="533" spans="1:7" x14ac:dyDescent="0.25">
      <c r="A533" s="4" t="s">
        <v>377</v>
      </c>
      <c r="B533" s="2">
        <f t="shared" si="12"/>
        <v>7682</v>
      </c>
      <c r="C533" s="4" t="s">
        <v>2326</v>
      </c>
      <c r="D533" s="4" t="s">
        <v>386</v>
      </c>
      <c r="E533" s="2">
        <f>VALUE("2021")</f>
        <v>2021</v>
      </c>
      <c r="F533" t="s">
        <v>2313</v>
      </c>
    </row>
    <row r="534" spans="1:7" x14ac:dyDescent="0.25">
      <c r="A534" s="4" t="s">
        <v>377</v>
      </c>
      <c r="B534" s="2">
        <f t="shared" si="12"/>
        <v>7682</v>
      </c>
      <c r="C534" s="4" t="s">
        <v>2327</v>
      </c>
      <c r="D534" s="4" t="s">
        <v>386</v>
      </c>
      <c r="E534" s="2">
        <f>VALUE("2021")</f>
        <v>2021</v>
      </c>
      <c r="F534" t="s">
        <v>2313</v>
      </c>
    </row>
    <row r="535" spans="1:7" x14ac:dyDescent="0.25">
      <c r="A535" s="4" t="s">
        <v>377</v>
      </c>
      <c r="B535" s="2">
        <f t="shared" si="12"/>
        <v>7682</v>
      </c>
      <c r="C535" s="4" t="s">
        <v>2303</v>
      </c>
      <c r="D535" s="4" t="s">
        <v>2304</v>
      </c>
      <c r="E535" s="2">
        <f>VALUE("2017")</f>
        <v>2017</v>
      </c>
      <c r="F535" t="s">
        <v>2305</v>
      </c>
    </row>
    <row r="536" spans="1:7" x14ac:dyDescent="0.25">
      <c r="A536" s="4" t="s">
        <v>377</v>
      </c>
      <c r="B536" s="2">
        <f t="shared" si="12"/>
        <v>7682</v>
      </c>
      <c r="C536" s="4" t="s">
        <v>2312</v>
      </c>
      <c r="D536" s="4" t="s">
        <v>386</v>
      </c>
      <c r="E536" s="2">
        <f>VALUE("2019")</f>
        <v>2019</v>
      </c>
      <c r="F536" t="s">
        <v>2313</v>
      </c>
    </row>
    <row r="537" spans="1:7" x14ac:dyDescent="0.25">
      <c r="A537" s="4" t="s">
        <v>377</v>
      </c>
      <c r="B537" s="2">
        <f t="shared" si="12"/>
        <v>7682</v>
      </c>
      <c r="C537" s="4" t="s">
        <v>2306</v>
      </c>
      <c r="D537" s="4" t="s">
        <v>2307</v>
      </c>
      <c r="E537" s="2">
        <f>VALUE("2016")</f>
        <v>2016</v>
      </c>
      <c r="F537" t="s">
        <v>2308</v>
      </c>
    </row>
    <row r="538" spans="1:7" x14ac:dyDescent="0.25">
      <c r="A538" s="4" t="s">
        <v>377</v>
      </c>
      <c r="B538" s="2">
        <f t="shared" si="12"/>
        <v>7682</v>
      </c>
      <c r="C538" s="4" t="s">
        <v>2314</v>
      </c>
      <c r="D538" s="4" t="s">
        <v>386</v>
      </c>
      <c r="E538" s="2">
        <f>VALUE("2020")</f>
        <v>2020</v>
      </c>
      <c r="F538" t="s">
        <v>2313</v>
      </c>
      <c r="G538" s="8" t="s">
        <v>2315</v>
      </c>
    </row>
    <row r="539" spans="1:7" x14ac:dyDescent="0.25">
      <c r="A539" s="4" t="s">
        <v>377</v>
      </c>
      <c r="B539" s="2">
        <f t="shared" si="12"/>
        <v>7682</v>
      </c>
      <c r="C539" s="4" t="s">
        <v>2309</v>
      </c>
      <c r="D539" s="4" t="s">
        <v>386</v>
      </c>
      <c r="E539" s="2">
        <f>VALUE("2019")</f>
        <v>2019</v>
      </c>
      <c r="F539" t="s">
        <v>2313</v>
      </c>
    </row>
    <row r="540" spans="1:7" x14ac:dyDescent="0.25">
      <c r="A540" s="4" t="s">
        <v>377</v>
      </c>
      <c r="B540" s="2">
        <f t="shared" si="12"/>
        <v>7682</v>
      </c>
      <c r="C540" s="4" t="s">
        <v>2309</v>
      </c>
      <c r="D540" s="4" t="s">
        <v>386</v>
      </c>
      <c r="E540" s="2">
        <f>VALUE("2018")</f>
        <v>2018</v>
      </c>
      <c r="F540" t="s">
        <v>413</v>
      </c>
    </row>
    <row r="541" spans="1:7" x14ac:dyDescent="0.25">
      <c r="A541" s="4" t="s">
        <v>377</v>
      </c>
      <c r="B541" s="2">
        <f t="shared" si="12"/>
        <v>7682</v>
      </c>
      <c r="C541" s="4" t="s">
        <v>2325</v>
      </c>
      <c r="D541" s="4" t="s">
        <v>386</v>
      </c>
      <c r="E541" s="2">
        <f>VALUE("2020")</f>
        <v>2020</v>
      </c>
      <c r="F541" t="s">
        <v>2313</v>
      </c>
      <c r="G541" s="8" t="s">
        <v>2319</v>
      </c>
    </row>
    <row r="542" spans="1:7" x14ac:dyDescent="0.25">
      <c r="A542" s="4" t="s">
        <v>377</v>
      </c>
      <c r="B542" s="2">
        <f t="shared" si="12"/>
        <v>7682</v>
      </c>
      <c r="C542" s="4" t="s">
        <v>2300</v>
      </c>
      <c r="D542" s="4" t="s">
        <v>386</v>
      </c>
      <c r="E542" s="2">
        <f>VALUE("2016")</f>
        <v>2016</v>
      </c>
      <c r="F542" t="s">
        <v>2301</v>
      </c>
      <c r="G542" s="8" t="s">
        <v>2302</v>
      </c>
    </row>
    <row r="543" spans="1:7" x14ac:dyDescent="0.25">
      <c r="A543" s="4" t="s">
        <v>377</v>
      </c>
      <c r="B543" s="2">
        <f t="shared" si="12"/>
        <v>7682</v>
      </c>
      <c r="C543" s="4" t="s">
        <v>2316</v>
      </c>
      <c r="D543" s="4" t="s">
        <v>386</v>
      </c>
      <c r="E543" s="2">
        <f>VALUE("2020")</f>
        <v>2020</v>
      </c>
      <c r="F543" t="s">
        <v>2313</v>
      </c>
      <c r="G543" s="8" t="s">
        <v>2317</v>
      </c>
    </row>
    <row r="544" spans="1:7" x14ac:dyDescent="0.25">
      <c r="A544" s="4" t="s">
        <v>377</v>
      </c>
      <c r="B544" s="2">
        <f t="shared" si="12"/>
        <v>7682</v>
      </c>
      <c r="C544" s="4" t="s">
        <v>2322</v>
      </c>
      <c r="D544" s="4" t="s">
        <v>2323</v>
      </c>
      <c r="E544" s="2">
        <f>VALUE("2020")</f>
        <v>2020</v>
      </c>
      <c r="F544" t="s">
        <v>2313</v>
      </c>
      <c r="G544" s="8" t="s">
        <v>2324</v>
      </c>
    </row>
    <row r="545" spans="1:7" x14ac:dyDescent="0.25">
      <c r="A545" s="4" t="s">
        <v>377</v>
      </c>
      <c r="B545" s="2">
        <f t="shared" si="12"/>
        <v>7682</v>
      </c>
      <c r="C545" s="4" t="s">
        <v>2297</v>
      </c>
      <c r="D545" s="4" t="s">
        <v>2298</v>
      </c>
      <c r="E545" s="2">
        <f>VALUE("2015")</f>
        <v>2015</v>
      </c>
      <c r="F545" t="s">
        <v>2299</v>
      </c>
    </row>
    <row r="546" spans="1:7" x14ac:dyDescent="0.25">
      <c r="A546" s="4" t="s">
        <v>377</v>
      </c>
      <c r="B546" s="2">
        <f>VALUE("7856")</f>
        <v>7856</v>
      </c>
      <c r="C546" s="4" t="s">
        <v>2739</v>
      </c>
      <c r="D546" s="4" t="s">
        <v>2740</v>
      </c>
      <c r="E546" s="2">
        <f>VALUE("2019")</f>
        <v>2019</v>
      </c>
      <c r="F546" t="s">
        <v>2741</v>
      </c>
      <c r="G546" s="8" t="s">
        <v>2742</v>
      </c>
    </row>
    <row r="547" spans="1:7" x14ac:dyDescent="0.25">
      <c r="A547" s="4" t="s">
        <v>377</v>
      </c>
      <c r="B547" s="2">
        <f>VALUE("8170")</f>
        <v>8170</v>
      </c>
      <c r="C547" s="4" t="s">
        <v>3404</v>
      </c>
      <c r="D547" s="4" t="s">
        <v>3405</v>
      </c>
      <c r="E547" s="2">
        <f>VALUE("2022")</f>
        <v>2022</v>
      </c>
      <c r="F547" t="s">
        <v>377</v>
      </c>
      <c r="G547" s="8" t="s">
        <v>3406</v>
      </c>
    </row>
    <row r="548" spans="1:7" x14ac:dyDescent="0.25">
      <c r="A548" s="4" t="s">
        <v>377</v>
      </c>
      <c r="B548" s="2">
        <f>VALUE("8176")</f>
        <v>8176</v>
      </c>
      <c r="C548" s="4" t="s">
        <v>3414</v>
      </c>
      <c r="D548" s="4" t="s">
        <v>3415</v>
      </c>
      <c r="E548" s="2">
        <f>VALUE("2018")</f>
        <v>2018</v>
      </c>
      <c r="F548" t="s">
        <v>648</v>
      </c>
      <c r="G548" s="8" t="s">
        <v>3416</v>
      </c>
    </row>
    <row r="549" spans="1:7" x14ac:dyDescent="0.25">
      <c r="A549" s="4" t="s">
        <v>377</v>
      </c>
      <c r="B549" s="2">
        <f>VALUE("8176")</f>
        <v>8176</v>
      </c>
      <c r="C549" s="4" t="s">
        <v>3411</v>
      </c>
      <c r="D549" s="4" t="s">
        <v>3412</v>
      </c>
      <c r="E549" s="2">
        <f>VALUE("2020")</f>
        <v>2020</v>
      </c>
      <c r="F549" t="s">
        <v>648</v>
      </c>
      <c r="G549" s="8" t="s">
        <v>3413</v>
      </c>
    </row>
    <row r="550" spans="1:7" x14ac:dyDescent="0.25">
      <c r="A550" s="4" t="s">
        <v>377</v>
      </c>
      <c r="B550" s="2">
        <f>VALUE("8178")</f>
        <v>8178</v>
      </c>
      <c r="C550" s="4" t="s">
        <v>3419</v>
      </c>
      <c r="D550" s="4" t="s">
        <v>3420</v>
      </c>
      <c r="E550" s="2">
        <f>VALUE("2019")</f>
        <v>2019</v>
      </c>
      <c r="F550" t="s">
        <v>2313</v>
      </c>
    </row>
    <row r="551" spans="1:7" x14ac:dyDescent="0.25">
      <c r="A551" s="4" t="s">
        <v>377</v>
      </c>
      <c r="B551" s="2">
        <f>VALUE("8508")</f>
        <v>8508</v>
      </c>
      <c r="C551" s="4" t="s">
        <v>4127</v>
      </c>
      <c r="D551" s="4" t="s">
        <v>4128</v>
      </c>
      <c r="E551" s="2">
        <f>VALUE("2020")</f>
        <v>2020</v>
      </c>
      <c r="F551" t="s">
        <v>377</v>
      </c>
      <c r="G551" s="8" t="s">
        <v>4129</v>
      </c>
    </row>
    <row r="552" spans="1:7" x14ac:dyDescent="0.25">
      <c r="A552" s="4" t="s">
        <v>377</v>
      </c>
      <c r="B552" s="2">
        <f>VALUE("8522")</f>
        <v>8522</v>
      </c>
      <c r="C552" s="4" t="s">
        <v>4158</v>
      </c>
      <c r="D552" s="4" t="s">
        <v>4159</v>
      </c>
      <c r="E552" s="2">
        <f>VALUE("2021")</f>
        <v>2021</v>
      </c>
      <c r="F552" t="s">
        <v>4160</v>
      </c>
    </row>
    <row r="553" spans="1:7" x14ac:dyDescent="0.25">
      <c r="A553" s="4" t="s">
        <v>377</v>
      </c>
      <c r="B553" s="2">
        <f>VALUE("8522")</f>
        <v>8522</v>
      </c>
      <c r="C553" s="4" t="s">
        <v>4162</v>
      </c>
      <c r="D553" s="4" t="s">
        <v>4159</v>
      </c>
      <c r="E553" s="2">
        <f>VALUE("2019")</f>
        <v>2019</v>
      </c>
      <c r="F553" t="s">
        <v>377</v>
      </c>
    </row>
    <row r="554" spans="1:7" x14ac:dyDescent="0.25">
      <c r="A554" s="4" t="s">
        <v>377</v>
      </c>
      <c r="B554" s="2">
        <f>VALUE("8522")</f>
        <v>8522</v>
      </c>
      <c r="C554" s="4" t="s">
        <v>4163</v>
      </c>
      <c r="D554" s="4" t="s">
        <v>4159</v>
      </c>
      <c r="E554" s="2">
        <f>VALUE("2022")</f>
        <v>2022</v>
      </c>
      <c r="F554" t="s">
        <v>377</v>
      </c>
      <c r="G554" s="8" t="s">
        <v>2332</v>
      </c>
    </row>
    <row r="555" spans="1:7" x14ac:dyDescent="0.25">
      <c r="A555" s="4" t="s">
        <v>377</v>
      </c>
      <c r="B555" s="2">
        <f>VALUE("8522")</f>
        <v>8522</v>
      </c>
      <c r="C555" s="4" t="s">
        <v>4161</v>
      </c>
      <c r="D555" s="4" t="s">
        <v>4159</v>
      </c>
      <c r="E555" s="2">
        <f>VALUE("2020")</f>
        <v>2020</v>
      </c>
      <c r="F555" t="s">
        <v>377</v>
      </c>
    </row>
    <row r="556" spans="1:7" x14ac:dyDescent="0.25">
      <c r="A556" s="4" t="s">
        <v>377</v>
      </c>
      <c r="B556" s="2">
        <f>VALUE("8533")</f>
        <v>8533</v>
      </c>
      <c r="C556" s="4" t="s">
        <v>4205</v>
      </c>
      <c r="D556" s="4" t="s">
        <v>4206</v>
      </c>
      <c r="E556" s="2">
        <f>VALUE("2021")</f>
        <v>2021</v>
      </c>
      <c r="F556" t="s">
        <v>376</v>
      </c>
    </row>
    <row r="557" spans="1:7" x14ac:dyDescent="0.25">
      <c r="A557" s="4" t="s">
        <v>377</v>
      </c>
      <c r="B557" s="2">
        <f>VALUE("8533")</f>
        <v>8533</v>
      </c>
      <c r="C557" s="4" t="s">
        <v>4207</v>
      </c>
      <c r="D557" s="4" t="s">
        <v>4206</v>
      </c>
      <c r="E557" s="2">
        <f>VALUE("2021")</f>
        <v>2021</v>
      </c>
      <c r="F557" t="s">
        <v>376</v>
      </c>
    </row>
    <row r="558" spans="1:7" x14ac:dyDescent="0.25">
      <c r="A558" s="4" t="s">
        <v>377</v>
      </c>
      <c r="B558" s="2">
        <f>VALUE("8533")</f>
        <v>8533</v>
      </c>
      <c r="C558" s="4" t="s">
        <v>4203</v>
      </c>
      <c r="D558" s="4" t="s">
        <v>4204</v>
      </c>
      <c r="E558" s="2">
        <f>VALUE("2020")</f>
        <v>2020</v>
      </c>
      <c r="F558" t="s">
        <v>376</v>
      </c>
    </row>
    <row r="559" spans="1:7" x14ac:dyDescent="0.25">
      <c r="A559" s="4" t="s">
        <v>377</v>
      </c>
      <c r="B559" s="2">
        <f>VALUE("8533")</f>
        <v>8533</v>
      </c>
      <c r="C559" s="4" t="s">
        <v>4200</v>
      </c>
      <c r="D559" s="4" t="s">
        <v>4201</v>
      </c>
      <c r="E559" s="2">
        <f>VALUE("2019")</f>
        <v>2019</v>
      </c>
      <c r="F559" t="s">
        <v>376</v>
      </c>
      <c r="G559" s="8" t="s">
        <v>4202</v>
      </c>
    </row>
    <row r="560" spans="1:7" x14ac:dyDescent="0.25">
      <c r="A560" s="4" t="s">
        <v>377</v>
      </c>
      <c r="B560" s="2">
        <f>VALUE("8871")</f>
        <v>8871</v>
      </c>
      <c r="C560" s="4" t="s">
        <v>4804</v>
      </c>
      <c r="D560" s="4" t="s">
        <v>4805</v>
      </c>
      <c r="E560" s="2">
        <f>VALUE("2023")</f>
        <v>2023</v>
      </c>
      <c r="F560" t="s">
        <v>3566</v>
      </c>
      <c r="G560" s="8" t="s">
        <v>4806</v>
      </c>
    </row>
    <row r="561" spans="1:7" x14ac:dyDescent="0.25">
      <c r="A561" s="4" t="s">
        <v>377</v>
      </c>
      <c r="B561" s="2">
        <f>VALUE("8983")</f>
        <v>8983</v>
      </c>
      <c r="C561" s="4" t="s">
        <v>4940</v>
      </c>
      <c r="D561" s="4" t="s">
        <v>386</v>
      </c>
      <c r="E561" s="2">
        <f>VALUE("2021")</f>
        <v>2021</v>
      </c>
      <c r="F561" t="s">
        <v>376</v>
      </c>
    </row>
    <row r="562" spans="1:7" x14ac:dyDescent="0.25">
      <c r="A562" s="4" t="s">
        <v>377</v>
      </c>
      <c r="B562" s="2">
        <f>VALUE("8983")</f>
        <v>8983</v>
      </c>
      <c r="C562" s="4" t="s">
        <v>4941</v>
      </c>
      <c r="D562" s="4" t="s">
        <v>386</v>
      </c>
      <c r="E562" s="2">
        <f>VALUE("2022")</f>
        <v>2022</v>
      </c>
      <c r="F562" t="s">
        <v>376</v>
      </c>
    </row>
    <row r="563" spans="1:7" x14ac:dyDescent="0.25">
      <c r="A563" s="4" t="s">
        <v>377</v>
      </c>
      <c r="B563" s="2">
        <f>VALUE("8983")</f>
        <v>8983</v>
      </c>
      <c r="C563" s="4" t="s">
        <v>4942</v>
      </c>
      <c r="D563" s="4" t="s">
        <v>389</v>
      </c>
      <c r="E563" s="2">
        <f>VALUE("2023")</f>
        <v>2023</v>
      </c>
      <c r="F563" t="s">
        <v>4943</v>
      </c>
      <c r="G563" s="8" t="s">
        <v>2332</v>
      </c>
    </row>
    <row r="564" spans="1:7" x14ac:dyDescent="0.25">
      <c r="A564" s="4" t="s">
        <v>3422</v>
      </c>
      <c r="B564" s="2" t="s">
        <v>5258</v>
      </c>
      <c r="C564" s="4" t="s">
        <v>3419</v>
      </c>
      <c r="D564" s="4" t="s">
        <v>3420</v>
      </c>
      <c r="E564" s="2">
        <f>VALUE("2019")</f>
        <v>2019</v>
      </c>
      <c r="F564" t="s">
        <v>3421</v>
      </c>
    </row>
    <row r="565" spans="1:7" x14ac:dyDescent="0.25">
      <c r="A565" s="4" t="s">
        <v>3655</v>
      </c>
      <c r="B565" s="2">
        <f>VALUE("8277")</f>
        <v>8277</v>
      </c>
      <c r="C565" s="4" t="s">
        <v>3652</v>
      </c>
      <c r="D565" s="4" t="s">
        <v>3653</v>
      </c>
      <c r="E565" s="2">
        <f>VALUE("2019")</f>
        <v>2019</v>
      </c>
      <c r="F565" t="s">
        <v>3654</v>
      </c>
    </row>
    <row r="566" spans="1:7" x14ac:dyDescent="0.25">
      <c r="A566" s="4" t="s">
        <v>3655</v>
      </c>
      <c r="B566" s="2">
        <f>VALUE("8413")</f>
        <v>8413</v>
      </c>
      <c r="C566" s="4" t="s">
        <v>3901</v>
      </c>
      <c r="D566" s="4" t="s">
        <v>3902</v>
      </c>
      <c r="E566" s="2">
        <f>VALUE("2019")</f>
        <v>2019</v>
      </c>
      <c r="F566" t="s">
        <v>3654</v>
      </c>
      <c r="G566" s="8" t="s">
        <v>3903</v>
      </c>
    </row>
    <row r="567" spans="1:7" x14ac:dyDescent="0.25">
      <c r="A567" s="4" t="s">
        <v>3325</v>
      </c>
      <c r="B567" s="2">
        <f>VALUE("8150")</f>
        <v>8150</v>
      </c>
      <c r="C567" s="4" t="s">
        <v>3323</v>
      </c>
      <c r="D567" s="4" t="s">
        <v>293</v>
      </c>
      <c r="E567" s="2">
        <f>VALUE("2020")</f>
        <v>2020</v>
      </c>
      <c r="F567" t="s">
        <v>3324</v>
      </c>
      <c r="G567" s="8" t="s">
        <v>3326</v>
      </c>
    </row>
    <row r="568" spans="1:7" x14ac:dyDescent="0.25">
      <c r="A568" s="4" t="s">
        <v>4150</v>
      </c>
      <c r="B568" s="2">
        <f>VALUE("8516")</f>
        <v>8516</v>
      </c>
      <c r="C568" s="4" t="s">
        <v>4147</v>
      </c>
      <c r="D568" s="4" t="s">
        <v>4148</v>
      </c>
      <c r="E568" s="2">
        <f>VALUE("2019")</f>
        <v>2019</v>
      </c>
      <c r="F568" t="s">
        <v>4149</v>
      </c>
      <c r="G568" s="8" t="s">
        <v>4151</v>
      </c>
    </row>
    <row r="569" spans="1:7" x14ac:dyDescent="0.25">
      <c r="A569" s="4" t="s">
        <v>4737</v>
      </c>
      <c r="B569" s="2">
        <f>VALUE("8803")</f>
        <v>8803</v>
      </c>
      <c r="C569" s="4" t="s">
        <v>4734</v>
      </c>
      <c r="D569" s="4" t="s">
        <v>4735</v>
      </c>
      <c r="E569" s="2">
        <f>VALUE("2021")</f>
        <v>2021</v>
      </c>
      <c r="F569" t="s">
        <v>4736</v>
      </c>
    </row>
    <row r="570" spans="1:7" x14ac:dyDescent="0.25">
      <c r="A570" s="4" t="s">
        <v>3915</v>
      </c>
      <c r="B570" s="2">
        <f>VALUE("8424")</f>
        <v>8424</v>
      </c>
      <c r="C570" s="4" t="s">
        <v>3912</v>
      </c>
      <c r="D570" s="4" t="s">
        <v>3913</v>
      </c>
      <c r="E570" s="2">
        <f>VALUE("2022")</f>
        <v>2022</v>
      </c>
      <c r="F570" t="s">
        <v>3914</v>
      </c>
      <c r="G570" s="8" t="s">
        <v>3916</v>
      </c>
    </row>
    <row r="571" spans="1:7" x14ac:dyDescent="0.25">
      <c r="A571" s="4" t="s">
        <v>4789</v>
      </c>
      <c r="B571" s="2">
        <f>VALUE("8855")</f>
        <v>8855</v>
      </c>
      <c r="C571" s="4" t="s">
        <v>4786</v>
      </c>
      <c r="D571" s="4" t="s">
        <v>4787</v>
      </c>
      <c r="E571" s="2">
        <f>VALUE("2022")</f>
        <v>2022</v>
      </c>
      <c r="F571" t="s">
        <v>4788</v>
      </c>
      <c r="G571" s="8" t="s">
        <v>4790</v>
      </c>
    </row>
    <row r="572" spans="1:7" x14ac:dyDescent="0.25">
      <c r="A572" s="4" t="s">
        <v>5211</v>
      </c>
      <c r="B572" s="2">
        <f>VALUE("9485")</f>
        <v>9485</v>
      </c>
      <c r="C572" s="4" t="s">
        <v>5209</v>
      </c>
      <c r="D572" s="4" t="s">
        <v>5210</v>
      </c>
      <c r="E572" s="2">
        <f>VALUE("2023")</f>
        <v>2023</v>
      </c>
      <c r="F572" t="s">
        <v>22</v>
      </c>
      <c r="G572" s="8" t="s">
        <v>5212</v>
      </c>
    </row>
    <row r="573" spans="1:7" x14ac:dyDescent="0.25">
      <c r="A573" s="4" t="s">
        <v>4982</v>
      </c>
      <c r="B573" s="2">
        <f>VALUE("9053")</f>
        <v>9053</v>
      </c>
      <c r="C573" s="4" t="s">
        <v>4984</v>
      </c>
      <c r="D573" s="4" t="s">
        <v>4980</v>
      </c>
      <c r="E573" s="2">
        <f>VALUE("2022")</f>
        <v>2022</v>
      </c>
      <c r="F573" t="s">
        <v>4981</v>
      </c>
      <c r="G573" s="8" t="s">
        <v>4985</v>
      </c>
    </row>
    <row r="574" spans="1:7" x14ac:dyDescent="0.25">
      <c r="A574" s="4" t="s">
        <v>4982</v>
      </c>
      <c r="B574" s="2">
        <f>VALUE("9053")</f>
        <v>9053</v>
      </c>
      <c r="C574" s="4" t="s">
        <v>4979</v>
      </c>
      <c r="D574" s="4" t="s">
        <v>4980</v>
      </c>
      <c r="E574" s="2">
        <f>VALUE("2022")</f>
        <v>2022</v>
      </c>
      <c r="F574" t="s">
        <v>4981</v>
      </c>
      <c r="G574" s="8" t="s">
        <v>4983</v>
      </c>
    </row>
    <row r="575" spans="1:7" x14ac:dyDescent="0.25">
      <c r="A575" s="4" t="s">
        <v>3854</v>
      </c>
      <c r="B575" s="2">
        <f>VALUE("8391")</f>
        <v>8391</v>
      </c>
      <c r="C575" s="4" t="s">
        <v>3852</v>
      </c>
      <c r="D575" s="4" t="s">
        <v>3853</v>
      </c>
      <c r="E575" s="2">
        <f>VALUE("2020")</f>
        <v>2020</v>
      </c>
      <c r="F575" t="s">
        <v>3854</v>
      </c>
      <c r="G575" s="8" t="s">
        <v>3855</v>
      </c>
    </row>
    <row r="576" spans="1:7" x14ac:dyDescent="0.25">
      <c r="A576" s="4" t="s">
        <v>3854</v>
      </c>
      <c r="B576" s="2">
        <f>VALUE("8391")</f>
        <v>8391</v>
      </c>
      <c r="C576" s="4" t="s">
        <v>3856</v>
      </c>
      <c r="D576" s="4" t="s">
        <v>3857</v>
      </c>
      <c r="E576" s="2">
        <f>VALUE("2022")</f>
        <v>2022</v>
      </c>
      <c r="F576" t="s">
        <v>3854</v>
      </c>
      <c r="G576" s="8" t="s">
        <v>3858</v>
      </c>
    </row>
    <row r="577" spans="1:7" x14ac:dyDescent="0.25">
      <c r="A577" s="4" t="s">
        <v>3854</v>
      </c>
      <c r="B577" s="2">
        <f>VALUE("8936")</f>
        <v>8936</v>
      </c>
      <c r="C577" s="4" t="s">
        <v>4880</v>
      </c>
      <c r="D577" s="4" t="s">
        <v>293</v>
      </c>
      <c r="E577" s="2">
        <f>VALUE("2022")</f>
        <v>2022</v>
      </c>
      <c r="F577" t="s">
        <v>4304</v>
      </c>
      <c r="G577" s="8" t="s">
        <v>4881</v>
      </c>
    </row>
    <row r="578" spans="1:7" x14ac:dyDescent="0.25">
      <c r="A578" s="4" t="s">
        <v>3854</v>
      </c>
      <c r="B578" s="2">
        <f>VALUE("8936")</f>
        <v>8936</v>
      </c>
      <c r="C578" s="4" t="s">
        <v>4884</v>
      </c>
      <c r="D578" s="4" t="s">
        <v>4885</v>
      </c>
      <c r="E578" s="2">
        <f>VALUE("2021")</f>
        <v>2021</v>
      </c>
      <c r="F578" t="s">
        <v>4886</v>
      </c>
      <c r="G578" s="8" t="s">
        <v>4887</v>
      </c>
    </row>
    <row r="579" spans="1:7" x14ac:dyDescent="0.25">
      <c r="A579" s="4" t="s">
        <v>3854</v>
      </c>
      <c r="B579" s="2">
        <f>VALUE("8936")</f>
        <v>8936</v>
      </c>
      <c r="C579" s="4" t="s">
        <v>4882</v>
      </c>
      <c r="D579" s="4" t="s">
        <v>293</v>
      </c>
      <c r="E579" s="2">
        <f>VALUE("2022")</f>
        <v>2022</v>
      </c>
      <c r="F579" t="s">
        <v>4304</v>
      </c>
      <c r="G579" s="8" t="s">
        <v>4883</v>
      </c>
    </row>
    <row r="580" spans="1:7" x14ac:dyDescent="0.25">
      <c r="A580" s="4" t="s">
        <v>5220</v>
      </c>
      <c r="B580" s="2">
        <f>VALUE("7254")</f>
        <v>7254</v>
      </c>
      <c r="C580" s="4" t="s">
        <v>1155</v>
      </c>
      <c r="D580" s="4" t="s">
        <v>1156</v>
      </c>
      <c r="E580" s="2">
        <f>VALUE("2012")</f>
        <v>2012</v>
      </c>
      <c r="F580" t="s">
        <v>1157</v>
      </c>
    </row>
    <row r="581" spans="1:7" x14ac:dyDescent="0.25">
      <c r="A581" s="4" t="s">
        <v>2515</v>
      </c>
      <c r="B581" s="2">
        <f>VALUE("7749")</f>
        <v>7749</v>
      </c>
      <c r="C581" s="4" t="s">
        <v>2513</v>
      </c>
      <c r="D581" s="4" t="s">
        <v>2514</v>
      </c>
      <c r="E581" s="2">
        <f>VALUE("2015")</f>
        <v>2015</v>
      </c>
      <c r="F581" t="s">
        <v>2515</v>
      </c>
    </row>
    <row r="582" spans="1:7" x14ac:dyDescent="0.25">
      <c r="A582" s="4" t="s">
        <v>2515</v>
      </c>
      <c r="B582" s="2">
        <f>VALUE("8898")</f>
        <v>8898</v>
      </c>
      <c r="C582" s="4" t="s">
        <v>4854</v>
      </c>
      <c r="D582" s="4" t="s">
        <v>293</v>
      </c>
      <c r="E582" s="2">
        <f>VALUE("2020")</f>
        <v>2020</v>
      </c>
      <c r="F582" t="s">
        <v>2515</v>
      </c>
      <c r="G582" s="8" t="s">
        <v>4855</v>
      </c>
    </row>
    <row r="583" spans="1:7" x14ac:dyDescent="0.25">
      <c r="A583" s="4" t="s">
        <v>993</v>
      </c>
      <c r="B583" s="2">
        <f>VALUE("7160")</f>
        <v>7160</v>
      </c>
      <c r="C583" s="4" t="s">
        <v>994</v>
      </c>
      <c r="D583" s="4" t="s">
        <v>995</v>
      </c>
      <c r="E583" s="2">
        <f>VALUE("2007")</f>
        <v>2007</v>
      </c>
      <c r="F583" t="s">
        <v>993</v>
      </c>
    </row>
    <row r="584" spans="1:7" x14ac:dyDescent="0.25">
      <c r="A584" s="4" t="s">
        <v>993</v>
      </c>
      <c r="B584" s="2">
        <f>VALUE("7160")</f>
        <v>7160</v>
      </c>
      <c r="C584" s="4" t="s">
        <v>991</v>
      </c>
      <c r="D584" s="4" t="s">
        <v>992</v>
      </c>
      <c r="E584" s="2">
        <f>VALUE("2011")</f>
        <v>2011</v>
      </c>
      <c r="F584" t="s">
        <v>993</v>
      </c>
    </row>
    <row r="585" spans="1:7" x14ac:dyDescent="0.25">
      <c r="A585" s="4" t="s">
        <v>2805</v>
      </c>
      <c r="B585" s="2">
        <f>VALUE("7878")</f>
        <v>7878</v>
      </c>
      <c r="C585" s="4" t="s">
        <v>2802</v>
      </c>
      <c r="D585" s="4" t="s">
        <v>2803</v>
      </c>
      <c r="E585" s="2">
        <f>VALUE("2016")</f>
        <v>2016</v>
      </c>
      <c r="F585" t="s">
        <v>2804</v>
      </c>
    </row>
    <row r="586" spans="1:7" x14ac:dyDescent="0.25">
      <c r="A586" s="4" t="s">
        <v>2805</v>
      </c>
      <c r="B586" s="2">
        <f>VALUE("7879")</f>
        <v>7879</v>
      </c>
      <c r="C586" s="4" t="s">
        <v>2806</v>
      </c>
      <c r="D586" s="4" t="s">
        <v>2812</v>
      </c>
      <c r="E586" s="2">
        <f>VALUE("2017")</f>
        <v>2017</v>
      </c>
      <c r="F586" t="s">
        <v>2808</v>
      </c>
    </row>
    <row r="587" spans="1:7" x14ac:dyDescent="0.25">
      <c r="A587" s="4" t="s">
        <v>2805</v>
      </c>
      <c r="B587" s="2">
        <f>VALUE("7879")</f>
        <v>7879</v>
      </c>
      <c r="C587" s="4" t="s">
        <v>2810</v>
      </c>
      <c r="D587" s="4" t="s">
        <v>2811</v>
      </c>
      <c r="E587" s="2">
        <f>VALUE("2018")</f>
        <v>2018</v>
      </c>
      <c r="F587" t="s">
        <v>2808</v>
      </c>
    </row>
    <row r="588" spans="1:7" x14ac:dyDescent="0.25">
      <c r="A588" s="4" t="s">
        <v>2805</v>
      </c>
      <c r="B588" s="2">
        <f>VALUE("7998")</f>
        <v>7998</v>
      </c>
      <c r="C588" s="4" t="s">
        <v>3004</v>
      </c>
      <c r="D588" s="4" t="s">
        <v>3005</v>
      </c>
      <c r="E588" s="2">
        <f>VALUE("2019")</f>
        <v>2019</v>
      </c>
      <c r="F588" t="s">
        <v>2808</v>
      </c>
      <c r="G588" s="8" t="s">
        <v>3006</v>
      </c>
    </row>
    <row r="589" spans="1:7" x14ac:dyDescent="0.25">
      <c r="A589" s="4" t="s">
        <v>2805</v>
      </c>
      <c r="B589" s="2">
        <f>VALUE("8762")</f>
        <v>8762</v>
      </c>
      <c r="C589" s="4" t="s">
        <v>4673</v>
      </c>
      <c r="D589" s="4" t="s">
        <v>4674</v>
      </c>
      <c r="E589" s="2">
        <f>VALUE("2020")</f>
        <v>2020</v>
      </c>
      <c r="F589" t="s">
        <v>2808</v>
      </c>
      <c r="G589" s="8" t="s">
        <v>4675</v>
      </c>
    </row>
    <row r="590" spans="1:7" x14ac:dyDescent="0.25">
      <c r="A590" s="4" t="s">
        <v>2805</v>
      </c>
      <c r="B590" s="2">
        <f>VALUE("9155")</f>
        <v>9155</v>
      </c>
      <c r="C590" s="4" t="s">
        <v>5067</v>
      </c>
      <c r="D590" s="4" t="s">
        <v>5068</v>
      </c>
      <c r="E590" s="2">
        <f>VALUE("2021")</f>
        <v>2021</v>
      </c>
      <c r="F590" t="s">
        <v>5069</v>
      </c>
      <c r="G590" s="8" t="s">
        <v>5070</v>
      </c>
    </row>
    <row r="591" spans="1:7" x14ac:dyDescent="0.25">
      <c r="A591" s="4" t="s">
        <v>2805</v>
      </c>
      <c r="B591" s="2" t="s">
        <v>5259</v>
      </c>
      <c r="C591" s="4" t="s">
        <v>2806</v>
      </c>
      <c r="D591" s="4" t="s">
        <v>2807</v>
      </c>
      <c r="E591" s="2">
        <f>VALUE("2017")</f>
        <v>2017</v>
      </c>
      <c r="F591" t="s">
        <v>2808</v>
      </c>
      <c r="G591" s="8" t="s">
        <v>2809</v>
      </c>
    </row>
    <row r="592" spans="1:7" x14ac:dyDescent="0.25">
      <c r="A592" s="4" t="s">
        <v>288</v>
      </c>
      <c r="B592" s="2" t="s">
        <v>5260</v>
      </c>
      <c r="C592" s="4" t="s">
        <v>286</v>
      </c>
      <c r="D592" s="4" t="s">
        <v>287</v>
      </c>
      <c r="E592" s="2">
        <f>VALUE("2014")</f>
        <v>2014</v>
      </c>
      <c r="F592" t="s">
        <v>283</v>
      </c>
    </row>
    <row r="593" spans="1:7" x14ac:dyDescent="0.25">
      <c r="A593" s="4" t="s">
        <v>5169</v>
      </c>
      <c r="B593" s="2">
        <f>VALUE("9313")</f>
        <v>9313</v>
      </c>
      <c r="C593" s="4" t="s">
        <v>5168</v>
      </c>
      <c r="D593" s="4" t="s">
        <v>293</v>
      </c>
      <c r="E593" s="2">
        <f>VALUE("2023")</f>
        <v>2023</v>
      </c>
      <c r="F593" t="s">
        <v>5169</v>
      </c>
      <c r="G593" s="8" t="s">
        <v>5170</v>
      </c>
    </row>
    <row r="594" spans="1:7" x14ac:dyDescent="0.25">
      <c r="A594" s="4" t="s">
        <v>2008</v>
      </c>
      <c r="B594" s="2">
        <f>VALUE("7586")</f>
        <v>7586</v>
      </c>
      <c r="C594" s="4" t="s">
        <v>2006</v>
      </c>
      <c r="D594" s="4" t="s">
        <v>2007</v>
      </c>
      <c r="E594" s="2">
        <f>VALUE("2016")</f>
        <v>2016</v>
      </c>
      <c r="F594" t="s">
        <v>2008</v>
      </c>
    </row>
    <row r="595" spans="1:7" x14ac:dyDescent="0.25">
      <c r="A595" s="4" t="s">
        <v>1185</v>
      </c>
      <c r="B595" s="2">
        <f>VALUE("7260")</f>
        <v>7260</v>
      </c>
      <c r="C595" s="4" t="s">
        <v>1182</v>
      </c>
      <c r="D595" s="4" t="s">
        <v>1183</v>
      </c>
      <c r="E595" s="2">
        <f>VALUE("2012")</f>
        <v>2012</v>
      </c>
      <c r="F595" t="s">
        <v>1184</v>
      </c>
      <c r="G595" s="8" t="s">
        <v>1186</v>
      </c>
    </row>
    <row r="596" spans="1:7" x14ac:dyDescent="0.25">
      <c r="A596" s="4" t="s">
        <v>1185</v>
      </c>
      <c r="B596" s="2">
        <f>VALUE("7414")</f>
        <v>7414</v>
      </c>
      <c r="C596" s="4" t="s">
        <v>1653</v>
      </c>
      <c r="D596" s="4" t="s">
        <v>1654</v>
      </c>
      <c r="E596" s="2">
        <f>VALUE("2013")</f>
        <v>2013</v>
      </c>
      <c r="F596" t="s">
        <v>1655</v>
      </c>
      <c r="G596" s="8" t="s">
        <v>1656</v>
      </c>
    </row>
    <row r="597" spans="1:7" x14ac:dyDescent="0.25">
      <c r="A597" s="4" t="s">
        <v>1185</v>
      </c>
      <c r="B597" s="2">
        <f>VALUE("7638")</f>
        <v>7638</v>
      </c>
      <c r="C597" s="4" t="s">
        <v>2148</v>
      </c>
      <c r="D597" s="4" t="s">
        <v>2149</v>
      </c>
      <c r="E597" s="2">
        <f>VALUE("2015")</f>
        <v>2015</v>
      </c>
      <c r="F597" t="s">
        <v>2150</v>
      </c>
    </row>
    <row r="598" spans="1:7" x14ac:dyDescent="0.25">
      <c r="A598" s="4" t="s">
        <v>1185</v>
      </c>
      <c r="B598" s="2">
        <f>VALUE("7909")</f>
        <v>7909</v>
      </c>
      <c r="C598" s="4" t="s">
        <v>2873</v>
      </c>
      <c r="D598" s="4" t="s">
        <v>2874</v>
      </c>
      <c r="E598" s="2">
        <f>VALUE("2016")</f>
        <v>2016</v>
      </c>
      <c r="F598" t="s">
        <v>1185</v>
      </c>
      <c r="G598" s="8" t="s">
        <v>2875</v>
      </c>
    </row>
    <row r="599" spans="1:7" x14ac:dyDescent="0.25">
      <c r="A599" s="4" t="s">
        <v>1185</v>
      </c>
      <c r="B599" s="2">
        <f>VALUE("7948")</f>
        <v>7948</v>
      </c>
      <c r="C599" s="4" t="s">
        <v>2922</v>
      </c>
      <c r="D599" s="4" t="s">
        <v>2923</v>
      </c>
      <c r="E599" s="2">
        <f>VALUE("2018")</f>
        <v>2018</v>
      </c>
      <c r="F599" t="s">
        <v>1185</v>
      </c>
      <c r="G599" s="8" t="s">
        <v>2924</v>
      </c>
    </row>
    <row r="600" spans="1:7" x14ac:dyDescent="0.25">
      <c r="A600" s="4" t="s">
        <v>1185</v>
      </c>
      <c r="B600" s="2">
        <f>VALUE("7983")</f>
        <v>7983</v>
      </c>
      <c r="C600" s="4" t="s">
        <v>2988</v>
      </c>
      <c r="D600" s="4" t="s">
        <v>2989</v>
      </c>
      <c r="E600" s="2">
        <f>VALUE("2017")</f>
        <v>2017</v>
      </c>
      <c r="F600" t="s">
        <v>2990</v>
      </c>
    </row>
    <row r="601" spans="1:7" x14ac:dyDescent="0.25">
      <c r="A601" s="4" t="s">
        <v>1185</v>
      </c>
      <c r="B601" s="2">
        <f>VALUE("8046")</f>
        <v>8046</v>
      </c>
      <c r="C601" s="4" t="s">
        <v>3098</v>
      </c>
      <c r="D601" s="4" t="s">
        <v>3099</v>
      </c>
      <c r="E601" s="2">
        <f>VALUE("2019")</f>
        <v>2019</v>
      </c>
      <c r="F601" t="s">
        <v>1185</v>
      </c>
    </row>
    <row r="602" spans="1:7" x14ac:dyDescent="0.25">
      <c r="A602" s="4" t="s">
        <v>1185</v>
      </c>
      <c r="B602" s="2">
        <f>VALUE("8046")</f>
        <v>8046</v>
      </c>
      <c r="C602" s="4" t="s">
        <v>3100</v>
      </c>
      <c r="D602" s="4" t="s">
        <v>3101</v>
      </c>
      <c r="E602" s="2">
        <f>VALUE("2019")</f>
        <v>2019</v>
      </c>
      <c r="F602" t="s">
        <v>1185</v>
      </c>
    </row>
    <row r="603" spans="1:7" x14ac:dyDescent="0.25">
      <c r="A603" s="4" t="s">
        <v>1185</v>
      </c>
      <c r="B603" s="2">
        <f>VALUE("8084")</f>
        <v>8084</v>
      </c>
      <c r="C603" s="4" t="s">
        <v>3164</v>
      </c>
      <c r="D603" s="4" t="s">
        <v>3165</v>
      </c>
      <c r="E603" s="2">
        <f>VALUE("2018")</f>
        <v>2018</v>
      </c>
      <c r="F603" t="s">
        <v>3166</v>
      </c>
    </row>
    <row r="604" spans="1:7" x14ac:dyDescent="0.25">
      <c r="A604" s="4" t="s">
        <v>1185</v>
      </c>
      <c r="B604" s="2">
        <f>VALUE("8131")</f>
        <v>8131</v>
      </c>
      <c r="C604" s="4" t="s">
        <v>2628</v>
      </c>
      <c r="D604" s="4" t="s">
        <v>3293</v>
      </c>
      <c r="E604" s="2">
        <f>VALUE("2018")</f>
        <v>2018</v>
      </c>
      <c r="F604" t="s">
        <v>1185</v>
      </c>
    </row>
    <row r="605" spans="1:7" x14ac:dyDescent="0.25">
      <c r="A605" s="4" t="s">
        <v>1185</v>
      </c>
      <c r="B605" s="2">
        <f>VALUE("8131")</f>
        <v>8131</v>
      </c>
      <c r="C605" s="4" t="s">
        <v>2626</v>
      </c>
      <c r="D605" s="4" t="s">
        <v>3293</v>
      </c>
      <c r="E605" s="2">
        <f>VALUE("2018")</f>
        <v>2018</v>
      </c>
      <c r="F605" t="s">
        <v>1185</v>
      </c>
    </row>
    <row r="606" spans="1:7" x14ac:dyDescent="0.25">
      <c r="A606" s="4" t="s">
        <v>1185</v>
      </c>
      <c r="B606" s="2">
        <f>VALUE("8230")</f>
        <v>8230</v>
      </c>
      <c r="C606" s="4" t="s">
        <v>3526</v>
      </c>
      <c r="D606" s="4" t="s">
        <v>3165</v>
      </c>
      <c r="E606" s="2">
        <f>VALUE("2018")</f>
        <v>2018</v>
      </c>
      <c r="F606" t="s">
        <v>1185</v>
      </c>
    </row>
    <row r="607" spans="1:7" x14ac:dyDescent="0.25">
      <c r="A607" s="4" t="s">
        <v>1185</v>
      </c>
      <c r="B607" s="2">
        <f>VALUE("8234")</f>
        <v>8234</v>
      </c>
      <c r="C607" s="4" t="s">
        <v>3534</v>
      </c>
      <c r="D607" s="4" t="s">
        <v>3535</v>
      </c>
      <c r="E607" s="2">
        <f>VALUE("2018")</f>
        <v>2018</v>
      </c>
      <c r="F607" t="s">
        <v>1184</v>
      </c>
    </row>
    <row r="608" spans="1:7" x14ac:dyDescent="0.25">
      <c r="A608" s="4" t="s">
        <v>1185</v>
      </c>
      <c r="B608" s="2">
        <f>VALUE("8267")</f>
        <v>8267</v>
      </c>
      <c r="C608" s="4" t="s">
        <v>3638</v>
      </c>
      <c r="D608" s="4" t="s">
        <v>3639</v>
      </c>
      <c r="E608" s="2">
        <f>VALUE("2019")</f>
        <v>2019</v>
      </c>
      <c r="F608" t="s">
        <v>1185</v>
      </c>
      <c r="G608" s="8" t="s">
        <v>3640</v>
      </c>
    </row>
    <row r="609" spans="1:7" x14ac:dyDescent="0.25">
      <c r="A609" s="4" t="s">
        <v>1185</v>
      </c>
      <c r="B609" s="2">
        <f>VALUE("8300")</f>
        <v>8300</v>
      </c>
      <c r="C609" s="4" t="s">
        <v>3695</v>
      </c>
      <c r="D609" s="4" t="s">
        <v>3696</v>
      </c>
      <c r="E609" s="2">
        <f>VALUE("2020")</f>
        <v>2020</v>
      </c>
      <c r="F609" t="s">
        <v>1185</v>
      </c>
    </row>
    <row r="610" spans="1:7" x14ac:dyDescent="0.25">
      <c r="A610" s="4" t="s">
        <v>1185</v>
      </c>
      <c r="B610" s="2">
        <f>VALUE("8550")</f>
        <v>8550</v>
      </c>
      <c r="C610" s="4" t="s">
        <v>4231</v>
      </c>
      <c r="D610" s="4" t="s">
        <v>3165</v>
      </c>
      <c r="E610" s="2">
        <v>2020</v>
      </c>
      <c r="F610" t="s">
        <v>1185</v>
      </c>
      <c r="G610" s="8" t="s">
        <v>4232</v>
      </c>
    </row>
    <row r="611" spans="1:7" x14ac:dyDescent="0.25">
      <c r="A611" s="4" t="s">
        <v>1185</v>
      </c>
      <c r="B611" s="2" t="s">
        <v>5261</v>
      </c>
      <c r="C611" s="4" t="s">
        <v>2628</v>
      </c>
      <c r="D611" s="4" t="s">
        <v>2627</v>
      </c>
      <c r="E611" s="2">
        <f>VALUE("2019")</f>
        <v>2019</v>
      </c>
      <c r="F611" t="s">
        <v>1184</v>
      </c>
    </row>
    <row r="612" spans="1:7" x14ac:dyDescent="0.25">
      <c r="A612" s="4" t="s">
        <v>1185</v>
      </c>
      <c r="B612" s="2" t="s">
        <v>5261</v>
      </c>
      <c r="C612" s="4" t="s">
        <v>2626</v>
      </c>
      <c r="D612" s="4" t="s">
        <v>2627</v>
      </c>
      <c r="E612" s="2">
        <f>VALUE("2019")</f>
        <v>2019</v>
      </c>
      <c r="F612" t="s">
        <v>1185</v>
      </c>
    </row>
    <row r="613" spans="1:7" x14ac:dyDescent="0.25">
      <c r="A613" s="4" t="s">
        <v>3758</v>
      </c>
      <c r="B613" s="2">
        <f>VALUE("8319")</f>
        <v>8319</v>
      </c>
      <c r="C613" s="4" t="s">
        <v>3756</v>
      </c>
      <c r="D613" s="4" t="s">
        <v>3757</v>
      </c>
      <c r="E613" s="2">
        <f>VALUE("2018")</f>
        <v>2018</v>
      </c>
      <c r="F613" t="s">
        <v>3758</v>
      </c>
      <c r="G613" s="8" t="s">
        <v>3759</v>
      </c>
    </row>
    <row r="614" spans="1:7" x14ac:dyDescent="0.25">
      <c r="A614" s="4" t="s">
        <v>3754</v>
      </c>
      <c r="B614" s="2">
        <f>VALUE("8318")</f>
        <v>8318</v>
      </c>
      <c r="C614" s="4" t="s">
        <v>3751</v>
      </c>
      <c r="D614" s="4" t="s">
        <v>3752</v>
      </c>
      <c r="E614" s="2">
        <f>VALUE("2018")</f>
        <v>2018</v>
      </c>
      <c r="F614" t="s">
        <v>3753</v>
      </c>
      <c r="G614" s="8" t="s">
        <v>3755</v>
      </c>
    </row>
    <row r="615" spans="1:7" x14ac:dyDescent="0.25">
      <c r="A615" s="4" t="s">
        <v>4305</v>
      </c>
      <c r="B615" s="2">
        <f>VALUE("8593")</f>
        <v>8593</v>
      </c>
      <c r="C615" s="4" t="s">
        <v>4303</v>
      </c>
      <c r="D615" s="4" t="s">
        <v>293</v>
      </c>
      <c r="E615" s="2">
        <f>VALUE("2022")</f>
        <v>2022</v>
      </c>
      <c r="F615" t="s">
        <v>4304</v>
      </c>
      <c r="G615" s="8" t="s">
        <v>4306</v>
      </c>
    </row>
    <row r="616" spans="1:7" x14ac:dyDescent="0.25">
      <c r="A616" s="4" t="s">
        <v>4614</v>
      </c>
      <c r="B616" s="2">
        <f>VALUE("8729")</f>
        <v>8729</v>
      </c>
      <c r="C616" s="4" t="s">
        <v>4612</v>
      </c>
      <c r="D616" s="4" t="s">
        <v>4613</v>
      </c>
      <c r="E616" s="2">
        <f>VALUE("2022")</f>
        <v>2022</v>
      </c>
      <c r="F616" t="s">
        <v>4614</v>
      </c>
      <c r="G616" s="8" t="s">
        <v>5243</v>
      </c>
    </row>
    <row r="617" spans="1:7" x14ac:dyDescent="0.25">
      <c r="A617" t="s">
        <v>4931</v>
      </c>
      <c r="B617" s="2">
        <f>VALUE("8978")</f>
        <v>8978</v>
      </c>
      <c r="C617" s="4" t="s">
        <v>4929</v>
      </c>
      <c r="D617" s="4" t="s">
        <v>4930</v>
      </c>
      <c r="E617" s="2">
        <f>VALUE("2021")</f>
        <v>2021</v>
      </c>
      <c r="F617" t="s">
        <v>4931</v>
      </c>
      <c r="G617" s="8" t="s">
        <v>4932</v>
      </c>
    </row>
    <row r="618" spans="1:7" x14ac:dyDescent="0.25">
      <c r="A618" t="s">
        <v>4931</v>
      </c>
      <c r="B618" s="2">
        <f>VALUE("8978")</f>
        <v>8978</v>
      </c>
      <c r="C618" s="4" t="s">
        <v>4933</v>
      </c>
      <c r="D618" s="4" t="s">
        <v>4934</v>
      </c>
      <c r="E618" s="2">
        <f>VALUE("2021")</f>
        <v>2021</v>
      </c>
      <c r="F618" t="s">
        <v>4931</v>
      </c>
      <c r="G618" s="8" t="s">
        <v>4935</v>
      </c>
    </row>
    <row r="619" spans="1:7" x14ac:dyDescent="0.25">
      <c r="A619" s="4" t="s">
        <v>3147</v>
      </c>
      <c r="B619" s="2">
        <f>VALUE("8076")</f>
        <v>8076</v>
      </c>
      <c r="C619" s="4" t="s">
        <v>3145</v>
      </c>
      <c r="D619" s="4" t="s">
        <v>3146</v>
      </c>
      <c r="E619" s="2">
        <f>VALUE("2017")</f>
        <v>2017</v>
      </c>
      <c r="F619" t="s">
        <v>207</v>
      </c>
    </row>
    <row r="620" spans="1:7" x14ac:dyDescent="0.25">
      <c r="A620" s="4" t="s">
        <v>3147</v>
      </c>
      <c r="B620" s="2">
        <f>VALUE("8772")</f>
        <v>8772</v>
      </c>
      <c r="C620" s="4" t="s">
        <v>4680</v>
      </c>
      <c r="D620" s="4" t="s">
        <v>4681</v>
      </c>
      <c r="E620" s="2">
        <f>VALUE("2020")</f>
        <v>2020</v>
      </c>
      <c r="F620" t="s">
        <v>4682</v>
      </c>
    </row>
    <row r="621" spans="1:7" x14ac:dyDescent="0.25">
      <c r="A621" s="4" t="s">
        <v>4182</v>
      </c>
      <c r="B621" s="2">
        <f>VALUE("8528")</f>
        <v>8528</v>
      </c>
      <c r="C621" s="4" t="s">
        <v>4179</v>
      </c>
      <c r="D621" s="4" t="s">
        <v>4180</v>
      </c>
      <c r="E621" s="2">
        <f>VALUE("2019")</f>
        <v>2019</v>
      </c>
      <c r="F621" t="s">
        <v>4181</v>
      </c>
      <c r="G621" s="8" t="s">
        <v>4183</v>
      </c>
    </row>
    <row r="622" spans="1:7" x14ac:dyDescent="0.25">
      <c r="A622" s="4" t="s">
        <v>482</v>
      </c>
      <c r="B622" s="2">
        <f>VALUE("6179")</f>
        <v>6179</v>
      </c>
      <c r="C622" s="4" t="s">
        <v>480</v>
      </c>
      <c r="D622" s="4" t="s">
        <v>481</v>
      </c>
      <c r="E622" s="2">
        <f>VALUE("2012")</f>
        <v>2012</v>
      </c>
      <c r="F622" t="s">
        <v>481</v>
      </c>
      <c r="G622" s="8" t="s">
        <v>483</v>
      </c>
    </row>
    <row r="623" spans="1:7" x14ac:dyDescent="0.25">
      <c r="A623" s="4" t="s">
        <v>482</v>
      </c>
      <c r="B623" s="2">
        <f>VALUE("7624")</f>
        <v>7624</v>
      </c>
      <c r="C623" s="4" t="s">
        <v>2121</v>
      </c>
      <c r="D623" s="4" t="s">
        <v>293</v>
      </c>
      <c r="E623" s="2">
        <f>VALUE("2014")</f>
        <v>2014</v>
      </c>
      <c r="F623" t="s">
        <v>2122</v>
      </c>
      <c r="G623" s="8" t="s">
        <v>2123</v>
      </c>
    </row>
    <row r="624" spans="1:7" x14ac:dyDescent="0.25">
      <c r="A624" s="4" t="s">
        <v>482</v>
      </c>
      <c r="B624" s="2">
        <f>VALUE("7967")</f>
        <v>7967</v>
      </c>
      <c r="C624" s="4" t="s">
        <v>2955</v>
      </c>
      <c r="D624" s="4" t="s">
        <v>2956</v>
      </c>
      <c r="E624" s="2">
        <f>VALUE("2019")</f>
        <v>2019</v>
      </c>
      <c r="F624" t="s">
        <v>2959</v>
      </c>
      <c r="G624" s="8" t="s">
        <v>2958</v>
      </c>
    </row>
    <row r="625" spans="1:7" x14ac:dyDescent="0.25">
      <c r="A625" s="4" t="s">
        <v>482</v>
      </c>
      <c r="B625" s="2">
        <f>VALUE("8091")</f>
        <v>8091</v>
      </c>
      <c r="C625" s="4" t="s">
        <v>3192</v>
      </c>
      <c r="D625" s="4" t="s">
        <v>2956</v>
      </c>
      <c r="E625" s="2">
        <f>VALUE("2018")</f>
        <v>2018</v>
      </c>
      <c r="F625" t="s">
        <v>2959</v>
      </c>
      <c r="G625" s="8" t="s">
        <v>3193</v>
      </c>
    </row>
    <row r="626" spans="1:7" x14ac:dyDescent="0.25">
      <c r="A626" s="4" t="s">
        <v>482</v>
      </c>
      <c r="B626" s="2">
        <f>VALUE("8092")</f>
        <v>8092</v>
      </c>
      <c r="C626" s="4" t="s">
        <v>3194</v>
      </c>
      <c r="D626" s="4" t="s">
        <v>2956</v>
      </c>
      <c r="E626" s="2">
        <f>VALUE("2019")</f>
        <v>2019</v>
      </c>
      <c r="F626" t="s">
        <v>2959</v>
      </c>
      <c r="G626" s="8" t="s">
        <v>3195</v>
      </c>
    </row>
    <row r="627" spans="1:7" x14ac:dyDescent="0.25">
      <c r="A627" s="4" t="s">
        <v>482</v>
      </c>
      <c r="B627" s="2">
        <f>VALUE("8258")</f>
        <v>8258</v>
      </c>
      <c r="C627" s="4" t="s">
        <v>3614</v>
      </c>
      <c r="D627" s="4" t="s">
        <v>293</v>
      </c>
      <c r="E627" s="2">
        <f>VALUE("2018")</f>
        <v>2018</v>
      </c>
      <c r="F627" t="s">
        <v>2959</v>
      </c>
      <c r="G627" s="8" t="s">
        <v>3615</v>
      </c>
    </row>
    <row r="628" spans="1:7" x14ac:dyDescent="0.25">
      <c r="A628" s="4" t="s">
        <v>482</v>
      </c>
      <c r="B628" s="2">
        <f>VALUE("8346")</f>
        <v>8346</v>
      </c>
      <c r="C628" s="4" t="s">
        <v>3796</v>
      </c>
      <c r="D628" s="4" t="s">
        <v>3794</v>
      </c>
      <c r="E628" s="2">
        <f>VALUE("2019")</f>
        <v>2019</v>
      </c>
      <c r="F628" t="s">
        <v>3795</v>
      </c>
      <c r="G628" s="8" t="s">
        <v>3797</v>
      </c>
    </row>
    <row r="629" spans="1:7" x14ac:dyDescent="0.25">
      <c r="A629" s="4" t="s">
        <v>482</v>
      </c>
      <c r="B629" s="2">
        <f>VALUE("8346")</f>
        <v>8346</v>
      </c>
      <c r="C629" s="4" t="s">
        <v>3793</v>
      </c>
      <c r="D629" s="4" t="s">
        <v>3794</v>
      </c>
      <c r="E629" s="2">
        <f>VALUE("2017")</f>
        <v>2017</v>
      </c>
      <c r="F629" t="s">
        <v>3795</v>
      </c>
    </row>
    <row r="630" spans="1:7" x14ac:dyDescent="0.25">
      <c r="A630" s="4" t="s">
        <v>482</v>
      </c>
      <c r="B630" s="2">
        <f>VALUE("9194")</f>
        <v>9194</v>
      </c>
      <c r="C630" s="4" t="s">
        <v>5109</v>
      </c>
      <c r="D630" s="4" t="s">
        <v>293</v>
      </c>
      <c r="E630" s="2">
        <f>VALUE("2023")</f>
        <v>2023</v>
      </c>
      <c r="F630" t="s">
        <v>5110</v>
      </c>
      <c r="G630" s="8" t="s">
        <v>5111</v>
      </c>
    </row>
    <row r="631" spans="1:7" x14ac:dyDescent="0.25">
      <c r="A631" s="4" t="s">
        <v>482</v>
      </c>
      <c r="B631" s="2" t="s">
        <v>5262</v>
      </c>
      <c r="C631" s="4" t="s">
        <v>2955</v>
      </c>
      <c r="D631" s="4" t="s">
        <v>2956</v>
      </c>
      <c r="E631" s="2">
        <f>VALUE("2018")</f>
        <v>2018</v>
      </c>
      <c r="F631" t="s">
        <v>2957</v>
      </c>
      <c r="G631" s="8" t="s">
        <v>2958</v>
      </c>
    </row>
    <row r="632" spans="1:7" x14ac:dyDescent="0.25">
      <c r="A632" s="4" t="s">
        <v>2648</v>
      </c>
      <c r="B632" s="2">
        <f>VALUE("7830")</f>
        <v>7830</v>
      </c>
      <c r="C632" s="4" t="s">
        <v>2649</v>
      </c>
      <c r="D632" s="4" t="s">
        <v>2647</v>
      </c>
      <c r="E632" s="2">
        <f>VALUE("2017")</f>
        <v>2017</v>
      </c>
      <c r="F632" t="s">
        <v>2647</v>
      </c>
      <c r="G632" s="8" t="s">
        <v>2650</v>
      </c>
    </row>
    <row r="633" spans="1:7" x14ac:dyDescent="0.25">
      <c r="A633" s="4" t="s">
        <v>2648</v>
      </c>
      <c r="B633" s="2">
        <f>VALUE("7830")</f>
        <v>7830</v>
      </c>
      <c r="C633" s="4" t="s">
        <v>2653</v>
      </c>
      <c r="D633" s="4" t="s">
        <v>2654</v>
      </c>
      <c r="E633" s="2">
        <f>VALUE("2018")</f>
        <v>2018</v>
      </c>
      <c r="F633" t="s">
        <v>2655</v>
      </c>
      <c r="G633" s="8" t="s">
        <v>2656</v>
      </c>
    </row>
    <row r="634" spans="1:7" x14ac:dyDescent="0.25">
      <c r="A634" s="4" t="s">
        <v>2648</v>
      </c>
      <c r="B634" s="2">
        <f>VALUE("7830")</f>
        <v>7830</v>
      </c>
      <c r="C634" s="4" t="s">
        <v>2651</v>
      </c>
      <c r="D634" s="4" t="s">
        <v>2647</v>
      </c>
      <c r="E634" s="2">
        <f>VALUE("2017")</f>
        <v>2017</v>
      </c>
      <c r="F634" t="s">
        <v>2647</v>
      </c>
      <c r="G634" s="8" t="s">
        <v>2652</v>
      </c>
    </row>
    <row r="635" spans="1:7" x14ac:dyDescent="0.25">
      <c r="A635" s="4" t="s">
        <v>2648</v>
      </c>
      <c r="B635" s="2">
        <f>VALUE("8078")</f>
        <v>8078</v>
      </c>
      <c r="C635" s="4" t="s">
        <v>3150</v>
      </c>
      <c r="D635" s="4" t="s">
        <v>293</v>
      </c>
      <c r="E635" s="2">
        <f>VALUE("2018")</f>
        <v>2018</v>
      </c>
      <c r="F635" t="s">
        <v>2655</v>
      </c>
      <c r="G635" s="8" t="s">
        <v>3151</v>
      </c>
    </row>
    <row r="636" spans="1:7" x14ac:dyDescent="0.25">
      <c r="A636" s="4" t="s">
        <v>2648</v>
      </c>
      <c r="B636" s="2">
        <f>VALUE("9010")</f>
        <v>9010</v>
      </c>
      <c r="C636" s="4" t="s">
        <v>4955</v>
      </c>
      <c r="D636" s="4" t="s">
        <v>293</v>
      </c>
      <c r="E636" s="2">
        <f>VALUE("2022")</f>
        <v>2022</v>
      </c>
      <c r="F636" t="s">
        <v>4956</v>
      </c>
      <c r="G636" s="8" t="s">
        <v>4957</v>
      </c>
    </row>
    <row r="637" spans="1:7" x14ac:dyDescent="0.25">
      <c r="A637" s="4" t="s">
        <v>2648</v>
      </c>
      <c r="B637" s="2" t="s">
        <v>5263</v>
      </c>
      <c r="C637" s="4" t="s">
        <v>2646</v>
      </c>
      <c r="D637" s="4" t="s">
        <v>2647</v>
      </c>
      <c r="E637" s="2">
        <f>VALUE("2015")</f>
        <v>2015</v>
      </c>
      <c r="F637" t="s">
        <v>2647</v>
      </c>
    </row>
    <row r="638" spans="1:7" x14ac:dyDescent="0.25">
      <c r="A638" t="s">
        <v>2055</v>
      </c>
      <c r="B638" s="2">
        <f>VALUE("8751")</f>
        <v>8751</v>
      </c>
      <c r="C638" s="4" t="s">
        <v>3049</v>
      </c>
      <c r="D638" s="4" t="s">
        <v>3050</v>
      </c>
      <c r="E638" s="2">
        <f>VALUE("2017")</f>
        <v>2017</v>
      </c>
      <c r="F638" t="s">
        <v>2055</v>
      </c>
    </row>
    <row r="639" spans="1:7" x14ac:dyDescent="0.25">
      <c r="A639" s="4" t="s">
        <v>1069</v>
      </c>
      <c r="B639" s="2">
        <f>VALUE("7207")</f>
        <v>7207</v>
      </c>
      <c r="C639" s="4" t="s">
        <v>1067</v>
      </c>
      <c r="D639" s="4" t="s">
        <v>1068</v>
      </c>
      <c r="E639" s="2">
        <f>VALUE("2011")</f>
        <v>2011</v>
      </c>
      <c r="F639" t="s">
        <v>149</v>
      </c>
    </row>
    <row r="640" spans="1:7" x14ac:dyDescent="0.25">
      <c r="A640" s="4" t="s">
        <v>1069</v>
      </c>
      <c r="B640" s="2">
        <f>VALUE("7351")</f>
        <v>7351</v>
      </c>
      <c r="C640" s="4" t="s">
        <v>1537</v>
      </c>
      <c r="D640" s="4" t="s">
        <v>1538</v>
      </c>
      <c r="E640" s="2">
        <f>VALUE("2013")</f>
        <v>2013</v>
      </c>
      <c r="F640" t="s">
        <v>1539</v>
      </c>
    </row>
    <row r="641" spans="1:7" x14ac:dyDescent="0.25">
      <c r="A641" s="4" t="s">
        <v>1069</v>
      </c>
      <c r="B641" s="2">
        <f>VALUE("7351")</f>
        <v>7351</v>
      </c>
      <c r="C641" s="4" t="s">
        <v>1540</v>
      </c>
      <c r="D641" s="4" t="s">
        <v>1541</v>
      </c>
      <c r="E641" s="2">
        <f>VALUE("2013")</f>
        <v>2013</v>
      </c>
      <c r="F641" t="s">
        <v>149</v>
      </c>
    </row>
    <row r="642" spans="1:7" x14ac:dyDescent="0.25">
      <c r="A642" s="4" t="s">
        <v>1069</v>
      </c>
      <c r="B642" s="2">
        <f>VALUE("7354")</f>
        <v>7354</v>
      </c>
      <c r="C642" s="4" t="s">
        <v>1548</v>
      </c>
      <c r="D642" s="4" t="s">
        <v>1549</v>
      </c>
      <c r="E642" s="2">
        <f>VALUE("2021")</f>
        <v>2021</v>
      </c>
      <c r="F642" t="s">
        <v>1550</v>
      </c>
      <c r="G642" s="8" t="s">
        <v>1551</v>
      </c>
    </row>
    <row r="643" spans="1:7" x14ac:dyDescent="0.25">
      <c r="A643" s="4" t="s">
        <v>1069</v>
      </c>
      <c r="B643" s="2">
        <f>VALUE("7697")</f>
        <v>7697</v>
      </c>
      <c r="C643" s="4" t="s">
        <v>2374</v>
      </c>
      <c r="D643" s="4" t="s">
        <v>2375</v>
      </c>
      <c r="E643" s="2">
        <f>VALUE("2018")</f>
        <v>2018</v>
      </c>
      <c r="F643" t="s">
        <v>2376</v>
      </c>
      <c r="G643" s="8" t="s">
        <v>2377</v>
      </c>
    </row>
    <row r="644" spans="1:7" x14ac:dyDescent="0.25">
      <c r="A644" s="4" t="s">
        <v>1069</v>
      </c>
      <c r="B644" s="2">
        <f>VALUE("7697")</f>
        <v>7697</v>
      </c>
      <c r="C644" s="4" t="s">
        <v>2378</v>
      </c>
      <c r="D644" s="4" t="s">
        <v>2375</v>
      </c>
      <c r="E644" s="2">
        <f>VALUE("2015")</f>
        <v>2015</v>
      </c>
      <c r="F644" t="s">
        <v>2376</v>
      </c>
      <c r="G644" s="8" t="s">
        <v>2379</v>
      </c>
    </row>
    <row r="645" spans="1:7" x14ac:dyDescent="0.25">
      <c r="A645" s="4" t="s">
        <v>1069</v>
      </c>
      <c r="B645" s="2">
        <f>VALUE("8015")</f>
        <v>8015</v>
      </c>
      <c r="C645" s="4" t="s">
        <v>3021</v>
      </c>
      <c r="D645" s="4" t="s">
        <v>3022</v>
      </c>
      <c r="E645" s="2">
        <f>VALUE("2016")</f>
        <v>2016</v>
      </c>
      <c r="F645" t="s">
        <v>201</v>
      </c>
      <c r="G645" s="8" t="s">
        <v>3023</v>
      </c>
    </row>
    <row r="646" spans="1:7" x14ac:dyDescent="0.25">
      <c r="A646" s="4" t="s">
        <v>1069</v>
      </c>
      <c r="B646" s="2">
        <f>VALUE("8026")</f>
        <v>8026</v>
      </c>
      <c r="C646" s="4" t="s">
        <v>3045</v>
      </c>
      <c r="D646" s="4" t="s">
        <v>3046</v>
      </c>
      <c r="E646" s="2">
        <f>VALUE("2018")</f>
        <v>2018</v>
      </c>
      <c r="F646" t="s">
        <v>2055</v>
      </c>
    </row>
    <row r="647" spans="1:7" x14ac:dyDescent="0.25">
      <c r="A647" s="4" t="s">
        <v>1069</v>
      </c>
      <c r="B647" s="2">
        <f>VALUE("8026")</f>
        <v>8026</v>
      </c>
      <c r="C647" s="4" t="s">
        <v>3047</v>
      </c>
      <c r="D647" s="4" t="s">
        <v>3048</v>
      </c>
      <c r="E647" s="2">
        <f>VALUE("2019")</f>
        <v>2019</v>
      </c>
      <c r="F647" t="s">
        <v>2055</v>
      </c>
    </row>
    <row r="648" spans="1:7" x14ac:dyDescent="0.25">
      <c r="A648" s="4" t="s">
        <v>1069</v>
      </c>
      <c r="B648" s="2">
        <f>VALUE("8286")</f>
        <v>8286</v>
      </c>
      <c r="C648" s="4" t="s">
        <v>3673</v>
      </c>
      <c r="D648" s="4" t="s">
        <v>3674</v>
      </c>
      <c r="E648" s="2">
        <f>VALUE("2018")</f>
        <v>2018</v>
      </c>
      <c r="F648" t="s">
        <v>232</v>
      </c>
      <c r="G648" s="8" t="s">
        <v>3675</v>
      </c>
    </row>
    <row r="649" spans="1:7" x14ac:dyDescent="0.25">
      <c r="A649" s="4" t="s">
        <v>1069</v>
      </c>
      <c r="B649" s="2">
        <f>VALUE("8356")</f>
        <v>8356</v>
      </c>
      <c r="C649" s="4" t="s">
        <v>3810</v>
      </c>
      <c r="D649" s="4" t="s">
        <v>3811</v>
      </c>
      <c r="E649" s="2">
        <f>VALUE("2019")</f>
        <v>2019</v>
      </c>
      <c r="F649" t="s">
        <v>2376</v>
      </c>
    </row>
    <row r="650" spans="1:7" x14ac:dyDescent="0.25">
      <c r="A650" s="4" t="s">
        <v>1069</v>
      </c>
      <c r="B650" s="2">
        <f>VALUE("8751")</f>
        <v>8751</v>
      </c>
      <c r="C650" s="4" t="s">
        <v>4654</v>
      </c>
      <c r="D650" s="4" t="s">
        <v>3048</v>
      </c>
      <c r="E650" s="2">
        <f>VALUE("2020")</f>
        <v>2020</v>
      </c>
      <c r="F650" t="s">
        <v>2055</v>
      </c>
    </row>
    <row r="651" spans="1:7" x14ac:dyDescent="0.25">
      <c r="A651" s="4" t="s">
        <v>1069</v>
      </c>
      <c r="B651" s="2" t="s">
        <v>5264</v>
      </c>
      <c r="C651" s="4" t="s">
        <v>3049</v>
      </c>
      <c r="D651" s="4" t="s">
        <v>3050</v>
      </c>
      <c r="E651" s="2">
        <f>VALUE("2017")</f>
        <v>2017</v>
      </c>
      <c r="F651" t="s">
        <v>2055</v>
      </c>
    </row>
    <row r="652" spans="1:7" x14ac:dyDescent="0.25">
      <c r="A652" s="4" t="s">
        <v>4132</v>
      </c>
      <c r="B652" s="2">
        <f>VALUE("8510")</f>
        <v>8510</v>
      </c>
      <c r="C652" s="4" t="s">
        <v>4130</v>
      </c>
      <c r="D652" s="4" t="s">
        <v>293</v>
      </c>
      <c r="E652" s="2">
        <f>VALUE("2020")</f>
        <v>2020</v>
      </c>
      <c r="F652" t="s">
        <v>4131</v>
      </c>
      <c r="G652" s="8" t="s">
        <v>4133</v>
      </c>
    </row>
    <row r="653" spans="1:7" x14ac:dyDescent="0.25">
      <c r="A653" s="4" t="s">
        <v>4132</v>
      </c>
      <c r="B653" s="2">
        <f>VALUE("9160")</f>
        <v>9160</v>
      </c>
      <c r="C653" s="4" t="s">
        <v>5074</v>
      </c>
      <c r="D653" s="4" t="s">
        <v>293</v>
      </c>
      <c r="E653" s="2">
        <f>VALUE("2022")</f>
        <v>2022</v>
      </c>
      <c r="F653" t="s">
        <v>5075</v>
      </c>
      <c r="G653" s="8" t="s">
        <v>5076</v>
      </c>
    </row>
    <row r="654" spans="1:7" x14ac:dyDescent="0.25">
      <c r="A654" s="4" t="s">
        <v>4132</v>
      </c>
      <c r="B654" s="2">
        <f>VALUE("9162")</f>
        <v>9162</v>
      </c>
      <c r="C654" s="4" t="s">
        <v>5077</v>
      </c>
      <c r="D654" s="4" t="s">
        <v>5078</v>
      </c>
      <c r="E654" s="2">
        <f>VALUE("2021")</f>
        <v>2021</v>
      </c>
      <c r="F654" t="s">
        <v>5075</v>
      </c>
      <c r="G654" s="8" t="s">
        <v>5079</v>
      </c>
    </row>
    <row r="655" spans="1:7" x14ac:dyDescent="0.25">
      <c r="A655" s="4" t="s">
        <v>1762</v>
      </c>
      <c r="B655" s="2">
        <f>VALUE("7462")</f>
        <v>7462</v>
      </c>
      <c r="C655" s="4" t="s">
        <v>1759</v>
      </c>
      <c r="D655" s="4" t="s">
        <v>1760</v>
      </c>
      <c r="E655" s="2">
        <f>VALUE("2013")</f>
        <v>2013</v>
      </c>
      <c r="F655" t="s">
        <v>1761</v>
      </c>
    </row>
    <row r="656" spans="1:7" x14ac:dyDescent="0.25">
      <c r="A656" s="4" t="s">
        <v>1762</v>
      </c>
      <c r="B656" s="2">
        <f>VALUE("7982")</f>
        <v>7982</v>
      </c>
      <c r="C656" s="4" t="s">
        <v>2985</v>
      </c>
      <c r="D656" s="4" t="s">
        <v>2986</v>
      </c>
      <c r="E656" s="2">
        <f>VALUE("2017")</f>
        <v>2017</v>
      </c>
      <c r="F656" t="s">
        <v>2987</v>
      </c>
    </row>
    <row r="657" spans="1:7" x14ac:dyDescent="0.25">
      <c r="A657" s="4" t="s">
        <v>1762</v>
      </c>
      <c r="B657" s="2">
        <f>VALUE("8039")</f>
        <v>8039</v>
      </c>
      <c r="C657" s="4" t="s">
        <v>3074</v>
      </c>
      <c r="D657" s="4" t="s">
        <v>3075</v>
      </c>
      <c r="E657" s="2">
        <f>VALUE("2017")</f>
        <v>2017</v>
      </c>
      <c r="F657" t="s">
        <v>3076</v>
      </c>
    </row>
    <row r="658" spans="1:7" x14ac:dyDescent="0.25">
      <c r="A658" s="4" t="s">
        <v>1762</v>
      </c>
      <c r="B658" s="2">
        <f>VALUE("8039")</f>
        <v>8039</v>
      </c>
      <c r="C658" s="4" t="s">
        <v>3072</v>
      </c>
      <c r="D658" s="4" t="s">
        <v>3073</v>
      </c>
      <c r="E658" s="2">
        <f>VALUE("2017")</f>
        <v>2017</v>
      </c>
      <c r="F658" t="s">
        <v>1870</v>
      </c>
    </row>
    <row r="659" spans="1:7" x14ac:dyDescent="0.25">
      <c r="A659" s="4" t="s">
        <v>1762</v>
      </c>
      <c r="B659" s="2">
        <f t="shared" ref="B659:B664" si="13">VALUE("8479")</f>
        <v>8479</v>
      </c>
      <c r="C659" s="4" t="s">
        <v>4044</v>
      </c>
      <c r="D659" s="4" t="s">
        <v>4039</v>
      </c>
      <c r="E659" s="2">
        <f>VALUE("2021")</f>
        <v>2021</v>
      </c>
      <c r="F659" t="s">
        <v>3076</v>
      </c>
      <c r="G659" s="8" t="s">
        <v>4045</v>
      </c>
    </row>
    <row r="660" spans="1:7" x14ac:dyDescent="0.25">
      <c r="A660" s="4" t="s">
        <v>1762</v>
      </c>
      <c r="B660" s="2">
        <f t="shared" si="13"/>
        <v>8479</v>
      </c>
      <c r="C660" s="4" t="s">
        <v>4038</v>
      </c>
      <c r="D660" s="4" t="s">
        <v>4039</v>
      </c>
      <c r="E660" s="2">
        <f>VALUE("2021")</f>
        <v>2021</v>
      </c>
      <c r="F660" t="s">
        <v>3076</v>
      </c>
      <c r="G660" s="8" t="s">
        <v>4040</v>
      </c>
    </row>
    <row r="661" spans="1:7" x14ac:dyDescent="0.25">
      <c r="A661" s="4" t="s">
        <v>1762</v>
      </c>
      <c r="B661" s="2">
        <f t="shared" si="13"/>
        <v>8479</v>
      </c>
      <c r="C661" s="4" t="s">
        <v>4046</v>
      </c>
      <c r="D661" s="4" t="s">
        <v>4047</v>
      </c>
      <c r="E661" s="2">
        <f>VALUE("2021")</f>
        <v>2021</v>
      </c>
      <c r="F661" t="s">
        <v>3076</v>
      </c>
      <c r="G661" s="8" t="s">
        <v>4048</v>
      </c>
    </row>
    <row r="662" spans="1:7" x14ac:dyDescent="0.25">
      <c r="A662" s="4" t="s">
        <v>1762</v>
      </c>
      <c r="B662" s="2">
        <f t="shared" si="13"/>
        <v>8479</v>
      </c>
      <c r="C662" s="4" t="s">
        <v>4041</v>
      </c>
      <c r="D662" s="4" t="s">
        <v>4042</v>
      </c>
      <c r="E662" s="2">
        <f>VALUE("2021")</f>
        <v>2021</v>
      </c>
      <c r="F662" t="s">
        <v>3076</v>
      </c>
      <c r="G662" s="8" t="s">
        <v>4043</v>
      </c>
    </row>
    <row r="663" spans="1:7" x14ac:dyDescent="0.25">
      <c r="A663" s="4" t="s">
        <v>1762</v>
      </c>
      <c r="B663" s="2">
        <f t="shared" si="13"/>
        <v>8479</v>
      </c>
      <c r="C663" s="4" t="s">
        <v>4049</v>
      </c>
      <c r="D663" s="4" t="s">
        <v>4050</v>
      </c>
      <c r="E663" s="2">
        <f>VALUE("2021")</f>
        <v>2021</v>
      </c>
      <c r="F663" t="s">
        <v>3076</v>
      </c>
      <c r="G663" s="8" t="s">
        <v>4051</v>
      </c>
    </row>
    <row r="664" spans="1:7" x14ac:dyDescent="0.25">
      <c r="A664" s="4" t="s">
        <v>1762</v>
      </c>
      <c r="B664" s="2">
        <f t="shared" si="13"/>
        <v>8479</v>
      </c>
      <c r="C664" s="4" t="s">
        <v>4052</v>
      </c>
      <c r="D664" s="4" t="s">
        <v>4053</v>
      </c>
      <c r="E664" s="2">
        <f>VALUE("2022")</f>
        <v>2022</v>
      </c>
      <c r="F664" t="s">
        <v>3076</v>
      </c>
      <c r="G664" s="8" t="s">
        <v>4054</v>
      </c>
    </row>
    <row r="665" spans="1:7" x14ac:dyDescent="0.25">
      <c r="A665" s="4" t="s">
        <v>1762</v>
      </c>
      <c r="B665" s="2">
        <f>VALUE("9047")</f>
        <v>9047</v>
      </c>
      <c r="C665" s="4" t="s">
        <v>4976</v>
      </c>
      <c r="D665" s="4" t="s">
        <v>4977</v>
      </c>
      <c r="E665" s="2">
        <f>VALUE("2021")</f>
        <v>2021</v>
      </c>
      <c r="F665" t="s">
        <v>3076</v>
      </c>
      <c r="G665" s="8" t="s">
        <v>4978</v>
      </c>
    </row>
    <row r="666" spans="1:7" x14ac:dyDescent="0.25">
      <c r="A666" s="4" t="s">
        <v>1762</v>
      </c>
      <c r="B666" s="2">
        <f>VALUE("9082")</f>
        <v>9082</v>
      </c>
      <c r="C666" s="4" t="s">
        <v>5014</v>
      </c>
      <c r="D666" s="4" t="s">
        <v>5015</v>
      </c>
      <c r="E666" s="2">
        <f>VALUE("2022")</f>
        <v>2022</v>
      </c>
      <c r="F666" t="s">
        <v>3076</v>
      </c>
      <c r="G666" s="8" t="s">
        <v>5016</v>
      </c>
    </row>
    <row r="667" spans="1:7" x14ac:dyDescent="0.25">
      <c r="A667" s="4" t="s">
        <v>1762</v>
      </c>
      <c r="B667" s="2">
        <f>VALUE("9082")</f>
        <v>9082</v>
      </c>
      <c r="C667" s="4" t="s">
        <v>5017</v>
      </c>
      <c r="D667" s="4" t="s">
        <v>5018</v>
      </c>
      <c r="E667" s="2">
        <f>VALUE("2022")</f>
        <v>2022</v>
      </c>
      <c r="F667" t="s">
        <v>3076</v>
      </c>
      <c r="G667" s="8" t="s">
        <v>5019</v>
      </c>
    </row>
    <row r="668" spans="1:7" x14ac:dyDescent="0.25">
      <c r="A668" s="4" t="s">
        <v>1762</v>
      </c>
      <c r="B668" s="2">
        <f>VALUE("9082")</f>
        <v>9082</v>
      </c>
      <c r="C668" s="4" t="s">
        <v>5020</v>
      </c>
      <c r="D668" s="4" t="s">
        <v>5021</v>
      </c>
      <c r="E668" s="2">
        <f>VALUE("2021")</f>
        <v>2021</v>
      </c>
      <c r="F668" t="s">
        <v>3076</v>
      </c>
      <c r="G668" s="8" t="s">
        <v>5020</v>
      </c>
    </row>
    <row r="669" spans="1:7" x14ac:dyDescent="0.25">
      <c r="A669" s="4" t="s">
        <v>1762</v>
      </c>
      <c r="B669" s="2" t="s">
        <v>5265</v>
      </c>
      <c r="C669" s="4" t="s">
        <v>4055</v>
      </c>
      <c r="D669" s="4" t="s">
        <v>4056</v>
      </c>
      <c r="E669" s="2">
        <f>VALUE("2021")</f>
        <v>2021</v>
      </c>
      <c r="F669" t="s">
        <v>3076</v>
      </c>
      <c r="G669" s="8" t="s">
        <v>4057</v>
      </c>
    </row>
    <row r="670" spans="1:7" x14ac:dyDescent="0.25">
      <c r="A670" s="4" t="s">
        <v>4405</v>
      </c>
      <c r="B670" s="2">
        <f>VALUE("8635")</f>
        <v>8635</v>
      </c>
      <c r="C670" s="4" t="s">
        <v>4403</v>
      </c>
      <c r="D670" s="4" t="s">
        <v>4404</v>
      </c>
      <c r="E670" s="2">
        <f>VALUE("2019")</f>
        <v>2019</v>
      </c>
      <c r="F670" t="s">
        <v>4405</v>
      </c>
      <c r="G670" s="8" t="s">
        <v>4406</v>
      </c>
    </row>
    <row r="671" spans="1:7" x14ac:dyDescent="0.25">
      <c r="A671" s="4" t="s">
        <v>4405</v>
      </c>
      <c r="B671" s="2">
        <f>VALUE("8635")</f>
        <v>8635</v>
      </c>
      <c r="C671" s="4" t="s">
        <v>4407</v>
      </c>
      <c r="D671" s="4" t="s">
        <v>4404</v>
      </c>
      <c r="E671" s="2">
        <f>VALUE("2020")</f>
        <v>2020</v>
      </c>
      <c r="F671" t="s">
        <v>4405</v>
      </c>
      <c r="G671" s="8" t="s">
        <v>4408</v>
      </c>
    </row>
    <row r="672" spans="1:7" x14ac:dyDescent="0.25">
      <c r="A672" s="4" t="s">
        <v>1144</v>
      </c>
      <c r="B672" s="2">
        <f>VALUE("7245")</f>
        <v>7245</v>
      </c>
      <c r="C672" s="4" t="s">
        <v>1142</v>
      </c>
      <c r="D672" s="4" t="s">
        <v>1143</v>
      </c>
      <c r="E672" s="2">
        <f>VALUE("2011")</f>
        <v>2011</v>
      </c>
      <c r="F672" t="s">
        <v>1143</v>
      </c>
    </row>
    <row r="673" spans="1:7" x14ac:dyDescent="0.25">
      <c r="A673" s="4" t="s">
        <v>1144</v>
      </c>
      <c r="B673" s="2">
        <f t="shared" ref="B673:B679" si="14">VALUE("7599")</f>
        <v>7599</v>
      </c>
      <c r="C673" s="4" t="s">
        <v>2041</v>
      </c>
      <c r="D673" s="4" t="s">
        <v>2042</v>
      </c>
      <c r="E673" s="2">
        <f t="shared" ref="E673:E679" si="15">VALUE("2015")</f>
        <v>2015</v>
      </c>
      <c r="F673" t="s">
        <v>2042</v>
      </c>
    </row>
    <row r="674" spans="1:7" x14ac:dyDescent="0.25">
      <c r="A674" s="4" t="s">
        <v>1144</v>
      </c>
      <c r="B674" s="2">
        <f t="shared" si="14"/>
        <v>7599</v>
      </c>
      <c r="C674" s="4" t="s">
        <v>2047</v>
      </c>
      <c r="D674" s="4" t="s">
        <v>2048</v>
      </c>
      <c r="E674" s="2">
        <f t="shared" si="15"/>
        <v>2015</v>
      </c>
      <c r="F674" t="s">
        <v>2049</v>
      </c>
    </row>
    <row r="675" spans="1:7" x14ac:dyDescent="0.25">
      <c r="A675" s="4" t="s">
        <v>1144</v>
      </c>
      <c r="B675" s="2">
        <f t="shared" si="14"/>
        <v>7599</v>
      </c>
      <c r="C675" s="4" t="s">
        <v>2052</v>
      </c>
      <c r="D675" s="4" t="s">
        <v>2053</v>
      </c>
      <c r="E675" s="2">
        <f t="shared" si="15"/>
        <v>2015</v>
      </c>
      <c r="F675" t="s">
        <v>2042</v>
      </c>
    </row>
    <row r="676" spans="1:7" x14ac:dyDescent="0.25">
      <c r="A676" s="4" t="s">
        <v>1144</v>
      </c>
      <c r="B676" s="2">
        <f t="shared" si="14"/>
        <v>7599</v>
      </c>
      <c r="C676" s="4" t="s">
        <v>2043</v>
      </c>
      <c r="D676" s="4" t="s">
        <v>2042</v>
      </c>
      <c r="E676" s="2">
        <f t="shared" si="15"/>
        <v>2015</v>
      </c>
      <c r="F676" t="s">
        <v>2042</v>
      </c>
    </row>
    <row r="677" spans="1:7" x14ac:dyDescent="0.25">
      <c r="A677" s="4" t="s">
        <v>1144</v>
      </c>
      <c r="B677" s="2">
        <f t="shared" si="14"/>
        <v>7599</v>
      </c>
      <c r="C677" s="4" t="s">
        <v>2044</v>
      </c>
      <c r="D677" s="4" t="s">
        <v>2045</v>
      </c>
      <c r="E677" s="2">
        <f t="shared" si="15"/>
        <v>2015</v>
      </c>
      <c r="F677" t="s">
        <v>2046</v>
      </c>
    </row>
    <row r="678" spans="1:7" x14ac:dyDescent="0.25">
      <c r="A678" s="4" t="s">
        <v>1144</v>
      </c>
      <c r="B678" s="2">
        <f t="shared" si="14"/>
        <v>7599</v>
      </c>
      <c r="C678" s="4" t="s">
        <v>2051</v>
      </c>
      <c r="D678" s="4" t="s">
        <v>2048</v>
      </c>
      <c r="E678" s="2">
        <f t="shared" si="15"/>
        <v>2015</v>
      </c>
      <c r="F678" t="s">
        <v>2042</v>
      </c>
    </row>
    <row r="679" spans="1:7" x14ac:dyDescent="0.25">
      <c r="A679" s="4" t="s">
        <v>1144</v>
      </c>
      <c r="B679" s="2">
        <f t="shared" si="14"/>
        <v>7599</v>
      </c>
      <c r="C679" s="4" t="s">
        <v>2050</v>
      </c>
      <c r="D679" s="4" t="s">
        <v>2048</v>
      </c>
      <c r="E679" s="2">
        <f t="shared" si="15"/>
        <v>2015</v>
      </c>
      <c r="F679" t="s">
        <v>2042</v>
      </c>
    </row>
    <row r="680" spans="1:7" x14ac:dyDescent="0.25">
      <c r="A680" s="4" t="s">
        <v>1144</v>
      </c>
      <c r="B680" s="2">
        <f>VALUE("7600")</f>
        <v>7600</v>
      </c>
      <c r="C680" s="4" t="s">
        <v>2054</v>
      </c>
      <c r="D680" s="4" t="s">
        <v>2053</v>
      </c>
      <c r="E680" s="2">
        <f>VALUE("2014")</f>
        <v>2014</v>
      </c>
      <c r="F680" t="s">
        <v>2055</v>
      </c>
      <c r="G680" s="8" t="s">
        <v>2056</v>
      </c>
    </row>
    <row r="681" spans="1:7" x14ac:dyDescent="0.25">
      <c r="A681" s="4" t="s">
        <v>1144</v>
      </c>
      <c r="B681" s="2">
        <f>VALUE("7623")</f>
        <v>7623</v>
      </c>
      <c r="C681" s="4" t="s">
        <v>2117</v>
      </c>
      <c r="D681" s="4" t="s">
        <v>2118</v>
      </c>
      <c r="E681" s="2">
        <f>VALUE("2015")</f>
        <v>2015</v>
      </c>
      <c r="F681" t="s">
        <v>2119</v>
      </c>
      <c r="G681" s="8" t="s">
        <v>2120</v>
      </c>
    </row>
    <row r="682" spans="1:7" x14ac:dyDescent="0.25">
      <c r="A682" s="4" t="s">
        <v>1144</v>
      </c>
      <c r="B682" s="2">
        <f>VALUE("7870")</f>
        <v>7870</v>
      </c>
      <c r="C682" s="4" t="s">
        <v>2784</v>
      </c>
      <c r="D682" s="4" t="s">
        <v>2118</v>
      </c>
      <c r="E682" s="2">
        <f>VALUE("2018")</f>
        <v>2018</v>
      </c>
      <c r="F682" t="s">
        <v>2785</v>
      </c>
      <c r="G682" s="8" t="s">
        <v>2786</v>
      </c>
    </row>
    <row r="683" spans="1:7" x14ac:dyDescent="0.25">
      <c r="A683" s="4" t="s">
        <v>1144</v>
      </c>
      <c r="B683" s="2">
        <f>VALUE("8692")</f>
        <v>8692</v>
      </c>
      <c r="C683" s="4" t="s">
        <v>4521</v>
      </c>
      <c r="D683" s="4" t="s">
        <v>293</v>
      </c>
      <c r="E683" s="2">
        <f>VALUE("2021")</f>
        <v>2021</v>
      </c>
      <c r="F683" t="s">
        <v>2055</v>
      </c>
    </row>
    <row r="684" spans="1:7" x14ac:dyDescent="0.25">
      <c r="A684" s="4" t="s">
        <v>1144</v>
      </c>
      <c r="B684" s="2">
        <f>VALUE("8692")</f>
        <v>8692</v>
      </c>
      <c r="C684" s="4" t="s">
        <v>4520</v>
      </c>
      <c r="D684" s="4" t="s">
        <v>293</v>
      </c>
      <c r="E684" s="2">
        <f>VALUE("2021")</f>
        <v>2021</v>
      </c>
      <c r="F684" t="s">
        <v>2055</v>
      </c>
    </row>
    <row r="685" spans="1:7" x14ac:dyDescent="0.25">
      <c r="A685" s="4" t="s">
        <v>1459</v>
      </c>
      <c r="B685" s="2">
        <f>VALUE("7314")</f>
        <v>7314</v>
      </c>
      <c r="C685" s="4" t="s">
        <v>1458</v>
      </c>
      <c r="D685" s="4" t="s">
        <v>293</v>
      </c>
      <c r="E685" s="2">
        <f>VALUE("2013")</f>
        <v>2013</v>
      </c>
      <c r="F685" t="s">
        <v>1459</v>
      </c>
    </row>
    <row r="686" spans="1:7" x14ac:dyDescent="0.25">
      <c r="A686" s="4" t="s">
        <v>1459</v>
      </c>
      <c r="B686" s="2">
        <f>VALUE("7499")</f>
        <v>7499</v>
      </c>
      <c r="C686" s="4" t="s">
        <v>1841</v>
      </c>
      <c r="D686" s="4" t="s">
        <v>293</v>
      </c>
      <c r="E686" s="2">
        <f>VALUE("2014")</f>
        <v>2014</v>
      </c>
      <c r="F686" t="s">
        <v>1842</v>
      </c>
    </row>
    <row r="687" spans="1:7" x14ac:dyDescent="0.25">
      <c r="A687" s="4" t="s">
        <v>1459</v>
      </c>
      <c r="B687" s="2">
        <f>VALUE("8507")</f>
        <v>8507</v>
      </c>
      <c r="C687" s="4" t="s">
        <v>4124</v>
      </c>
      <c r="D687" s="4" t="s">
        <v>4125</v>
      </c>
      <c r="E687" s="2">
        <f>VALUE("2019")</f>
        <v>2019</v>
      </c>
      <c r="F687" t="s">
        <v>1842</v>
      </c>
    </row>
    <row r="688" spans="1:7" x14ac:dyDescent="0.25">
      <c r="A688" s="4" t="s">
        <v>1459</v>
      </c>
      <c r="B688" s="2">
        <f>VALUE("8507")</f>
        <v>8507</v>
      </c>
      <c r="C688" s="4" t="s">
        <v>4126</v>
      </c>
      <c r="D688" s="4" t="s">
        <v>4125</v>
      </c>
      <c r="E688" s="2">
        <f>VALUE("2019")</f>
        <v>2019</v>
      </c>
      <c r="F688" t="s">
        <v>1842</v>
      </c>
    </row>
    <row r="689" spans="1:7" x14ac:dyDescent="0.25">
      <c r="A689" s="4" t="s">
        <v>1459</v>
      </c>
      <c r="B689" s="2">
        <f>VALUE("8507")</f>
        <v>8507</v>
      </c>
      <c r="C689" s="4" t="s">
        <v>4122</v>
      </c>
      <c r="D689" s="4" t="s">
        <v>2669</v>
      </c>
      <c r="E689" s="2">
        <f>VALUE("2019")</f>
        <v>2019</v>
      </c>
      <c r="F689" t="s">
        <v>1842</v>
      </c>
      <c r="G689" s="8" t="s">
        <v>4123</v>
      </c>
    </row>
    <row r="690" spans="1:7" x14ac:dyDescent="0.25">
      <c r="A690" s="4" t="s">
        <v>1459</v>
      </c>
      <c r="B690" s="2">
        <f>VALUE("8759")</f>
        <v>8759</v>
      </c>
      <c r="C690" s="4" t="s">
        <v>4665</v>
      </c>
      <c r="D690" s="4" t="s">
        <v>4666</v>
      </c>
      <c r="E690" s="2">
        <f>VALUE("2021")</f>
        <v>2021</v>
      </c>
      <c r="F690" t="s">
        <v>1459</v>
      </c>
      <c r="G690" s="8" t="s">
        <v>4667</v>
      </c>
    </row>
    <row r="691" spans="1:7" x14ac:dyDescent="0.25">
      <c r="A691" s="4" t="s">
        <v>525</v>
      </c>
      <c r="B691" s="2">
        <f>VALUE("7012")</f>
        <v>7012</v>
      </c>
      <c r="C691" s="4" t="s">
        <v>522</v>
      </c>
      <c r="D691" s="4" t="s">
        <v>523</v>
      </c>
      <c r="E691" s="2">
        <f>VALUE("2014")</f>
        <v>2014</v>
      </c>
      <c r="F691" t="s">
        <v>524</v>
      </c>
    </row>
    <row r="692" spans="1:7" x14ac:dyDescent="0.25">
      <c r="A692" s="4" t="s">
        <v>525</v>
      </c>
      <c r="B692" s="2">
        <f>VALUE("7012")</f>
        <v>7012</v>
      </c>
      <c r="C692" s="4" t="s">
        <v>526</v>
      </c>
      <c r="D692" s="4" t="s">
        <v>527</v>
      </c>
      <c r="E692" s="2">
        <f>VALUE("2014")</f>
        <v>2014</v>
      </c>
      <c r="F692" t="s">
        <v>528</v>
      </c>
    </row>
    <row r="693" spans="1:7" x14ac:dyDescent="0.25">
      <c r="A693" s="4" t="s">
        <v>525</v>
      </c>
      <c r="B693" s="2">
        <f>VALUE("7012")</f>
        <v>7012</v>
      </c>
      <c r="C693" s="4" t="s">
        <v>532</v>
      </c>
      <c r="D693" s="4" t="s">
        <v>533</v>
      </c>
      <c r="E693" s="2">
        <f>VALUE("2020")</f>
        <v>2020</v>
      </c>
      <c r="F693" t="s">
        <v>534</v>
      </c>
      <c r="G693" s="8" t="s">
        <v>535</v>
      </c>
    </row>
    <row r="694" spans="1:7" x14ac:dyDescent="0.25">
      <c r="A694" s="4" t="s">
        <v>525</v>
      </c>
      <c r="B694" s="2">
        <f>VALUE("7012")</f>
        <v>7012</v>
      </c>
      <c r="C694" s="4" t="s">
        <v>529</v>
      </c>
      <c r="D694" s="4" t="s">
        <v>530</v>
      </c>
      <c r="E694" s="2">
        <f>VALUE("2017")</f>
        <v>2017</v>
      </c>
      <c r="F694" t="s">
        <v>531</v>
      </c>
    </row>
    <row r="695" spans="1:7" x14ac:dyDescent="0.25">
      <c r="A695" s="4" t="s">
        <v>525</v>
      </c>
      <c r="B695" s="2">
        <f>VALUE("7353")</f>
        <v>7353</v>
      </c>
      <c r="C695" s="4" t="s">
        <v>1546</v>
      </c>
      <c r="D695" s="4" t="s">
        <v>1547</v>
      </c>
      <c r="E695" s="2">
        <f>VALUE("2012")</f>
        <v>2012</v>
      </c>
      <c r="F695" t="s">
        <v>1399</v>
      </c>
    </row>
    <row r="696" spans="1:7" x14ac:dyDescent="0.25">
      <c r="A696" s="4" t="s">
        <v>943</v>
      </c>
      <c r="B696" s="2">
        <f>VALUE("7135")</f>
        <v>7135</v>
      </c>
      <c r="C696" s="4" t="s">
        <v>941</v>
      </c>
      <c r="D696" s="4" t="s">
        <v>942</v>
      </c>
      <c r="E696" s="2">
        <f>VALUE("2014")</f>
        <v>2014</v>
      </c>
      <c r="F696" t="s">
        <v>943</v>
      </c>
    </row>
    <row r="697" spans="1:7" x14ac:dyDescent="0.25">
      <c r="A697" s="4" t="s">
        <v>943</v>
      </c>
      <c r="B697" s="2">
        <f>VALUE("7135")</f>
        <v>7135</v>
      </c>
      <c r="C697" s="4" t="s">
        <v>944</v>
      </c>
      <c r="D697" s="4" t="s">
        <v>942</v>
      </c>
      <c r="E697" s="2">
        <f>VALUE("2012")</f>
        <v>2012</v>
      </c>
      <c r="F697" t="s">
        <v>943</v>
      </c>
      <c r="G697" s="8" t="s">
        <v>945</v>
      </c>
    </row>
    <row r="698" spans="1:7" x14ac:dyDescent="0.25">
      <c r="A698" s="4" t="s">
        <v>943</v>
      </c>
      <c r="B698" s="2">
        <f>VALUE("7273")</f>
        <v>7273</v>
      </c>
      <c r="C698" s="4" t="s">
        <v>1309</v>
      </c>
      <c r="D698" s="4" t="s">
        <v>1310</v>
      </c>
      <c r="E698" s="2">
        <f>VALUE("2015")</f>
        <v>2015</v>
      </c>
      <c r="F698" t="s">
        <v>1311</v>
      </c>
    </row>
    <row r="699" spans="1:7" x14ac:dyDescent="0.25">
      <c r="A699" s="4" t="s">
        <v>943</v>
      </c>
      <c r="B699" s="2">
        <f>VALUE("7273")</f>
        <v>7273</v>
      </c>
      <c r="C699" s="4" t="s">
        <v>1312</v>
      </c>
      <c r="D699" s="4" t="s">
        <v>1313</v>
      </c>
      <c r="E699" s="2">
        <f>VALUE("2015")</f>
        <v>2015</v>
      </c>
      <c r="F699" t="s">
        <v>1314</v>
      </c>
      <c r="G699" s="8" t="s">
        <v>1315</v>
      </c>
    </row>
    <row r="700" spans="1:7" x14ac:dyDescent="0.25">
      <c r="A700" s="4" t="s">
        <v>943</v>
      </c>
      <c r="B700" s="2">
        <f>VALUE("7273")</f>
        <v>7273</v>
      </c>
      <c r="C700" s="4" t="s">
        <v>1316</v>
      </c>
      <c r="D700" s="4" t="s">
        <v>1317</v>
      </c>
      <c r="E700" s="2">
        <f>VALUE("2014")</f>
        <v>2014</v>
      </c>
      <c r="F700" t="s">
        <v>1318</v>
      </c>
    </row>
    <row r="701" spans="1:7" x14ac:dyDescent="0.25">
      <c r="A701" s="4" t="s">
        <v>943</v>
      </c>
      <c r="B701" s="2">
        <f>VALUE("7276")</f>
        <v>7276</v>
      </c>
      <c r="C701" s="4" t="s">
        <v>1322</v>
      </c>
      <c r="D701" s="4" t="s">
        <v>1323</v>
      </c>
      <c r="E701" s="2">
        <f>VALUE("2013")</f>
        <v>2013</v>
      </c>
      <c r="F701" t="s">
        <v>943</v>
      </c>
    </row>
    <row r="702" spans="1:7" x14ac:dyDescent="0.25">
      <c r="A702" s="4" t="s">
        <v>943</v>
      </c>
      <c r="B702" s="2">
        <f>VALUE("7276")</f>
        <v>7276</v>
      </c>
      <c r="C702" s="4" t="s">
        <v>1324</v>
      </c>
      <c r="D702" s="4" t="s">
        <v>1325</v>
      </c>
      <c r="E702" s="2">
        <f>VALUE("2013")</f>
        <v>2013</v>
      </c>
      <c r="F702" t="s">
        <v>1326</v>
      </c>
    </row>
    <row r="703" spans="1:7" x14ac:dyDescent="0.25">
      <c r="A703" s="4" t="s">
        <v>943</v>
      </c>
      <c r="B703" s="2">
        <f>VALUE("7276")</f>
        <v>7276</v>
      </c>
      <c r="C703" s="4" t="s">
        <v>1327</v>
      </c>
      <c r="D703" s="4" t="s">
        <v>1328</v>
      </c>
      <c r="E703" s="2">
        <f>VALUE("2012")</f>
        <v>2012</v>
      </c>
      <c r="F703" t="s">
        <v>157</v>
      </c>
    </row>
    <row r="704" spans="1:7" x14ac:dyDescent="0.25">
      <c r="A704" s="4" t="s">
        <v>943</v>
      </c>
      <c r="B704" s="2">
        <f>VALUE("7276")</f>
        <v>7276</v>
      </c>
      <c r="C704" s="4" t="s">
        <v>1329</v>
      </c>
      <c r="D704" s="4" t="s">
        <v>1330</v>
      </c>
      <c r="E704" s="2">
        <f>VALUE("2012")</f>
        <v>2012</v>
      </c>
      <c r="F704" t="s">
        <v>1331</v>
      </c>
    </row>
    <row r="705" spans="1:7" x14ac:dyDescent="0.25">
      <c r="A705" s="4" t="s">
        <v>943</v>
      </c>
      <c r="B705" s="2">
        <f>VALUE("7297")</f>
        <v>7297</v>
      </c>
      <c r="C705" s="4" t="s">
        <v>1384</v>
      </c>
      <c r="D705" s="4" t="s">
        <v>1385</v>
      </c>
      <c r="E705" s="2">
        <f>VALUE("2014")</f>
        <v>2014</v>
      </c>
      <c r="F705" t="s">
        <v>1386</v>
      </c>
    </row>
    <row r="706" spans="1:7" x14ac:dyDescent="0.25">
      <c r="A706" s="4" t="s">
        <v>943</v>
      </c>
      <c r="B706" s="2">
        <f>VALUE("7375")</f>
        <v>7375</v>
      </c>
      <c r="C706" s="4" t="s">
        <v>1571</v>
      </c>
      <c r="D706" s="4" t="s">
        <v>943</v>
      </c>
      <c r="E706" s="2">
        <f>VALUE("2013")</f>
        <v>2013</v>
      </c>
      <c r="F706" t="s">
        <v>943</v>
      </c>
      <c r="G706" s="8" t="s">
        <v>1572</v>
      </c>
    </row>
    <row r="707" spans="1:7" x14ac:dyDescent="0.25">
      <c r="A707" s="4" t="s">
        <v>943</v>
      </c>
      <c r="B707" s="2">
        <f>VALUE("7726")</f>
        <v>7726</v>
      </c>
      <c r="C707" s="4" t="s">
        <v>2447</v>
      </c>
      <c r="D707" s="4" t="s">
        <v>2448</v>
      </c>
      <c r="E707" s="2">
        <f>VALUE("2015")</f>
        <v>2015</v>
      </c>
      <c r="F707" t="s">
        <v>943</v>
      </c>
      <c r="G707" s="8" t="s">
        <v>2449</v>
      </c>
    </row>
    <row r="708" spans="1:7" x14ac:dyDescent="0.25">
      <c r="A708" s="4" t="s">
        <v>943</v>
      </c>
      <c r="B708" s="2">
        <f>VALUE("7726")</f>
        <v>7726</v>
      </c>
      <c r="C708" s="4" t="s">
        <v>2444</v>
      </c>
      <c r="D708" s="4" t="s">
        <v>2445</v>
      </c>
      <c r="E708" s="2">
        <f>VALUE("2016")</f>
        <v>2016</v>
      </c>
      <c r="F708" t="s">
        <v>943</v>
      </c>
      <c r="G708" s="8" t="s">
        <v>2446</v>
      </c>
    </row>
    <row r="709" spans="1:7" x14ac:dyDescent="0.25">
      <c r="A709" s="4" t="s">
        <v>943</v>
      </c>
      <c r="B709" s="2">
        <f>VALUE("7774")</f>
        <v>7774</v>
      </c>
      <c r="C709" s="4" t="s">
        <v>2552</v>
      </c>
      <c r="D709" s="4" t="s">
        <v>2553</v>
      </c>
      <c r="E709" s="2">
        <f>VALUE("2018")</f>
        <v>2018</v>
      </c>
      <c r="F709" t="s">
        <v>943</v>
      </c>
    </row>
    <row r="710" spans="1:7" x14ac:dyDescent="0.25">
      <c r="A710" s="4" t="s">
        <v>943</v>
      </c>
      <c r="B710" s="2">
        <f>VALUE("7816")</f>
        <v>7816</v>
      </c>
      <c r="C710" s="4" t="s">
        <v>2623</v>
      </c>
      <c r="D710" s="4" t="s">
        <v>2624</v>
      </c>
      <c r="E710" s="2">
        <f>VALUE("2016")</f>
        <v>2016</v>
      </c>
      <c r="F710" t="s">
        <v>943</v>
      </c>
      <c r="G710" s="8" t="s">
        <v>2625</v>
      </c>
    </row>
    <row r="711" spans="1:7" x14ac:dyDescent="0.25">
      <c r="A711" s="4" t="s">
        <v>943</v>
      </c>
      <c r="B711" s="2">
        <f>VALUE("8037")</f>
        <v>8037</v>
      </c>
      <c r="C711" s="4" t="s">
        <v>3067</v>
      </c>
      <c r="D711" s="4" t="s">
        <v>3068</v>
      </c>
      <c r="E711" s="2">
        <f>VALUE("2017")</f>
        <v>2017</v>
      </c>
      <c r="F711" t="s">
        <v>943</v>
      </c>
    </row>
    <row r="712" spans="1:7" x14ac:dyDescent="0.25">
      <c r="A712" s="4" t="s">
        <v>943</v>
      </c>
      <c r="B712" s="2">
        <f>VALUE("8089")</f>
        <v>8089</v>
      </c>
      <c r="C712" s="4" t="s">
        <v>3177</v>
      </c>
      <c r="D712" s="4" t="s">
        <v>3178</v>
      </c>
      <c r="E712" s="2">
        <f>VALUE("2020")</f>
        <v>2020</v>
      </c>
      <c r="F712" t="s">
        <v>943</v>
      </c>
      <c r="G712" s="8" t="s">
        <v>3179</v>
      </c>
    </row>
    <row r="713" spans="1:7" x14ac:dyDescent="0.25">
      <c r="A713" s="4" t="s">
        <v>943</v>
      </c>
      <c r="B713" s="2">
        <f>VALUE("8089")</f>
        <v>8089</v>
      </c>
      <c r="C713" s="4" t="s">
        <v>3180</v>
      </c>
      <c r="D713" s="4" t="s">
        <v>3178</v>
      </c>
      <c r="E713" s="2">
        <f>VALUE("2020")</f>
        <v>2020</v>
      </c>
      <c r="F713" t="s">
        <v>943</v>
      </c>
    </row>
    <row r="714" spans="1:7" x14ac:dyDescent="0.25">
      <c r="A714" s="4" t="s">
        <v>943</v>
      </c>
      <c r="B714" s="2">
        <f>VALUE("8089")</f>
        <v>8089</v>
      </c>
      <c r="C714" s="4" t="s">
        <v>3181</v>
      </c>
      <c r="D714" s="4" t="s">
        <v>3178</v>
      </c>
      <c r="E714" s="2">
        <f>VALUE("2020")</f>
        <v>2020</v>
      </c>
      <c r="F714" t="s">
        <v>943</v>
      </c>
      <c r="G714" s="8" t="s">
        <v>3182</v>
      </c>
    </row>
    <row r="715" spans="1:7" x14ac:dyDescent="0.25">
      <c r="A715" s="4" t="s">
        <v>943</v>
      </c>
      <c r="B715" s="2">
        <f>VALUE("8089")</f>
        <v>8089</v>
      </c>
      <c r="C715" s="4" t="s">
        <v>3183</v>
      </c>
      <c r="D715" s="4" t="s">
        <v>3178</v>
      </c>
      <c r="E715" s="2">
        <f>VALUE("2020")</f>
        <v>2020</v>
      </c>
      <c r="F715" t="s">
        <v>943</v>
      </c>
      <c r="G715" s="8" t="s">
        <v>5266</v>
      </c>
    </row>
    <row r="716" spans="1:7" x14ac:dyDescent="0.25">
      <c r="A716" s="4" t="s">
        <v>943</v>
      </c>
      <c r="B716" s="2">
        <f>VALUE("8089")</f>
        <v>8089</v>
      </c>
      <c r="C716" s="4" t="s">
        <v>3184</v>
      </c>
      <c r="D716" s="4" t="s">
        <v>3185</v>
      </c>
      <c r="E716" s="2">
        <f>VALUE("2020")</f>
        <v>2020</v>
      </c>
      <c r="F716" t="s">
        <v>943</v>
      </c>
      <c r="G716" s="8" t="s">
        <v>3186</v>
      </c>
    </row>
    <row r="717" spans="1:7" x14ac:dyDescent="0.25">
      <c r="A717" s="4" t="s">
        <v>943</v>
      </c>
      <c r="B717" s="2">
        <f>VALUE("8140")</f>
        <v>8140</v>
      </c>
      <c r="C717" s="4" t="s">
        <v>3311</v>
      </c>
      <c r="D717" s="4" t="s">
        <v>3312</v>
      </c>
      <c r="E717" s="2">
        <f>VALUE("2018")</f>
        <v>2018</v>
      </c>
      <c r="F717" t="s">
        <v>943</v>
      </c>
      <c r="G717" s="8" t="s">
        <v>3313</v>
      </c>
    </row>
    <row r="718" spans="1:7" x14ac:dyDescent="0.25">
      <c r="A718" s="4" t="s">
        <v>943</v>
      </c>
      <c r="B718" s="2">
        <f>VALUE("8177")</f>
        <v>8177</v>
      </c>
      <c r="C718" s="4" t="s">
        <v>3417</v>
      </c>
      <c r="D718" s="4" t="s">
        <v>3418</v>
      </c>
      <c r="E718" s="2">
        <f>VALUE("2020")</f>
        <v>2020</v>
      </c>
      <c r="F718" t="s">
        <v>943</v>
      </c>
    </row>
    <row r="719" spans="1:7" x14ac:dyDescent="0.25">
      <c r="A719" s="4" t="s">
        <v>943</v>
      </c>
      <c r="B719" s="2">
        <f>VALUE("8487")</f>
        <v>8487</v>
      </c>
      <c r="C719" s="4" t="s">
        <v>4070</v>
      </c>
      <c r="D719" s="4" t="s">
        <v>4071</v>
      </c>
      <c r="E719" s="2">
        <f>VALUE("2021")</f>
        <v>2021</v>
      </c>
      <c r="F719" t="s">
        <v>943</v>
      </c>
    </row>
    <row r="720" spans="1:7" x14ac:dyDescent="0.25">
      <c r="A720" s="4" t="s">
        <v>943</v>
      </c>
      <c r="B720" s="2">
        <f>VALUE("8487")</f>
        <v>8487</v>
      </c>
      <c r="C720" s="4" t="s">
        <v>4066</v>
      </c>
      <c r="D720" s="4" t="s">
        <v>4067</v>
      </c>
      <c r="E720" s="2">
        <f>VALUE("2020")</f>
        <v>2020</v>
      </c>
      <c r="F720" t="s">
        <v>4068</v>
      </c>
      <c r="G720" s="8" t="s">
        <v>4069</v>
      </c>
    </row>
    <row r="721" spans="1:7" x14ac:dyDescent="0.25">
      <c r="A721" s="4" t="s">
        <v>943</v>
      </c>
      <c r="B721" s="2">
        <f>VALUE("8513")</f>
        <v>8513</v>
      </c>
      <c r="C721" s="4" t="s">
        <v>4143</v>
      </c>
      <c r="D721" s="4" t="s">
        <v>4144</v>
      </c>
      <c r="E721" s="2">
        <f>VALUE("2022")</f>
        <v>2022</v>
      </c>
      <c r="F721" t="s">
        <v>4145</v>
      </c>
      <c r="G721" s="8" t="s">
        <v>4146</v>
      </c>
    </row>
    <row r="722" spans="1:7" x14ac:dyDescent="0.25">
      <c r="A722" s="4" t="s">
        <v>943</v>
      </c>
      <c r="B722" s="2">
        <f>VALUE("8754")</f>
        <v>8754</v>
      </c>
      <c r="C722" s="4" t="s">
        <v>4655</v>
      </c>
      <c r="D722" s="4" t="s">
        <v>4656</v>
      </c>
      <c r="E722" s="2">
        <f>VALUE("2020")</f>
        <v>2020</v>
      </c>
      <c r="F722" t="s">
        <v>943</v>
      </c>
      <c r="G722" s="8" t="s">
        <v>4657</v>
      </c>
    </row>
    <row r="723" spans="1:7" x14ac:dyDescent="0.25">
      <c r="A723" s="4" t="s">
        <v>943</v>
      </c>
      <c r="B723" s="2">
        <f>VALUE("8883")</f>
        <v>8883</v>
      </c>
      <c r="C723" s="4" t="s">
        <v>4837</v>
      </c>
      <c r="D723" s="4" t="s">
        <v>4838</v>
      </c>
      <c r="E723" s="2">
        <f>VALUE("2021")</f>
        <v>2021</v>
      </c>
      <c r="F723" t="s">
        <v>943</v>
      </c>
      <c r="G723" s="8" t="s">
        <v>4839</v>
      </c>
    </row>
    <row r="724" spans="1:7" x14ac:dyDescent="0.25">
      <c r="A724" s="4" t="s">
        <v>943</v>
      </c>
      <c r="B724" s="2">
        <f>VALUE("8887")</f>
        <v>8887</v>
      </c>
      <c r="C724" s="4" t="s">
        <v>4840</v>
      </c>
      <c r="D724" s="4" t="s">
        <v>4841</v>
      </c>
      <c r="E724" s="2">
        <f>VALUE("2022")</f>
        <v>2022</v>
      </c>
      <c r="F724" t="s">
        <v>943</v>
      </c>
      <c r="G724" s="8" t="s">
        <v>4842</v>
      </c>
    </row>
    <row r="725" spans="1:7" x14ac:dyDescent="0.25">
      <c r="A725" s="4" t="s">
        <v>943</v>
      </c>
      <c r="B725" s="2">
        <f>VALUE("8953")</f>
        <v>8953</v>
      </c>
      <c r="C725" s="4" t="s">
        <v>4906</v>
      </c>
      <c r="D725" s="4" t="s">
        <v>4907</v>
      </c>
      <c r="E725" s="2">
        <f>VALUE("2023")</f>
        <v>2023</v>
      </c>
      <c r="F725" t="s">
        <v>4908</v>
      </c>
      <c r="G725" s="8" t="s">
        <v>4909</v>
      </c>
    </row>
    <row r="726" spans="1:7" x14ac:dyDescent="0.25">
      <c r="A726" s="4" t="s">
        <v>2217</v>
      </c>
      <c r="B726" s="2">
        <f>VALUE("7659")</f>
        <v>7659</v>
      </c>
      <c r="C726" s="4" t="s">
        <v>2219</v>
      </c>
      <c r="D726" s="4" t="s">
        <v>2220</v>
      </c>
      <c r="E726" s="2">
        <f>VALUE("2020")</f>
        <v>2020</v>
      </c>
      <c r="F726" t="s">
        <v>2216</v>
      </c>
      <c r="G726" s="8" t="s">
        <v>2221</v>
      </c>
    </row>
    <row r="727" spans="1:7" x14ac:dyDescent="0.25">
      <c r="A727" s="4" t="s">
        <v>2217</v>
      </c>
      <c r="B727" s="2">
        <f>VALUE("7659")</f>
        <v>7659</v>
      </c>
      <c r="C727" s="4" t="s">
        <v>2214</v>
      </c>
      <c r="D727" s="4" t="s">
        <v>2215</v>
      </c>
      <c r="E727" s="2">
        <f>VALUE("2017")</f>
        <v>2017</v>
      </c>
      <c r="F727" t="s">
        <v>2216</v>
      </c>
      <c r="G727" s="8" t="s">
        <v>2218</v>
      </c>
    </row>
    <row r="728" spans="1:7" x14ac:dyDescent="0.25">
      <c r="A728" s="4" t="s">
        <v>2217</v>
      </c>
      <c r="B728" s="2">
        <f>VALUE("7981")</f>
        <v>7981</v>
      </c>
      <c r="C728" s="4" t="s">
        <v>2982</v>
      </c>
      <c r="D728" s="4" t="s">
        <v>2983</v>
      </c>
      <c r="E728" s="2">
        <f>VALUE("2016")</f>
        <v>2016</v>
      </c>
      <c r="F728" t="s">
        <v>2216</v>
      </c>
      <c r="G728" s="8" t="s">
        <v>2984</v>
      </c>
    </row>
    <row r="729" spans="1:7" x14ac:dyDescent="0.25">
      <c r="A729" s="4" t="s">
        <v>2217</v>
      </c>
      <c r="B729" s="2">
        <f>VALUE("7981")</f>
        <v>7981</v>
      </c>
      <c r="C729" s="4" t="s">
        <v>2979</v>
      </c>
      <c r="D729" s="4" t="s">
        <v>2980</v>
      </c>
      <c r="E729" s="2">
        <f>VALUE("2017")</f>
        <v>2017</v>
      </c>
      <c r="F729" t="s">
        <v>2216</v>
      </c>
      <c r="G729" s="8" t="s">
        <v>2981</v>
      </c>
    </row>
    <row r="730" spans="1:7" x14ac:dyDescent="0.25">
      <c r="A730" s="4" t="s">
        <v>2217</v>
      </c>
      <c r="B730" s="2">
        <f t="shared" ref="B730:B736" si="16">VALUE("8125")</f>
        <v>8125</v>
      </c>
      <c r="C730" s="4" t="s">
        <v>3262</v>
      </c>
      <c r="D730" s="4" t="s">
        <v>3263</v>
      </c>
      <c r="E730" s="2">
        <f>VALUE("2018")</f>
        <v>2018</v>
      </c>
      <c r="F730" t="s">
        <v>2216</v>
      </c>
      <c r="G730" s="8" t="s">
        <v>3264</v>
      </c>
    </row>
    <row r="731" spans="1:7" x14ac:dyDescent="0.25">
      <c r="A731" s="4" t="s">
        <v>2217</v>
      </c>
      <c r="B731" s="2">
        <f t="shared" si="16"/>
        <v>8125</v>
      </c>
      <c r="C731" s="4" t="s">
        <v>3268</v>
      </c>
      <c r="D731" s="4" t="s">
        <v>3266</v>
      </c>
      <c r="E731" s="2">
        <f>VALUE("2020")</f>
        <v>2020</v>
      </c>
      <c r="F731" t="s">
        <v>2216</v>
      </c>
      <c r="G731" s="8" t="s">
        <v>3269</v>
      </c>
    </row>
    <row r="732" spans="1:7" x14ac:dyDescent="0.25">
      <c r="A732" s="4" t="s">
        <v>2217</v>
      </c>
      <c r="B732" s="2">
        <f t="shared" si="16"/>
        <v>8125</v>
      </c>
      <c r="C732" s="4" t="s">
        <v>3272</v>
      </c>
      <c r="D732" s="4" t="s">
        <v>293</v>
      </c>
      <c r="E732" s="2">
        <f>VALUE("2020")</f>
        <v>2020</v>
      </c>
      <c r="F732" t="s">
        <v>2216</v>
      </c>
      <c r="G732" s="8" t="s">
        <v>3273</v>
      </c>
    </row>
    <row r="733" spans="1:7" x14ac:dyDescent="0.25">
      <c r="A733" s="4" t="s">
        <v>2217</v>
      </c>
      <c r="B733" s="2">
        <f t="shared" si="16"/>
        <v>8125</v>
      </c>
      <c r="C733" s="4" t="s">
        <v>3265</v>
      </c>
      <c r="D733" s="4" t="s">
        <v>3266</v>
      </c>
      <c r="E733" s="2">
        <f>VALUE("2020")</f>
        <v>2020</v>
      </c>
      <c r="F733" t="s">
        <v>2216</v>
      </c>
      <c r="G733" s="8" t="s">
        <v>3267</v>
      </c>
    </row>
    <row r="734" spans="1:7" x14ac:dyDescent="0.25">
      <c r="A734" s="4" t="s">
        <v>2217</v>
      </c>
      <c r="B734" s="2">
        <f t="shared" si="16"/>
        <v>8125</v>
      </c>
      <c r="C734" s="4" t="s">
        <v>3259</v>
      </c>
      <c r="D734" s="4" t="s">
        <v>3260</v>
      </c>
      <c r="E734" s="2">
        <f>VALUE("2017")</f>
        <v>2017</v>
      </c>
      <c r="F734" t="s">
        <v>2216</v>
      </c>
      <c r="G734" s="8" t="s">
        <v>3261</v>
      </c>
    </row>
    <row r="735" spans="1:7" x14ac:dyDescent="0.25">
      <c r="A735" s="4" t="s">
        <v>2217</v>
      </c>
      <c r="B735" s="2">
        <f t="shared" si="16"/>
        <v>8125</v>
      </c>
      <c r="C735" s="4" t="s">
        <v>3257</v>
      </c>
      <c r="D735" s="4" t="s">
        <v>2220</v>
      </c>
      <c r="E735" s="2">
        <f>VALUE("2018")</f>
        <v>2018</v>
      </c>
      <c r="F735" t="s">
        <v>2216</v>
      </c>
      <c r="G735" s="8" t="s">
        <v>3258</v>
      </c>
    </row>
    <row r="736" spans="1:7" x14ac:dyDescent="0.25">
      <c r="A736" s="4" t="s">
        <v>2217</v>
      </c>
      <c r="B736" s="2">
        <f t="shared" si="16"/>
        <v>8125</v>
      </c>
      <c r="C736" s="4" t="s">
        <v>3270</v>
      </c>
      <c r="D736" s="4" t="s">
        <v>293</v>
      </c>
      <c r="E736" s="2">
        <f>VALUE("2020")</f>
        <v>2020</v>
      </c>
      <c r="F736" t="s">
        <v>2216</v>
      </c>
      <c r="G736" s="8" t="s">
        <v>3271</v>
      </c>
    </row>
    <row r="737" spans="1:7" x14ac:dyDescent="0.25">
      <c r="A737" s="4" t="s">
        <v>2217</v>
      </c>
      <c r="B737" s="2">
        <f>VALUE("8264")</f>
        <v>8264</v>
      </c>
      <c r="C737" s="4" t="s">
        <v>3628</v>
      </c>
      <c r="D737" s="4" t="s">
        <v>3629</v>
      </c>
      <c r="E737" s="2">
        <f>VALUE("2020")</f>
        <v>2020</v>
      </c>
      <c r="F737" t="s">
        <v>2216</v>
      </c>
      <c r="G737" s="8" t="s">
        <v>3630</v>
      </c>
    </row>
    <row r="738" spans="1:7" x14ac:dyDescent="0.25">
      <c r="A738" s="4" t="s">
        <v>513</v>
      </c>
      <c r="B738" s="2">
        <f>VALUE("7008")</f>
        <v>7008</v>
      </c>
      <c r="C738" s="4" t="s">
        <v>514</v>
      </c>
      <c r="D738" s="4" t="s">
        <v>515</v>
      </c>
      <c r="E738" s="2">
        <f>VALUE("2015")</f>
        <v>2015</v>
      </c>
      <c r="F738" t="s">
        <v>512</v>
      </c>
    </row>
    <row r="739" spans="1:7" x14ac:dyDescent="0.25">
      <c r="A739" s="4" t="s">
        <v>513</v>
      </c>
      <c r="B739" s="2">
        <f>VALUE("7008")</f>
        <v>7008</v>
      </c>
      <c r="C739" s="4" t="s">
        <v>510</v>
      </c>
      <c r="D739" s="4" t="s">
        <v>511</v>
      </c>
      <c r="E739" s="2">
        <f>VALUE("2014")</f>
        <v>2014</v>
      </c>
      <c r="F739" t="s">
        <v>512</v>
      </c>
    </row>
    <row r="740" spans="1:7" x14ac:dyDescent="0.25">
      <c r="A740" s="4" t="s">
        <v>513</v>
      </c>
      <c r="B740" s="2">
        <f>VALUE("7008")</f>
        <v>7008</v>
      </c>
      <c r="C740" s="4" t="s">
        <v>516</v>
      </c>
      <c r="D740" s="4" t="s">
        <v>517</v>
      </c>
      <c r="E740" s="2">
        <f>VALUE("2018")</f>
        <v>2018</v>
      </c>
      <c r="F740" t="s">
        <v>512</v>
      </c>
    </row>
    <row r="741" spans="1:7" x14ac:dyDescent="0.25">
      <c r="A741" s="4" t="s">
        <v>513</v>
      </c>
      <c r="B741" s="2">
        <f>VALUE("7008")</f>
        <v>7008</v>
      </c>
      <c r="C741" s="4" t="s">
        <v>518</v>
      </c>
      <c r="D741" s="4" t="s">
        <v>519</v>
      </c>
      <c r="E741" s="2">
        <f>VALUE("2015")</f>
        <v>2015</v>
      </c>
      <c r="F741" t="s">
        <v>520</v>
      </c>
      <c r="G741" s="8" t="s">
        <v>521</v>
      </c>
    </row>
    <row r="742" spans="1:7" x14ac:dyDescent="0.25">
      <c r="A742" s="4" t="s">
        <v>513</v>
      </c>
      <c r="B742" s="2">
        <f>VALUE("7790")</f>
        <v>7790</v>
      </c>
      <c r="C742" s="4" t="s">
        <v>2584</v>
      </c>
      <c r="D742" s="4" t="s">
        <v>2585</v>
      </c>
      <c r="E742" s="2">
        <f>VALUE("2016")</f>
        <v>2016</v>
      </c>
      <c r="F742" t="s">
        <v>512</v>
      </c>
      <c r="G742" s="8" t="s">
        <v>2586</v>
      </c>
    </row>
    <row r="743" spans="1:7" x14ac:dyDescent="0.25">
      <c r="A743" s="4" t="s">
        <v>513</v>
      </c>
      <c r="B743" s="2">
        <f>VALUE("7933")</f>
        <v>7933</v>
      </c>
      <c r="C743" s="4" t="s">
        <v>2904</v>
      </c>
      <c r="D743" s="4" t="s">
        <v>2905</v>
      </c>
      <c r="E743" s="2">
        <f>VALUE("2018")</f>
        <v>2018</v>
      </c>
      <c r="F743" t="s">
        <v>513</v>
      </c>
    </row>
    <row r="744" spans="1:7" x14ac:dyDescent="0.25">
      <c r="A744" s="4" t="s">
        <v>513</v>
      </c>
      <c r="B744" s="2">
        <f>VALUE("8105")</f>
        <v>8105</v>
      </c>
      <c r="C744" s="4" t="s">
        <v>3220</v>
      </c>
      <c r="D744" s="4" t="s">
        <v>3221</v>
      </c>
      <c r="E744" s="2">
        <f>VALUE("2020")</f>
        <v>2020</v>
      </c>
      <c r="F744" t="s">
        <v>513</v>
      </c>
    </row>
    <row r="745" spans="1:7" x14ac:dyDescent="0.25">
      <c r="A745" s="4" t="s">
        <v>513</v>
      </c>
      <c r="B745" s="2">
        <f>VALUE("8311")</f>
        <v>8311</v>
      </c>
      <c r="C745" s="4" t="s">
        <v>3718</v>
      </c>
      <c r="D745" s="4" t="s">
        <v>3719</v>
      </c>
      <c r="E745" s="2">
        <f>VALUE("2020")</f>
        <v>2020</v>
      </c>
      <c r="F745" t="s">
        <v>974</v>
      </c>
    </row>
    <row r="746" spans="1:7" x14ac:dyDescent="0.25">
      <c r="A746" s="4" t="s">
        <v>513</v>
      </c>
      <c r="B746" s="2">
        <f>VALUE("8837")</f>
        <v>8837</v>
      </c>
      <c r="C746" s="4" t="s">
        <v>4769</v>
      </c>
      <c r="D746" s="4" t="s">
        <v>4770</v>
      </c>
      <c r="E746" s="2">
        <f>VALUE("2022")</f>
        <v>2022</v>
      </c>
      <c r="F746" t="s">
        <v>4771</v>
      </c>
      <c r="G746" s="8" t="s">
        <v>4772</v>
      </c>
    </row>
    <row r="747" spans="1:7" x14ac:dyDescent="0.25">
      <c r="A747" s="4" t="s">
        <v>2920</v>
      </c>
      <c r="B747" s="2">
        <f>VALUE("7944")</f>
        <v>7944</v>
      </c>
      <c r="C747" s="4" t="s">
        <v>2919</v>
      </c>
      <c r="D747" s="4" t="s">
        <v>2920</v>
      </c>
      <c r="E747" s="2">
        <f>VALUE("2017")</f>
        <v>2017</v>
      </c>
      <c r="F747" t="s">
        <v>2921</v>
      </c>
    </row>
    <row r="748" spans="1:7" x14ac:dyDescent="0.25">
      <c r="A748" s="4" t="s">
        <v>622</v>
      </c>
      <c r="B748" s="2">
        <f>VALUE("7036")</f>
        <v>7036</v>
      </c>
      <c r="C748" s="4" t="s">
        <v>623</v>
      </c>
      <c r="D748" s="4" t="s">
        <v>624</v>
      </c>
      <c r="E748" s="2">
        <f>VALUE("2013")</f>
        <v>2013</v>
      </c>
      <c r="F748" t="s">
        <v>625</v>
      </c>
    </row>
    <row r="749" spans="1:7" x14ac:dyDescent="0.25">
      <c r="A749" s="4" t="s">
        <v>622</v>
      </c>
      <c r="B749" s="2">
        <f>VALUE("7036")</f>
        <v>7036</v>
      </c>
      <c r="C749" s="4" t="s">
        <v>626</v>
      </c>
      <c r="D749" s="4" t="s">
        <v>620</v>
      </c>
      <c r="E749" s="2">
        <f>VALUE("2015")</f>
        <v>2015</v>
      </c>
      <c r="F749" t="s">
        <v>627</v>
      </c>
    </row>
    <row r="750" spans="1:7" x14ac:dyDescent="0.25">
      <c r="A750" s="4" t="s">
        <v>622</v>
      </c>
      <c r="B750" s="2">
        <f>VALUE("7036")</f>
        <v>7036</v>
      </c>
      <c r="C750" s="4" t="s">
        <v>619</v>
      </c>
      <c r="D750" s="4" t="s">
        <v>620</v>
      </c>
      <c r="E750" s="2">
        <f>VALUE("2012")</f>
        <v>2012</v>
      </c>
      <c r="F750" t="s">
        <v>621</v>
      </c>
    </row>
    <row r="751" spans="1:7" x14ac:dyDescent="0.25">
      <c r="A751" s="4" t="s">
        <v>622</v>
      </c>
      <c r="B751" s="2">
        <f>VALUE("7036")</f>
        <v>7036</v>
      </c>
      <c r="C751" s="4" t="s">
        <v>628</v>
      </c>
      <c r="D751" s="4" t="s">
        <v>629</v>
      </c>
      <c r="E751" s="2">
        <f>VALUE("2016")</f>
        <v>2016</v>
      </c>
      <c r="F751" t="s">
        <v>630</v>
      </c>
    </row>
    <row r="752" spans="1:7" x14ac:dyDescent="0.25">
      <c r="A752" s="4" t="s">
        <v>622</v>
      </c>
      <c r="B752" s="2">
        <f>VALUE("7872")</f>
        <v>7872</v>
      </c>
      <c r="C752" s="4" t="s">
        <v>2787</v>
      </c>
      <c r="D752" s="4" t="s">
        <v>2788</v>
      </c>
      <c r="E752" s="2">
        <f>VALUE("2016")</f>
        <v>2016</v>
      </c>
      <c r="F752" t="s">
        <v>622</v>
      </c>
      <c r="G752" s="8" t="s">
        <v>2789</v>
      </c>
    </row>
    <row r="753" spans="1:7" x14ac:dyDescent="0.25">
      <c r="A753" s="4" t="s">
        <v>622</v>
      </c>
      <c r="B753" s="2">
        <f>VALUE("7872")</f>
        <v>7872</v>
      </c>
      <c r="C753" s="4" t="s">
        <v>2790</v>
      </c>
      <c r="D753" s="4" t="s">
        <v>2791</v>
      </c>
      <c r="E753" s="2">
        <f>VALUE("2019")</f>
        <v>2019</v>
      </c>
      <c r="F753" t="s">
        <v>622</v>
      </c>
      <c r="G753" s="8" t="s">
        <v>2792</v>
      </c>
    </row>
    <row r="754" spans="1:7" x14ac:dyDescent="0.25">
      <c r="A754" s="4" t="s">
        <v>622</v>
      </c>
      <c r="B754" s="2">
        <f>VALUE("8160")</f>
        <v>8160</v>
      </c>
      <c r="C754" s="4" t="s">
        <v>3365</v>
      </c>
      <c r="D754" s="4" t="s">
        <v>3366</v>
      </c>
      <c r="E754" s="2">
        <f>VALUE("2022")</f>
        <v>2022</v>
      </c>
      <c r="F754" t="s">
        <v>1093</v>
      </c>
      <c r="G754" s="8" t="s">
        <v>3367</v>
      </c>
    </row>
    <row r="755" spans="1:7" x14ac:dyDescent="0.25">
      <c r="A755" s="4" t="s">
        <v>622</v>
      </c>
      <c r="B755" s="2">
        <f>VALUE("8160")</f>
        <v>8160</v>
      </c>
      <c r="C755" s="4" t="s">
        <v>3362</v>
      </c>
      <c r="D755" s="4" t="s">
        <v>3363</v>
      </c>
      <c r="E755" s="2">
        <f>VALUE("2021")</f>
        <v>2021</v>
      </c>
      <c r="F755" t="s">
        <v>622</v>
      </c>
      <c r="G755" s="8" t="s">
        <v>3364</v>
      </c>
    </row>
    <row r="756" spans="1:7" x14ac:dyDescent="0.25">
      <c r="A756" s="4" t="s">
        <v>622</v>
      </c>
      <c r="B756" s="2">
        <f>VALUE("8462")</f>
        <v>8462</v>
      </c>
      <c r="C756" s="4" t="s">
        <v>3973</v>
      </c>
      <c r="D756" s="4" t="s">
        <v>3974</v>
      </c>
      <c r="E756" s="2">
        <f>VALUE("2021")</f>
        <v>2021</v>
      </c>
      <c r="F756" t="s">
        <v>622</v>
      </c>
      <c r="G756" s="8" t="s">
        <v>3975</v>
      </c>
    </row>
    <row r="757" spans="1:7" x14ac:dyDescent="0.25">
      <c r="A757" s="4" t="s">
        <v>622</v>
      </c>
      <c r="B757" s="2">
        <f>VALUE("8714")</f>
        <v>8714</v>
      </c>
      <c r="C757" s="4" t="s">
        <v>4546</v>
      </c>
      <c r="D757" s="4" t="s">
        <v>4547</v>
      </c>
      <c r="E757" s="2">
        <f>VALUE("2022")</f>
        <v>2022</v>
      </c>
      <c r="F757" t="s">
        <v>4548</v>
      </c>
      <c r="G757" s="8" t="s">
        <v>4549</v>
      </c>
    </row>
    <row r="758" spans="1:7" x14ac:dyDescent="0.25">
      <c r="A758" s="4" t="s">
        <v>622</v>
      </c>
      <c r="B758" s="2">
        <f>VALUE("8714")</f>
        <v>8714</v>
      </c>
      <c r="C758" s="4" t="s">
        <v>4550</v>
      </c>
      <c r="D758" s="4" t="s">
        <v>4551</v>
      </c>
      <c r="E758" s="2">
        <f>VALUE("2022")</f>
        <v>2022</v>
      </c>
      <c r="F758" t="s">
        <v>974</v>
      </c>
      <c r="G758" s="8" t="s">
        <v>4552</v>
      </c>
    </row>
    <row r="759" spans="1:7" x14ac:dyDescent="0.25">
      <c r="A759" s="4" t="s">
        <v>622</v>
      </c>
      <c r="B759" s="2">
        <f>VALUE("8714")</f>
        <v>8714</v>
      </c>
      <c r="C759" s="4" t="s">
        <v>4542</v>
      </c>
      <c r="D759" s="4" t="s">
        <v>4543</v>
      </c>
      <c r="E759" s="2">
        <f>VALUE("2022")</f>
        <v>2022</v>
      </c>
      <c r="F759" t="s">
        <v>4544</v>
      </c>
      <c r="G759" s="8" t="s">
        <v>4545</v>
      </c>
    </row>
    <row r="760" spans="1:7" x14ac:dyDescent="0.25">
      <c r="A760" s="4" t="s">
        <v>622</v>
      </c>
      <c r="B760" s="2">
        <f>VALUE("8714")</f>
        <v>8714</v>
      </c>
      <c r="C760" s="4" t="s">
        <v>4539</v>
      </c>
      <c r="D760" s="4" t="s">
        <v>4536</v>
      </c>
      <c r="E760" s="2">
        <f>VALUE("2022")</f>
        <v>2022</v>
      </c>
      <c r="F760" t="s">
        <v>4540</v>
      </c>
      <c r="G760" s="8" t="s">
        <v>4541</v>
      </c>
    </row>
    <row r="761" spans="1:7" x14ac:dyDescent="0.25">
      <c r="A761" s="4" t="s">
        <v>622</v>
      </c>
      <c r="B761" s="2">
        <f>VALUE("8714")</f>
        <v>8714</v>
      </c>
      <c r="C761" s="4" t="s">
        <v>4535</v>
      </c>
      <c r="D761" s="4" t="s">
        <v>4536</v>
      </c>
      <c r="E761" s="2">
        <f>VALUE("2022")</f>
        <v>2022</v>
      </c>
      <c r="F761" t="s">
        <v>4537</v>
      </c>
      <c r="G761" s="8" t="s">
        <v>4538</v>
      </c>
    </row>
    <row r="762" spans="1:7" x14ac:dyDescent="0.25">
      <c r="A762" s="4" t="s">
        <v>4659</v>
      </c>
      <c r="B762" s="2">
        <f>VALUE("8756")</f>
        <v>8756</v>
      </c>
      <c r="C762" s="4" t="s">
        <v>4658</v>
      </c>
      <c r="D762" s="4" t="s">
        <v>293</v>
      </c>
      <c r="E762" s="2">
        <f>VALUE("2020")</f>
        <v>2020</v>
      </c>
      <c r="F762" t="s">
        <v>4659</v>
      </c>
      <c r="G762" s="8" t="s">
        <v>4660</v>
      </c>
    </row>
    <row r="763" spans="1:7" x14ac:dyDescent="0.25">
      <c r="A763" s="4" t="s">
        <v>4659</v>
      </c>
      <c r="B763" s="2">
        <f>VALUE("8949")</f>
        <v>8949</v>
      </c>
      <c r="C763" s="4" t="s">
        <v>4898</v>
      </c>
      <c r="D763" s="4" t="s">
        <v>293</v>
      </c>
      <c r="E763" s="2">
        <f>VALUE("2022")</f>
        <v>2022</v>
      </c>
      <c r="F763" t="s">
        <v>4659</v>
      </c>
      <c r="G763" s="8" t="s">
        <v>4899</v>
      </c>
    </row>
    <row r="764" spans="1:7" x14ac:dyDescent="0.25">
      <c r="A764" s="4" t="s">
        <v>4659</v>
      </c>
      <c r="B764" s="2">
        <f>VALUE("8949")</f>
        <v>8949</v>
      </c>
      <c r="C764" s="4" t="s">
        <v>4900</v>
      </c>
      <c r="D764" s="4" t="s">
        <v>293</v>
      </c>
      <c r="E764" s="2">
        <f>VALUE("2022")</f>
        <v>2022</v>
      </c>
      <c r="F764" t="s">
        <v>4901</v>
      </c>
      <c r="G764" s="8" t="s">
        <v>4902</v>
      </c>
    </row>
    <row r="765" spans="1:7" x14ac:dyDescent="0.25">
      <c r="A765" s="4" t="s">
        <v>3795</v>
      </c>
      <c r="B765" s="2">
        <f>VALUE("9046")</f>
        <v>9046</v>
      </c>
      <c r="C765" s="4" t="s">
        <v>4971</v>
      </c>
      <c r="D765" s="4" t="s">
        <v>4972</v>
      </c>
      <c r="E765" s="2">
        <f>VALUE("2022")</f>
        <v>2022</v>
      </c>
      <c r="F765" t="s">
        <v>3795</v>
      </c>
    </row>
    <row r="766" spans="1:7" x14ac:dyDescent="0.25">
      <c r="A766" s="4" t="s">
        <v>3795</v>
      </c>
      <c r="B766" s="2">
        <f>VALUE("9046")</f>
        <v>9046</v>
      </c>
      <c r="C766" s="4" t="s">
        <v>4973</v>
      </c>
      <c r="D766" s="4" t="s">
        <v>4974</v>
      </c>
      <c r="E766" s="2">
        <f>VALUE("2020")</f>
        <v>2020</v>
      </c>
      <c r="F766" t="s">
        <v>3795</v>
      </c>
      <c r="G766" s="8" t="s">
        <v>4975</v>
      </c>
    </row>
    <row r="767" spans="1:7" x14ac:dyDescent="0.25">
      <c r="A767" s="4" t="s">
        <v>3795</v>
      </c>
      <c r="B767" s="2">
        <f>VALUE("9186")</f>
        <v>9186</v>
      </c>
      <c r="C767" s="4" t="s">
        <v>5104</v>
      </c>
      <c r="D767" s="4" t="s">
        <v>5105</v>
      </c>
      <c r="E767" s="2">
        <f>VALUE("2022")</f>
        <v>2022</v>
      </c>
      <c r="F767" t="s">
        <v>3795</v>
      </c>
    </row>
    <row r="768" spans="1:7" x14ac:dyDescent="0.25">
      <c r="A768" s="4" t="s">
        <v>3795</v>
      </c>
      <c r="B768" s="2">
        <f>VALUE("9186")</f>
        <v>9186</v>
      </c>
      <c r="C768" s="4" t="s">
        <v>5102</v>
      </c>
      <c r="D768" s="4" t="s">
        <v>5103</v>
      </c>
      <c r="E768" s="2">
        <f>VALUE("2022")</f>
        <v>2022</v>
      </c>
      <c r="F768" t="s">
        <v>3795</v>
      </c>
    </row>
    <row r="769" spans="1:7" x14ac:dyDescent="0.25">
      <c r="A769" s="4" t="s">
        <v>4642</v>
      </c>
      <c r="B769" s="2">
        <f>VALUE("8743")</f>
        <v>8743</v>
      </c>
      <c r="C769" s="4" t="s">
        <v>4639</v>
      </c>
      <c r="D769" s="4" t="s">
        <v>4640</v>
      </c>
      <c r="E769" s="2">
        <f>VALUE("2021")</f>
        <v>2021</v>
      </c>
      <c r="F769" t="s">
        <v>4641</v>
      </c>
    </row>
    <row r="770" spans="1:7" x14ac:dyDescent="0.25">
      <c r="A770" s="4" t="s">
        <v>1390</v>
      </c>
      <c r="B770" s="2">
        <f>VALUE("7324")</f>
        <v>7324</v>
      </c>
      <c r="C770" s="4" t="s">
        <v>1483</v>
      </c>
      <c r="D770" s="4" t="s">
        <v>1484</v>
      </c>
      <c r="E770" s="2">
        <f>VALUE("2012")</f>
        <v>2012</v>
      </c>
      <c r="F770" t="s">
        <v>1040</v>
      </c>
      <c r="G770" s="8" t="s">
        <v>1485</v>
      </c>
    </row>
    <row r="771" spans="1:7" x14ac:dyDescent="0.25">
      <c r="A771" s="4" t="s">
        <v>1390</v>
      </c>
      <c r="B771" s="2">
        <f>VALUE("7437")</f>
        <v>7437</v>
      </c>
      <c r="C771" s="4" t="s">
        <v>1704</v>
      </c>
      <c r="D771" s="4" t="s">
        <v>1040</v>
      </c>
      <c r="E771" s="2">
        <f>VALUE("2012")</f>
        <v>2012</v>
      </c>
      <c r="F771" t="s">
        <v>1040</v>
      </c>
      <c r="G771" s="8" t="s">
        <v>1705</v>
      </c>
    </row>
    <row r="772" spans="1:7" x14ac:dyDescent="0.25">
      <c r="A772" s="4" t="s">
        <v>1390</v>
      </c>
      <c r="B772" s="2">
        <f>VALUE("7510")</f>
        <v>7510</v>
      </c>
      <c r="C772" s="4" t="s">
        <v>1881</v>
      </c>
      <c r="D772" s="4" t="s">
        <v>1882</v>
      </c>
      <c r="E772" s="2">
        <f>VALUE("2013")</f>
        <v>2013</v>
      </c>
      <c r="F772" t="s">
        <v>1040</v>
      </c>
    </row>
    <row r="773" spans="1:7" x14ac:dyDescent="0.25">
      <c r="A773" s="4" t="s">
        <v>1390</v>
      </c>
      <c r="B773" s="2">
        <f>VALUE("7514")</f>
        <v>7514</v>
      </c>
      <c r="C773" s="4" t="s">
        <v>1886</v>
      </c>
      <c r="D773" s="4" t="s">
        <v>1887</v>
      </c>
      <c r="E773" s="2">
        <f>VALUE("2013")</f>
        <v>2013</v>
      </c>
      <c r="F773" t="s">
        <v>1040</v>
      </c>
      <c r="G773" s="8" t="s">
        <v>1888</v>
      </c>
    </row>
    <row r="774" spans="1:7" x14ac:dyDescent="0.25">
      <c r="A774" s="4" t="s">
        <v>1390</v>
      </c>
      <c r="B774" s="2">
        <f>VALUE("7516")</f>
        <v>7516</v>
      </c>
      <c r="C774" s="4" t="s">
        <v>1890</v>
      </c>
      <c r="D774" s="4" t="s">
        <v>1891</v>
      </c>
      <c r="E774" s="2">
        <f t="shared" ref="E774:E783" si="17">VALUE("2014")</f>
        <v>2014</v>
      </c>
      <c r="F774" t="s">
        <v>1040</v>
      </c>
      <c r="G774" s="8" t="s">
        <v>1892</v>
      </c>
    </row>
    <row r="775" spans="1:7" x14ac:dyDescent="0.25">
      <c r="A775" s="4" t="s">
        <v>1390</v>
      </c>
      <c r="B775" s="2">
        <f>VALUE("7520")</f>
        <v>7520</v>
      </c>
      <c r="C775" s="4" t="s">
        <v>1893</v>
      </c>
      <c r="D775" s="4" t="s">
        <v>1040</v>
      </c>
      <c r="E775" s="2">
        <f t="shared" si="17"/>
        <v>2014</v>
      </c>
      <c r="F775" t="s">
        <v>1040</v>
      </c>
    </row>
    <row r="776" spans="1:7" x14ac:dyDescent="0.25">
      <c r="A776" s="4" t="s">
        <v>1390</v>
      </c>
      <c r="B776" s="2">
        <f>VALUE("7520")</f>
        <v>7520</v>
      </c>
      <c r="C776" s="4" t="s">
        <v>1894</v>
      </c>
      <c r="D776" s="4" t="s">
        <v>1040</v>
      </c>
      <c r="E776" s="2">
        <f t="shared" si="17"/>
        <v>2014</v>
      </c>
      <c r="F776" t="s">
        <v>1040</v>
      </c>
      <c r="G776" s="8" t="s">
        <v>1895</v>
      </c>
    </row>
    <row r="777" spans="1:7" x14ac:dyDescent="0.25">
      <c r="A777" s="4" t="s">
        <v>1390</v>
      </c>
      <c r="B777" s="2">
        <f>VALUE("7520")</f>
        <v>7520</v>
      </c>
      <c r="C777" s="4" t="s">
        <v>1896</v>
      </c>
      <c r="D777" s="4" t="s">
        <v>1040</v>
      </c>
      <c r="E777" s="2">
        <f t="shared" si="17"/>
        <v>2014</v>
      </c>
      <c r="F777" t="s">
        <v>1040</v>
      </c>
      <c r="G777" s="8" t="s">
        <v>1705</v>
      </c>
    </row>
    <row r="778" spans="1:7" x14ac:dyDescent="0.25">
      <c r="A778" s="4" t="s">
        <v>1390</v>
      </c>
      <c r="B778" s="2">
        <f>VALUE("7520")</f>
        <v>7520</v>
      </c>
      <c r="C778" s="4" t="s">
        <v>1897</v>
      </c>
      <c r="D778" s="4" t="s">
        <v>1040</v>
      </c>
      <c r="E778" s="2">
        <f t="shared" si="17"/>
        <v>2014</v>
      </c>
      <c r="F778" t="s">
        <v>1040</v>
      </c>
      <c r="G778" s="8" t="s">
        <v>1670</v>
      </c>
    </row>
    <row r="779" spans="1:7" x14ac:dyDescent="0.25">
      <c r="A779" s="4" t="s">
        <v>1390</v>
      </c>
      <c r="B779" s="2">
        <f>VALUE("7539")</f>
        <v>7539</v>
      </c>
      <c r="C779" s="4" t="s">
        <v>1924</v>
      </c>
      <c r="D779" s="4" t="s">
        <v>1925</v>
      </c>
      <c r="E779" s="2">
        <f t="shared" si="17"/>
        <v>2014</v>
      </c>
      <c r="F779" t="s">
        <v>1697</v>
      </c>
    </row>
    <row r="780" spans="1:7" x14ac:dyDescent="0.25">
      <c r="A780" s="4" t="s">
        <v>1390</v>
      </c>
      <c r="B780" s="2">
        <f>VALUE("7548")</f>
        <v>7548</v>
      </c>
      <c r="C780" s="4" t="s">
        <v>1938</v>
      </c>
      <c r="D780" s="4" t="s">
        <v>1939</v>
      </c>
      <c r="E780" s="2">
        <f t="shared" si="17"/>
        <v>2014</v>
      </c>
      <c r="F780" t="s">
        <v>1940</v>
      </c>
      <c r="G780" s="8" t="s">
        <v>5229</v>
      </c>
    </row>
    <row r="781" spans="1:7" x14ac:dyDescent="0.25">
      <c r="A781" s="4" t="s">
        <v>1390</v>
      </c>
      <c r="B781" s="2">
        <f>VALUE("7625")</f>
        <v>7625</v>
      </c>
      <c r="C781" s="4" t="s">
        <v>2124</v>
      </c>
      <c r="D781" s="4" t="s">
        <v>2125</v>
      </c>
      <c r="E781" s="2">
        <f t="shared" si="17"/>
        <v>2014</v>
      </c>
      <c r="F781" t="s">
        <v>1040</v>
      </c>
    </row>
    <row r="782" spans="1:7" x14ac:dyDescent="0.25">
      <c r="A782" s="4" t="s">
        <v>1390</v>
      </c>
      <c r="B782" s="2">
        <f>VALUE("7631")</f>
        <v>7631</v>
      </c>
      <c r="C782" s="4" t="s">
        <v>2133</v>
      </c>
      <c r="D782" s="4" t="s">
        <v>2134</v>
      </c>
      <c r="E782" s="2">
        <f t="shared" si="17"/>
        <v>2014</v>
      </c>
      <c r="F782" t="s">
        <v>1040</v>
      </c>
    </row>
    <row r="783" spans="1:7" x14ac:dyDescent="0.25">
      <c r="A783" s="4" t="s">
        <v>1390</v>
      </c>
      <c r="B783" s="2">
        <f>VALUE("7636")</f>
        <v>7636</v>
      </c>
      <c r="C783" s="4" t="s">
        <v>2144</v>
      </c>
      <c r="D783" s="4" t="s">
        <v>2145</v>
      </c>
      <c r="E783" s="2">
        <f t="shared" si="17"/>
        <v>2014</v>
      </c>
      <c r="F783" t="s">
        <v>1040</v>
      </c>
    </row>
    <row r="784" spans="1:7" x14ac:dyDescent="0.25">
      <c r="A784" s="4" t="s">
        <v>1390</v>
      </c>
      <c r="B784" s="2">
        <f>VALUE("7637")</f>
        <v>7637</v>
      </c>
      <c r="C784" s="4" t="s">
        <v>2146</v>
      </c>
      <c r="D784" s="4" t="s">
        <v>2147</v>
      </c>
      <c r="E784" s="2">
        <f t="shared" ref="E784:E789" si="18">VALUE("2015")</f>
        <v>2015</v>
      </c>
      <c r="F784" t="s">
        <v>2147</v>
      </c>
      <c r="G784" s="8" t="s">
        <v>5230</v>
      </c>
    </row>
    <row r="785" spans="1:7" x14ac:dyDescent="0.25">
      <c r="A785" s="4" t="s">
        <v>1390</v>
      </c>
      <c r="B785" s="2">
        <f>VALUE("7718")</f>
        <v>7718</v>
      </c>
      <c r="C785" s="4" t="s">
        <v>2431</v>
      </c>
      <c r="D785" s="4" t="s">
        <v>2432</v>
      </c>
      <c r="E785" s="2">
        <f t="shared" si="18"/>
        <v>2015</v>
      </c>
      <c r="F785" t="s">
        <v>1040</v>
      </c>
      <c r="G785" s="8" t="s">
        <v>2433</v>
      </c>
    </row>
    <row r="786" spans="1:7" x14ac:dyDescent="0.25">
      <c r="A786" s="4" t="s">
        <v>1390</v>
      </c>
      <c r="B786" s="2">
        <f>VALUE("7743")</f>
        <v>7743</v>
      </c>
      <c r="C786" s="4" t="s">
        <v>2504</v>
      </c>
      <c r="D786" s="4" t="s">
        <v>2505</v>
      </c>
      <c r="E786" s="2">
        <f t="shared" si="18"/>
        <v>2015</v>
      </c>
      <c r="F786" t="s">
        <v>1040</v>
      </c>
      <c r="G786" s="8" t="s">
        <v>2506</v>
      </c>
    </row>
    <row r="787" spans="1:7" x14ac:dyDescent="0.25">
      <c r="A787" s="4" t="s">
        <v>1390</v>
      </c>
      <c r="B787" s="2">
        <f>VALUE("7770")</f>
        <v>7770</v>
      </c>
      <c r="C787" s="4" t="s">
        <v>2546</v>
      </c>
      <c r="D787" s="4" t="s">
        <v>2547</v>
      </c>
      <c r="E787" s="2">
        <f t="shared" si="18"/>
        <v>2015</v>
      </c>
      <c r="F787" t="s">
        <v>1040</v>
      </c>
      <c r="G787" s="8" t="s">
        <v>2548</v>
      </c>
    </row>
    <row r="788" spans="1:7" x14ac:dyDescent="0.25">
      <c r="A788" s="4" t="s">
        <v>1390</v>
      </c>
      <c r="B788" s="2">
        <f>VALUE("7785")</f>
        <v>7785</v>
      </c>
      <c r="C788" s="4" t="s">
        <v>2565</v>
      </c>
      <c r="D788" s="4" t="s">
        <v>2566</v>
      </c>
      <c r="E788" s="2">
        <f t="shared" si="18"/>
        <v>2015</v>
      </c>
      <c r="F788" t="s">
        <v>2567</v>
      </c>
      <c r="G788" s="8" t="s">
        <v>2568</v>
      </c>
    </row>
    <row r="789" spans="1:7" x14ac:dyDescent="0.25">
      <c r="A789" s="4" t="s">
        <v>1390</v>
      </c>
      <c r="B789" s="2">
        <f>VALUE("7787")</f>
        <v>7787</v>
      </c>
      <c r="C789" s="4" t="s">
        <v>2569</v>
      </c>
      <c r="D789" s="4" t="s">
        <v>2570</v>
      </c>
      <c r="E789" s="2">
        <f t="shared" si="18"/>
        <v>2015</v>
      </c>
      <c r="F789" t="s">
        <v>1040</v>
      </c>
      <c r="G789" s="8" t="s">
        <v>2571</v>
      </c>
    </row>
    <row r="790" spans="1:7" x14ac:dyDescent="0.25">
      <c r="A790" s="4" t="s">
        <v>1390</v>
      </c>
      <c r="B790" s="2">
        <f>VALUE("7895")</f>
        <v>7895</v>
      </c>
      <c r="C790" s="4" t="s">
        <v>2831</v>
      </c>
      <c r="D790" s="4" t="s">
        <v>2832</v>
      </c>
      <c r="E790" s="2">
        <f>VALUE("2018")</f>
        <v>2018</v>
      </c>
      <c r="F790" t="s">
        <v>1040</v>
      </c>
      <c r="G790" s="8" t="s">
        <v>2833</v>
      </c>
    </row>
    <row r="791" spans="1:7" x14ac:dyDescent="0.25">
      <c r="A791" s="4" t="s">
        <v>1390</v>
      </c>
      <c r="B791" s="2">
        <f>VALUE("7895")</f>
        <v>7895</v>
      </c>
      <c r="C791" s="4" t="s">
        <v>2834</v>
      </c>
      <c r="D791" s="4" t="s">
        <v>2835</v>
      </c>
      <c r="E791" s="2">
        <f>VALUE("2017")</f>
        <v>2017</v>
      </c>
      <c r="F791" t="s">
        <v>1040</v>
      </c>
      <c r="G791" s="8" t="s">
        <v>2836</v>
      </c>
    </row>
    <row r="792" spans="1:7" x14ac:dyDescent="0.25">
      <c r="A792" s="4" t="s">
        <v>1390</v>
      </c>
      <c r="B792" s="2">
        <f>VALUE("7941")</f>
        <v>7941</v>
      </c>
      <c r="C792" s="4" t="s">
        <v>2906</v>
      </c>
      <c r="D792" s="4" t="s">
        <v>2907</v>
      </c>
      <c r="E792" s="2">
        <f>VALUE("2016")</f>
        <v>2016</v>
      </c>
      <c r="F792" t="s">
        <v>1040</v>
      </c>
      <c r="G792" s="8" t="s">
        <v>2908</v>
      </c>
    </row>
    <row r="793" spans="1:7" x14ac:dyDescent="0.25">
      <c r="A793" s="4" t="s">
        <v>1390</v>
      </c>
      <c r="B793" s="2">
        <f>VALUE("8245")</f>
        <v>8245</v>
      </c>
      <c r="C793" s="4" t="s">
        <v>3561</v>
      </c>
      <c r="D793" s="4" t="s">
        <v>3562</v>
      </c>
      <c r="E793" s="2">
        <f>VALUE("2019")</f>
        <v>2019</v>
      </c>
      <c r="F793" t="s">
        <v>1040</v>
      </c>
      <c r="G793" s="8" t="s">
        <v>3563</v>
      </c>
    </row>
    <row r="794" spans="1:7" x14ac:dyDescent="0.25">
      <c r="A794" s="4" t="s">
        <v>1390</v>
      </c>
      <c r="B794" s="2">
        <f>VALUE("8638")</f>
        <v>8638</v>
      </c>
      <c r="C794" s="4" t="s">
        <v>4412</v>
      </c>
      <c r="D794" s="4" t="s">
        <v>4413</v>
      </c>
      <c r="E794" s="2">
        <f>VALUE("2021")</f>
        <v>2021</v>
      </c>
      <c r="F794" t="s">
        <v>149</v>
      </c>
      <c r="G794" s="8" t="s">
        <v>4414</v>
      </c>
    </row>
    <row r="795" spans="1:7" x14ac:dyDescent="0.25">
      <c r="A795" s="4" t="s">
        <v>1390</v>
      </c>
      <c r="B795" s="2">
        <f>VALUE("8638")</f>
        <v>8638</v>
      </c>
      <c r="C795" s="4" t="s">
        <v>4409</v>
      </c>
      <c r="D795" s="4" t="s">
        <v>4410</v>
      </c>
      <c r="E795" s="2">
        <f>VALUE("2020")</f>
        <v>2020</v>
      </c>
      <c r="F795" t="s">
        <v>1040</v>
      </c>
      <c r="G795" s="8" t="s">
        <v>4411</v>
      </c>
    </row>
    <row r="796" spans="1:7" x14ac:dyDescent="0.25">
      <c r="A796" s="4" t="s">
        <v>705</v>
      </c>
      <c r="B796" s="2">
        <f>VALUE("7080")</f>
        <v>7080</v>
      </c>
      <c r="C796" s="4" t="s">
        <v>702</v>
      </c>
      <c r="D796" s="4" t="s">
        <v>703</v>
      </c>
      <c r="E796" s="2">
        <f>VALUE("2012")</f>
        <v>2012</v>
      </c>
      <c r="F796" t="s">
        <v>704</v>
      </c>
    </row>
    <row r="797" spans="1:7" x14ac:dyDescent="0.25">
      <c r="A797" s="4" t="s">
        <v>705</v>
      </c>
      <c r="B797" s="2">
        <f>VALUE("7080")</f>
        <v>7080</v>
      </c>
      <c r="C797" s="4" t="s">
        <v>706</v>
      </c>
      <c r="D797" s="4" t="s">
        <v>707</v>
      </c>
      <c r="E797" s="2">
        <f>VALUE("2011")</f>
        <v>2011</v>
      </c>
      <c r="F797" t="s">
        <v>708</v>
      </c>
    </row>
    <row r="798" spans="1:7" x14ac:dyDescent="0.25">
      <c r="A798" s="4" t="s">
        <v>705</v>
      </c>
      <c r="B798" s="2">
        <f>VALUE("7080")</f>
        <v>7080</v>
      </c>
      <c r="C798" s="4" t="s">
        <v>709</v>
      </c>
      <c r="D798" s="4" t="s">
        <v>710</v>
      </c>
      <c r="E798" s="2">
        <f>VALUE("2012")</f>
        <v>2012</v>
      </c>
      <c r="F798" t="s">
        <v>708</v>
      </c>
    </row>
    <row r="799" spans="1:7" x14ac:dyDescent="0.25">
      <c r="A799" s="4" t="s">
        <v>705</v>
      </c>
      <c r="B799" s="2">
        <f>VALUE("7080")</f>
        <v>7080</v>
      </c>
      <c r="C799" s="4" t="s">
        <v>711</v>
      </c>
      <c r="D799" s="4" t="s">
        <v>712</v>
      </c>
      <c r="E799" s="2">
        <f>VALUE("2012")</f>
        <v>2012</v>
      </c>
      <c r="F799" t="s">
        <v>713</v>
      </c>
      <c r="G799" s="8" t="s">
        <v>714</v>
      </c>
    </row>
    <row r="800" spans="1:7" x14ac:dyDescent="0.25">
      <c r="A800" s="4" t="s">
        <v>705</v>
      </c>
      <c r="B800" s="2">
        <f>VALUE("7194")</f>
        <v>7194</v>
      </c>
      <c r="C800" s="4" t="s">
        <v>1038</v>
      </c>
      <c r="D800" s="4" t="s">
        <v>1039</v>
      </c>
      <c r="E800" s="2">
        <f>VALUE("2014")</f>
        <v>2014</v>
      </c>
      <c r="F800" t="s">
        <v>1040</v>
      </c>
      <c r="G800" s="8" t="s">
        <v>1041</v>
      </c>
    </row>
    <row r="801" spans="1:7" x14ac:dyDescent="0.25">
      <c r="A801" s="4" t="s">
        <v>705</v>
      </c>
      <c r="B801" s="2">
        <f>VALUE("7220")</f>
        <v>7220</v>
      </c>
      <c r="C801" s="4" t="s">
        <v>1094</v>
      </c>
      <c r="D801" s="4" t="s">
        <v>1095</v>
      </c>
      <c r="E801" s="2">
        <f>VALUE("2012")</f>
        <v>2012</v>
      </c>
      <c r="F801" t="s">
        <v>1096</v>
      </c>
      <c r="G801" s="8" t="s">
        <v>1097</v>
      </c>
    </row>
    <row r="802" spans="1:7" x14ac:dyDescent="0.25">
      <c r="A802" s="4" t="s">
        <v>705</v>
      </c>
      <c r="B802" s="2">
        <f>VALUE("7269")</f>
        <v>7269</v>
      </c>
      <c r="C802" s="4" t="s">
        <v>1294</v>
      </c>
      <c r="D802" s="4" t="s">
        <v>1295</v>
      </c>
      <c r="E802" s="2">
        <f>VALUE("2012")</f>
        <v>2012</v>
      </c>
      <c r="F802" t="s">
        <v>705</v>
      </c>
      <c r="G802" s="8" t="s">
        <v>1296</v>
      </c>
    </row>
    <row r="803" spans="1:7" x14ac:dyDescent="0.25">
      <c r="A803" s="4" t="s">
        <v>705</v>
      </c>
      <c r="B803" s="2">
        <f>VALUE("7279")</f>
        <v>7279</v>
      </c>
      <c r="C803" s="4" t="s">
        <v>1338</v>
      </c>
      <c r="D803" s="4" t="s">
        <v>1339</v>
      </c>
      <c r="E803" s="2">
        <f>VALUE("2014")</f>
        <v>2014</v>
      </c>
      <c r="F803" t="s">
        <v>1040</v>
      </c>
      <c r="G803" s="8" t="s">
        <v>1340</v>
      </c>
    </row>
    <row r="804" spans="1:7" x14ac:dyDescent="0.25">
      <c r="A804" s="4" t="s">
        <v>705</v>
      </c>
      <c r="B804" s="2">
        <f>VALUE("7283")</f>
        <v>7283</v>
      </c>
      <c r="C804" s="4" t="s">
        <v>1357</v>
      </c>
      <c r="D804" s="4" t="s">
        <v>1358</v>
      </c>
      <c r="E804" s="2">
        <f>VALUE("2014")</f>
        <v>2014</v>
      </c>
      <c r="F804" t="s">
        <v>1040</v>
      </c>
    </row>
    <row r="805" spans="1:7" x14ac:dyDescent="0.25">
      <c r="A805" s="4" t="s">
        <v>705</v>
      </c>
      <c r="B805" s="2">
        <f>VALUE("7288")</f>
        <v>7288</v>
      </c>
      <c r="C805" s="4" t="s">
        <v>1365</v>
      </c>
      <c r="D805" s="4" t="s">
        <v>1366</v>
      </c>
      <c r="E805" s="2">
        <f>VALUE("2012")</f>
        <v>2012</v>
      </c>
      <c r="F805" t="s">
        <v>1096</v>
      </c>
      <c r="G805" s="8" t="s">
        <v>1367</v>
      </c>
    </row>
    <row r="806" spans="1:7" x14ac:dyDescent="0.25">
      <c r="A806" s="4" t="s">
        <v>705</v>
      </c>
      <c r="B806" s="2">
        <f>VALUE("7305")</f>
        <v>7305</v>
      </c>
      <c r="C806" s="4" t="s">
        <v>1391</v>
      </c>
      <c r="D806" s="4" t="s">
        <v>1392</v>
      </c>
      <c r="E806" s="2">
        <f>VALUE("2014")</f>
        <v>2014</v>
      </c>
      <c r="F806" t="s">
        <v>1393</v>
      </c>
      <c r="G806" s="8" t="s">
        <v>1394</v>
      </c>
    </row>
    <row r="807" spans="1:7" x14ac:dyDescent="0.25">
      <c r="A807" s="4" t="s">
        <v>705</v>
      </c>
      <c r="B807" s="2">
        <f>VALUE("7310")</f>
        <v>7310</v>
      </c>
      <c r="C807" s="4" t="s">
        <v>1406</v>
      </c>
      <c r="D807" s="4" t="s">
        <v>1407</v>
      </c>
      <c r="E807" s="2">
        <f>VALUE("2015")</f>
        <v>2015</v>
      </c>
      <c r="F807" t="s">
        <v>1408</v>
      </c>
    </row>
    <row r="808" spans="1:7" x14ac:dyDescent="0.25">
      <c r="A808" s="4" t="s">
        <v>705</v>
      </c>
      <c r="B808" s="2">
        <f>VALUE("7310")</f>
        <v>7310</v>
      </c>
      <c r="C808" s="4" t="s">
        <v>1409</v>
      </c>
      <c r="D808" s="4" t="s">
        <v>1410</v>
      </c>
      <c r="E808" s="2">
        <f>VALUE("2014")</f>
        <v>2014</v>
      </c>
      <c r="F808" t="s">
        <v>1040</v>
      </c>
      <c r="G808" s="8" t="s">
        <v>1411</v>
      </c>
    </row>
    <row r="809" spans="1:7" x14ac:dyDescent="0.25">
      <c r="A809" s="4" t="s">
        <v>705</v>
      </c>
      <c r="B809" s="2">
        <f>VALUE("7323")</f>
        <v>7323</v>
      </c>
      <c r="C809" s="4" t="s">
        <v>1481</v>
      </c>
      <c r="D809" s="4" t="s">
        <v>1040</v>
      </c>
      <c r="E809" s="2">
        <f>VALUE("2013")</f>
        <v>2013</v>
      </c>
      <c r="F809" t="s">
        <v>1040</v>
      </c>
      <c r="G809" s="8" t="s">
        <v>1482</v>
      </c>
    </row>
    <row r="810" spans="1:7" x14ac:dyDescent="0.25">
      <c r="A810" s="4" t="s">
        <v>705</v>
      </c>
      <c r="B810" s="2">
        <f>VALUE("7377")</f>
        <v>7377</v>
      </c>
      <c r="C810" s="4" t="s">
        <v>1573</v>
      </c>
      <c r="D810" s="4" t="s">
        <v>1574</v>
      </c>
      <c r="E810" s="2">
        <f>VALUE("2013")</f>
        <v>2013</v>
      </c>
      <c r="F810" t="s">
        <v>1040</v>
      </c>
      <c r="G810" s="8" t="s">
        <v>1575</v>
      </c>
    </row>
    <row r="811" spans="1:7" x14ac:dyDescent="0.25">
      <c r="A811" s="4" t="s">
        <v>705</v>
      </c>
      <c r="B811" s="2">
        <f>VALUE("7386")</f>
        <v>7386</v>
      </c>
      <c r="C811" s="4" t="s">
        <v>1583</v>
      </c>
      <c r="D811" s="4" t="s">
        <v>1584</v>
      </c>
      <c r="E811" s="2">
        <f>VALUE("2013")</f>
        <v>2013</v>
      </c>
      <c r="F811" t="s">
        <v>1040</v>
      </c>
      <c r="G811" s="8" t="s">
        <v>1585</v>
      </c>
    </row>
    <row r="812" spans="1:7" x14ac:dyDescent="0.25">
      <c r="A812" s="4" t="s">
        <v>705</v>
      </c>
      <c r="B812" s="2">
        <f>VALUE("7421")</f>
        <v>7421</v>
      </c>
      <c r="C812" s="4" t="s">
        <v>1669</v>
      </c>
      <c r="D812" s="4" t="s">
        <v>1040</v>
      </c>
      <c r="E812" s="2">
        <f>VALUE("2013")</f>
        <v>2013</v>
      </c>
      <c r="F812" t="s">
        <v>1040</v>
      </c>
      <c r="G812" s="8" t="s">
        <v>1670</v>
      </c>
    </row>
    <row r="813" spans="1:7" x14ac:dyDescent="0.25">
      <c r="A813" s="4" t="s">
        <v>705</v>
      </c>
      <c r="B813" s="2">
        <f>VALUE("7432")</f>
        <v>7432</v>
      </c>
      <c r="C813" s="4" t="s">
        <v>1692</v>
      </c>
      <c r="D813" s="4" t="s">
        <v>1693</v>
      </c>
      <c r="E813" s="2">
        <f>VALUE("2014")</f>
        <v>2014</v>
      </c>
      <c r="F813" t="s">
        <v>1040</v>
      </c>
      <c r="G813" s="8" t="s">
        <v>1694</v>
      </c>
    </row>
    <row r="814" spans="1:7" x14ac:dyDescent="0.25">
      <c r="A814" s="4" t="s">
        <v>705</v>
      </c>
      <c r="B814" s="2">
        <f>VALUE("7480")</f>
        <v>7480</v>
      </c>
      <c r="C814" s="4" t="s">
        <v>1791</v>
      </c>
      <c r="D814" s="4" t="s">
        <v>1792</v>
      </c>
      <c r="E814" s="2">
        <f>VALUE("2014")</f>
        <v>2014</v>
      </c>
      <c r="F814" t="s">
        <v>705</v>
      </c>
      <c r="G814" s="8" t="s">
        <v>1793</v>
      </c>
    </row>
    <row r="815" spans="1:7" x14ac:dyDescent="0.25">
      <c r="A815" s="4" t="s">
        <v>705</v>
      </c>
      <c r="B815" s="2">
        <f>VALUE("7500")</f>
        <v>7500</v>
      </c>
      <c r="C815" s="4" t="s">
        <v>1843</v>
      </c>
      <c r="D815" s="4" t="s">
        <v>1844</v>
      </c>
      <c r="E815" s="2">
        <f>VALUE("2014")</f>
        <v>2014</v>
      </c>
      <c r="F815" t="s">
        <v>1040</v>
      </c>
    </row>
    <row r="816" spans="1:7" x14ac:dyDescent="0.25">
      <c r="A816" s="4" t="s">
        <v>4099</v>
      </c>
      <c r="B816" s="2">
        <f>VALUE("8503")</f>
        <v>8503</v>
      </c>
      <c r="C816" s="4" t="s">
        <v>4097</v>
      </c>
      <c r="D816" s="4" t="s">
        <v>4098</v>
      </c>
      <c r="E816" s="2">
        <f>VALUE("2019")</f>
        <v>2019</v>
      </c>
      <c r="F816" t="s">
        <v>1040</v>
      </c>
      <c r="G816" s="8" t="s">
        <v>4100</v>
      </c>
    </row>
    <row r="817" spans="1:7" x14ac:dyDescent="0.25">
      <c r="A817" s="4" t="s">
        <v>4099</v>
      </c>
      <c r="B817" s="2">
        <f>VALUE("8512")</f>
        <v>8512</v>
      </c>
      <c r="C817" s="4" t="s">
        <v>4140</v>
      </c>
      <c r="D817" s="4" t="s">
        <v>4141</v>
      </c>
      <c r="E817" s="2">
        <f>VALUE("2019")</f>
        <v>2019</v>
      </c>
      <c r="F817" t="s">
        <v>1040</v>
      </c>
      <c r="G817" s="8" t="s">
        <v>4142</v>
      </c>
    </row>
    <row r="818" spans="1:7" x14ac:dyDescent="0.25">
      <c r="A818" s="4" t="s">
        <v>4099</v>
      </c>
      <c r="B818" s="2">
        <f>VALUE("8968")</f>
        <v>8968</v>
      </c>
      <c r="C818" s="4" t="s">
        <v>4917</v>
      </c>
      <c r="D818" s="4" t="s">
        <v>4918</v>
      </c>
      <c r="E818" s="2">
        <f>VALUE("2021")</f>
        <v>2021</v>
      </c>
      <c r="F818" t="s">
        <v>1040</v>
      </c>
      <c r="G818" s="8" t="s">
        <v>4919</v>
      </c>
    </row>
    <row r="819" spans="1:7" x14ac:dyDescent="0.25">
      <c r="A819" s="4" t="s">
        <v>650</v>
      </c>
      <c r="B819" s="2">
        <f>VALUE("9113")</f>
        <v>9113</v>
      </c>
      <c r="C819" s="4" t="s">
        <v>5044</v>
      </c>
      <c r="D819" s="4" t="s">
        <v>5045</v>
      </c>
      <c r="E819" s="2">
        <f>VALUE("2023")</f>
        <v>2023</v>
      </c>
      <c r="F819" t="s">
        <v>650</v>
      </c>
      <c r="G819" s="8" t="s">
        <v>5046</v>
      </c>
    </row>
    <row r="820" spans="1:7" x14ac:dyDescent="0.25">
      <c r="A820" s="4" t="s">
        <v>651</v>
      </c>
      <c r="B820" s="2">
        <f>VALUE("7051")</f>
        <v>7051</v>
      </c>
      <c r="C820" s="4" t="s">
        <v>649</v>
      </c>
      <c r="D820" s="4" t="s">
        <v>650</v>
      </c>
      <c r="E820" s="2">
        <f>VALUE("2010")</f>
        <v>2010</v>
      </c>
      <c r="F820" t="s">
        <v>650</v>
      </c>
      <c r="G820" s="8" t="s">
        <v>652</v>
      </c>
    </row>
    <row r="821" spans="1:7" x14ac:dyDescent="0.25">
      <c r="A821" s="4" t="s">
        <v>651</v>
      </c>
      <c r="B821" s="2">
        <f>VALUE("7613")</f>
        <v>7613</v>
      </c>
      <c r="C821" s="4" t="s">
        <v>2080</v>
      </c>
      <c r="D821" s="4" t="s">
        <v>2081</v>
      </c>
      <c r="E821" s="2">
        <f>VALUE("2016")</f>
        <v>2016</v>
      </c>
      <c r="F821" t="s">
        <v>650</v>
      </c>
    </row>
    <row r="822" spans="1:7" x14ac:dyDescent="0.25">
      <c r="A822" s="4" t="s">
        <v>651</v>
      </c>
      <c r="B822" s="2">
        <f>VALUE("7613")</f>
        <v>7613</v>
      </c>
      <c r="C822" s="4" t="s">
        <v>2078</v>
      </c>
      <c r="D822" s="4" t="s">
        <v>2079</v>
      </c>
      <c r="E822" s="2">
        <f>VALUE("2016")</f>
        <v>2016</v>
      </c>
      <c r="F822" t="s">
        <v>650</v>
      </c>
    </row>
    <row r="823" spans="1:7" x14ac:dyDescent="0.25">
      <c r="A823" s="4" t="s">
        <v>651</v>
      </c>
      <c r="B823" s="2">
        <f>VALUE("7613")</f>
        <v>7613</v>
      </c>
      <c r="C823" s="4" t="s">
        <v>2084</v>
      </c>
      <c r="D823" s="4" t="s">
        <v>2085</v>
      </c>
      <c r="E823" s="2">
        <f>VALUE("2006")</f>
        <v>2006</v>
      </c>
      <c r="F823" t="s">
        <v>2086</v>
      </c>
      <c r="G823" s="8" t="s">
        <v>2087</v>
      </c>
    </row>
    <row r="824" spans="1:7" x14ac:dyDescent="0.25">
      <c r="A824" s="4" t="s">
        <v>651</v>
      </c>
      <c r="B824" s="2">
        <f>VALUE("7613")</f>
        <v>7613</v>
      </c>
      <c r="C824" s="4" t="s">
        <v>2082</v>
      </c>
      <c r="D824" s="4" t="s">
        <v>2083</v>
      </c>
      <c r="E824" s="2">
        <f>VALUE("2018")</f>
        <v>2018</v>
      </c>
      <c r="F824" t="s">
        <v>650</v>
      </c>
    </row>
    <row r="825" spans="1:7" x14ac:dyDescent="0.25">
      <c r="A825" s="4" t="s">
        <v>651</v>
      </c>
      <c r="B825" s="2">
        <f>VALUE("7950")</f>
        <v>7950</v>
      </c>
      <c r="C825" s="4" t="s">
        <v>2925</v>
      </c>
      <c r="D825" s="4" t="s">
        <v>2926</v>
      </c>
      <c r="E825" s="2">
        <f>VALUE("2020")</f>
        <v>2020</v>
      </c>
      <c r="F825" t="s">
        <v>650</v>
      </c>
    </row>
    <row r="826" spans="1:7" x14ac:dyDescent="0.25">
      <c r="A826" s="4" t="s">
        <v>929</v>
      </c>
      <c r="B826" s="2">
        <f>VALUE("7134")</f>
        <v>7134</v>
      </c>
      <c r="C826" s="4" t="s">
        <v>926</v>
      </c>
      <c r="D826" s="4" t="s">
        <v>927</v>
      </c>
      <c r="E826" s="2">
        <f>VALUE("2013")</f>
        <v>2013</v>
      </c>
      <c r="F826" t="s">
        <v>928</v>
      </c>
    </row>
    <row r="827" spans="1:7" x14ac:dyDescent="0.25">
      <c r="A827" s="4" t="s">
        <v>929</v>
      </c>
      <c r="B827" s="2">
        <f>VALUE("7134")</f>
        <v>7134</v>
      </c>
      <c r="C827" s="4" t="s">
        <v>930</v>
      </c>
      <c r="D827" s="4" t="s">
        <v>931</v>
      </c>
      <c r="E827" s="2">
        <f>VALUE("2013")</f>
        <v>2013</v>
      </c>
      <c r="F827" t="s">
        <v>932</v>
      </c>
    </row>
    <row r="828" spans="1:7" x14ac:dyDescent="0.25">
      <c r="A828" s="4" t="s">
        <v>929</v>
      </c>
      <c r="B828" s="2">
        <f>VALUE("7134")</f>
        <v>7134</v>
      </c>
      <c r="C828" s="4" t="s">
        <v>933</v>
      </c>
      <c r="D828" s="4" t="s">
        <v>934</v>
      </c>
      <c r="E828" s="2">
        <f>VALUE("2012")</f>
        <v>2012</v>
      </c>
      <c r="F828" t="s">
        <v>935</v>
      </c>
    </row>
    <row r="829" spans="1:7" x14ac:dyDescent="0.25">
      <c r="A829" s="4" t="s">
        <v>929</v>
      </c>
      <c r="B829" s="2">
        <f>VALUE("7134")</f>
        <v>7134</v>
      </c>
      <c r="C829" s="4" t="s">
        <v>936</v>
      </c>
      <c r="D829" s="4" t="s">
        <v>937</v>
      </c>
      <c r="E829" s="2">
        <f>VALUE("2012")</f>
        <v>2012</v>
      </c>
      <c r="F829" t="s">
        <v>938</v>
      </c>
    </row>
    <row r="830" spans="1:7" x14ac:dyDescent="0.25">
      <c r="A830" s="4" t="s">
        <v>929</v>
      </c>
      <c r="B830" s="2">
        <f>VALUE("7134")</f>
        <v>7134</v>
      </c>
      <c r="C830" s="4" t="s">
        <v>939</v>
      </c>
      <c r="D830" s="4" t="s">
        <v>940</v>
      </c>
      <c r="E830" s="2">
        <f>VALUE("2014")</f>
        <v>2014</v>
      </c>
      <c r="F830" t="s">
        <v>296</v>
      </c>
    </row>
    <row r="831" spans="1:7" x14ac:dyDescent="0.25">
      <c r="A831" s="4" t="s">
        <v>929</v>
      </c>
      <c r="B831" s="2">
        <f>VALUE("7271")</f>
        <v>7271</v>
      </c>
      <c r="C831" s="4" t="s">
        <v>1306</v>
      </c>
      <c r="D831" s="4" t="s">
        <v>1307</v>
      </c>
      <c r="E831" s="2">
        <f>VALUE("2012")</f>
        <v>2012</v>
      </c>
      <c r="F831" t="s">
        <v>30</v>
      </c>
      <c r="G831" s="8" t="s">
        <v>1308</v>
      </c>
    </row>
    <row r="832" spans="1:7" x14ac:dyDescent="0.25">
      <c r="A832" s="4" t="s">
        <v>929</v>
      </c>
      <c r="B832" s="2">
        <f>VALUE("7395")</f>
        <v>7395</v>
      </c>
      <c r="C832" s="4" t="s">
        <v>978</v>
      </c>
      <c r="D832" s="4" t="s">
        <v>1596</v>
      </c>
      <c r="E832" s="2">
        <f>VALUE("2014")</f>
        <v>2014</v>
      </c>
      <c r="F832" t="s">
        <v>1597</v>
      </c>
      <c r="G832" s="8" t="s">
        <v>1598</v>
      </c>
    </row>
    <row r="833" spans="1:7" x14ac:dyDescent="0.25">
      <c r="A833" s="4" t="s">
        <v>929</v>
      </c>
      <c r="B833" s="2">
        <f>VALUE("7395")</f>
        <v>7395</v>
      </c>
      <c r="C833" s="4" t="s">
        <v>1606</v>
      </c>
      <c r="D833" s="4" t="s">
        <v>1607</v>
      </c>
      <c r="E833" s="2">
        <f>VALUE("2016")</f>
        <v>2016</v>
      </c>
      <c r="F833" t="s">
        <v>650</v>
      </c>
      <c r="G833" s="8" t="s">
        <v>1608</v>
      </c>
    </row>
    <row r="834" spans="1:7" x14ac:dyDescent="0.25">
      <c r="A834" s="4" t="s">
        <v>929</v>
      </c>
      <c r="B834" s="2">
        <f>VALUE("7395")</f>
        <v>7395</v>
      </c>
      <c r="C834" s="4" t="s">
        <v>1599</v>
      </c>
      <c r="D834" s="4" t="s">
        <v>1600</v>
      </c>
      <c r="E834" s="2">
        <f>VALUE("2014")</f>
        <v>2014</v>
      </c>
      <c r="F834" t="s">
        <v>1601</v>
      </c>
      <c r="G834" s="8" t="s">
        <v>5231</v>
      </c>
    </row>
    <row r="835" spans="1:7" x14ac:dyDescent="0.25">
      <c r="A835" s="4" t="s">
        <v>929</v>
      </c>
      <c r="B835" s="2">
        <f>VALUE("7395")</f>
        <v>7395</v>
      </c>
      <c r="C835" s="4" t="s">
        <v>1602</v>
      </c>
      <c r="D835" s="4" t="s">
        <v>1603</v>
      </c>
      <c r="E835" s="2">
        <f>VALUE("2014")</f>
        <v>2014</v>
      </c>
      <c r="F835" t="s">
        <v>1604</v>
      </c>
      <c r="G835" s="8" t="s">
        <v>1605</v>
      </c>
    </row>
    <row r="836" spans="1:7" x14ac:dyDescent="0.25">
      <c r="A836" s="4" t="s">
        <v>929</v>
      </c>
      <c r="B836" s="2">
        <f>VALUE("8130")</f>
        <v>8130</v>
      </c>
      <c r="C836" s="4" t="s">
        <v>3287</v>
      </c>
      <c r="D836" s="4" t="s">
        <v>3288</v>
      </c>
      <c r="E836" s="2">
        <f>VALUE("2019")</f>
        <v>2019</v>
      </c>
      <c r="F836" t="s">
        <v>650</v>
      </c>
      <c r="G836" s="8" t="s">
        <v>3289</v>
      </c>
    </row>
    <row r="837" spans="1:7" x14ac:dyDescent="0.25">
      <c r="A837" s="4" t="s">
        <v>929</v>
      </c>
      <c r="B837" s="2">
        <f>VALUE("8130")</f>
        <v>8130</v>
      </c>
      <c r="C837" s="4" t="s">
        <v>3281</v>
      </c>
      <c r="D837" s="4" t="s">
        <v>3282</v>
      </c>
      <c r="E837" s="2">
        <f>VALUE("2018")</f>
        <v>2018</v>
      </c>
      <c r="F837" t="s">
        <v>650</v>
      </c>
      <c r="G837" s="8" t="s">
        <v>3283</v>
      </c>
    </row>
    <row r="838" spans="1:7" x14ac:dyDescent="0.25">
      <c r="A838" s="4" t="s">
        <v>929</v>
      </c>
      <c r="B838" s="2">
        <f>VALUE("8130")</f>
        <v>8130</v>
      </c>
      <c r="C838" s="4" t="s">
        <v>3290</v>
      </c>
      <c r="D838" s="4" t="s">
        <v>3291</v>
      </c>
      <c r="E838" s="2">
        <f>VALUE("2019")</f>
        <v>2019</v>
      </c>
      <c r="F838" t="s">
        <v>650</v>
      </c>
      <c r="G838" s="8" t="s">
        <v>3292</v>
      </c>
    </row>
    <row r="839" spans="1:7" x14ac:dyDescent="0.25">
      <c r="A839" s="4" t="s">
        <v>929</v>
      </c>
      <c r="B839" s="2">
        <f>VALUE("8130")</f>
        <v>8130</v>
      </c>
      <c r="C839" s="4" t="s">
        <v>3284</v>
      </c>
      <c r="D839" s="4" t="s">
        <v>3285</v>
      </c>
      <c r="E839" s="2">
        <f>VALUE("2018")</f>
        <v>2018</v>
      </c>
      <c r="F839" t="s">
        <v>650</v>
      </c>
      <c r="G839" s="8" t="s">
        <v>3286</v>
      </c>
    </row>
    <row r="840" spans="1:7" x14ac:dyDescent="0.25">
      <c r="A840" s="4" t="s">
        <v>929</v>
      </c>
      <c r="B840" s="2" t="s">
        <v>5244</v>
      </c>
      <c r="C840" s="4" t="s">
        <v>978</v>
      </c>
      <c r="D840" s="4" t="s">
        <v>979</v>
      </c>
      <c r="E840" s="2">
        <f>VALUE("2013")</f>
        <v>2013</v>
      </c>
      <c r="F840" t="s">
        <v>47</v>
      </c>
      <c r="G840" s="8" t="s">
        <v>980</v>
      </c>
    </row>
    <row r="841" spans="1:7" x14ac:dyDescent="0.25">
      <c r="A841" s="4" t="s">
        <v>2366</v>
      </c>
      <c r="B841" s="2">
        <f>VALUE("7694")</f>
        <v>7694</v>
      </c>
      <c r="C841" s="4" t="s">
        <v>2363</v>
      </c>
      <c r="D841" s="4" t="s">
        <v>2364</v>
      </c>
      <c r="E841" s="2">
        <f>VALUE("2019")</f>
        <v>2019</v>
      </c>
      <c r="F841" t="s">
        <v>2365</v>
      </c>
      <c r="G841" s="8" t="s">
        <v>2367</v>
      </c>
    </row>
    <row r="842" spans="1:7" x14ac:dyDescent="0.25">
      <c r="A842" s="4" t="s">
        <v>2366</v>
      </c>
      <c r="B842" s="2">
        <f>VALUE("8109")</f>
        <v>8109</v>
      </c>
      <c r="C842" s="4" t="s">
        <v>3230</v>
      </c>
      <c r="D842" s="4" t="s">
        <v>3231</v>
      </c>
      <c r="E842" s="2">
        <f>VALUE("2018")</f>
        <v>2018</v>
      </c>
      <c r="F842" t="s">
        <v>3232</v>
      </c>
      <c r="G842" s="8" t="s">
        <v>3233</v>
      </c>
    </row>
    <row r="843" spans="1:7" x14ac:dyDescent="0.25">
      <c r="A843" s="4" t="s">
        <v>4497</v>
      </c>
      <c r="B843" s="2">
        <f>VALUE("8671")</f>
        <v>8671</v>
      </c>
      <c r="C843" s="4" t="s">
        <v>4494</v>
      </c>
      <c r="D843" s="4" t="s">
        <v>4495</v>
      </c>
      <c r="E843" s="2">
        <f>VALUE("2022")</f>
        <v>2022</v>
      </c>
      <c r="F843" t="s">
        <v>4496</v>
      </c>
      <c r="G843" s="8" t="s">
        <v>4498</v>
      </c>
    </row>
    <row r="844" spans="1:7" x14ac:dyDescent="0.25">
      <c r="A844" s="4" t="s">
        <v>4497</v>
      </c>
      <c r="B844" s="2">
        <f>VALUE("8672")</f>
        <v>8672</v>
      </c>
      <c r="C844" s="4" t="s">
        <v>4499</v>
      </c>
      <c r="D844" s="4" t="s">
        <v>4500</v>
      </c>
      <c r="E844" s="2">
        <f>VALUE("2020")</f>
        <v>2020</v>
      </c>
      <c r="F844" t="s">
        <v>4501</v>
      </c>
      <c r="G844" s="8" t="s">
        <v>4502</v>
      </c>
    </row>
    <row r="845" spans="1:7" x14ac:dyDescent="0.25">
      <c r="A845" s="4" t="s">
        <v>4497</v>
      </c>
      <c r="B845" s="2">
        <f>VALUE("8725")</f>
        <v>8725</v>
      </c>
      <c r="C845" s="4" t="s">
        <v>4607</v>
      </c>
      <c r="D845" s="4" t="s">
        <v>4608</v>
      </c>
      <c r="E845" s="2">
        <f>VALUE("2020")</f>
        <v>2020</v>
      </c>
      <c r="F845" t="s">
        <v>4501</v>
      </c>
    </row>
    <row r="846" spans="1:7" x14ac:dyDescent="0.25">
      <c r="A846" s="4" t="s">
        <v>3907</v>
      </c>
      <c r="B846" s="2">
        <f>VALUE("8417")</f>
        <v>8417</v>
      </c>
      <c r="C846" s="4" t="s">
        <v>3904</v>
      </c>
      <c r="D846" s="4" t="s">
        <v>3905</v>
      </c>
      <c r="E846" s="2">
        <f>VALUE("2019")</f>
        <v>2019</v>
      </c>
      <c r="F846" t="s">
        <v>3906</v>
      </c>
      <c r="G846" s="8" t="s">
        <v>3908</v>
      </c>
    </row>
    <row r="847" spans="1:7" x14ac:dyDescent="0.25">
      <c r="A847" s="4" t="s">
        <v>3219</v>
      </c>
      <c r="B847" s="2">
        <f>VALUE("8103")</f>
        <v>8103</v>
      </c>
      <c r="C847" s="4" t="s">
        <v>3216</v>
      </c>
      <c r="D847" s="4" t="s">
        <v>3217</v>
      </c>
      <c r="E847" s="2">
        <f>VALUE("2018")</f>
        <v>2018</v>
      </c>
      <c r="F847" t="s">
        <v>3218</v>
      </c>
    </row>
    <row r="848" spans="1:7" x14ac:dyDescent="0.25">
      <c r="A848" s="4" t="s">
        <v>3219</v>
      </c>
      <c r="B848" s="2">
        <f>VALUE("8107")</f>
        <v>8107</v>
      </c>
      <c r="C848" s="4" t="s">
        <v>3225</v>
      </c>
      <c r="D848" s="4" t="s">
        <v>3226</v>
      </c>
      <c r="E848" s="2">
        <f>VALUE("2018")</f>
        <v>2018</v>
      </c>
      <c r="F848" t="s">
        <v>3218</v>
      </c>
    </row>
    <row r="849" spans="1:7" x14ac:dyDescent="0.25">
      <c r="A849" s="4" t="s">
        <v>1029</v>
      </c>
      <c r="B849" s="2">
        <f>VALUE("7184")</f>
        <v>7184</v>
      </c>
      <c r="C849" s="4" t="s">
        <v>1027</v>
      </c>
      <c r="D849" s="4" t="s">
        <v>1028</v>
      </c>
      <c r="E849" s="2">
        <f>VALUE("2012")</f>
        <v>2012</v>
      </c>
      <c r="F849" t="s">
        <v>1029</v>
      </c>
    </row>
    <row r="850" spans="1:7" x14ac:dyDescent="0.25">
      <c r="A850" s="4" t="s">
        <v>1029</v>
      </c>
      <c r="B850" s="2">
        <f>VALUE("7217")</f>
        <v>7217</v>
      </c>
      <c r="C850" s="4" t="s">
        <v>1087</v>
      </c>
      <c r="D850" s="4" t="s">
        <v>1088</v>
      </c>
      <c r="E850" s="2">
        <f>VALUE("2013")</f>
        <v>2013</v>
      </c>
      <c r="F850" t="s">
        <v>1029</v>
      </c>
      <c r="G850" s="8" t="s">
        <v>1089</v>
      </c>
    </row>
    <row r="851" spans="1:7" x14ac:dyDescent="0.25">
      <c r="A851" s="4" t="s">
        <v>1029</v>
      </c>
      <c r="B851" s="2">
        <f>VALUE("7292")</f>
        <v>7292</v>
      </c>
      <c r="C851" s="4" t="s">
        <v>1368</v>
      </c>
      <c r="D851" s="4" t="s">
        <v>1369</v>
      </c>
      <c r="E851" s="2">
        <f>VALUE("2012")</f>
        <v>2012</v>
      </c>
      <c r="F851" t="s">
        <v>1029</v>
      </c>
      <c r="G851" s="8" t="s">
        <v>1370</v>
      </c>
    </row>
    <row r="852" spans="1:7" x14ac:dyDescent="0.25">
      <c r="A852" s="4" t="s">
        <v>1029</v>
      </c>
      <c r="B852" s="2">
        <f>VALUE("7315")</f>
        <v>7315</v>
      </c>
      <c r="C852" s="4" t="s">
        <v>1460</v>
      </c>
      <c r="D852" s="4" t="s">
        <v>1461</v>
      </c>
      <c r="E852" s="2">
        <f>VALUE("2013")</f>
        <v>2013</v>
      </c>
      <c r="F852" t="s">
        <v>1029</v>
      </c>
    </row>
    <row r="853" spans="1:7" x14ac:dyDescent="0.25">
      <c r="A853" s="4" t="s">
        <v>1029</v>
      </c>
      <c r="B853" s="2">
        <f>VALUE("7315")</f>
        <v>7315</v>
      </c>
      <c r="C853" s="4" t="s">
        <v>1462</v>
      </c>
      <c r="D853" s="4" t="s">
        <v>1463</v>
      </c>
      <c r="E853" s="2">
        <f>VALUE("2013")</f>
        <v>2013</v>
      </c>
      <c r="F853" t="s">
        <v>1029</v>
      </c>
    </row>
    <row r="854" spans="1:7" x14ac:dyDescent="0.25">
      <c r="A854" s="4" t="s">
        <v>1029</v>
      </c>
      <c r="B854" s="2">
        <f>VALUE("7340")</f>
        <v>7340</v>
      </c>
      <c r="C854" s="4" t="s">
        <v>1511</v>
      </c>
      <c r="D854" s="4" t="s">
        <v>1512</v>
      </c>
      <c r="E854" s="2">
        <f>VALUE("2013")</f>
        <v>2013</v>
      </c>
      <c r="F854" t="s">
        <v>1029</v>
      </c>
      <c r="G854" s="8" t="s">
        <v>1513</v>
      </c>
    </row>
    <row r="855" spans="1:7" x14ac:dyDescent="0.25">
      <c r="A855" s="4" t="s">
        <v>1029</v>
      </c>
      <c r="B855" s="2">
        <f>VALUE("7399")</f>
        <v>7399</v>
      </c>
      <c r="C855" s="4" t="s">
        <v>1621</v>
      </c>
      <c r="D855" s="4" t="s">
        <v>1622</v>
      </c>
      <c r="E855" s="2">
        <f>VALUE("2012")</f>
        <v>2012</v>
      </c>
      <c r="F855" t="s">
        <v>1029</v>
      </c>
      <c r="G855" s="8" t="s">
        <v>1623</v>
      </c>
    </row>
    <row r="856" spans="1:7" x14ac:dyDescent="0.25">
      <c r="A856" s="4" t="s">
        <v>1029</v>
      </c>
      <c r="B856" s="2">
        <f>VALUE("7429")</f>
        <v>7429</v>
      </c>
      <c r="C856" s="4" t="s">
        <v>1682</v>
      </c>
      <c r="D856" s="4" t="s">
        <v>1683</v>
      </c>
      <c r="E856" s="2">
        <f>VALUE("2016")</f>
        <v>2016</v>
      </c>
      <c r="F856" t="s">
        <v>1684</v>
      </c>
    </row>
    <row r="857" spans="1:7" x14ac:dyDescent="0.25">
      <c r="A857" s="4" t="s">
        <v>1029</v>
      </c>
      <c r="B857" s="2">
        <f>VALUE("7429")</f>
        <v>7429</v>
      </c>
      <c r="C857" s="4" t="s">
        <v>1679</v>
      </c>
      <c r="D857" s="4" t="s">
        <v>1680</v>
      </c>
      <c r="E857" s="2">
        <f>VALUE("2013")</f>
        <v>2013</v>
      </c>
      <c r="F857" t="s">
        <v>1029</v>
      </c>
      <c r="G857" s="8" t="s">
        <v>1681</v>
      </c>
    </row>
    <row r="858" spans="1:7" x14ac:dyDescent="0.25">
      <c r="A858" s="4" t="s">
        <v>1029</v>
      </c>
      <c r="B858" s="2">
        <f>VALUE("7491")</f>
        <v>7491</v>
      </c>
      <c r="C858" s="4" t="s">
        <v>1821</v>
      </c>
      <c r="D858" s="4" t="s">
        <v>1822</v>
      </c>
      <c r="E858" s="2">
        <f>VALUE("2013")</f>
        <v>2013</v>
      </c>
      <c r="F858" t="s">
        <v>1029</v>
      </c>
      <c r="G858" s="8" t="s">
        <v>1823</v>
      </c>
    </row>
    <row r="859" spans="1:7" x14ac:dyDescent="0.25">
      <c r="A859" s="4" t="s">
        <v>1029</v>
      </c>
      <c r="B859" s="2">
        <f>VALUE("7597")</f>
        <v>7597</v>
      </c>
      <c r="C859" s="4" t="s">
        <v>2034</v>
      </c>
      <c r="D859" s="4" t="s">
        <v>2035</v>
      </c>
      <c r="E859" s="2">
        <f>VALUE("2014")</f>
        <v>2014</v>
      </c>
      <c r="F859" t="s">
        <v>2036</v>
      </c>
      <c r="G859" s="8" t="s">
        <v>2037</v>
      </c>
    </row>
    <row r="860" spans="1:7" x14ac:dyDescent="0.25">
      <c r="A860" s="4" t="s">
        <v>1029</v>
      </c>
      <c r="B860" s="2">
        <f>VALUE("7598")</f>
        <v>7598</v>
      </c>
      <c r="C860" s="4" t="s">
        <v>2038</v>
      </c>
      <c r="D860" s="4" t="s">
        <v>2039</v>
      </c>
      <c r="E860" s="2">
        <f>VALUE("2014")</f>
        <v>2014</v>
      </c>
      <c r="F860" t="s">
        <v>2040</v>
      </c>
    </row>
    <row r="861" spans="1:7" x14ac:dyDescent="0.25">
      <c r="A861" s="4" t="s">
        <v>1029</v>
      </c>
      <c r="B861" s="2">
        <f>VALUE("7667")</f>
        <v>7667</v>
      </c>
      <c r="C861" s="4" t="s">
        <v>2272</v>
      </c>
      <c r="D861" s="4" t="s">
        <v>2273</v>
      </c>
      <c r="E861" s="2">
        <f>VALUE("2015")</f>
        <v>2015</v>
      </c>
      <c r="F861" t="s">
        <v>2274</v>
      </c>
      <c r="G861" s="8" t="s">
        <v>2275</v>
      </c>
    </row>
    <row r="862" spans="1:7" x14ac:dyDescent="0.25">
      <c r="A862" s="4" t="s">
        <v>1029</v>
      </c>
      <c r="B862" s="2">
        <f>VALUE("7852")</f>
        <v>7852</v>
      </c>
      <c r="C862" s="4" t="s">
        <v>2714</v>
      </c>
      <c r="D862" s="4" t="s">
        <v>2715</v>
      </c>
      <c r="E862" s="2">
        <f>VALUE("2016")</f>
        <v>2016</v>
      </c>
      <c r="F862" t="s">
        <v>1029</v>
      </c>
    </row>
    <row r="863" spans="1:7" x14ac:dyDescent="0.25">
      <c r="A863" s="4" t="s">
        <v>1029</v>
      </c>
      <c r="B863" s="2">
        <f>VALUE("7958")</f>
        <v>7958</v>
      </c>
      <c r="C863" s="4" t="s">
        <v>2952</v>
      </c>
      <c r="D863" s="4" t="s">
        <v>2953</v>
      </c>
      <c r="E863" s="2">
        <f>VALUE("2017")</f>
        <v>2017</v>
      </c>
      <c r="F863" t="s">
        <v>1029</v>
      </c>
      <c r="G863" s="8" t="s">
        <v>2954</v>
      </c>
    </row>
    <row r="864" spans="1:7" x14ac:dyDescent="0.25">
      <c r="A864" s="4" t="s">
        <v>1029</v>
      </c>
      <c r="B864" s="2">
        <f>VALUE("8042")</f>
        <v>8042</v>
      </c>
      <c r="C864" s="4" t="s">
        <v>3084</v>
      </c>
      <c r="D864" s="4" t="s">
        <v>3085</v>
      </c>
      <c r="E864" s="2">
        <f>VALUE("2017")</f>
        <v>2017</v>
      </c>
      <c r="F864" t="s">
        <v>1029</v>
      </c>
      <c r="G864" s="8" t="s">
        <v>3086</v>
      </c>
    </row>
    <row r="865" spans="1:7" x14ac:dyDescent="0.25">
      <c r="A865" s="4" t="s">
        <v>1029</v>
      </c>
      <c r="B865" s="2">
        <f>VALUE("8115")</f>
        <v>8115</v>
      </c>
      <c r="C865" s="4" t="s">
        <v>3237</v>
      </c>
      <c r="D865" s="4" t="s">
        <v>3238</v>
      </c>
      <c r="E865" s="2">
        <f>VALUE("2018")</f>
        <v>2018</v>
      </c>
      <c r="F865" t="s">
        <v>1029</v>
      </c>
      <c r="G865" s="8" t="s">
        <v>3239</v>
      </c>
    </row>
    <row r="866" spans="1:7" x14ac:dyDescent="0.25">
      <c r="A866" s="4" t="s">
        <v>1029</v>
      </c>
      <c r="B866" s="2">
        <f>VALUE("8175")</f>
        <v>8175</v>
      </c>
      <c r="C866" s="4" t="s">
        <v>3409</v>
      </c>
      <c r="D866" s="4" t="s">
        <v>3410</v>
      </c>
      <c r="E866" s="2">
        <f>VALUE("2018")</f>
        <v>2018</v>
      </c>
      <c r="F866" t="s">
        <v>1029</v>
      </c>
    </row>
    <row r="867" spans="1:7" x14ac:dyDescent="0.25">
      <c r="A867" s="4" t="s">
        <v>1029</v>
      </c>
      <c r="B867" s="2">
        <f>VALUE("8320")</f>
        <v>8320</v>
      </c>
      <c r="C867" s="4" t="s">
        <v>3760</v>
      </c>
      <c r="D867" s="4" t="s">
        <v>3761</v>
      </c>
      <c r="E867" s="2">
        <f>VALUE("2018")</f>
        <v>2018</v>
      </c>
      <c r="F867" t="s">
        <v>1029</v>
      </c>
      <c r="G867" s="8" t="s">
        <v>3762</v>
      </c>
    </row>
    <row r="868" spans="1:7" x14ac:dyDescent="0.25">
      <c r="A868" s="4" t="s">
        <v>1029</v>
      </c>
      <c r="B868" s="2">
        <f>VALUE("8444")</f>
        <v>8444</v>
      </c>
      <c r="C868" s="4" t="s">
        <v>3947</v>
      </c>
      <c r="D868" s="4" t="s">
        <v>3948</v>
      </c>
      <c r="E868" s="2">
        <f>VALUE("2019")</f>
        <v>2019</v>
      </c>
      <c r="F868" t="s">
        <v>1029</v>
      </c>
      <c r="G868" s="8" t="s">
        <v>3949</v>
      </c>
    </row>
    <row r="869" spans="1:7" x14ac:dyDescent="0.25">
      <c r="A869" s="4" t="s">
        <v>1029</v>
      </c>
      <c r="B869" s="2">
        <f>VALUE("8532")</f>
        <v>8532</v>
      </c>
      <c r="C869" s="4" t="s">
        <v>4198</v>
      </c>
      <c r="D869" s="4" t="s">
        <v>4199</v>
      </c>
      <c r="E869" s="2">
        <f>VALUE("2019")</f>
        <v>2019</v>
      </c>
      <c r="F869" t="s">
        <v>1029</v>
      </c>
    </row>
    <row r="870" spans="1:7" x14ac:dyDescent="0.25">
      <c r="A870" s="4" t="s">
        <v>1029</v>
      </c>
      <c r="B870" s="2">
        <f>VALUE("8798")</f>
        <v>8798</v>
      </c>
      <c r="C870" s="4" t="s">
        <v>4718</v>
      </c>
      <c r="D870" s="4" t="s">
        <v>4719</v>
      </c>
      <c r="E870" s="2">
        <f>VALUE("2020")</f>
        <v>2020</v>
      </c>
      <c r="F870" t="s">
        <v>1029</v>
      </c>
      <c r="G870" s="8" t="s">
        <v>4720</v>
      </c>
    </row>
    <row r="871" spans="1:7" x14ac:dyDescent="0.25">
      <c r="A871" s="4" t="s">
        <v>1029</v>
      </c>
      <c r="B871" s="2">
        <f>VALUE("8979")</f>
        <v>8979</v>
      </c>
      <c r="C871" s="4" t="s">
        <v>4936</v>
      </c>
      <c r="D871" s="4" t="s">
        <v>4937</v>
      </c>
      <c r="E871" s="2">
        <f>VALUE("2021")</f>
        <v>2021</v>
      </c>
      <c r="F871" t="s">
        <v>4938</v>
      </c>
      <c r="G871" s="8" t="s">
        <v>4939</v>
      </c>
    </row>
    <row r="872" spans="1:7" x14ac:dyDescent="0.25">
      <c r="A872" s="4" t="s">
        <v>1029</v>
      </c>
      <c r="B872" s="2">
        <f>VALUE("9022")</f>
        <v>9022</v>
      </c>
      <c r="C872" s="4" t="s">
        <v>4960</v>
      </c>
      <c r="D872" s="4" t="s">
        <v>4959</v>
      </c>
      <c r="E872" s="2">
        <f>VALUE("2021")</f>
        <v>2021</v>
      </c>
      <c r="F872" t="s">
        <v>1029</v>
      </c>
    </row>
    <row r="873" spans="1:7" x14ac:dyDescent="0.25">
      <c r="A873" s="4" t="s">
        <v>1029</v>
      </c>
      <c r="B873" s="2">
        <f>VALUE("9022")</f>
        <v>9022</v>
      </c>
      <c r="C873" s="4" t="s">
        <v>4958</v>
      </c>
      <c r="D873" s="4" t="s">
        <v>4959</v>
      </c>
      <c r="E873" s="2">
        <f>VALUE("2021")</f>
        <v>2021</v>
      </c>
      <c r="F873" t="s">
        <v>1029</v>
      </c>
    </row>
    <row r="874" spans="1:7" x14ac:dyDescent="0.25">
      <c r="A874" s="4" t="s">
        <v>1029</v>
      </c>
      <c r="B874" s="2">
        <f>VALUE("9022")</f>
        <v>9022</v>
      </c>
      <c r="C874" s="4" t="s">
        <v>4962</v>
      </c>
      <c r="D874" s="4" t="s">
        <v>4963</v>
      </c>
      <c r="E874" s="2">
        <f>VALUE("2021")</f>
        <v>2021</v>
      </c>
      <c r="F874" t="s">
        <v>1029</v>
      </c>
    </row>
    <row r="875" spans="1:7" x14ac:dyDescent="0.25">
      <c r="A875" s="4" t="s">
        <v>1029</v>
      </c>
      <c r="B875" s="2">
        <f>VALUE("9022")</f>
        <v>9022</v>
      </c>
      <c r="C875" s="4" t="s">
        <v>4961</v>
      </c>
      <c r="D875" s="4" t="s">
        <v>4959</v>
      </c>
      <c r="E875" s="2">
        <f>VALUE("2021")</f>
        <v>2021</v>
      </c>
      <c r="F875" t="s">
        <v>1029</v>
      </c>
    </row>
    <row r="876" spans="1:7" x14ac:dyDescent="0.25">
      <c r="A876" s="4" t="s">
        <v>1029</v>
      </c>
      <c r="B876" s="2">
        <f>VALUE("9191")</f>
        <v>9191</v>
      </c>
      <c r="C876" s="4" t="s">
        <v>5106</v>
      </c>
      <c r="D876" s="4" t="s">
        <v>5107</v>
      </c>
      <c r="E876" s="2">
        <f>VALUE("2022")</f>
        <v>2022</v>
      </c>
      <c r="F876" t="s">
        <v>1029</v>
      </c>
      <c r="G876" s="8" t="s">
        <v>5108</v>
      </c>
    </row>
    <row r="877" spans="1:7" x14ac:dyDescent="0.25">
      <c r="A877" s="4" t="s">
        <v>1029</v>
      </c>
      <c r="B877" s="2">
        <f>VALUE("9251")</f>
        <v>9251</v>
      </c>
      <c r="C877" s="4" t="s">
        <v>5132</v>
      </c>
      <c r="D877" s="4" t="s">
        <v>5133</v>
      </c>
      <c r="E877" s="2">
        <f>VALUE("2022")</f>
        <v>2022</v>
      </c>
      <c r="F877" t="s">
        <v>1029</v>
      </c>
      <c r="G877" s="8" t="s">
        <v>5134</v>
      </c>
    </row>
    <row r="878" spans="1:7" x14ac:dyDescent="0.25">
      <c r="A878" s="4" t="s">
        <v>4284</v>
      </c>
      <c r="B878" s="2">
        <f>VALUE("8574")</f>
        <v>8574</v>
      </c>
      <c r="C878" s="4" t="s">
        <v>4281</v>
      </c>
      <c r="D878" s="4" t="s">
        <v>4282</v>
      </c>
      <c r="E878" s="2">
        <f>VALUE("2020")</f>
        <v>2020</v>
      </c>
      <c r="F878" t="s">
        <v>4283</v>
      </c>
      <c r="G878" s="8" t="s">
        <v>4285</v>
      </c>
    </row>
    <row r="879" spans="1:7" x14ac:dyDescent="0.25">
      <c r="A879" s="4" t="s">
        <v>4279</v>
      </c>
      <c r="B879" s="2">
        <f>VALUE("8570")</f>
        <v>8570</v>
      </c>
      <c r="C879" s="4" t="s">
        <v>4277</v>
      </c>
      <c r="D879" s="4" t="s">
        <v>4278</v>
      </c>
      <c r="E879" s="2">
        <f>VALUE("2021")</f>
        <v>2021</v>
      </c>
      <c r="F879" t="s">
        <v>4279</v>
      </c>
      <c r="G879" s="8" t="s">
        <v>4280</v>
      </c>
    </row>
    <row r="880" spans="1:7" x14ac:dyDescent="0.25">
      <c r="A880" s="4" t="s">
        <v>4811</v>
      </c>
      <c r="B880" s="2">
        <f>VALUE("8873")</f>
        <v>8873</v>
      </c>
      <c r="C880" s="4" t="s">
        <v>4810</v>
      </c>
      <c r="D880" s="4" t="s">
        <v>293</v>
      </c>
      <c r="E880" s="2">
        <f>VALUE("2022")</f>
        <v>2022</v>
      </c>
      <c r="F880" t="s">
        <v>4811</v>
      </c>
      <c r="G880" s="8" t="s">
        <v>4812</v>
      </c>
    </row>
    <row r="881" spans="1:7" x14ac:dyDescent="0.25">
      <c r="A881" s="4" t="s">
        <v>4811</v>
      </c>
      <c r="B881" s="2">
        <f>VALUE("8873")</f>
        <v>8873</v>
      </c>
      <c r="C881" s="4" t="s">
        <v>4813</v>
      </c>
      <c r="D881" s="4" t="s">
        <v>293</v>
      </c>
      <c r="E881" s="2">
        <f>VALUE("2022")</f>
        <v>2022</v>
      </c>
      <c r="F881" t="s">
        <v>4811</v>
      </c>
      <c r="G881" s="8" t="s">
        <v>4814</v>
      </c>
    </row>
    <row r="882" spans="1:7" x14ac:dyDescent="0.25">
      <c r="A882" s="4" t="s">
        <v>4811</v>
      </c>
      <c r="B882" s="2">
        <f>VALUE("8873")</f>
        <v>8873</v>
      </c>
      <c r="C882" s="4" t="s">
        <v>4815</v>
      </c>
      <c r="D882" s="4" t="s">
        <v>293</v>
      </c>
      <c r="E882" s="2">
        <f>VALUE("2022")</f>
        <v>2022</v>
      </c>
      <c r="F882" t="s">
        <v>4811</v>
      </c>
      <c r="G882" s="8" t="s">
        <v>4816</v>
      </c>
    </row>
    <row r="883" spans="1:7" x14ac:dyDescent="0.25">
      <c r="A883" s="4" t="s">
        <v>4811</v>
      </c>
      <c r="B883" s="2">
        <f>VALUE("8873")</f>
        <v>8873</v>
      </c>
      <c r="C883" s="4" t="s">
        <v>4817</v>
      </c>
      <c r="D883" s="4" t="s">
        <v>293</v>
      </c>
      <c r="E883" s="2">
        <f>VALUE("2022")</f>
        <v>2022</v>
      </c>
      <c r="F883" t="s">
        <v>4811</v>
      </c>
      <c r="G883" s="8" t="s">
        <v>4818</v>
      </c>
    </row>
    <row r="884" spans="1:7" x14ac:dyDescent="0.25">
      <c r="A884" s="4" t="s">
        <v>4811</v>
      </c>
      <c r="B884" s="2">
        <f>VALUE("8873")</f>
        <v>8873</v>
      </c>
      <c r="C884" s="4" t="s">
        <v>4819</v>
      </c>
      <c r="D884" s="4" t="s">
        <v>293</v>
      </c>
      <c r="E884" s="2">
        <f>VALUE("2023")</f>
        <v>2023</v>
      </c>
      <c r="F884" t="s">
        <v>4811</v>
      </c>
      <c r="G884" s="8" t="s">
        <v>5232</v>
      </c>
    </row>
    <row r="885" spans="1:7" x14ac:dyDescent="0.25">
      <c r="A885" s="4" t="s">
        <v>3610</v>
      </c>
      <c r="B885" s="2">
        <f>VALUE("8254")</f>
        <v>8254</v>
      </c>
      <c r="C885" s="4" t="s">
        <v>3608</v>
      </c>
      <c r="D885" s="4" t="s">
        <v>3609</v>
      </c>
      <c r="E885" s="2">
        <f>VALUE("2018")</f>
        <v>2018</v>
      </c>
      <c r="F885" t="s">
        <v>3610</v>
      </c>
      <c r="G885" s="8" t="s">
        <v>3611</v>
      </c>
    </row>
    <row r="886" spans="1:7" x14ac:dyDescent="0.25">
      <c r="A886" s="4" t="s">
        <v>3610</v>
      </c>
      <c r="B886" s="2">
        <f>VALUE("8622")</f>
        <v>8622</v>
      </c>
      <c r="C886" s="4" t="s">
        <v>4377</v>
      </c>
      <c r="D886" s="4" t="s">
        <v>4378</v>
      </c>
      <c r="E886" s="2">
        <f>VALUE("2020")</f>
        <v>2020</v>
      </c>
      <c r="F886" t="s">
        <v>4379</v>
      </c>
    </row>
    <row r="887" spans="1:7" x14ac:dyDescent="0.25">
      <c r="A887" s="4" t="s">
        <v>3610</v>
      </c>
      <c r="B887" s="2">
        <f>VALUE("9283")</f>
        <v>9283</v>
      </c>
      <c r="C887" s="4" t="s">
        <v>5152</v>
      </c>
      <c r="D887" s="4" t="s">
        <v>5153</v>
      </c>
      <c r="E887" s="2">
        <f>VALUE("2022")</f>
        <v>2022</v>
      </c>
      <c r="F887" t="s">
        <v>5154</v>
      </c>
      <c r="G887" s="8" t="s">
        <v>5155</v>
      </c>
    </row>
    <row r="888" spans="1:7" x14ac:dyDescent="0.25">
      <c r="A888" s="4" t="s">
        <v>3723</v>
      </c>
      <c r="B888" s="2">
        <f>VALUE("8313")</f>
        <v>8313</v>
      </c>
      <c r="C888" s="4" t="s">
        <v>3720</v>
      </c>
      <c r="D888" s="4" t="s">
        <v>3721</v>
      </c>
      <c r="E888" s="2">
        <f>VALUE("2019")</f>
        <v>2019</v>
      </c>
      <c r="F888" t="s">
        <v>3722</v>
      </c>
    </row>
    <row r="889" spans="1:7" x14ac:dyDescent="0.25">
      <c r="A889" s="4" t="s">
        <v>1073</v>
      </c>
      <c r="B889" s="2">
        <f>VALUE("7209")</f>
        <v>7209</v>
      </c>
      <c r="C889" s="4" t="s">
        <v>1070</v>
      </c>
      <c r="D889" s="4" t="s">
        <v>1071</v>
      </c>
      <c r="E889" s="2">
        <f>VALUE("2012")</f>
        <v>2012</v>
      </c>
      <c r="F889" t="s">
        <v>1072</v>
      </c>
    </row>
    <row r="890" spans="1:7" x14ac:dyDescent="0.25">
      <c r="A890" s="4" t="s">
        <v>1073</v>
      </c>
      <c r="B890" s="2">
        <f>VALUE("7322")</f>
        <v>7322</v>
      </c>
      <c r="C890" s="4" t="s">
        <v>1475</v>
      </c>
      <c r="D890" s="4" t="s">
        <v>1476</v>
      </c>
      <c r="E890" s="2">
        <f>VALUE("2012")</f>
        <v>2012</v>
      </c>
      <c r="F890" t="s">
        <v>1477</v>
      </c>
    </row>
    <row r="891" spans="1:7" x14ac:dyDescent="0.25">
      <c r="A891" s="4" t="s">
        <v>1073</v>
      </c>
      <c r="B891" s="2">
        <f>VALUE("7322")</f>
        <v>7322</v>
      </c>
      <c r="C891" s="4" t="s">
        <v>1478</v>
      </c>
      <c r="D891" s="4" t="s">
        <v>1476</v>
      </c>
      <c r="E891" s="2">
        <f>VALUE("2012")</f>
        <v>2012</v>
      </c>
      <c r="F891" t="s">
        <v>1073</v>
      </c>
    </row>
    <row r="892" spans="1:7" x14ac:dyDescent="0.25">
      <c r="A892" s="4" t="s">
        <v>1073</v>
      </c>
      <c r="B892" s="2">
        <f>VALUE("7322")</f>
        <v>7322</v>
      </c>
      <c r="C892" s="4" t="s">
        <v>1479</v>
      </c>
      <c r="D892" s="4" t="s">
        <v>1480</v>
      </c>
      <c r="E892" s="2">
        <f>VALUE("2013")</f>
        <v>2013</v>
      </c>
      <c r="F892" t="s">
        <v>1073</v>
      </c>
    </row>
    <row r="893" spans="1:7" x14ac:dyDescent="0.25">
      <c r="A893" s="4" t="s">
        <v>1073</v>
      </c>
      <c r="B893" s="2">
        <f>VALUE("7350")</f>
        <v>7350</v>
      </c>
      <c r="C893" s="4" t="s">
        <v>1533</v>
      </c>
      <c r="D893" s="4" t="s">
        <v>1534</v>
      </c>
      <c r="E893" s="2">
        <f>VALUE("2012")</f>
        <v>2012</v>
      </c>
      <c r="F893" t="s">
        <v>1535</v>
      </c>
      <c r="G893" s="8" t="s">
        <v>1536</v>
      </c>
    </row>
    <row r="894" spans="1:7" x14ac:dyDescent="0.25">
      <c r="A894" s="4" t="s">
        <v>1073</v>
      </c>
      <c r="B894" s="2">
        <f>VALUE("7426")</f>
        <v>7426</v>
      </c>
      <c r="C894" s="4" t="s">
        <v>1673</v>
      </c>
      <c r="D894" s="4" t="s">
        <v>1674</v>
      </c>
      <c r="E894" s="2">
        <f>VALUE("2013")</f>
        <v>2013</v>
      </c>
      <c r="F894" t="s">
        <v>1675</v>
      </c>
    </row>
    <row r="895" spans="1:7" x14ac:dyDescent="0.25">
      <c r="A895" s="4" t="s">
        <v>1073</v>
      </c>
      <c r="B895" s="2">
        <f>VALUE("7512")</f>
        <v>7512</v>
      </c>
      <c r="C895" s="4" t="s">
        <v>1883</v>
      </c>
      <c r="D895" s="4" t="s">
        <v>1884</v>
      </c>
      <c r="E895" s="2">
        <f>VALUE("2015")</f>
        <v>2015</v>
      </c>
      <c r="F895" t="s">
        <v>1885</v>
      </c>
    </row>
    <row r="896" spans="1:7" x14ac:dyDescent="0.25">
      <c r="A896" s="4" t="s">
        <v>1073</v>
      </c>
      <c r="B896" s="2">
        <f>VALUE("7651")</f>
        <v>7651</v>
      </c>
      <c r="C896" s="4" t="s">
        <v>2189</v>
      </c>
      <c r="D896" s="4" t="s">
        <v>2190</v>
      </c>
      <c r="E896" s="2">
        <f>VALUE("2014")</f>
        <v>2014</v>
      </c>
      <c r="F896" t="s">
        <v>1675</v>
      </c>
    </row>
    <row r="897" spans="1:7" x14ac:dyDescent="0.25">
      <c r="A897" s="4" t="s">
        <v>1073</v>
      </c>
      <c r="B897" s="2">
        <f>VALUE("7703")</f>
        <v>7703</v>
      </c>
      <c r="C897" s="4" t="s">
        <v>2399</v>
      </c>
      <c r="D897" s="4" t="s">
        <v>2400</v>
      </c>
      <c r="E897" s="2">
        <f>VALUE("2015")</f>
        <v>2015</v>
      </c>
      <c r="F897" t="s">
        <v>2401</v>
      </c>
      <c r="G897" s="8" t="s">
        <v>2402</v>
      </c>
    </row>
    <row r="898" spans="1:7" x14ac:dyDescent="0.25">
      <c r="A898" s="4" t="s">
        <v>1073</v>
      </c>
      <c r="B898" s="2">
        <f>VALUE("7733")</f>
        <v>7733</v>
      </c>
      <c r="C898" s="4" t="s">
        <v>2487</v>
      </c>
      <c r="D898" s="4" t="s">
        <v>2488</v>
      </c>
      <c r="E898" s="2">
        <f>VALUE("2016")</f>
        <v>2016</v>
      </c>
      <c r="F898" t="s">
        <v>2489</v>
      </c>
    </row>
    <row r="899" spans="1:7" x14ac:dyDescent="0.25">
      <c r="A899" s="4" t="s">
        <v>1073</v>
      </c>
      <c r="B899" s="2">
        <f>VALUE("7763")</f>
        <v>7763</v>
      </c>
      <c r="C899" s="4" t="s">
        <v>2537</v>
      </c>
      <c r="D899" s="4" t="s">
        <v>2538</v>
      </c>
      <c r="E899" s="2">
        <f>VALUE("2015")</f>
        <v>2015</v>
      </c>
      <c r="F899" t="s">
        <v>2539</v>
      </c>
      <c r="G899" s="8" t="s">
        <v>2540</v>
      </c>
    </row>
    <row r="900" spans="1:7" x14ac:dyDescent="0.25">
      <c r="A900" s="4" t="s">
        <v>1073</v>
      </c>
      <c r="B900" s="2">
        <f>VALUE("7827")</f>
        <v>7827</v>
      </c>
      <c r="C900" s="4" t="s">
        <v>2638</v>
      </c>
      <c r="D900" s="4" t="s">
        <v>2639</v>
      </c>
      <c r="E900" s="2">
        <f>VALUE("2016")</f>
        <v>2016</v>
      </c>
      <c r="F900" t="s">
        <v>1675</v>
      </c>
      <c r="G900" s="8" t="s">
        <v>2640</v>
      </c>
    </row>
    <row r="901" spans="1:7" x14ac:dyDescent="0.25">
      <c r="A901" s="4" t="s">
        <v>1073</v>
      </c>
      <c r="B901" s="2">
        <f>VALUE("7836")</f>
        <v>7836</v>
      </c>
      <c r="C901" s="4" t="s">
        <v>2671</v>
      </c>
      <c r="D901" s="4" t="s">
        <v>2669</v>
      </c>
      <c r="E901" s="2">
        <f>VALUE("2017")</f>
        <v>2017</v>
      </c>
      <c r="F901" t="s">
        <v>1073</v>
      </c>
      <c r="G901" s="8" t="s">
        <v>2672</v>
      </c>
    </row>
    <row r="902" spans="1:7" x14ac:dyDescent="0.25">
      <c r="A902" s="4" t="s">
        <v>1073</v>
      </c>
      <c r="B902" s="2">
        <f>VALUE("7836")</f>
        <v>7836</v>
      </c>
      <c r="C902" s="4" t="s">
        <v>2668</v>
      </c>
      <c r="D902" s="4" t="s">
        <v>2669</v>
      </c>
      <c r="E902" s="2">
        <f>VALUE("2016")</f>
        <v>2016</v>
      </c>
      <c r="F902" t="s">
        <v>1073</v>
      </c>
      <c r="G902" s="8" t="s">
        <v>2670</v>
      </c>
    </row>
    <row r="903" spans="1:7" x14ac:dyDescent="0.25">
      <c r="A903" s="4" t="s">
        <v>1073</v>
      </c>
      <c r="B903" s="2">
        <f>VALUE("7836")</f>
        <v>7836</v>
      </c>
      <c r="C903" s="4" t="s">
        <v>2673</v>
      </c>
      <c r="D903" s="4" t="s">
        <v>2669</v>
      </c>
      <c r="E903" s="2">
        <f>VALUE("2017")</f>
        <v>2017</v>
      </c>
      <c r="F903" t="s">
        <v>1073</v>
      </c>
      <c r="G903" s="8" t="s">
        <v>2674</v>
      </c>
    </row>
    <row r="904" spans="1:7" x14ac:dyDescent="0.25">
      <c r="A904" s="4" t="s">
        <v>1073</v>
      </c>
      <c r="B904" s="2">
        <f>VALUE("7849")</f>
        <v>7849</v>
      </c>
      <c r="C904" s="4" t="s">
        <v>2711</v>
      </c>
      <c r="D904" s="4" t="s">
        <v>2712</v>
      </c>
      <c r="E904" s="2">
        <f>VALUE("2017")</f>
        <v>2017</v>
      </c>
      <c r="F904" t="s">
        <v>1073</v>
      </c>
      <c r="G904" s="8" t="s">
        <v>2713</v>
      </c>
    </row>
    <row r="905" spans="1:7" x14ac:dyDescent="0.25">
      <c r="A905" s="4" t="s">
        <v>1073</v>
      </c>
      <c r="B905" s="2">
        <f>VALUE("8020")</f>
        <v>8020</v>
      </c>
      <c r="C905" s="4" t="s">
        <v>3031</v>
      </c>
      <c r="D905" s="4" t="s">
        <v>3032</v>
      </c>
      <c r="E905" s="2">
        <f>VALUE("2019")</f>
        <v>2019</v>
      </c>
      <c r="F905" t="s">
        <v>1073</v>
      </c>
      <c r="G905" s="8" t="s">
        <v>3033</v>
      </c>
    </row>
    <row r="906" spans="1:7" x14ac:dyDescent="0.25">
      <c r="A906" s="4" t="s">
        <v>1073</v>
      </c>
      <c r="B906" s="2">
        <f>VALUE("8033")</f>
        <v>8033</v>
      </c>
      <c r="C906" s="4" t="s">
        <v>3061</v>
      </c>
      <c r="D906" s="4" t="s">
        <v>3062</v>
      </c>
      <c r="E906" s="2">
        <f>VALUE("2017")</f>
        <v>2017</v>
      </c>
      <c r="F906" t="s">
        <v>1073</v>
      </c>
      <c r="G906" s="8" t="s">
        <v>3063</v>
      </c>
    </row>
    <row r="907" spans="1:7" x14ac:dyDescent="0.25">
      <c r="A907" s="4" t="s">
        <v>1073</v>
      </c>
      <c r="B907" s="2">
        <f>VALUE("8137")</f>
        <v>8137</v>
      </c>
      <c r="C907" s="4" t="s">
        <v>3308</v>
      </c>
      <c r="D907" s="4" t="s">
        <v>3309</v>
      </c>
      <c r="E907" s="2">
        <f>VALUE("2018")</f>
        <v>2018</v>
      </c>
      <c r="F907" t="s">
        <v>1073</v>
      </c>
      <c r="G907" s="8" t="s">
        <v>3310</v>
      </c>
    </row>
    <row r="908" spans="1:7" x14ac:dyDescent="0.25">
      <c r="A908" s="4" t="s">
        <v>1073</v>
      </c>
      <c r="B908" s="2">
        <f>VALUE("8198")</f>
        <v>8198</v>
      </c>
      <c r="C908" s="4" t="s">
        <v>3461</v>
      </c>
      <c r="D908" s="4" t="s">
        <v>293</v>
      </c>
      <c r="E908" s="2">
        <f>VALUE("2018")</f>
        <v>2018</v>
      </c>
      <c r="F908" t="s">
        <v>1073</v>
      </c>
      <c r="G908" s="8" t="s">
        <v>3462</v>
      </c>
    </row>
    <row r="909" spans="1:7" x14ac:dyDescent="0.25">
      <c r="A909" s="4" t="s">
        <v>1073</v>
      </c>
      <c r="B909" s="2">
        <f>VALUE("8525")</f>
        <v>8525</v>
      </c>
      <c r="C909" s="4" t="s">
        <v>4169</v>
      </c>
      <c r="D909" s="4" t="s">
        <v>4170</v>
      </c>
      <c r="E909" s="2">
        <f>VALUE("2019")</f>
        <v>2019</v>
      </c>
      <c r="F909" t="s">
        <v>1073</v>
      </c>
      <c r="G909" s="8" t="s">
        <v>4171</v>
      </c>
    </row>
    <row r="910" spans="1:7" x14ac:dyDescent="0.25">
      <c r="A910" s="4" t="s">
        <v>1073</v>
      </c>
      <c r="B910" s="2">
        <f>VALUE("8569")</f>
        <v>8569</v>
      </c>
      <c r="C910" s="4" t="s">
        <v>4273</v>
      </c>
      <c r="D910" s="4" t="s">
        <v>4274</v>
      </c>
      <c r="E910" s="2">
        <f>VALUE("2020")</f>
        <v>2020</v>
      </c>
      <c r="F910" t="s">
        <v>4275</v>
      </c>
      <c r="G910" s="8" t="s">
        <v>4276</v>
      </c>
    </row>
    <row r="911" spans="1:7" x14ac:dyDescent="0.25">
      <c r="A911" s="4" t="s">
        <v>1073</v>
      </c>
      <c r="B911" s="2">
        <f>VALUE("9212")</f>
        <v>9212</v>
      </c>
      <c r="C911" s="4" t="s">
        <v>5115</v>
      </c>
      <c r="D911" s="4" t="s">
        <v>5116</v>
      </c>
      <c r="E911" s="2">
        <f>VALUE("2022")</f>
        <v>2022</v>
      </c>
      <c r="F911" t="s">
        <v>1073</v>
      </c>
      <c r="G911" s="8" t="s">
        <v>5117</v>
      </c>
    </row>
    <row r="912" spans="1:7" x14ac:dyDescent="0.25">
      <c r="A912" s="4" t="s">
        <v>1001</v>
      </c>
      <c r="B912" s="2">
        <f>VALUE("7165")</f>
        <v>7165</v>
      </c>
      <c r="C912" s="4" t="s">
        <v>999</v>
      </c>
      <c r="D912" s="4" t="s">
        <v>1000</v>
      </c>
      <c r="E912" s="2">
        <f>VALUE("2012")</f>
        <v>2012</v>
      </c>
      <c r="F912" t="s">
        <v>1001</v>
      </c>
    </row>
    <row r="913" spans="1:7" x14ac:dyDescent="0.25">
      <c r="A913" s="4" t="s">
        <v>1001</v>
      </c>
      <c r="B913" s="2">
        <f>VALUE("7559")</f>
        <v>7559</v>
      </c>
      <c r="C913" s="4" t="s">
        <v>1949</v>
      </c>
      <c r="D913" s="4" t="s">
        <v>1950</v>
      </c>
      <c r="E913" s="2">
        <f>VALUE("2014")</f>
        <v>2014</v>
      </c>
      <c r="F913" t="s">
        <v>1001</v>
      </c>
    </row>
    <row r="914" spans="1:7" x14ac:dyDescent="0.25">
      <c r="A914" s="4" t="s">
        <v>1001</v>
      </c>
      <c r="B914" s="2">
        <f>VALUE("7559")</f>
        <v>7559</v>
      </c>
      <c r="C914" s="4" t="s">
        <v>1951</v>
      </c>
      <c r="D914" s="4" t="s">
        <v>1950</v>
      </c>
      <c r="E914" s="2">
        <f>VALUE("2014")</f>
        <v>2014</v>
      </c>
      <c r="F914" t="s">
        <v>1001</v>
      </c>
    </row>
    <row r="915" spans="1:7" x14ac:dyDescent="0.25">
      <c r="A915" s="4" t="s">
        <v>1001</v>
      </c>
      <c r="B915" s="2">
        <f>VALUE("7788")</f>
        <v>7788</v>
      </c>
      <c r="C915" s="4" t="s">
        <v>2572</v>
      </c>
      <c r="D915" s="4" t="s">
        <v>2573</v>
      </c>
      <c r="E915" s="2">
        <f>VALUE("2017")</f>
        <v>2017</v>
      </c>
      <c r="F915" t="s">
        <v>1001</v>
      </c>
    </row>
    <row r="916" spans="1:7" x14ac:dyDescent="0.25">
      <c r="A916" s="4" t="s">
        <v>157</v>
      </c>
      <c r="B916" s="2">
        <f>VALUE("6027")</f>
        <v>6027</v>
      </c>
      <c r="C916" s="4" t="s">
        <v>154</v>
      </c>
      <c r="D916" s="4" t="s">
        <v>155</v>
      </c>
      <c r="E916" s="2">
        <f>VALUE("2011")</f>
        <v>2011</v>
      </c>
      <c r="F916" t="s">
        <v>156</v>
      </c>
    </row>
    <row r="917" spans="1:7" x14ac:dyDescent="0.25">
      <c r="A917" s="4" t="s">
        <v>157</v>
      </c>
      <c r="B917" s="2">
        <f>VALUE("6027")</f>
        <v>6027</v>
      </c>
      <c r="C917" s="4" t="s">
        <v>158</v>
      </c>
      <c r="D917" s="4" t="s">
        <v>159</v>
      </c>
      <c r="E917" s="2">
        <f>VALUE("2013")</f>
        <v>2013</v>
      </c>
      <c r="F917" t="s">
        <v>160</v>
      </c>
    </row>
    <row r="918" spans="1:7" x14ac:dyDescent="0.25">
      <c r="A918" s="4" t="s">
        <v>157</v>
      </c>
      <c r="B918" s="2">
        <f>VALUE("6076")</f>
        <v>6076</v>
      </c>
      <c r="C918" s="4" t="s">
        <v>244</v>
      </c>
      <c r="D918" s="4" t="s">
        <v>245</v>
      </c>
      <c r="E918" s="2">
        <f>VALUE("2013")</f>
        <v>2013</v>
      </c>
      <c r="F918" t="s">
        <v>246</v>
      </c>
    </row>
    <row r="919" spans="1:7" x14ac:dyDescent="0.25">
      <c r="A919" s="4" t="s">
        <v>157</v>
      </c>
      <c r="B919" s="2">
        <f>VALUE("6076")</f>
        <v>6076</v>
      </c>
      <c r="C919" s="4" t="s">
        <v>247</v>
      </c>
      <c r="D919" s="4" t="s">
        <v>248</v>
      </c>
      <c r="E919" s="2">
        <f>VALUE("2014")</f>
        <v>2014</v>
      </c>
      <c r="F919" t="s">
        <v>157</v>
      </c>
      <c r="G919" s="8" t="s">
        <v>249</v>
      </c>
    </row>
    <row r="920" spans="1:7" x14ac:dyDescent="0.25">
      <c r="A920" s="4" t="s">
        <v>157</v>
      </c>
      <c r="B920" s="2">
        <f>VALUE("6103")</f>
        <v>6103</v>
      </c>
      <c r="C920" s="4" t="s">
        <v>332</v>
      </c>
      <c r="D920" s="4" t="s">
        <v>333</v>
      </c>
      <c r="E920" s="2">
        <f>VALUE("2013")</f>
        <v>2013</v>
      </c>
      <c r="F920" t="s">
        <v>334</v>
      </c>
    </row>
    <row r="921" spans="1:7" x14ac:dyDescent="0.25">
      <c r="A921" s="4" t="s">
        <v>157</v>
      </c>
      <c r="B921" s="2">
        <f>VALUE("6126")</f>
        <v>6126</v>
      </c>
      <c r="C921" s="4" t="s">
        <v>393</v>
      </c>
      <c r="D921" s="4" t="s">
        <v>394</v>
      </c>
      <c r="E921" s="2">
        <f>VALUE("2013")</f>
        <v>2013</v>
      </c>
      <c r="F921" t="s">
        <v>395</v>
      </c>
      <c r="G921" s="8" t="s">
        <v>396</v>
      </c>
    </row>
    <row r="922" spans="1:7" x14ac:dyDescent="0.25">
      <c r="A922" s="4" t="s">
        <v>157</v>
      </c>
      <c r="B922" s="2">
        <f>VALUE("7027")</f>
        <v>7027</v>
      </c>
      <c r="C922" s="4" t="s">
        <v>591</v>
      </c>
      <c r="D922" s="4" t="s">
        <v>592</v>
      </c>
      <c r="E922" s="2">
        <f>VALUE("2013")</f>
        <v>2013</v>
      </c>
      <c r="F922" t="s">
        <v>593</v>
      </c>
      <c r="G922" s="8" t="s">
        <v>396</v>
      </c>
    </row>
    <row r="923" spans="1:7" x14ac:dyDescent="0.25">
      <c r="A923" s="4" t="s">
        <v>157</v>
      </c>
      <c r="B923" s="2">
        <f>VALUE("7027")</f>
        <v>7027</v>
      </c>
      <c r="C923" s="4" t="s">
        <v>594</v>
      </c>
      <c r="D923" s="4" t="s">
        <v>595</v>
      </c>
      <c r="E923" s="2">
        <f>VALUE("2012")</f>
        <v>2012</v>
      </c>
      <c r="F923" t="s">
        <v>596</v>
      </c>
    </row>
    <row r="924" spans="1:7" x14ac:dyDescent="0.25">
      <c r="A924" s="4" t="s">
        <v>157</v>
      </c>
      <c r="B924" s="2">
        <f>VALUE("7027")</f>
        <v>7027</v>
      </c>
      <c r="C924" s="4" t="s">
        <v>397</v>
      </c>
      <c r="D924" s="4" t="s">
        <v>398</v>
      </c>
      <c r="E924" s="2">
        <f>VALUE("2011")</f>
        <v>2011</v>
      </c>
      <c r="F924" t="s">
        <v>597</v>
      </c>
      <c r="G924" s="8" t="s">
        <v>400</v>
      </c>
    </row>
    <row r="925" spans="1:7" x14ac:dyDescent="0.25">
      <c r="A925" s="4" t="s">
        <v>157</v>
      </c>
      <c r="B925" s="2">
        <f>VALUE("7027")</f>
        <v>7027</v>
      </c>
      <c r="C925" s="4" t="s">
        <v>401</v>
      </c>
      <c r="D925" s="4" t="s">
        <v>598</v>
      </c>
      <c r="E925" s="2">
        <f>VALUE("2012")</f>
        <v>2012</v>
      </c>
      <c r="F925" t="s">
        <v>403</v>
      </c>
    </row>
    <row r="926" spans="1:7" x14ac:dyDescent="0.25">
      <c r="A926" s="4" t="s">
        <v>157</v>
      </c>
      <c r="B926" s="2">
        <f>VALUE("7131")</f>
        <v>7131</v>
      </c>
      <c r="C926" s="4" t="s">
        <v>912</v>
      </c>
      <c r="D926" s="4" t="s">
        <v>913</v>
      </c>
      <c r="E926" s="2">
        <f>VALUE("2012")</f>
        <v>2012</v>
      </c>
      <c r="F926" t="s">
        <v>914</v>
      </c>
      <c r="G926" s="8" t="s">
        <v>915</v>
      </c>
    </row>
    <row r="927" spans="1:7" x14ac:dyDescent="0.25">
      <c r="A927" s="4" t="s">
        <v>157</v>
      </c>
      <c r="B927" s="2">
        <f>VALUE("7131")</f>
        <v>7131</v>
      </c>
      <c r="C927" s="4" t="s">
        <v>916</v>
      </c>
      <c r="D927" s="4" t="s">
        <v>917</v>
      </c>
      <c r="E927" s="2">
        <f>VALUE("2014")</f>
        <v>2014</v>
      </c>
      <c r="F927" t="s">
        <v>918</v>
      </c>
    </row>
    <row r="928" spans="1:7" x14ac:dyDescent="0.25">
      <c r="A928" s="4" t="s">
        <v>157</v>
      </c>
      <c r="B928" s="2">
        <f>VALUE("7131")</f>
        <v>7131</v>
      </c>
      <c r="C928" s="4" t="s">
        <v>923</v>
      </c>
      <c r="D928" s="4" t="s">
        <v>924</v>
      </c>
      <c r="E928" s="2">
        <f>VALUE("2016")</f>
        <v>2016</v>
      </c>
      <c r="F928" t="s">
        <v>925</v>
      </c>
    </row>
    <row r="929" spans="1:7" x14ac:dyDescent="0.25">
      <c r="A929" s="4" t="s">
        <v>157</v>
      </c>
      <c r="B929" s="2">
        <f>VALUE("7131")</f>
        <v>7131</v>
      </c>
      <c r="C929" s="4" t="s">
        <v>5215</v>
      </c>
      <c r="D929" s="4" t="s">
        <v>919</v>
      </c>
      <c r="E929" s="2">
        <f>VALUE("2013")</f>
        <v>2013</v>
      </c>
      <c r="F929" t="s">
        <v>5216</v>
      </c>
      <c r="G929" s="8" t="s">
        <v>920</v>
      </c>
    </row>
    <row r="930" spans="1:7" x14ac:dyDescent="0.25">
      <c r="A930" s="4" t="s">
        <v>157</v>
      </c>
      <c r="B930" s="2">
        <f>VALUE("7131")</f>
        <v>7131</v>
      </c>
      <c r="C930" s="4" t="s">
        <v>921</v>
      </c>
      <c r="D930" s="4" t="s">
        <v>598</v>
      </c>
      <c r="E930" s="2">
        <f>VALUE("2012")</f>
        <v>2012</v>
      </c>
      <c r="F930" t="s">
        <v>922</v>
      </c>
    </row>
    <row r="931" spans="1:7" x14ac:dyDescent="0.25">
      <c r="A931" s="4" t="s">
        <v>157</v>
      </c>
      <c r="B931" s="2">
        <f>VALUE("7149")</f>
        <v>7149</v>
      </c>
      <c r="C931" s="4" t="s">
        <v>958</v>
      </c>
      <c r="D931" s="4" t="s">
        <v>959</v>
      </c>
      <c r="E931" s="2">
        <f>VALUE("2015")</f>
        <v>2015</v>
      </c>
      <c r="F931" t="s">
        <v>960</v>
      </c>
    </row>
    <row r="932" spans="1:7" x14ac:dyDescent="0.25">
      <c r="A932" s="4" t="s">
        <v>157</v>
      </c>
      <c r="B932" s="2">
        <f>VALUE("7162")</f>
        <v>7162</v>
      </c>
      <c r="C932" s="4" t="s">
        <v>996</v>
      </c>
      <c r="D932" s="4" t="s">
        <v>997</v>
      </c>
      <c r="E932" s="2">
        <f>VALUE("2015")</f>
        <v>2015</v>
      </c>
      <c r="F932" t="s">
        <v>998</v>
      </c>
    </row>
    <row r="933" spans="1:7" x14ac:dyDescent="0.25">
      <c r="A933" s="4" t="s">
        <v>157</v>
      </c>
      <c r="B933" s="2">
        <f>VALUE("7190")</f>
        <v>7190</v>
      </c>
      <c r="C933" s="4" t="s">
        <v>1035</v>
      </c>
      <c r="D933" s="4" t="s">
        <v>1036</v>
      </c>
      <c r="E933" s="2">
        <f>VALUE("2013")</f>
        <v>2013</v>
      </c>
      <c r="F933" t="s">
        <v>1037</v>
      </c>
    </row>
    <row r="934" spans="1:7" x14ac:dyDescent="0.25">
      <c r="A934" s="4" t="s">
        <v>157</v>
      </c>
      <c r="B934" s="2">
        <f>VALUE("7267")</f>
        <v>7267</v>
      </c>
      <c r="C934" s="4" t="s">
        <v>1281</v>
      </c>
      <c r="D934" s="4" t="s">
        <v>1282</v>
      </c>
      <c r="E934" s="2">
        <f>VALUE("2015")</f>
        <v>2015</v>
      </c>
      <c r="F934" t="s">
        <v>1283</v>
      </c>
      <c r="G934" s="8" t="s">
        <v>1284</v>
      </c>
    </row>
    <row r="935" spans="1:7" x14ac:dyDescent="0.25">
      <c r="A935" s="4" t="s">
        <v>157</v>
      </c>
      <c r="B935" s="2">
        <f>VALUE("7267")</f>
        <v>7267</v>
      </c>
      <c r="C935" s="4" t="s">
        <v>1288</v>
      </c>
      <c r="D935" s="4" t="s">
        <v>1289</v>
      </c>
      <c r="E935" s="2">
        <f>VALUE("2022")</f>
        <v>2022</v>
      </c>
      <c r="F935" t="s">
        <v>157</v>
      </c>
      <c r="G935" s="8" t="s">
        <v>1290</v>
      </c>
    </row>
    <row r="936" spans="1:7" x14ac:dyDescent="0.25">
      <c r="A936" s="4" t="s">
        <v>157</v>
      </c>
      <c r="B936" s="2">
        <f>VALUE("7267")</f>
        <v>7267</v>
      </c>
      <c r="C936" s="4" t="s">
        <v>1291</v>
      </c>
      <c r="D936" s="4" t="s">
        <v>1292</v>
      </c>
      <c r="E936" s="2">
        <f>VALUE("2022")</f>
        <v>2022</v>
      </c>
      <c r="F936" t="s">
        <v>157</v>
      </c>
      <c r="G936" s="8" t="s">
        <v>1293</v>
      </c>
    </row>
    <row r="937" spans="1:7" x14ac:dyDescent="0.25">
      <c r="A937" s="4" t="s">
        <v>157</v>
      </c>
      <c r="B937" s="2">
        <f>VALUE("7267")</f>
        <v>7267</v>
      </c>
      <c r="C937" s="4" t="s">
        <v>1285</v>
      </c>
      <c r="D937" s="4" t="s">
        <v>1286</v>
      </c>
      <c r="E937" s="2">
        <f>VALUE("2015")</f>
        <v>2015</v>
      </c>
      <c r="F937" t="s">
        <v>1287</v>
      </c>
    </row>
    <row r="938" spans="1:7" x14ac:dyDescent="0.25">
      <c r="A938" s="4" t="s">
        <v>157</v>
      </c>
      <c r="B938" s="2">
        <f>VALUE("7309")</f>
        <v>7309</v>
      </c>
      <c r="C938" s="4" t="s">
        <v>1402</v>
      </c>
      <c r="D938" s="4" t="s">
        <v>1403</v>
      </c>
      <c r="E938" s="2">
        <f>VALUE("2014")</f>
        <v>2014</v>
      </c>
      <c r="F938" t="s">
        <v>157</v>
      </c>
    </row>
    <row r="939" spans="1:7" x14ac:dyDescent="0.25">
      <c r="A939" s="4" t="s">
        <v>157</v>
      </c>
      <c r="B939" s="2">
        <f>VALUE("7309")</f>
        <v>7309</v>
      </c>
      <c r="C939" s="4" t="s">
        <v>1404</v>
      </c>
      <c r="D939" s="4" t="s">
        <v>1405</v>
      </c>
      <c r="E939" s="2">
        <f>VALUE("2018")</f>
        <v>2018</v>
      </c>
      <c r="F939" t="s">
        <v>157</v>
      </c>
    </row>
    <row r="940" spans="1:7" x14ac:dyDescent="0.25">
      <c r="A940" s="4" t="s">
        <v>157</v>
      </c>
      <c r="B940" s="2">
        <f>VALUE("7396")</f>
        <v>7396</v>
      </c>
      <c r="C940" s="4" t="s">
        <v>1609</v>
      </c>
      <c r="D940" s="4" t="s">
        <v>1610</v>
      </c>
      <c r="E940" s="2">
        <f>VALUE("2015")</f>
        <v>2015</v>
      </c>
      <c r="F940" t="s">
        <v>1611</v>
      </c>
    </row>
    <row r="941" spans="1:7" x14ac:dyDescent="0.25">
      <c r="A941" s="4" t="s">
        <v>157</v>
      </c>
      <c r="B941" s="2">
        <f>VALUE("7531")</f>
        <v>7531</v>
      </c>
      <c r="C941" s="4" t="s">
        <v>1917</v>
      </c>
      <c r="D941" s="4" t="s">
        <v>1918</v>
      </c>
      <c r="E941" s="2">
        <f>VALUE("2014")</f>
        <v>2014</v>
      </c>
      <c r="F941" t="s">
        <v>687</v>
      </c>
    </row>
    <row r="942" spans="1:7" x14ac:dyDescent="0.25">
      <c r="A942" s="4" t="s">
        <v>157</v>
      </c>
      <c r="B942" s="2">
        <f>VALUE("7531")</f>
        <v>7531</v>
      </c>
      <c r="C942" s="4" t="s">
        <v>1915</v>
      </c>
      <c r="D942" s="4" t="s">
        <v>1916</v>
      </c>
      <c r="E942" s="2">
        <f>VALUE("2016")</f>
        <v>2016</v>
      </c>
      <c r="F942" t="s">
        <v>687</v>
      </c>
    </row>
    <row r="943" spans="1:7" x14ac:dyDescent="0.25">
      <c r="A943" s="4" t="s">
        <v>157</v>
      </c>
      <c r="B943" s="2">
        <f>VALUE("7585")</f>
        <v>7585</v>
      </c>
      <c r="C943" s="4" t="s">
        <v>2003</v>
      </c>
      <c r="D943" s="4" t="s">
        <v>2002</v>
      </c>
      <c r="E943" s="2">
        <f>VALUE("2016")</f>
        <v>2016</v>
      </c>
      <c r="F943" t="s">
        <v>2004</v>
      </c>
      <c r="G943" s="8" t="s">
        <v>2005</v>
      </c>
    </row>
    <row r="944" spans="1:7" x14ac:dyDescent="0.25">
      <c r="A944" s="4" t="s">
        <v>157</v>
      </c>
      <c r="B944" s="2">
        <f>VALUE("7585")</f>
        <v>7585</v>
      </c>
      <c r="C944" s="4" t="s">
        <v>2001</v>
      </c>
      <c r="D944" s="4" t="s">
        <v>2002</v>
      </c>
      <c r="E944" s="2">
        <f>VALUE("2016")</f>
        <v>2016</v>
      </c>
      <c r="F944" t="s">
        <v>157</v>
      </c>
    </row>
    <row r="945" spans="1:7" x14ac:dyDescent="0.25">
      <c r="A945" s="4" t="s">
        <v>157</v>
      </c>
      <c r="B945" s="2">
        <f>VALUE("7649")</f>
        <v>7649</v>
      </c>
      <c r="C945" s="4" t="s">
        <v>2187</v>
      </c>
      <c r="D945" s="4" t="s">
        <v>2188</v>
      </c>
      <c r="E945" s="2">
        <f>VALUE("2018")</f>
        <v>2018</v>
      </c>
      <c r="F945" t="s">
        <v>974</v>
      </c>
    </row>
    <row r="946" spans="1:7" x14ac:dyDescent="0.25">
      <c r="A946" s="4" t="s">
        <v>157</v>
      </c>
      <c r="B946" s="2">
        <f>VALUE("7691")</f>
        <v>7691</v>
      </c>
      <c r="C946" s="4" t="s">
        <v>2356</v>
      </c>
      <c r="D946" s="4" t="s">
        <v>2357</v>
      </c>
      <c r="E946" s="2">
        <f>VALUE("2020")</f>
        <v>2020</v>
      </c>
      <c r="F946" t="s">
        <v>157</v>
      </c>
    </row>
    <row r="947" spans="1:7" x14ac:dyDescent="0.25">
      <c r="A947" s="4" t="s">
        <v>157</v>
      </c>
      <c r="B947" s="2">
        <f>VALUE("7750")</f>
        <v>7750</v>
      </c>
      <c r="C947" s="4" t="s">
        <v>2516</v>
      </c>
      <c r="D947" s="4" t="s">
        <v>2517</v>
      </c>
      <c r="E947" s="2">
        <f>VALUE("2020")</f>
        <v>2020</v>
      </c>
      <c r="F947" t="s">
        <v>157</v>
      </c>
      <c r="G947" s="8" t="s">
        <v>2518</v>
      </c>
    </row>
    <row r="948" spans="1:7" x14ac:dyDescent="0.25">
      <c r="A948" t="s">
        <v>157</v>
      </c>
      <c r="B948" s="2">
        <f>VALUE("7765")</f>
        <v>7765</v>
      </c>
      <c r="C948" s="4" t="s">
        <v>1898</v>
      </c>
      <c r="D948" s="4" t="s">
        <v>2541</v>
      </c>
      <c r="E948" s="2">
        <f>VALUE("2017")</f>
        <v>2017</v>
      </c>
      <c r="F948" t="s">
        <v>157</v>
      </c>
    </row>
    <row r="949" spans="1:7" x14ac:dyDescent="0.25">
      <c r="A949" s="4" t="s">
        <v>157</v>
      </c>
      <c r="B949" s="2">
        <f>VALUE("7789")</f>
        <v>7789</v>
      </c>
      <c r="C949" s="4" t="s">
        <v>2581</v>
      </c>
      <c r="D949" s="4" t="s">
        <v>2582</v>
      </c>
      <c r="E949" s="2">
        <f>VALUE("2022")</f>
        <v>2022</v>
      </c>
      <c r="F949" t="s">
        <v>1378</v>
      </c>
      <c r="G949" s="8" t="s">
        <v>2583</v>
      </c>
    </row>
    <row r="950" spans="1:7" x14ac:dyDescent="0.25">
      <c r="A950" s="4" t="s">
        <v>157</v>
      </c>
      <c r="B950" s="2">
        <f>VALUE("7789")</f>
        <v>7789</v>
      </c>
      <c r="C950" s="4" t="s">
        <v>2577</v>
      </c>
      <c r="D950" s="4" t="s">
        <v>2578</v>
      </c>
      <c r="E950" s="2">
        <f>VALUE("2018")</f>
        <v>2018</v>
      </c>
      <c r="F950" t="s">
        <v>2579</v>
      </c>
      <c r="G950" s="8" t="s">
        <v>2580</v>
      </c>
    </row>
    <row r="951" spans="1:7" x14ac:dyDescent="0.25">
      <c r="A951" s="4" t="s">
        <v>157</v>
      </c>
      <c r="B951" s="2">
        <f>VALUE("7789")</f>
        <v>7789</v>
      </c>
      <c r="C951" s="4" t="s">
        <v>2574</v>
      </c>
      <c r="D951" s="4" t="s">
        <v>2575</v>
      </c>
      <c r="E951" s="2">
        <f>VALUE("2017")</f>
        <v>2017</v>
      </c>
      <c r="F951" t="s">
        <v>157</v>
      </c>
      <c r="G951" s="8" t="s">
        <v>2576</v>
      </c>
    </row>
    <row r="952" spans="1:7" x14ac:dyDescent="0.25">
      <c r="A952" s="4" t="s">
        <v>157</v>
      </c>
      <c r="B952" s="2">
        <f>VALUE("7834")</f>
        <v>7834</v>
      </c>
      <c r="C952" s="4" t="s">
        <v>2661</v>
      </c>
      <c r="D952" s="4" t="s">
        <v>2662</v>
      </c>
      <c r="E952" s="2">
        <f>VALUE("2015")</f>
        <v>2015</v>
      </c>
      <c r="F952" t="s">
        <v>2663</v>
      </c>
      <c r="G952" s="8" t="s">
        <v>2664</v>
      </c>
    </row>
    <row r="953" spans="1:7" x14ac:dyDescent="0.25">
      <c r="A953" s="4" t="s">
        <v>157</v>
      </c>
      <c r="B953" s="2">
        <f>VALUE("7834")</f>
        <v>7834</v>
      </c>
      <c r="C953" s="4" t="s">
        <v>2665</v>
      </c>
      <c r="D953" s="4" t="s">
        <v>2666</v>
      </c>
      <c r="E953" s="2">
        <f>VALUE("2020")</f>
        <v>2020</v>
      </c>
      <c r="F953" t="s">
        <v>157</v>
      </c>
      <c r="G953" s="8" t="s">
        <v>2667</v>
      </c>
    </row>
    <row r="954" spans="1:7" x14ac:dyDescent="0.25">
      <c r="A954" s="4" t="s">
        <v>157</v>
      </c>
      <c r="B954" s="2">
        <f>VALUE("7839")</f>
        <v>7839</v>
      </c>
      <c r="C954" s="4" t="s">
        <v>2675</v>
      </c>
      <c r="D954" s="4" t="s">
        <v>2676</v>
      </c>
      <c r="E954" s="2">
        <f>VALUE("2018")</f>
        <v>2018</v>
      </c>
      <c r="F954" t="s">
        <v>1378</v>
      </c>
    </row>
    <row r="955" spans="1:7" x14ac:dyDescent="0.25">
      <c r="A955" s="4" t="s">
        <v>157</v>
      </c>
      <c r="B955" s="2">
        <f>VALUE("7839")</f>
        <v>7839</v>
      </c>
      <c r="C955" s="4" t="s">
        <v>2677</v>
      </c>
      <c r="D955" s="4" t="s">
        <v>2678</v>
      </c>
      <c r="E955" s="2">
        <f>VALUE("2021")</f>
        <v>2021</v>
      </c>
      <c r="F955" t="s">
        <v>157</v>
      </c>
    </row>
    <row r="956" spans="1:7" x14ac:dyDescent="0.25">
      <c r="A956" s="4" t="s">
        <v>157</v>
      </c>
      <c r="B956" s="2">
        <f>VALUE("7839")</f>
        <v>7839</v>
      </c>
      <c r="C956" s="4" t="s">
        <v>2679</v>
      </c>
      <c r="D956" s="4" t="s">
        <v>2680</v>
      </c>
      <c r="E956" s="2">
        <f>VALUE("2019")</f>
        <v>2019</v>
      </c>
      <c r="F956" t="s">
        <v>157</v>
      </c>
    </row>
    <row r="957" spans="1:7" x14ac:dyDescent="0.25">
      <c r="A957" s="4" t="s">
        <v>157</v>
      </c>
      <c r="B957" s="2">
        <f>VALUE("7839")</f>
        <v>7839</v>
      </c>
      <c r="C957" s="4" t="s">
        <v>2681</v>
      </c>
      <c r="D957" s="4" t="s">
        <v>2682</v>
      </c>
      <c r="E957" s="2">
        <f>VALUE("2020")</f>
        <v>2020</v>
      </c>
      <c r="F957" t="s">
        <v>2683</v>
      </c>
    </row>
    <row r="958" spans="1:7" x14ac:dyDescent="0.25">
      <c r="A958" s="4" t="s">
        <v>157</v>
      </c>
      <c r="B958" s="2">
        <f>VALUE("7855")</f>
        <v>7855</v>
      </c>
      <c r="C958" s="4" t="s">
        <v>2735</v>
      </c>
      <c r="D958" s="4" t="s">
        <v>2736</v>
      </c>
      <c r="E958" s="2">
        <f>VALUE("2017")</f>
        <v>2017</v>
      </c>
      <c r="F958" t="s">
        <v>2737</v>
      </c>
      <c r="G958" s="8" t="s">
        <v>2738</v>
      </c>
    </row>
    <row r="959" spans="1:7" x14ac:dyDescent="0.25">
      <c r="A959" s="4" t="s">
        <v>157</v>
      </c>
      <c r="B959" s="2">
        <f>VALUE("7874")</f>
        <v>7874</v>
      </c>
      <c r="C959" s="4" t="s">
        <v>2793</v>
      </c>
      <c r="D959" s="4" t="s">
        <v>2794</v>
      </c>
      <c r="E959" s="2">
        <f>VALUE("2018")</f>
        <v>2018</v>
      </c>
      <c r="F959" t="s">
        <v>157</v>
      </c>
    </row>
    <row r="960" spans="1:7" x14ac:dyDescent="0.25">
      <c r="A960" s="4" t="s">
        <v>157</v>
      </c>
      <c r="B960" s="2">
        <f>VALUE("7908")</f>
        <v>7908</v>
      </c>
      <c r="C960" s="4" t="s">
        <v>2870</v>
      </c>
      <c r="D960" s="4" t="s">
        <v>2871</v>
      </c>
      <c r="E960" s="2">
        <f>VALUE("2020")</f>
        <v>2020</v>
      </c>
      <c r="F960" t="s">
        <v>157</v>
      </c>
      <c r="G960" s="8" t="s">
        <v>2872</v>
      </c>
    </row>
    <row r="961" spans="1:7" x14ac:dyDescent="0.25">
      <c r="A961" s="4" t="s">
        <v>157</v>
      </c>
      <c r="B961" s="2">
        <f>VALUE("7974")</f>
        <v>7974</v>
      </c>
      <c r="C961" s="4" t="s">
        <v>2968</v>
      </c>
      <c r="D961" s="4" t="s">
        <v>2969</v>
      </c>
      <c r="E961" s="2">
        <f>VALUE("2020")</f>
        <v>2020</v>
      </c>
      <c r="F961" t="s">
        <v>157</v>
      </c>
      <c r="G961" s="8" t="s">
        <v>2970</v>
      </c>
    </row>
    <row r="962" spans="1:7" x14ac:dyDescent="0.25">
      <c r="A962" s="4" t="s">
        <v>157</v>
      </c>
      <c r="B962" s="2">
        <f>VALUE("8099")</f>
        <v>8099</v>
      </c>
      <c r="C962" s="4" t="s">
        <v>3213</v>
      </c>
      <c r="D962" s="4" t="s">
        <v>3214</v>
      </c>
      <c r="E962" s="2">
        <f>VALUE("2020")</f>
        <v>2020</v>
      </c>
      <c r="F962" t="s">
        <v>157</v>
      </c>
      <c r="G962" s="8" t="s">
        <v>3215</v>
      </c>
    </row>
    <row r="963" spans="1:7" x14ac:dyDescent="0.25">
      <c r="A963" s="4" t="s">
        <v>157</v>
      </c>
      <c r="B963" s="2">
        <f>VALUE("8552")</f>
        <v>8552</v>
      </c>
      <c r="C963" s="4" t="s">
        <v>4240</v>
      </c>
      <c r="D963" s="4" t="s">
        <v>4241</v>
      </c>
      <c r="E963" s="2">
        <f>VALUE("2021")</f>
        <v>2021</v>
      </c>
      <c r="F963" t="s">
        <v>157</v>
      </c>
    </row>
    <row r="964" spans="1:7" x14ac:dyDescent="0.25">
      <c r="A964" s="4" t="s">
        <v>157</v>
      </c>
      <c r="B964" s="2">
        <f>VALUE("8552")</f>
        <v>8552</v>
      </c>
      <c r="C964" s="4" t="s">
        <v>4242</v>
      </c>
      <c r="D964" s="4" t="s">
        <v>4243</v>
      </c>
      <c r="E964" s="2">
        <f>VALUE("2021")</f>
        <v>2021</v>
      </c>
      <c r="F964" t="s">
        <v>157</v>
      </c>
      <c r="G964" s="8" t="s">
        <v>4244</v>
      </c>
    </row>
    <row r="965" spans="1:7" x14ac:dyDescent="0.25">
      <c r="A965" s="4" t="s">
        <v>157</v>
      </c>
      <c r="B965" s="2">
        <f>VALUE("8552")</f>
        <v>8552</v>
      </c>
      <c r="C965" s="4" t="s">
        <v>4233</v>
      </c>
      <c r="D965" s="4" t="s">
        <v>4234</v>
      </c>
      <c r="E965" s="2">
        <f>VALUE("2019")</f>
        <v>2019</v>
      </c>
      <c r="F965" t="s">
        <v>157</v>
      </c>
    </row>
    <row r="966" spans="1:7" x14ac:dyDescent="0.25">
      <c r="A966" s="4" t="s">
        <v>157</v>
      </c>
      <c r="B966" s="2">
        <f>VALUE("8552")</f>
        <v>8552</v>
      </c>
      <c r="C966" s="4" t="s">
        <v>4235</v>
      </c>
      <c r="D966" s="4" t="s">
        <v>4236</v>
      </c>
      <c r="E966" s="2">
        <f>VALUE("2020")</f>
        <v>2020</v>
      </c>
      <c r="F966" t="s">
        <v>157</v>
      </c>
    </row>
    <row r="967" spans="1:7" x14ac:dyDescent="0.25">
      <c r="A967" s="4" t="s">
        <v>157</v>
      </c>
      <c r="B967" s="2">
        <f>VALUE("8552")</f>
        <v>8552</v>
      </c>
      <c r="C967" s="4" t="s">
        <v>4237</v>
      </c>
      <c r="D967" s="4" t="s">
        <v>4238</v>
      </c>
      <c r="E967" s="2">
        <f>VALUE("2022")</f>
        <v>2022</v>
      </c>
      <c r="F967" t="s">
        <v>157</v>
      </c>
      <c r="G967" s="8" t="s">
        <v>4239</v>
      </c>
    </row>
    <row r="968" spans="1:7" x14ac:dyDescent="0.25">
      <c r="A968" s="4" t="s">
        <v>157</v>
      </c>
      <c r="B968" s="2">
        <f>VALUE("8669")</f>
        <v>8669</v>
      </c>
      <c r="C968" s="4" t="s">
        <v>4491</v>
      </c>
      <c r="D968" s="4" t="s">
        <v>4492</v>
      </c>
      <c r="E968" s="2">
        <f>VALUE("2022")</f>
        <v>2022</v>
      </c>
      <c r="F968" t="s">
        <v>2338</v>
      </c>
      <c r="G968" s="8" t="s">
        <v>4493</v>
      </c>
    </row>
    <row r="969" spans="1:7" x14ac:dyDescent="0.25">
      <c r="A969" s="4" t="s">
        <v>157</v>
      </c>
      <c r="B969" s="2">
        <f>VALUE("8779")</f>
        <v>8779</v>
      </c>
      <c r="C969" s="4" t="s">
        <v>4686</v>
      </c>
      <c r="D969" s="4" t="s">
        <v>4687</v>
      </c>
      <c r="E969" s="2">
        <f>VALUE("2020")</f>
        <v>2020</v>
      </c>
      <c r="F969" t="s">
        <v>157</v>
      </c>
    </row>
    <row r="970" spans="1:7" x14ac:dyDescent="0.25">
      <c r="A970" s="4" t="s">
        <v>157</v>
      </c>
      <c r="B970" s="2" t="s">
        <v>5267</v>
      </c>
      <c r="C970" s="4" t="s">
        <v>397</v>
      </c>
      <c r="D970" s="4" t="s">
        <v>398</v>
      </c>
      <c r="E970" s="2">
        <f>VALUE("2011")</f>
        <v>2011</v>
      </c>
      <c r="F970" t="s">
        <v>399</v>
      </c>
      <c r="G970" s="8" t="s">
        <v>400</v>
      </c>
    </row>
    <row r="971" spans="1:7" x14ac:dyDescent="0.25">
      <c r="A971" s="4" t="s">
        <v>157</v>
      </c>
      <c r="B971" s="3" t="s">
        <v>5268</v>
      </c>
      <c r="C971" s="4" t="s">
        <v>401</v>
      </c>
      <c r="D971" s="4" t="s">
        <v>402</v>
      </c>
      <c r="E971" s="2">
        <f>VALUE("2012")</f>
        <v>2012</v>
      </c>
      <c r="F971" t="s">
        <v>403</v>
      </c>
    </row>
    <row r="972" spans="1:7" x14ac:dyDescent="0.25">
      <c r="A972" s="4" t="s">
        <v>157</v>
      </c>
      <c r="B972" s="2" t="s">
        <v>5269</v>
      </c>
      <c r="C972" s="4" t="s">
        <v>1898</v>
      </c>
      <c r="D972" s="4" t="s">
        <v>1899</v>
      </c>
      <c r="E972" s="2">
        <f>VALUE("2017")</f>
        <v>2017</v>
      </c>
      <c r="F972" t="s">
        <v>157</v>
      </c>
      <c r="G972" s="8" t="s">
        <v>1900</v>
      </c>
    </row>
    <row r="973" spans="1:7" x14ac:dyDescent="0.25">
      <c r="A973" s="4" t="s">
        <v>164</v>
      </c>
      <c r="B973" s="2">
        <f>VALUE("6028")</f>
        <v>6028</v>
      </c>
      <c r="C973" s="4" t="s">
        <v>161</v>
      </c>
      <c r="D973" s="4" t="s">
        <v>162</v>
      </c>
      <c r="E973" s="2">
        <f>VALUE("2010")</f>
        <v>2010</v>
      </c>
      <c r="F973" t="s">
        <v>163</v>
      </c>
      <c r="G973" s="8" t="s">
        <v>165</v>
      </c>
    </row>
    <row r="974" spans="1:7" x14ac:dyDescent="0.25">
      <c r="A974" s="4" t="s">
        <v>164</v>
      </c>
      <c r="B974" s="2">
        <f>VALUE("6028")</f>
        <v>6028</v>
      </c>
      <c r="C974" s="4" t="s">
        <v>166</v>
      </c>
      <c r="D974" s="4" t="s">
        <v>167</v>
      </c>
      <c r="E974" s="2">
        <f>VALUE("2010")</f>
        <v>2010</v>
      </c>
      <c r="F974" t="s">
        <v>168</v>
      </c>
      <c r="G974" s="8" t="s">
        <v>169</v>
      </c>
    </row>
    <row r="975" spans="1:7" x14ac:dyDescent="0.25">
      <c r="A975" s="4" t="s">
        <v>164</v>
      </c>
      <c r="B975" s="2">
        <f>VALUE("6028")</f>
        <v>6028</v>
      </c>
      <c r="C975" s="4" t="s">
        <v>170</v>
      </c>
      <c r="D975" s="4" t="s">
        <v>171</v>
      </c>
      <c r="E975" s="2">
        <f>VALUE("2011")</f>
        <v>2011</v>
      </c>
      <c r="F975" t="s">
        <v>172</v>
      </c>
      <c r="G975" s="8" t="s">
        <v>173</v>
      </c>
    </row>
    <row r="976" spans="1:7" x14ac:dyDescent="0.25">
      <c r="A976" s="4" t="s">
        <v>164</v>
      </c>
      <c r="B976" s="2">
        <f>VALUE("6107")</f>
        <v>6107</v>
      </c>
      <c r="C976" s="4" t="s">
        <v>335</v>
      </c>
      <c r="D976" s="4" t="s">
        <v>336</v>
      </c>
      <c r="E976" s="2">
        <f>VALUE("2012")</f>
        <v>2012</v>
      </c>
      <c r="F976" t="s">
        <v>337</v>
      </c>
    </row>
    <row r="977" spans="1:7" x14ac:dyDescent="0.25">
      <c r="A977" s="4" t="s">
        <v>164</v>
      </c>
      <c r="B977" s="2">
        <f>VALUE("6107")</f>
        <v>6107</v>
      </c>
      <c r="C977" s="4" t="s">
        <v>338</v>
      </c>
      <c r="D977" s="4" t="s">
        <v>336</v>
      </c>
      <c r="E977" s="2">
        <f>VALUE("2012")</f>
        <v>2012</v>
      </c>
      <c r="F977" t="s">
        <v>339</v>
      </c>
      <c r="G977" s="8" t="s">
        <v>340</v>
      </c>
    </row>
    <row r="978" spans="1:7" x14ac:dyDescent="0.25">
      <c r="A978" s="4" t="s">
        <v>164</v>
      </c>
      <c r="B978" s="2">
        <f>VALUE("7014")</f>
        <v>7014</v>
      </c>
      <c r="C978" s="4" t="s">
        <v>536</v>
      </c>
      <c r="D978" s="4" t="s">
        <v>537</v>
      </c>
      <c r="E978" s="2">
        <f>VALUE("2011")</f>
        <v>2011</v>
      </c>
      <c r="F978" t="s">
        <v>164</v>
      </c>
      <c r="G978" s="8" t="s">
        <v>538</v>
      </c>
    </row>
    <row r="979" spans="1:7" x14ac:dyDescent="0.25">
      <c r="A979" s="4" t="s">
        <v>164</v>
      </c>
      <c r="B979" s="2">
        <f>VALUE("7232")</f>
        <v>7232</v>
      </c>
      <c r="C979" s="4" t="s">
        <v>1120</v>
      </c>
      <c r="D979" s="4" t="s">
        <v>1121</v>
      </c>
      <c r="E979" s="2">
        <f>VALUE("2014")</f>
        <v>2014</v>
      </c>
      <c r="F979" t="s">
        <v>164</v>
      </c>
    </row>
    <row r="980" spans="1:7" x14ac:dyDescent="0.25">
      <c r="A980" s="4" t="s">
        <v>164</v>
      </c>
      <c r="B980" s="2">
        <f>VALUE("7232")</f>
        <v>7232</v>
      </c>
      <c r="C980" s="4" t="s">
        <v>1120</v>
      </c>
      <c r="D980" s="4" t="s">
        <v>1122</v>
      </c>
      <c r="E980" s="2">
        <f>VALUE("2013")</f>
        <v>2013</v>
      </c>
      <c r="F980" t="s">
        <v>164</v>
      </c>
      <c r="G980" s="8" t="s">
        <v>1123</v>
      </c>
    </row>
    <row r="981" spans="1:7" x14ac:dyDescent="0.25">
      <c r="A981" s="4" t="s">
        <v>164</v>
      </c>
      <c r="B981" s="2">
        <f>VALUE("7232")</f>
        <v>7232</v>
      </c>
      <c r="C981" s="4" t="s">
        <v>1124</v>
      </c>
      <c r="D981" s="4" t="s">
        <v>1121</v>
      </c>
      <c r="E981" s="2">
        <f>VALUE("2014")</f>
        <v>2014</v>
      </c>
      <c r="F981" t="s">
        <v>164</v>
      </c>
    </row>
    <row r="982" spans="1:7" x14ac:dyDescent="0.25">
      <c r="A982" s="4" t="s">
        <v>164</v>
      </c>
      <c r="B982" s="2">
        <f>VALUE("7243")</f>
        <v>7243</v>
      </c>
      <c r="C982" s="4" t="s">
        <v>1139</v>
      </c>
      <c r="D982" s="4" t="s">
        <v>1140</v>
      </c>
      <c r="E982" s="2">
        <f>VALUE("2013")</f>
        <v>2013</v>
      </c>
      <c r="F982" t="s">
        <v>1141</v>
      </c>
    </row>
    <row r="983" spans="1:7" x14ac:dyDescent="0.25">
      <c r="A983" s="4" t="s">
        <v>164</v>
      </c>
      <c r="B983" s="2">
        <f>VALUE("7316")</f>
        <v>7316</v>
      </c>
      <c r="C983" s="4" t="s">
        <v>1464</v>
      </c>
      <c r="D983" s="4" t="s">
        <v>1465</v>
      </c>
      <c r="E983" s="2">
        <f>VALUE("2014")</f>
        <v>2014</v>
      </c>
      <c r="F983" t="s">
        <v>1466</v>
      </c>
    </row>
    <row r="984" spans="1:7" x14ac:dyDescent="0.25">
      <c r="A984" s="4" t="s">
        <v>164</v>
      </c>
      <c r="B984" s="2">
        <f>VALUE("7328")</f>
        <v>7328</v>
      </c>
      <c r="C984" s="4" t="s">
        <v>1495</v>
      </c>
      <c r="D984" s="4" t="s">
        <v>1496</v>
      </c>
      <c r="E984" s="2">
        <f>VALUE("2014")</f>
        <v>2014</v>
      </c>
      <c r="F984" t="s">
        <v>164</v>
      </c>
    </row>
    <row r="985" spans="1:7" x14ac:dyDescent="0.25">
      <c r="A985" s="4" t="s">
        <v>3618</v>
      </c>
      <c r="B985" s="2">
        <f>VALUE("8260")</f>
        <v>8260</v>
      </c>
      <c r="C985" s="4" t="s">
        <v>3616</v>
      </c>
      <c r="D985" s="4" t="s">
        <v>3617</v>
      </c>
      <c r="E985" s="2">
        <f>VALUE("2022")</f>
        <v>2022</v>
      </c>
      <c r="F985" t="s">
        <v>3618</v>
      </c>
      <c r="G985" s="8" t="s">
        <v>3619</v>
      </c>
    </row>
    <row r="986" spans="1:7" x14ac:dyDescent="0.25">
      <c r="A986" s="4" t="s">
        <v>718</v>
      </c>
      <c r="B986" s="2">
        <f>VALUE("7081")</f>
        <v>7081</v>
      </c>
      <c r="C986" s="4" t="s">
        <v>715</v>
      </c>
      <c r="D986" s="4" t="s">
        <v>716</v>
      </c>
      <c r="E986" s="2">
        <f>VALUE("2014")</f>
        <v>2014</v>
      </c>
      <c r="F986" t="s">
        <v>717</v>
      </c>
    </row>
    <row r="987" spans="1:7" x14ac:dyDescent="0.25">
      <c r="A987" s="4" t="s">
        <v>718</v>
      </c>
      <c r="B987" s="2">
        <f>VALUE("7081")</f>
        <v>7081</v>
      </c>
      <c r="C987" s="4" t="s">
        <v>719</v>
      </c>
      <c r="D987" s="4" t="s">
        <v>720</v>
      </c>
      <c r="E987" s="2">
        <f>VALUE("2014")</f>
        <v>2014</v>
      </c>
      <c r="F987" t="s">
        <v>721</v>
      </c>
    </row>
    <row r="988" spans="1:7" x14ac:dyDescent="0.25">
      <c r="A988" s="4" t="s">
        <v>718</v>
      </c>
      <c r="B988" s="2">
        <f>VALUE("7081")</f>
        <v>7081</v>
      </c>
      <c r="C988" s="4" t="s">
        <v>722</v>
      </c>
      <c r="D988" s="4" t="s">
        <v>723</v>
      </c>
      <c r="E988" s="2">
        <f>VALUE("2013")</f>
        <v>2013</v>
      </c>
      <c r="F988" t="s">
        <v>724</v>
      </c>
    </row>
    <row r="989" spans="1:7" x14ac:dyDescent="0.25">
      <c r="A989" s="4" t="s">
        <v>718</v>
      </c>
      <c r="B989" s="2">
        <f>VALUE("7215")</f>
        <v>7215</v>
      </c>
      <c r="C989" s="4" t="s">
        <v>1083</v>
      </c>
      <c r="D989" s="4" t="s">
        <v>1084</v>
      </c>
      <c r="E989" s="2">
        <f>VALUE("2013")</f>
        <v>2013</v>
      </c>
      <c r="F989" t="s">
        <v>1085</v>
      </c>
      <c r="G989" s="8" t="s">
        <v>1086</v>
      </c>
    </row>
    <row r="990" spans="1:7" x14ac:dyDescent="0.25">
      <c r="A990" s="4" t="s">
        <v>718</v>
      </c>
      <c r="B990" s="2">
        <f>VALUE("7483")</f>
        <v>7483</v>
      </c>
      <c r="C990" s="4" t="s">
        <v>1794</v>
      </c>
      <c r="D990" s="4" t="s">
        <v>1795</v>
      </c>
      <c r="E990" s="2">
        <f>VALUE("2015")</f>
        <v>2015</v>
      </c>
      <c r="F990" t="s">
        <v>1796</v>
      </c>
      <c r="G990" s="8" t="s">
        <v>1797</v>
      </c>
    </row>
    <row r="991" spans="1:7" x14ac:dyDescent="0.25">
      <c r="A991" s="4" t="s">
        <v>718</v>
      </c>
      <c r="B991" s="2">
        <f>VALUE("7824")</f>
        <v>7824</v>
      </c>
      <c r="C991" s="4" t="s">
        <v>2631</v>
      </c>
      <c r="D991" s="4" t="s">
        <v>2632</v>
      </c>
      <c r="E991" s="2">
        <f>VALUE("2017")</f>
        <v>2017</v>
      </c>
      <c r="F991" t="s">
        <v>164</v>
      </c>
      <c r="G991" s="8" t="s">
        <v>2633</v>
      </c>
    </row>
    <row r="992" spans="1:7" x14ac:dyDescent="0.25">
      <c r="A992" s="4" t="s">
        <v>718</v>
      </c>
      <c r="B992" s="2">
        <f>VALUE("7824")</f>
        <v>7824</v>
      </c>
      <c r="C992" s="4" t="s">
        <v>2634</v>
      </c>
      <c r="D992" s="4" t="s">
        <v>2635</v>
      </c>
      <c r="E992" s="2">
        <f>VALUE("2023")</f>
        <v>2023</v>
      </c>
      <c r="F992" t="s">
        <v>2636</v>
      </c>
      <c r="G992" s="8" t="s">
        <v>2637</v>
      </c>
    </row>
    <row r="993" spans="1:7" x14ac:dyDescent="0.25">
      <c r="A993" s="4" t="s">
        <v>718</v>
      </c>
      <c r="B993" s="2">
        <f>VALUE("8077")</f>
        <v>8077</v>
      </c>
      <c r="C993" s="4" t="s">
        <v>3148</v>
      </c>
      <c r="D993" s="4" t="s">
        <v>3149</v>
      </c>
      <c r="E993" s="2">
        <f>VALUE("2021")</f>
        <v>2021</v>
      </c>
      <c r="F993" t="s">
        <v>1113</v>
      </c>
    </row>
    <row r="994" spans="1:7" x14ac:dyDescent="0.25">
      <c r="A994" s="4" t="s">
        <v>718</v>
      </c>
      <c r="B994" s="2">
        <f t="shared" ref="B994:B1004" si="19">VALUE("8156")</f>
        <v>8156</v>
      </c>
      <c r="C994" s="4" t="s">
        <v>3360</v>
      </c>
      <c r="D994" s="4" t="s">
        <v>293</v>
      </c>
      <c r="E994" s="2">
        <f>VALUE("2021")</f>
        <v>2021</v>
      </c>
      <c r="F994" t="s">
        <v>718</v>
      </c>
      <c r="G994" s="8" t="s">
        <v>3361</v>
      </c>
    </row>
    <row r="995" spans="1:7" x14ac:dyDescent="0.25">
      <c r="A995" s="4" t="s">
        <v>718</v>
      </c>
      <c r="B995" s="2">
        <f t="shared" si="19"/>
        <v>8156</v>
      </c>
      <c r="C995" s="4" t="s">
        <v>3337</v>
      </c>
      <c r="D995" s="4" t="s">
        <v>293</v>
      </c>
      <c r="E995" s="2">
        <f>VALUE("2018")</f>
        <v>2018</v>
      </c>
      <c r="F995" t="s">
        <v>718</v>
      </c>
      <c r="G995" s="8" t="s">
        <v>3338</v>
      </c>
    </row>
    <row r="996" spans="1:7" x14ac:dyDescent="0.25">
      <c r="A996" s="4" t="s">
        <v>718</v>
      </c>
      <c r="B996" s="2">
        <f t="shared" si="19"/>
        <v>8156</v>
      </c>
      <c r="C996" s="4" t="s">
        <v>3335</v>
      </c>
      <c r="D996" s="4" t="s">
        <v>293</v>
      </c>
      <c r="E996" s="2">
        <f>VALUE("2019")</f>
        <v>2019</v>
      </c>
      <c r="F996" t="s">
        <v>718</v>
      </c>
      <c r="G996" s="8" t="s">
        <v>3336</v>
      </c>
    </row>
    <row r="997" spans="1:7" x14ac:dyDescent="0.25">
      <c r="A997" s="4" t="s">
        <v>718</v>
      </c>
      <c r="B997" s="2">
        <f t="shared" si="19"/>
        <v>8156</v>
      </c>
      <c r="C997" s="4" t="s">
        <v>3341</v>
      </c>
      <c r="D997" s="4" t="s">
        <v>3342</v>
      </c>
      <c r="E997" s="2">
        <f>VALUE("2020")</f>
        <v>2020</v>
      </c>
      <c r="F997" t="s">
        <v>718</v>
      </c>
      <c r="G997" s="8" t="s">
        <v>3343</v>
      </c>
    </row>
    <row r="998" spans="1:7" x14ac:dyDescent="0.25">
      <c r="A998" s="4" t="s">
        <v>718</v>
      </c>
      <c r="B998" s="2">
        <f t="shared" si="19"/>
        <v>8156</v>
      </c>
      <c r="C998" s="4" t="s">
        <v>3347</v>
      </c>
      <c r="D998" s="4" t="s">
        <v>3348</v>
      </c>
      <c r="E998" s="2">
        <f>VALUE("2022")</f>
        <v>2022</v>
      </c>
      <c r="F998" t="s">
        <v>718</v>
      </c>
      <c r="G998" s="8" t="s">
        <v>3349</v>
      </c>
    </row>
    <row r="999" spans="1:7" x14ac:dyDescent="0.25">
      <c r="A999" s="4" t="s">
        <v>718</v>
      </c>
      <c r="B999" s="2">
        <f t="shared" si="19"/>
        <v>8156</v>
      </c>
      <c r="C999" s="4" t="s">
        <v>3339</v>
      </c>
      <c r="D999" s="4" t="s">
        <v>293</v>
      </c>
      <c r="E999" s="2">
        <f>VALUE("2022")</f>
        <v>2022</v>
      </c>
      <c r="F999" t="s">
        <v>718</v>
      </c>
      <c r="G999" s="8" t="s">
        <v>3340</v>
      </c>
    </row>
    <row r="1000" spans="1:7" x14ac:dyDescent="0.25">
      <c r="A1000" s="4" t="s">
        <v>718</v>
      </c>
      <c r="B1000" s="2">
        <f t="shared" si="19"/>
        <v>8156</v>
      </c>
      <c r="C1000" s="4" t="s">
        <v>3356</v>
      </c>
      <c r="D1000" s="4" t="s">
        <v>3354</v>
      </c>
      <c r="E1000" s="2">
        <f>VALUE("2020")</f>
        <v>2020</v>
      </c>
      <c r="F1000" t="s">
        <v>718</v>
      </c>
      <c r="G1000" s="8" t="s">
        <v>3357</v>
      </c>
    </row>
    <row r="1001" spans="1:7" x14ac:dyDescent="0.25">
      <c r="A1001" s="4" t="s">
        <v>718</v>
      </c>
      <c r="B1001" s="2">
        <f t="shared" si="19"/>
        <v>8156</v>
      </c>
      <c r="C1001" s="4" t="s">
        <v>3344</v>
      </c>
      <c r="D1001" s="4" t="s">
        <v>3345</v>
      </c>
      <c r="E1001" s="2">
        <f>VALUE("2020")</f>
        <v>2020</v>
      </c>
      <c r="F1001" t="s">
        <v>718</v>
      </c>
      <c r="G1001" s="8" t="s">
        <v>3346</v>
      </c>
    </row>
    <row r="1002" spans="1:7" x14ac:dyDescent="0.25">
      <c r="A1002" s="4" t="s">
        <v>718</v>
      </c>
      <c r="B1002" s="2">
        <f t="shared" si="19"/>
        <v>8156</v>
      </c>
      <c r="C1002" s="4" t="s">
        <v>3350</v>
      </c>
      <c r="D1002" s="4" t="s">
        <v>3351</v>
      </c>
      <c r="E1002" s="2">
        <f>VALUE("2020")</f>
        <v>2020</v>
      </c>
      <c r="F1002" t="s">
        <v>718</v>
      </c>
      <c r="G1002" s="8" t="s">
        <v>3352</v>
      </c>
    </row>
    <row r="1003" spans="1:7" x14ac:dyDescent="0.25">
      <c r="A1003" s="4" t="s">
        <v>718</v>
      </c>
      <c r="B1003" s="2">
        <f t="shared" si="19"/>
        <v>8156</v>
      </c>
      <c r="C1003" s="4" t="s">
        <v>3358</v>
      </c>
      <c r="D1003" s="4" t="s">
        <v>293</v>
      </c>
      <c r="E1003" s="2">
        <f>VALUE("2021")</f>
        <v>2021</v>
      </c>
      <c r="F1003" t="s">
        <v>718</v>
      </c>
      <c r="G1003" s="8" t="s">
        <v>3359</v>
      </c>
    </row>
    <row r="1004" spans="1:7" x14ac:dyDescent="0.25">
      <c r="A1004" s="4" t="s">
        <v>718</v>
      </c>
      <c r="B1004" s="2">
        <f t="shared" si="19"/>
        <v>8156</v>
      </c>
      <c r="C1004" s="4" t="s">
        <v>3353</v>
      </c>
      <c r="D1004" s="4" t="s">
        <v>3354</v>
      </c>
      <c r="E1004" s="2">
        <f>VALUE("2020")</f>
        <v>2020</v>
      </c>
      <c r="F1004" t="s">
        <v>718</v>
      </c>
      <c r="G1004" s="8" t="s">
        <v>3355</v>
      </c>
    </row>
    <row r="1005" spans="1:7" x14ac:dyDescent="0.25">
      <c r="A1005" s="4" t="s">
        <v>718</v>
      </c>
      <c r="B1005" s="2">
        <f>VALUE("8696")</f>
        <v>8696</v>
      </c>
      <c r="C1005" s="4" t="s">
        <v>4528</v>
      </c>
      <c r="D1005" s="4" t="s">
        <v>4529</v>
      </c>
      <c r="E1005" s="2">
        <f>VALUE("2022")</f>
        <v>2022</v>
      </c>
      <c r="F1005" t="s">
        <v>51</v>
      </c>
      <c r="G1005" s="8" t="s">
        <v>4530</v>
      </c>
    </row>
    <row r="1006" spans="1:7" x14ac:dyDescent="0.25">
      <c r="A1006" s="4" t="s">
        <v>3096</v>
      </c>
      <c r="B1006" s="2">
        <f>VALUE("8045")</f>
        <v>8045</v>
      </c>
      <c r="C1006" s="4" t="s">
        <v>3093</v>
      </c>
      <c r="D1006" s="4" t="s">
        <v>3094</v>
      </c>
      <c r="E1006" s="2">
        <f>VALUE("2018")</f>
        <v>2018</v>
      </c>
      <c r="F1006" t="s">
        <v>3095</v>
      </c>
      <c r="G1006" s="8" t="s">
        <v>3097</v>
      </c>
    </row>
    <row r="1007" spans="1:7" x14ac:dyDescent="0.25">
      <c r="A1007" s="4" t="s">
        <v>3096</v>
      </c>
      <c r="B1007" s="2">
        <f>VALUE("8305")</f>
        <v>8305</v>
      </c>
      <c r="C1007" s="4" t="s">
        <v>3712</v>
      </c>
      <c r="D1007" s="4" t="s">
        <v>3713</v>
      </c>
      <c r="E1007" s="2">
        <f>VALUE("2020")</f>
        <v>2020</v>
      </c>
      <c r="F1007" t="s">
        <v>3714</v>
      </c>
    </row>
    <row r="1008" spans="1:7" x14ac:dyDescent="0.25">
      <c r="A1008" s="4" t="s">
        <v>3096</v>
      </c>
      <c r="B1008" s="2">
        <f>VALUE("8445")</f>
        <v>8445</v>
      </c>
      <c r="C1008" s="4" t="s">
        <v>3950</v>
      </c>
      <c r="D1008" s="4" t="s">
        <v>3951</v>
      </c>
      <c r="E1008" s="2">
        <f>VALUE("2022")</f>
        <v>2022</v>
      </c>
      <c r="F1008" t="s">
        <v>3096</v>
      </c>
    </row>
    <row r="1009" spans="1:7" x14ac:dyDescent="0.25">
      <c r="A1009" s="4" t="s">
        <v>1401</v>
      </c>
      <c r="B1009" s="2">
        <f>VALUE("7583")</f>
        <v>7583</v>
      </c>
      <c r="C1009" s="4" t="s">
        <v>1999</v>
      </c>
      <c r="D1009" s="4" t="s">
        <v>2000</v>
      </c>
      <c r="E1009" s="2">
        <f>VALUE("2015")</f>
        <v>2015</v>
      </c>
      <c r="F1009" t="s">
        <v>695</v>
      </c>
    </row>
    <row r="1010" spans="1:7" x14ac:dyDescent="0.25">
      <c r="A1010" s="4" t="s">
        <v>1401</v>
      </c>
      <c r="B1010" s="2">
        <f>VALUE("7583")</f>
        <v>7583</v>
      </c>
      <c r="C1010" s="4" t="s">
        <v>1996</v>
      </c>
      <c r="D1010" s="4" t="s">
        <v>1997</v>
      </c>
      <c r="E1010" s="2">
        <f>VALUE("2016")</f>
        <v>2016</v>
      </c>
      <c r="F1010" t="s">
        <v>1998</v>
      </c>
    </row>
    <row r="1011" spans="1:7" x14ac:dyDescent="0.25">
      <c r="A1011" s="4" t="s">
        <v>1401</v>
      </c>
      <c r="B1011" s="2">
        <f>VALUE("7685")</f>
        <v>7685</v>
      </c>
      <c r="C1011" s="4" t="s">
        <v>2339</v>
      </c>
      <c r="D1011" s="4" t="s">
        <v>2340</v>
      </c>
      <c r="E1011" s="2">
        <f>VALUE("2016")</f>
        <v>2016</v>
      </c>
      <c r="F1011" t="s">
        <v>2341</v>
      </c>
    </row>
    <row r="1012" spans="1:7" x14ac:dyDescent="0.25">
      <c r="A1012" s="4" t="s">
        <v>1118</v>
      </c>
      <c r="B1012" s="2">
        <f>VALUE("7230")</f>
        <v>7230</v>
      </c>
      <c r="C1012" s="4" t="s">
        <v>1115</v>
      </c>
      <c r="D1012" s="4" t="s">
        <v>1116</v>
      </c>
      <c r="E1012" s="2">
        <f>VALUE("2014")</f>
        <v>2014</v>
      </c>
      <c r="F1012" t="s">
        <v>1117</v>
      </c>
      <c r="G1012" s="8" t="s">
        <v>1119</v>
      </c>
    </row>
    <row r="1013" spans="1:7" x14ac:dyDescent="0.25">
      <c r="A1013" s="4" t="s">
        <v>1118</v>
      </c>
      <c r="B1013" s="2">
        <f>VALUE("7689")</f>
        <v>7689</v>
      </c>
      <c r="C1013" s="4" t="s">
        <v>2353</v>
      </c>
      <c r="D1013" s="4" t="s">
        <v>2354</v>
      </c>
      <c r="E1013" s="2">
        <f>VALUE("2015")</f>
        <v>2015</v>
      </c>
      <c r="F1013" t="s">
        <v>2355</v>
      </c>
    </row>
    <row r="1014" spans="1:7" x14ac:dyDescent="0.25">
      <c r="A1014" s="4" t="s">
        <v>1118</v>
      </c>
      <c r="B1014" s="2">
        <f>VALUE("8383")</f>
        <v>8383</v>
      </c>
      <c r="C1014" s="4" t="s">
        <v>3842</v>
      </c>
      <c r="D1014" s="4" t="s">
        <v>2354</v>
      </c>
      <c r="E1014" s="2">
        <f>VALUE("2019")</f>
        <v>2019</v>
      </c>
      <c r="F1014" t="s">
        <v>1118</v>
      </c>
    </row>
    <row r="1015" spans="1:7" x14ac:dyDescent="0.25">
      <c r="A1015" s="4" t="s">
        <v>1871</v>
      </c>
      <c r="B1015" s="2">
        <f>VALUE("7506")</f>
        <v>7506</v>
      </c>
      <c r="C1015" s="4" t="s">
        <v>1868</v>
      </c>
      <c r="D1015" s="4" t="s">
        <v>1869</v>
      </c>
      <c r="E1015" s="2">
        <f>VALUE("2013")</f>
        <v>2013</v>
      </c>
      <c r="F1015" t="s">
        <v>1870</v>
      </c>
    </row>
    <row r="1016" spans="1:7" x14ac:dyDescent="0.25">
      <c r="A1016" s="4" t="s">
        <v>1871</v>
      </c>
      <c r="B1016" s="2">
        <f>VALUE("7506")</f>
        <v>7506</v>
      </c>
      <c r="C1016" s="4" t="s">
        <v>1872</v>
      </c>
      <c r="D1016" s="4" t="s">
        <v>1873</v>
      </c>
      <c r="E1016" s="2">
        <f>VALUE("2016")</f>
        <v>2016</v>
      </c>
      <c r="F1016" t="s">
        <v>1870</v>
      </c>
      <c r="G1016" s="8" t="s">
        <v>1874</v>
      </c>
    </row>
    <row r="1017" spans="1:7" x14ac:dyDescent="0.25">
      <c r="A1017" s="4" t="s">
        <v>1871</v>
      </c>
      <c r="B1017" s="2">
        <f>VALUE("7506")</f>
        <v>7506</v>
      </c>
      <c r="C1017" s="4" t="s">
        <v>1875</v>
      </c>
      <c r="D1017" s="4" t="s">
        <v>1876</v>
      </c>
      <c r="E1017" s="2">
        <f>VALUE("2019")</f>
        <v>2019</v>
      </c>
      <c r="F1017" t="s">
        <v>1870</v>
      </c>
      <c r="G1017" s="8" t="s">
        <v>1877</v>
      </c>
    </row>
    <row r="1018" spans="1:7" x14ac:dyDescent="0.25">
      <c r="A1018" s="4" t="s">
        <v>1871</v>
      </c>
      <c r="B1018" s="2">
        <f>VALUE("7658")</f>
        <v>7658</v>
      </c>
      <c r="C1018" s="4" t="s">
        <v>2210</v>
      </c>
      <c r="D1018" s="4" t="s">
        <v>2211</v>
      </c>
      <c r="E1018" s="2">
        <f>VALUE("2015")</f>
        <v>2015</v>
      </c>
      <c r="F1018" t="s">
        <v>1871</v>
      </c>
    </row>
    <row r="1019" spans="1:7" x14ac:dyDescent="0.25">
      <c r="A1019" s="4" t="s">
        <v>1871</v>
      </c>
      <c r="B1019" s="2">
        <f>VALUE("7658")</f>
        <v>7658</v>
      </c>
      <c r="C1019" s="4" t="s">
        <v>2212</v>
      </c>
      <c r="D1019" s="4" t="s">
        <v>2213</v>
      </c>
      <c r="E1019" s="2">
        <f>VALUE("2015")</f>
        <v>2015</v>
      </c>
      <c r="F1019" t="s">
        <v>1871</v>
      </c>
    </row>
    <row r="1020" spans="1:7" x14ac:dyDescent="0.25">
      <c r="A1020" s="4" t="s">
        <v>283</v>
      </c>
      <c r="B1020" s="2">
        <f>VALUE("6089")</f>
        <v>6089</v>
      </c>
      <c r="C1020" s="4" t="s">
        <v>280</v>
      </c>
      <c r="D1020" s="4" t="s">
        <v>281</v>
      </c>
      <c r="E1020" s="2">
        <f>VALUE("2008")</f>
        <v>2008</v>
      </c>
      <c r="F1020" t="s">
        <v>282</v>
      </c>
    </row>
    <row r="1021" spans="1:7" x14ac:dyDescent="0.25">
      <c r="A1021" s="4" t="s">
        <v>283</v>
      </c>
      <c r="B1021" s="2">
        <f>VALUE("6089")</f>
        <v>6089</v>
      </c>
      <c r="C1021" s="4" t="s">
        <v>284</v>
      </c>
      <c r="D1021" s="4" t="s">
        <v>285</v>
      </c>
      <c r="E1021" s="2">
        <f>VALUE("2010")</f>
        <v>2010</v>
      </c>
      <c r="F1021" t="s">
        <v>283</v>
      </c>
    </row>
    <row r="1022" spans="1:7" x14ac:dyDescent="0.25">
      <c r="A1022" s="4" t="s">
        <v>283</v>
      </c>
      <c r="B1022" s="2">
        <f>VALUE("7129")</f>
        <v>7129</v>
      </c>
      <c r="C1022" s="4" t="s">
        <v>909</v>
      </c>
      <c r="D1022" s="4" t="s">
        <v>910</v>
      </c>
      <c r="E1022" s="2">
        <f>VALUE("2013")</f>
        <v>2013</v>
      </c>
      <c r="F1022" t="s">
        <v>911</v>
      </c>
    </row>
    <row r="1023" spans="1:7" x14ac:dyDescent="0.25">
      <c r="A1023" s="4" t="s">
        <v>283</v>
      </c>
      <c r="B1023" s="2">
        <f>VALUE("7153")</f>
        <v>7153</v>
      </c>
      <c r="C1023" s="4" t="s">
        <v>981</v>
      </c>
      <c r="D1023" s="4" t="s">
        <v>982</v>
      </c>
      <c r="E1023" s="2">
        <f>VALUE("2012")</f>
        <v>2012</v>
      </c>
      <c r="F1023" t="s">
        <v>983</v>
      </c>
      <c r="G1023" s="8" t="s">
        <v>984</v>
      </c>
    </row>
    <row r="1024" spans="1:7" x14ac:dyDescent="0.25">
      <c r="A1024" s="4" t="s">
        <v>283</v>
      </c>
      <c r="B1024" s="2">
        <f>VALUE("7169")</f>
        <v>7169</v>
      </c>
      <c r="C1024" s="4" t="s">
        <v>1002</v>
      </c>
      <c r="D1024" s="4" t="s">
        <v>1003</v>
      </c>
      <c r="E1024" s="2">
        <f>VALUE("2014")</f>
        <v>2014</v>
      </c>
      <c r="F1024" t="s">
        <v>1003</v>
      </c>
    </row>
    <row r="1025" spans="1:7" x14ac:dyDescent="0.25">
      <c r="A1025" s="4" t="s">
        <v>283</v>
      </c>
      <c r="B1025" s="2">
        <f>VALUE("7169")</f>
        <v>7169</v>
      </c>
      <c r="C1025" s="4" t="s">
        <v>1004</v>
      </c>
      <c r="D1025" s="4" t="s">
        <v>1005</v>
      </c>
      <c r="E1025" s="2">
        <f>VALUE("2014")</f>
        <v>2014</v>
      </c>
      <c r="F1025" t="s">
        <v>911</v>
      </c>
    </row>
    <row r="1026" spans="1:7" x14ac:dyDescent="0.25">
      <c r="A1026" s="4" t="s">
        <v>283</v>
      </c>
      <c r="B1026" s="2">
        <f>VALUE("7427")</f>
        <v>7427</v>
      </c>
      <c r="C1026" s="4" t="s">
        <v>1676</v>
      </c>
      <c r="D1026" s="4" t="s">
        <v>1677</v>
      </c>
      <c r="E1026" s="2">
        <f>VALUE("2013")</f>
        <v>2013</v>
      </c>
      <c r="F1026" t="s">
        <v>1678</v>
      </c>
    </row>
    <row r="1027" spans="1:7" x14ac:dyDescent="0.25">
      <c r="A1027" s="4" t="s">
        <v>283</v>
      </c>
      <c r="B1027" s="2">
        <f>VALUE("7469")</f>
        <v>7469</v>
      </c>
      <c r="C1027" s="4" t="s">
        <v>1763</v>
      </c>
      <c r="D1027" s="4" t="s">
        <v>1764</v>
      </c>
      <c r="E1027" s="2">
        <f>VALUE("2013")</f>
        <v>2013</v>
      </c>
      <c r="F1027" t="s">
        <v>1678</v>
      </c>
      <c r="G1027" s="8" t="s">
        <v>1765</v>
      </c>
    </row>
    <row r="1028" spans="1:7" x14ac:dyDescent="0.25">
      <c r="A1028" s="4" t="s">
        <v>283</v>
      </c>
      <c r="B1028" s="2">
        <f>VALUE("7572")</f>
        <v>7572</v>
      </c>
      <c r="C1028" s="4" t="s">
        <v>1970</v>
      </c>
      <c r="D1028" s="4" t="s">
        <v>1971</v>
      </c>
      <c r="E1028" s="2">
        <f>VALUE("2014")</f>
        <v>2014</v>
      </c>
      <c r="F1028" t="s">
        <v>1678</v>
      </c>
      <c r="G1028" s="8" t="s">
        <v>1972</v>
      </c>
    </row>
    <row r="1029" spans="1:7" x14ac:dyDescent="0.25">
      <c r="A1029" s="4" t="s">
        <v>283</v>
      </c>
      <c r="B1029" s="2">
        <f>VALUE("7596")</f>
        <v>7596</v>
      </c>
      <c r="C1029" s="4" t="s">
        <v>2032</v>
      </c>
      <c r="D1029" s="4" t="s">
        <v>2033</v>
      </c>
      <c r="E1029" s="2">
        <f>VALUE("2016")</f>
        <v>2016</v>
      </c>
      <c r="F1029" t="s">
        <v>911</v>
      </c>
    </row>
    <row r="1030" spans="1:7" x14ac:dyDescent="0.25">
      <c r="A1030" s="4" t="s">
        <v>283</v>
      </c>
      <c r="B1030" s="2">
        <f>VALUE("7612")</f>
        <v>7612</v>
      </c>
      <c r="C1030" s="4" t="s">
        <v>2076</v>
      </c>
      <c r="D1030" s="4" t="s">
        <v>2077</v>
      </c>
      <c r="E1030" s="2">
        <f>VALUE("2014")</f>
        <v>2014</v>
      </c>
      <c r="F1030" t="s">
        <v>911</v>
      </c>
    </row>
    <row r="1031" spans="1:7" x14ac:dyDescent="0.25">
      <c r="A1031" s="4" t="s">
        <v>283</v>
      </c>
      <c r="B1031" s="2">
        <f>VALUE("7640")</f>
        <v>7640</v>
      </c>
      <c r="C1031" s="4" t="s">
        <v>2157</v>
      </c>
      <c r="D1031" s="4" t="s">
        <v>2158</v>
      </c>
      <c r="E1031" s="2">
        <f>VALUE("2015")</f>
        <v>2015</v>
      </c>
      <c r="F1031" t="s">
        <v>1678</v>
      </c>
      <c r="G1031" s="8" t="s">
        <v>2159</v>
      </c>
    </row>
    <row r="1032" spans="1:7" x14ac:dyDescent="0.25">
      <c r="A1032" s="4" t="s">
        <v>3322</v>
      </c>
      <c r="B1032" s="2">
        <f>VALUE("8148")</f>
        <v>8148</v>
      </c>
      <c r="C1032" s="4" t="s">
        <v>3319</v>
      </c>
      <c r="D1032" s="4" t="s">
        <v>3320</v>
      </c>
      <c r="E1032" s="2">
        <f>VALUE("2019")</f>
        <v>2019</v>
      </c>
      <c r="F1032" t="s">
        <v>3321</v>
      </c>
      <c r="G1032" s="11" t="s">
        <v>5270</v>
      </c>
    </row>
    <row r="1033" spans="1:7" x14ac:dyDescent="0.25">
      <c r="A1033" s="4" t="s">
        <v>459</v>
      </c>
      <c r="B1033" s="2">
        <f>VALUE("6145")</f>
        <v>6145</v>
      </c>
      <c r="C1033" s="4" t="s">
        <v>456</v>
      </c>
      <c r="D1033" s="4" t="s">
        <v>457</v>
      </c>
      <c r="E1033" s="2">
        <f>VALUE("2014")</f>
        <v>2014</v>
      </c>
      <c r="F1033" t="s">
        <v>458</v>
      </c>
      <c r="G1033" s="8" t="s">
        <v>460</v>
      </c>
    </row>
    <row r="1034" spans="1:7" x14ac:dyDescent="0.25">
      <c r="A1034" s="4" t="s">
        <v>459</v>
      </c>
      <c r="B1034" s="2">
        <f t="shared" ref="B1034:B1039" si="20">VALUE("7109")</f>
        <v>7109</v>
      </c>
      <c r="C1034" s="4" t="s">
        <v>790</v>
      </c>
      <c r="D1034" s="4" t="s">
        <v>791</v>
      </c>
      <c r="E1034" s="2">
        <f>VALUE("2011")</f>
        <v>2011</v>
      </c>
      <c r="F1034" t="s">
        <v>459</v>
      </c>
    </row>
    <row r="1035" spans="1:7" x14ac:dyDescent="0.25">
      <c r="A1035" s="4" t="s">
        <v>459</v>
      </c>
      <c r="B1035" s="2">
        <f t="shared" si="20"/>
        <v>7109</v>
      </c>
      <c r="C1035" s="4" t="s">
        <v>792</v>
      </c>
      <c r="D1035" s="4" t="s">
        <v>793</v>
      </c>
      <c r="E1035" s="2">
        <f>VALUE("2010")</f>
        <v>2010</v>
      </c>
      <c r="F1035" t="s">
        <v>459</v>
      </c>
    </row>
    <row r="1036" spans="1:7" x14ac:dyDescent="0.25">
      <c r="A1036" s="4" t="s">
        <v>459</v>
      </c>
      <c r="B1036" s="2">
        <f t="shared" si="20"/>
        <v>7109</v>
      </c>
      <c r="C1036" s="4" t="s">
        <v>794</v>
      </c>
      <c r="D1036" s="4" t="s">
        <v>795</v>
      </c>
      <c r="E1036" s="2">
        <f>VALUE("2014")</f>
        <v>2014</v>
      </c>
      <c r="F1036" t="s">
        <v>459</v>
      </c>
      <c r="G1036" s="8" t="s">
        <v>796</v>
      </c>
    </row>
    <row r="1037" spans="1:7" x14ac:dyDescent="0.25">
      <c r="A1037" s="4" t="s">
        <v>459</v>
      </c>
      <c r="B1037" s="2">
        <f t="shared" si="20"/>
        <v>7109</v>
      </c>
      <c r="C1037" s="4" t="s">
        <v>797</v>
      </c>
      <c r="D1037" s="4" t="s">
        <v>798</v>
      </c>
      <c r="E1037" s="2">
        <f>VALUE("2013")</f>
        <v>2013</v>
      </c>
      <c r="F1037" t="s">
        <v>459</v>
      </c>
    </row>
    <row r="1038" spans="1:7" x14ac:dyDescent="0.25">
      <c r="A1038" s="4" t="s">
        <v>459</v>
      </c>
      <c r="B1038" s="2">
        <f t="shared" si="20"/>
        <v>7109</v>
      </c>
      <c r="C1038" s="4" t="s">
        <v>799</v>
      </c>
      <c r="D1038" s="4" t="s">
        <v>800</v>
      </c>
      <c r="E1038" s="2">
        <f>VALUE("2011")</f>
        <v>2011</v>
      </c>
      <c r="F1038" t="s">
        <v>459</v>
      </c>
      <c r="G1038" s="8" t="s">
        <v>801</v>
      </c>
    </row>
    <row r="1039" spans="1:7" x14ac:dyDescent="0.25">
      <c r="A1039" s="4" t="s">
        <v>459</v>
      </c>
      <c r="B1039" s="2">
        <f t="shared" si="20"/>
        <v>7109</v>
      </c>
      <c r="C1039" s="4" t="s">
        <v>802</v>
      </c>
      <c r="D1039" s="4" t="s">
        <v>803</v>
      </c>
      <c r="E1039" s="2">
        <f>VALUE("2011")</f>
        <v>2011</v>
      </c>
      <c r="F1039" t="s">
        <v>459</v>
      </c>
    </row>
    <row r="1040" spans="1:7" x14ac:dyDescent="0.25">
      <c r="A1040" s="4" t="s">
        <v>459</v>
      </c>
      <c r="B1040" s="2">
        <f>VALUE("7158")</f>
        <v>7158</v>
      </c>
      <c r="C1040" s="4" t="s">
        <v>987</v>
      </c>
      <c r="D1040" s="4" t="s">
        <v>988</v>
      </c>
      <c r="E1040" s="2">
        <f>VALUE("2013")</f>
        <v>2013</v>
      </c>
      <c r="F1040" t="s">
        <v>459</v>
      </c>
    </row>
    <row r="1041" spans="1:7" x14ac:dyDescent="0.25">
      <c r="A1041" s="4" t="s">
        <v>459</v>
      </c>
      <c r="B1041" s="2">
        <f>VALUE("7182")</f>
        <v>7182</v>
      </c>
      <c r="C1041" s="4" t="s">
        <v>1024</v>
      </c>
      <c r="D1041" s="4" t="s">
        <v>1025</v>
      </c>
      <c r="E1041" s="2">
        <f>VALUE("2011")</f>
        <v>2011</v>
      </c>
      <c r="F1041" t="s">
        <v>459</v>
      </c>
      <c r="G1041" s="8" t="s">
        <v>1026</v>
      </c>
    </row>
    <row r="1042" spans="1:7" x14ac:dyDescent="0.25">
      <c r="A1042" s="4" t="s">
        <v>459</v>
      </c>
      <c r="B1042" s="2">
        <f>VALUE("7204")</f>
        <v>7204</v>
      </c>
      <c r="C1042" s="4" t="s">
        <v>1061</v>
      </c>
      <c r="D1042" s="4" t="s">
        <v>1062</v>
      </c>
      <c r="E1042" s="2">
        <f>VALUE("2013")</f>
        <v>2013</v>
      </c>
      <c r="F1042" t="s">
        <v>459</v>
      </c>
      <c r="G1042" s="8" t="s">
        <v>1063</v>
      </c>
    </row>
    <row r="1043" spans="1:7" x14ac:dyDescent="0.25">
      <c r="A1043" s="4" t="s">
        <v>459</v>
      </c>
      <c r="B1043" s="2">
        <f>VALUE("7204")</f>
        <v>7204</v>
      </c>
      <c r="C1043" s="4" t="s">
        <v>1064</v>
      </c>
      <c r="D1043" s="4" t="s">
        <v>1065</v>
      </c>
      <c r="E1043" s="2">
        <f>VALUE("2014")</f>
        <v>2014</v>
      </c>
      <c r="F1043" t="s">
        <v>459</v>
      </c>
      <c r="G1043" s="8" t="s">
        <v>1066</v>
      </c>
    </row>
    <row r="1044" spans="1:7" x14ac:dyDescent="0.25">
      <c r="A1044" s="4" t="s">
        <v>459</v>
      </c>
      <c r="B1044" s="2">
        <f>VALUE("7204")</f>
        <v>7204</v>
      </c>
      <c r="C1044" s="4" t="s">
        <v>1058</v>
      </c>
      <c r="D1044" s="4" t="s">
        <v>1059</v>
      </c>
      <c r="E1044" s="2">
        <f>VALUE("2013")</f>
        <v>2013</v>
      </c>
      <c r="F1044" t="s">
        <v>459</v>
      </c>
      <c r="G1044" s="8" t="s">
        <v>1060</v>
      </c>
    </row>
    <row r="1045" spans="1:7" x14ac:dyDescent="0.25">
      <c r="A1045" s="4" t="s">
        <v>459</v>
      </c>
      <c r="B1045" s="2">
        <f>VALUE("7302")</f>
        <v>7302</v>
      </c>
      <c r="C1045" s="4" t="s">
        <v>1387</v>
      </c>
      <c r="D1045" s="4" t="s">
        <v>1388</v>
      </c>
      <c r="E1045" s="2">
        <f>VALUE("2013")</f>
        <v>2013</v>
      </c>
      <c r="F1045" t="s">
        <v>1056</v>
      </c>
      <c r="G1045" s="8" t="s">
        <v>1389</v>
      </c>
    </row>
    <row r="1046" spans="1:7" x14ac:dyDescent="0.25">
      <c r="A1046" s="4" t="s">
        <v>459</v>
      </c>
      <c r="B1046" s="2">
        <f>VALUE("7346")</f>
        <v>7346</v>
      </c>
      <c r="C1046" s="4" t="s">
        <v>1522</v>
      </c>
      <c r="D1046" s="4" t="s">
        <v>1523</v>
      </c>
      <c r="E1046" s="2">
        <f>VALUE("2012")</f>
        <v>2012</v>
      </c>
      <c r="F1046" t="s">
        <v>459</v>
      </c>
      <c r="G1046" s="8" t="s">
        <v>1524</v>
      </c>
    </row>
    <row r="1047" spans="1:7" x14ac:dyDescent="0.25">
      <c r="A1047" s="4" t="s">
        <v>459</v>
      </c>
      <c r="B1047" s="2">
        <f>VALUE("7454")</f>
        <v>7454</v>
      </c>
      <c r="C1047" s="4" t="s">
        <v>1745</v>
      </c>
      <c r="D1047" s="4" t="s">
        <v>1746</v>
      </c>
      <c r="E1047" s="2">
        <f>VALUE("2015")</f>
        <v>2015</v>
      </c>
      <c r="F1047" t="s">
        <v>459</v>
      </c>
      <c r="G1047" s="8" t="s">
        <v>1747</v>
      </c>
    </row>
    <row r="1048" spans="1:7" x14ac:dyDescent="0.25">
      <c r="A1048" s="4" t="s">
        <v>459</v>
      </c>
      <c r="B1048" s="2">
        <f>VALUE("7477")</f>
        <v>7477</v>
      </c>
      <c r="C1048" s="4" t="s">
        <v>1789</v>
      </c>
      <c r="D1048" s="4" t="s">
        <v>1790</v>
      </c>
      <c r="E1048" s="2">
        <f>VALUE("2014")</f>
        <v>2014</v>
      </c>
      <c r="F1048" t="s">
        <v>459</v>
      </c>
    </row>
    <row r="1049" spans="1:7" x14ac:dyDescent="0.25">
      <c r="A1049" s="4" t="s">
        <v>459</v>
      </c>
      <c r="B1049" s="2">
        <f>VALUE("7486")</f>
        <v>7486</v>
      </c>
      <c r="C1049" s="4" t="s">
        <v>1809</v>
      </c>
      <c r="D1049" s="4" t="s">
        <v>1810</v>
      </c>
      <c r="E1049" s="2">
        <f>VALUE("2014")</f>
        <v>2014</v>
      </c>
      <c r="F1049" t="s">
        <v>1811</v>
      </c>
    </row>
    <row r="1050" spans="1:7" x14ac:dyDescent="0.25">
      <c r="A1050" s="4" t="s">
        <v>459</v>
      </c>
      <c r="B1050" s="2">
        <f>VALUE("7486")</f>
        <v>7486</v>
      </c>
      <c r="C1050" s="4" t="s">
        <v>1812</v>
      </c>
      <c r="D1050" s="4" t="s">
        <v>1813</v>
      </c>
      <c r="E1050" s="2">
        <f>VALUE("2013")</f>
        <v>2013</v>
      </c>
      <c r="F1050" t="s">
        <v>1814</v>
      </c>
    </row>
    <row r="1051" spans="1:7" x14ac:dyDescent="0.25">
      <c r="A1051" s="4" t="s">
        <v>459</v>
      </c>
      <c r="B1051" s="2">
        <f>VALUE("7486")</f>
        <v>7486</v>
      </c>
      <c r="C1051" s="4" t="s">
        <v>1815</v>
      </c>
      <c r="D1051" s="4" t="s">
        <v>1810</v>
      </c>
      <c r="E1051" s="2">
        <f>VALUE("2015")</f>
        <v>2015</v>
      </c>
      <c r="F1051" t="s">
        <v>459</v>
      </c>
    </row>
    <row r="1052" spans="1:7" x14ac:dyDescent="0.25">
      <c r="A1052" s="4" t="s">
        <v>459</v>
      </c>
      <c r="B1052" s="2">
        <f>VALUE("7486")</f>
        <v>7486</v>
      </c>
      <c r="C1052" s="4" t="s">
        <v>1816</v>
      </c>
      <c r="D1052" s="4" t="s">
        <v>1817</v>
      </c>
      <c r="E1052" s="2">
        <f>VALUE("2013")</f>
        <v>2013</v>
      </c>
      <c r="F1052" t="s">
        <v>459</v>
      </c>
    </row>
    <row r="1053" spans="1:7" x14ac:dyDescent="0.25">
      <c r="A1053" s="4" t="s">
        <v>459</v>
      </c>
      <c r="B1053" s="2">
        <f>VALUE("7501")</f>
        <v>7501</v>
      </c>
      <c r="C1053" s="4" t="s">
        <v>1845</v>
      </c>
      <c r="D1053" s="4" t="s">
        <v>1846</v>
      </c>
      <c r="E1053" s="2">
        <f>VALUE("2014")</f>
        <v>2014</v>
      </c>
      <c r="F1053" t="s">
        <v>459</v>
      </c>
    </row>
    <row r="1054" spans="1:7" x14ac:dyDescent="0.25">
      <c r="A1054" s="4" t="s">
        <v>459</v>
      </c>
      <c r="B1054" s="2">
        <f>VALUE("7501")</f>
        <v>7501</v>
      </c>
      <c r="C1054" s="4" t="s">
        <v>1847</v>
      </c>
      <c r="D1054" s="4" t="s">
        <v>1846</v>
      </c>
      <c r="E1054" s="2">
        <f>VALUE("2014")</f>
        <v>2014</v>
      </c>
      <c r="F1054" t="s">
        <v>459</v>
      </c>
    </row>
    <row r="1055" spans="1:7" x14ac:dyDescent="0.25">
      <c r="A1055" s="4" t="s">
        <v>459</v>
      </c>
      <c r="B1055" s="2">
        <f>VALUE("7502")</f>
        <v>7502</v>
      </c>
      <c r="C1055" s="4" t="s">
        <v>1853</v>
      </c>
      <c r="D1055" s="4" t="s">
        <v>1854</v>
      </c>
      <c r="E1055" s="2">
        <f>VALUE("2016")</f>
        <v>2016</v>
      </c>
      <c r="F1055" t="s">
        <v>459</v>
      </c>
    </row>
    <row r="1056" spans="1:7" x14ac:dyDescent="0.25">
      <c r="A1056" s="4" t="s">
        <v>459</v>
      </c>
      <c r="B1056" s="2">
        <f>VALUE("7502")</f>
        <v>7502</v>
      </c>
      <c r="C1056" s="4" t="s">
        <v>1851</v>
      </c>
      <c r="D1056" s="4" t="s">
        <v>1852</v>
      </c>
      <c r="E1056" s="2">
        <f>VALUE("2019")</f>
        <v>2019</v>
      </c>
      <c r="F1056" t="s">
        <v>459</v>
      </c>
    </row>
    <row r="1057" spans="1:7" x14ac:dyDescent="0.25">
      <c r="A1057" s="4" t="s">
        <v>459</v>
      </c>
      <c r="B1057" s="2">
        <f>VALUE("7502")</f>
        <v>7502</v>
      </c>
      <c r="C1057" s="4" t="s">
        <v>1855</v>
      </c>
      <c r="D1057" s="4" t="s">
        <v>1856</v>
      </c>
      <c r="E1057" s="2">
        <f>VALUE("2015")</f>
        <v>2015</v>
      </c>
      <c r="F1057" t="s">
        <v>459</v>
      </c>
    </row>
    <row r="1058" spans="1:7" x14ac:dyDescent="0.25">
      <c r="A1058" s="4" t="s">
        <v>459</v>
      </c>
      <c r="B1058" s="2">
        <f>VALUE("7502")</f>
        <v>7502</v>
      </c>
      <c r="C1058" s="4" t="s">
        <v>1848</v>
      </c>
      <c r="D1058" s="4" t="s">
        <v>1849</v>
      </c>
      <c r="E1058" s="2">
        <f>VALUE("2014")</f>
        <v>2014</v>
      </c>
      <c r="F1058" t="s">
        <v>459</v>
      </c>
      <c r="G1058" s="8" t="s">
        <v>1850</v>
      </c>
    </row>
    <row r="1059" spans="1:7" x14ac:dyDescent="0.25">
      <c r="A1059" s="4" t="s">
        <v>459</v>
      </c>
      <c r="B1059" s="2">
        <f>VALUE("7502")</f>
        <v>7502</v>
      </c>
      <c r="C1059" s="4" t="s">
        <v>1857</v>
      </c>
      <c r="D1059" s="4" t="s">
        <v>293</v>
      </c>
      <c r="E1059" s="2">
        <f>VALUE("2013")</f>
        <v>2013</v>
      </c>
      <c r="F1059" t="s">
        <v>459</v>
      </c>
    </row>
    <row r="1060" spans="1:7" x14ac:dyDescent="0.25">
      <c r="A1060" s="4" t="s">
        <v>459</v>
      </c>
      <c r="B1060" s="2">
        <f>VALUE("7536")</f>
        <v>7536</v>
      </c>
      <c r="C1060" s="4" t="s">
        <v>1919</v>
      </c>
      <c r="D1060" s="4" t="s">
        <v>1920</v>
      </c>
      <c r="E1060" s="2">
        <f>VALUE("2013")</f>
        <v>2013</v>
      </c>
      <c r="F1060" t="s">
        <v>459</v>
      </c>
    </row>
    <row r="1061" spans="1:7" x14ac:dyDescent="0.25">
      <c r="A1061" s="4" t="s">
        <v>459</v>
      </c>
      <c r="B1061" s="2">
        <f>VALUE("7580")</f>
        <v>7580</v>
      </c>
      <c r="C1061" s="4" t="s">
        <v>1981</v>
      </c>
      <c r="D1061" s="4" t="s">
        <v>1982</v>
      </c>
      <c r="E1061" s="2">
        <f>VALUE("2016")</f>
        <v>2016</v>
      </c>
      <c r="F1061" t="s">
        <v>459</v>
      </c>
      <c r="G1061" s="8" t="s">
        <v>1983</v>
      </c>
    </row>
    <row r="1062" spans="1:7" x14ac:dyDescent="0.25">
      <c r="A1062" s="4" t="s">
        <v>459</v>
      </c>
      <c r="B1062" s="2">
        <f>VALUE("7590")</f>
        <v>7590</v>
      </c>
      <c r="C1062" s="4" t="s">
        <v>2016</v>
      </c>
      <c r="D1062" s="4" t="s">
        <v>2017</v>
      </c>
      <c r="E1062" s="2">
        <f>VALUE("2016")</f>
        <v>2016</v>
      </c>
      <c r="F1062" t="s">
        <v>459</v>
      </c>
    </row>
    <row r="1063" spans="1:7" x14ac:dyDescent="0.25">
      <c r="A1063" s="4" t="s">
        <v>459</v>
      </c>
      <c r="B1063" s="2">
        <f>VALUE("7605")</f>
        <v>7605</v>
      </c>
      <c r="C1063" s="4" t="s">
        <v>2062</v>
      </c>
      <c r="D1063" s="4" t="s">
        <v>2063</v>
      </c>
      <c r="E1063" s="2">
        <f>VALUE("2015")</f>
        <v>2015</v>
      </c>
      <c r="F1063" t="s">
        <v>459</v>
      </c>
      <c r="G1063" s="8" t="s">
        <v>2064</v>
      </c>
    </row>
    <row r="1064" spans="1:7" x14ac:dyDescent="0.25">
      <c r="A1064" s="4" t="s">
        <v>459</v>
      </c>
      <c r="B1064" s="2">
        <f>VALUE("7622")</f>
        <v>7622</v>
      </c>
      <c r="C1064" s="4" t="s">
        <v>2113</v>
      </c>
      <c r="D1064" s="4" t="s">
        <v>2114</v>
      </c>
      <c r="E1064" s="2">
        <f>VALUE("2015")</f>
        <v>2015</v>
      </c>
      <c r="F1064" t="s">
        <v>459</v>
      </c>
    </row>
    <row r="1065" spans="1:7" x14ac:dyDescent="0.25">
      <c r="A1065" s="4" t="s">
        <v>459</v>
      </c>
      <c r="B1065" s="2">
        <f>VALUE("7622")</f>
        <v>7622</v>
      </c>
      <c r="C1065" s="4" t="s">
        <v>2115</v>
      </c>
      <c r="D1065" s="4" t="s">
        <v>2116</v>
      </c>
      <c r="E1065" s="2">
        <f>VALUE("2015")</f>
        <v>2015</v>
      </c>
      <c r="F1065" t="s">
        <v>459</v>
      </c>
    </row>
    <row r="1066" spans="1:7" x14ac:dyDescent="0.25">
      <c r="A1066" s="4" t="s">
        <v>459</v>
      </c>
      <c r="B1066" s="2">
        <f>VALUE("7639")</f>
        <v>7639</v>
      </c>
      <c r="C1066" s="4" t="s">
        <v>2154</v>
      </c>
      <c r="D1066" s="4" t="s">
        <v>2155</v>
      </c>
      <c r="E1066" s="2">
        <f>VALUE("2014")</f>
        <v>2014</v>
      </c>
      <c r="F1066" t="s">
        <v>459</v>
      </c>
      <c r="G1066" s="8" t="s">
        <v>2156</v>
      </c>
    </row>
    <row r="1067" spans="1:7" x14ac:dyDescent="0.25">
      <c r="A1067" s="4" t="s">
        <v>459</v>
      </c>
      <c r="B1067" s="2">
        <f>VALUE("7639")</f>
        <v>7639</v>
      </c>
      <c r="C1067" s="4" t="s">
        <v>2151</v>
      </c>
      <c r="D1067" s="4" t="s">
        <v>2152</v>
      </c>
      <c r="E1067" s="2">
        <f>VALUE("2014")</f>
        <v>2014</v>
      </c>
      <c r="F1067" t="s">
        <v>459</v>
      </c>
      <c r="G1067" s="8" t="s">
        <v>2153</v>
      </c>
    </row>
    <row r="1068" spans="1:7" x14ac:dyDescent="0.25">
      <c r="A1068" s="4" t="s">
        <v>459</v>
      </c>
      <c r="B1068" s="2">
        <f>VALUE("7662")</f>
        <v>7662</v>
      </c>
      <c r="C1068" s="4" t="s">
        <v>2229</v>
      </c>
      <c r="D1068" s="4" t="s">
        <v>1856</v>
      </c>
      <c r="E1068" s="2">
        <f>VALUE("2014")</f>
        <v>2014</v>
      </c>
      <c r="F1068" t="s">
        <v>459</v>
      </c>
    </row>
    <row r="1069" spans="1:7" x14ac:dyDescent="0.25">
      <c r="A1069" t="s">
        <v>459</v>
      </c>
      <c r="B1069" s="2">
        <f>VALUE("7693")</f>
        <v>7693</v>
      </c>
      <c r="C1069" s="4" t="s">
        <v>2358</v>
      </c>
      <c r="D1069" s="4" t="s">
        <v>2359</v>
      </c>
      <c r="E1069" s="2">
        <f>VALUE("2014")</f>
        <v>2014</v>
      </c>
      <c r="F1069" t="s">
        <v>459</v>
      </c>
      <c r="G1069" s="8" t="s">
        <v>1850</v>
      </c>
    </row>
    <row r="1070" spans="1:7" x14ac:dyDescent="0.25">
      <c r="A1070" s="4" t="s">
        <v>459</v>
      </c>
      <c r="B1070" s="2">
        <f>VALUE("7693")</f>
        <v>7693</v>
      </c>
      <c r="C1070" s="4" t="s">
        <v>2360</v>
      </c>
      <c r="D1070" s="4" t="s">
        <v>2361</v>
      </c>
      <c r="E1070" s="2">
        <f>VALUE("2016")</f>
        <v>2016</v>
      </c>
      <c r="F1070" t="s">
        <v>459</v>
      </c>
      <c r="G1070" s="8" t="s">
        <v>2362</v>
      </c>
    </row>
    <row r="1071" spans="1:7" x14ac:dyDescent="0.25">
      <c r="A1071" s="4" t="s">
        <v>459</v>
      </c>
      <c r="B1071" s="2">
        <f>VALUE("7732")</f>
        <v>7732</v>
      </c>
      <c r="C1071" s="4" t="s">
        <v>2485</v>
      </c>
      <c r="D1071" s="4" t="s">
        <v>2486</v>
      </c>
      <c r="E1071" s="2">
        <f>VALUE("2015")</f>
        <v>2015</v>
      </c>
      <c r="F1071" t="s">
        <v>459</v>
      </c>
    </row>
    <row r="1072" spans="1:7" x14ac:dyDescent="0.25">
      <c r="A1072" s="4" t="s">
        <v>459</v>
      </c>
      <c r="B1072" s="2">
        <f>VALUE("7748")</f>
        <v>7748</v>
      </c>
      <c r="C1072" s="4" t="s">
        <v>2510</v>
      </c>
      <c r="D1072" s="4" t="s">
        <v>2511</v>
      </c>
      <c r="E1072" s="2">
        <f>VALUE("2015")</f>
        <v>2015</v>
      </c>
      <c r="F1072" t="s">
        <v>459</v>
      </c>
      <c r="G1072" s="8" t="s">
        <v>2512</v>
      </c>
    </row>
    <row r="1073" spans="1:7" x14ac:dyDescent="0.25">
      <c r="A1073" s="4" t="s">
        <v>459</v>
      </c>
      <c r="B1073" s="2">
        <f>VALUE("7781")</f>
        <v>7781</v>
      </c>
      <c r="C1073" s="4" t="s">
        <v>2556</v>
      </c>
      <c r="D1073" s="4" t="s">
        <v>2557</v>
      </c>
      <c r="E1073" s="2">
        <f>VALUE("2015")</f>
        <v>2015</v>
      </c>
      <c r="F1073" t="s">
        <v>459</v>
      </c>
      <c r="G1073" s="8" t="s">
        <v>2558</v>
      </c>
    </row>
    <row r="1074" spans="1:7" x14ac:dyDescent="0.25">
      <c r="A1074" s="4" t="s">
        <v>459</v>
      </c>
      <c r="B1074" s="2">
        <f>VALUE("7795")</f>
        <v>7795</v>
      </c>
      <c r="C1074" s="4" t="s">
        <v>2588</v>
      </c>
      <c r="D1074" s="4" t="s">
        <v>2589</v>
      </c>
      <c r="E1074" s="2">
        <f>VALUE("2016")</f>
        <v>2016</v>
      </c>
      <c r="F1074" t="s">
        <v>459</v>
      </c>
      <c r="G1074" s="8" t="s">
        <v>2590</v>
      </c>
    </row>
    <row r="1075" spans="1:7" x14ac:dyDescent="0.25">
      <c r="A1075" s="4" t="s">
        <v>459</v>
      </c>
      <c r="B1075" s="2">
        <f>VALUE("7808")</f>
        <v>7808</v>
      </c>
      <c r="C1075" s="4" t="s">
        <v>2598</v>
      </c>
      <c r="D1075" s="4" t="s">
        <v>2599</v>
      </c>
      <c r="E1075" s="2">
        <f>VALUE("2016")</f>
        <v>2016</v>
      </c>
      <c r="F1075" t="s">
        <v>459</v>
      </c>
    </row>
    <row r="1076" spans="1:7" x14ac:dyDescent="0.25">
      <c r="A1076" s="4" t="s">
        <v>459</v>
      </c>
      <c r="B1076" s="2">
        <f>VALUE("7821")</f>
        <v>7821</v>
      </c>
      <c r="C1076" s="4" t="s">
        <v>2629</v>
      </c>
      <c r="D1076" s="4" t="s">
        <v>2630</v>
      </c>
      <c r="E1076" s="2">
        <f>VALUE("2017")</f>
        <v>2017</v>
      </c>
      <c r="F1076" t="s">
        <v>459</v>
      </c>
    </row>
    <row r="1077" spans="1:7" x14ac:dyDescent="0.25">
      <c r="A1077" s="4" t="s">
        <v>459</v>
      </c>
      <c r="B1077" s="2">
        <f>VALUE("7861")</f>
        <v>7861</v>
      </c>
      <c r="C1077" s="4" t="s">
        <v>2749</v>
      </c>
      <c r="D1077" s="4" t="s">
        <v>2750</v>
      </c>
      <c r="E1077" s="2">
        <f>VALUE("2018")</f>
        <v>2018</v>
      </c>
      <c r="F1077" t="s">
        <v>459</v>
      </c>
      <c r="G1077" s="8" t="s">
        <v>2751</v>
      </c>
    </row>
    <row r="1078" spans="1:7" x14ac:dyDescent="0.25">
      <c r="A1078" s="4" t="s">
        <v>459</v>
      </c>
      <c r="B1078" s="2">
        <f>VALUE("7861")</f>
        <v>7861</v>
      </c>
      <c r="C1078" s="4" t="s">
        <v>2752</v>
      </c>
      <c r="D1078" s="4" t="s">
        <v>2753</v>
      </c>
      <c r="E1078" s="2">
        <f>VALUE("2018")</f>
        <v>2018</v>
      </c>
      <c r="F1078" t="s">
        <v>459</v>
      </c>
      <c r="G1078" s="8" t="s">
        <v>2754</v>
      </c>
    </row>
    <row r="1079" spans="1:7" x14ac:dyDescent="0.25">
      <c r="A1079" s="4" t="s">
        <v>459</v>
      </c>
      <c r="B1079" s="2">
        <f>VALUE("7957")</f>
        <v>7957</v>
      </c>
      <c r="C1079" s="4" t="s">
        <v>2950</v>
      </c>
      <c r="D1079" s="4" t="s">
        <v>2951</v>
      </c>
      <c r="E1079" s="2">
        <f>VALUE("2018")</f>
        <v>2018</v>
      </c>
      <c r="F1079" t="s">
        <v>459</v>
      </c>
    </row>
    <row r="1080" spans="1:7" x14ac:dyDescent="0.25">
      <c r="A1080" s="4" t="s">
        <v>459</v>
      </c>
      <c r="B1080" s="2">
        <f>VALUE("8153")</f>
        <v>8153</v>
      </c>
      <c r="C1080" s="4" t="s">
        <v>3333</v>
      </c>
      <c r="D1080" s="4" t="s">
        <v>3334</v>
      </c>
      <c r="E1080" s="2">
        <f>VALUE("2019")</f>
        <v>2019</v>
      </c>
      <c r="F1080" t="s">
        <v>459</v>
      </c>
    </row>
    <row r="1081" spans="1:7" x14ac:dyDescent="0.25">
      <c r="A1081" s="4" t="s">
        <v>459</v>
      </c>
      <c r="B1081" s="2">
        <f>VALUE("8167")</f>
        <v>8167</v>
      </c>
      <c r="C1081" s="4" t="s">
        <v>3401</v>
      </c>
      <c r="D1081" s="4" t="s">
        <v>3402</v>
      </c>
      <c r="E1081" s="2">
        <f>VALUE("2019")</f>
        <v>2019</v>
      </c>
      <c r="F1081" t="s">
        <v>459</v>
      </c>
      <c r="G1081" s="8" t="s">
        <v>3403</v>
      </c>
    </row>
    <row r="1082" spans="1:7" x14ac:dyDescent="0.25">
      <c r="A1082" s="4" t="s">
        <v>459</v>
      </c>
      <c r="B1082" s="2">
        <f>VALUE("8203")</f>
        <v>8203</v>
      </c>
      <c r="C1082" s="4" t="s">
        <v>3475</v>
      </c>
      <c r="D1082" s="4" t="s">
        <v>3476</v>
      </c>
      <c r="E1082" s="2">
        <f>VALUE("2018")</f>
        <v>2018</v>
      </c>
      <c r="F1082" t="s">
        <v>459</v>
      </c>
    </row>
    <row r="1083" spans="1:7" x14ac:dyDescent="0.25">
      <c r="A1083" s="4" t="s">
        <v>459</v>
      </c>
      <c r="B1083" s="2">
        <f>VALUE("8237")</f>
        <v>8237</v>
      </c>
      <c r="C1083" s="4" t="s">
        <v>3541</v>
      </c>
      <c r="D1083" s="4" t="s">
        <v>3540</v>
      </c>
      <c r="E1083" s="2">
        <f>VALUE("2018")</f>
        <v>2018</v>
      </c>
      <c r="F1083" t="s">
        <v>459</v>
      </c>
    </row>
    <row r="1084" spans="1:7" x14ac:dyDescent="0.25">
      <c r="A1084" s="4" t="s">
        <v>459</v>
      </c>
      <c r="B1084" s="2">
        <f>VALUE("8237")</f>
        <v>8237</v>
      </c>
      <c r="C1084" s="4" t="s">
        <v>3539</v>
      </c>
      <c r="D1084" s="4" t="s">
        <v>3540</v>
      </c>
      <c r="E1084" s="2">
        <f>VALUE("2018")</f>
        <v>2018</v>
      </c>
      <c r="F1084" t="s">
        <v>459</v>
      </c>
    </row>
    <row r="1085" spans="1:7" x14ac:dyDescent="0.25">
      <c r="A1085" s="4" t="s">
        <v>459</v>
      </c>
      <c r="B1085" s="2">
        <f>VALUE("8283")</f>
        <v>8283</v>
      </c>
      <c r="C1085" s="4" t="s">
        <v>3666</v>
      </c>
      <c r="D1085" s="4" t="s">
        <v>3667</v>
      </c>
      <c r="E1085" s="2">
        <f>VALUE("2018")</f>
        <v>2018</v>
      </c>
      <c r="F1085" s="4" t="s">
        <v>459</v>
      </c>
      <c r="G1085" s="8" t="s">
        <v>5245</v>
      </c>
    </row>
    <row r="1086" spans="1:7" x14ac:dyDescent="0.25">
      <c r="A1086" s="4" t="s">
        <v>459</v>
      </c>
      <c r="B1086" s="2">
        <f>VALUE("8283")</f>
        <v>8283</v>
      </c>
      <c r="C1086" s="4" t="s">
        <v>3668</v>
      </c>
      <c r="D1086" s="4" t="s">
        <v>3669</v>
      </c>
      <c r="E1086" s="2">
        <f>VALUE("2019")</f>
        <v>2019</v>
      </c>
      <c r="F1086" t="s">
        <v>459</v>
      </c>
      <c r="G1086" s="11" t="s">
        <v>5246</v>
      </c>
    </row>
    <row r="1087" spans="1:7" x14ac:dyDescent="0.25">
      <c r="A1087" s="4" t="s">
        <v>459</v>
      </c>
      <c r="B1087" s="2">
        <f>VALUE("8334")</f>
        <v>8334</v>
      </c>
      <c r="C1087" s="4" t="s">
        <v>3775</v>
      </c>
      <c r="D1087" s="4" t="s">
        <v>3776</v>
      </c>
      <c r="E1087" s="2">
        <f>VALUE("2019")</f>
        <v>2019</v>
      </c>
      <c r="F1087" t="s">
        <v>459</v>
      </c>
      <c r="G1087" s="8" t="s">
        <v>3777</v>
      </c>
    </row>
    <row r="1088" spans="1:7" x14ac:dyDescent="0.25">
      <c r="A1088" s="4" t="s">
        <v>459</v>
      </c>
      <c r="B1088" s="2">
        <f>VALUE("8334")</f>
        <v>8334</v>
      </c>
      <c r="C1088" s="4" t="s">
        <v>3778</v>
      </c>
      <c r="D1088" s="4" t="s">
        <v>3779</v>
      </c>
      <c r="E1088" s="2">
        <f>VALUE("2019")</f>
        <v>2019</v>
      </c>
      <c r="F1088" t="s">
        <v>459</v>
      </c>
      <c r="G1088" s="8" t="s">
        <v>3777</v>
      </c>
    </row>
    <row r="1089" spans="1:7" x14ac:dyDescent="0.25">
      <c r="A1089" s="4" t="s">
        <v>459</v>
      </c>
      <c r="B1089" s="2">
        <f>VALUE("8435")</f>
        <v>8435</v>
      </c>
      <c r="C1089" s="4" t="s">
        <v>3928</v>
      </c>
      <c r="D1089" s="4" t="s">
        <v>3929</v>
      </c>
      <c r="E1089" s="2">
        <f>VALUE("2021")</f>
        <v>2021</v>
      </c>
      <c r="F1089" t="s">
        <v>459</v>
      </c>
      <c r="G1089" s="8" t="s">
        <v>3930</v>
      </c>
    </row>
    <row r="1090" spans="1:7" x14ac:dyDescent="0.25">
      <c r="A1090" s="4" t="s">
        <v>459</v>
      </c>
      <c r="B1090" s="2">
        <f>VALUE("8531")</f>
        <v>8531</v>
      </c>
      <c r="C1090" s="4" t="s">
        <v>4195</v>
      </c>
      <c r="D1090" s="4" t="s">
        <v>4196</v>
      </c>
      <c r="E1090" s="2">
        <f>VALUE("2021")</f>
        <v>2021</v>
      </c>
      <c r="F1090" t="s">
        <v>459</v>
      </c>
      <c r="G1090" s="8" t="s">
        <v>4197</v>
      </c>
    </row>
    <row r="1091" spans="1:7" x14ac:dyDescent="0.25">
      <c r="A1091" s="4" t="s">
        <v>459</v>
      </c>
      <c r="B1091" s="2">
        <f>VALUE("8561")</f>
        <v>8561</v>
      </c>
      <c r="C1091" s="4" t="s">
        <v>4260</v>
      </c>
      <c r="D1091" s="4" t="s">
        <v>4261</v>
      </c>
      <c r="E1091" s="2">
        <f t="shared" ref="E1091:E1096" si="21">VALUE("2020")</f>
        <v>2020</v>
      </c>
      <c r="F1091" t="s">
        <v>459</v>
      </c>
      <c r="G1091" s="8" t="s">
        <v>4262</v>
      </c>
    </row>
    <row r="1092" spans="1:7" x14ac:dyDescent="0.25">
      <c r="A1092" s="4" t="s">
        <v>459</v>
      </c>
      <c r="B1092" s="2">
        <f>VALUE("8715")</f>
        <v>8715</v>
      </c>
      <c r="C1092" s="4" t="s">
        <v>4553</v>
      </c>
      <c r="D1092" s="4" t="s">
        <v>4554</v>
      </c>
      <c r="E1092" s="2">
        <f t="shared" si="21"/>
        <v>2020</v>
      </c>
      <c r="F1092" t="s">
        <v>459</v>
      </c>
      <c r="G1092" s="8" t="s">
        <v>4555</v>
      </c>
    </row>
    <row r="1093" spans="1:7" x14ac:dyDescent="0.25">
      <c r="A1093" s="4" t="s">
        <v>459</v>
      </c>
      <c r="B1093" s="2">
        <f>VALUE("8738")</f>
        <v>8738</v>
      </c>
      <c r="C1093" s="4" t="s">
        <v>3203</v>
      </c>
      <c r="D1093" s="4" t="s">
        <v>4629</v>
      </c>
      <c r="E1093" s="2">
        <f t="shared" si="21"/>
        <v>2020</v>
      </c>
      <c r="F1093" t="s">
        <v>459</v>
      </c>
      <c r="G1093" s="8" t="s">
        <v>4630</v>
      </c>
    </row>
    <row r="1094" spans="1:7" x14ac:dyDescent="0.25">
      <c r="A1094" s="4" t="s">
        <v>459</v>
      </c>
      <c r="B1094" s="2">
        <f>VALUE("8780")</f>
        <v>8780</v>
      </c>
      <c r="C1094" s="4" t="s">
        <v>4688</v>
      </c>
      <c r="D1094" s="4" t="s">
        <v>4689</v>
      </c>
      <c r="E1094" s="2">
        <f t="shared" si="21"/>
        <v>2020</v>
      </c>
      <c r="F1094" t="s">
        <v>459</v>
      </c>
    </row>
    <row r="1095" spans="1:7" x14ac:dyDescent="0.25">
      <c r="A1095" s="4" t="s">
        <v>459</v>
      </c>
      <c r="B1095" s="2">
        <f>VALUE("8780")</f>
        <v>8780</v>
      </c>
      <c r="C1095" s="4" t="s">
        <v>4692</v>
      </c>
      <c r="D1095" s="4" t="s">
        <v>4691</v>
      </c>
      <c r="E1095" s="2">
        <f t="shared" si="21"/>
        <v>2020</v>
      </c>
      <c r="F1095" t="s">
        <v>459</v>
      </c>
    </row>
    <row r="1096" spans="1:7" x14ac:dyDescent="0.25">
      <c r="A1096" s="4" t="s">
        <v>459</v>
      </c>
      <c r="B1096" s="2">
        <f>VALUE("8780")</f>
        <v>8780</v>
      </c>
      <c r="C1096" s="4" t="s">
        <v>4690</v>
      </c>
      <c r="D1096" s="4" t="s">
        <v>4691</v>
      </c>
      <c r="E1096" s="2">
        <f t="shared" si="21"/>
        <v>2020</v>
      </c>
      <c r="F1096" t="s">
        <v>459</v>
      </c>
    </row>
    <row r="1097" spans="1:7" x14ac:dyDescent="0.25">
      <c r="A1097" s="4" t="s">
        <v>459</v>
      </c>
      <c r="B1097" s="2">
        <f>VALUE("8994")</f>
        <v>8994</v>
      </c>
      <c r="C1097" s="4" t="s">
        <v>4946</v>
      </c>
      <c r="D1097" s="4" t="s">
        <v>4947</v>
      </c>
      <c r="E1097" s="2">
        <f>VALUE("2022")</f>
        <v>2022</v>
      </c>
      <c r="F1097" t="s">
        <v>459</v>
      </c>
      <c r="G1097" s="8" t="s">
        <v>4948</v>
      </c>
    </row>
    <row r="1098" spans="1:7" x14ac:dyDescent="0.25">
      <c r="A1098" s="4" t="s">
        <v>459</v>
      </c>
      <c r="B1098" s="2">
        <f>VALUE("9218")</f>
        <v>9218</v>
      </c>
      <c r="C1098" s="4" t="s">
        <v>5118</v>
      </c>
      <c r="D1098" s="4" t="s">
        <v>5119</v>
      </c>
      <c r="E1098" s="2">
        <f>VALUE("2023")</f>
        <v>2023</v>
      </c>
      <c r="F1098" t="s">
        <v>459</v>
      </c>
      <c r="G1098" s="8" t="s">
        <v>5120</v>
      </c>
    </row>
    <row r="1099" spans="1:7" x14ac:dyDescent="0.25">
      <c r="A1099" s="4" t="s">
        <v>459</v>
      </c>
      <c r="B1099" s="2">
        <f>VALUE("9228")</f>
        <v>9228</v>
      </c>
      <c r="C1099" s="4" t="s">
        <v>5124</v>
      </c>
      <c r="D1099" s="4" t="s">
        <v>5125</v>
      </c>
      <c r="E1099" s="2">
        <f>VALUE("2022")</f>
        <v>2022</v>
      </c>
      <c r="F1099" t="s">
        <v>4304</v>
      </c>
      <c r="G1099" s="8" t="s">
        <v>5126</v>
      </c>
    </row>
    <row r="1100" spans="1:7" x14ac:dyDescent="0.25">
      <c r="A1100" s="4" t="s">
        <v>459</v>
      </c>
      <c r="B1100" s="3" t="s">
        <v>5217</v>
      </c>
      <c r="C1100" s="4" t="s">
        <v>3203</v>
      </c>
      <c r="D1100" s="4" t="s">
        <v>3204</v>
      </c>
      <c r="E1100" s="2">
        <f>VALUE("2018")</f>
        <v>2018</v>
      </c>
      <c r="F1100" t="s">
        <v>459</v>
      </c>
      <c r="G1100" s="8" t="s">
        <v>3205</v>
      </c>
    </row>
    <row r="1101" spans="1:7" x14ac:dyDescent="0.25">
      <c r="A1101" s="4" t="s">
        <v>201</v>
      </c>
      <c r="B1101" s="2">
        <f>VALUE("6048")</f>
        <v>6048</v>
      </c>
      <c r="C1101" s="4" t="s">
        <v>202</v>
      </c>
      <c r="D1101" s="4" t="s">
        <v>203</v>
      </c>
      <c r="E1101" s="2">
        <f>VALUE("2017")</f>
        <v>2017</v>
      </c>
      <c r="F1101" t="s">
        <v>204</v>
      </c>
    </row>
    <row r="1102" spans="1:7" x14ac:dyDescent="0.25">
      <c r="A1102" s="4" t="s">
        <v>201</v>
      </c>
      <c r="B1102" s="2">
        <f>VALUE("6048")</f>
        <v>6048</v>
      </c>
      <c r="C1102" s="4" t="s">
        <v>199</v>
      </c>
      <c r="D1102" s="4" t="s">
        <v>200</v>
      </c>
      <c r="E1102" s="2">
        <f>VALUE("2007")</f>
        <v>2007</v>
      </c>
    </row>
    <row r="1103" spans="1:7" x14ac:dyDescent="0.25">
      <c r="A1103" s="4" t="s">
        <v>201</v>
      </c>
      <c r="B1103" s="2">
        <f>VALUE("7066")</f>
        <v>7066</v>
      </c>
      <c r="C1103" s="4" t="s">
        <v>679</v>
      </c>
      <c r="D1103" s="4" t="s">
        <v>680</v>
      </c>
      <c r="E1103" s="2">
        <f>VALUE("2018")</f>
        <v>2018</v>
      </c>
      <c r="F1103" t="s">
        <v>678</v>
      </c>
      <c r="G1103" s="8" t="s">
        <v>681</v>
      </c>
    </row>
    <row r="1104" spans="1:7" x14ac:dyDescent="0.25">
      <c r="A1104" s="4" t="s">
        <v>201</v>
      </c>
      <c r="B1104" s="2">
        <f>VALUE("7066")</f>
        <v>7066</v>
      </c>
      <c r="C1104" s="4" t="s">
        <v>676</v>
      </c>
      <c r="D1104" s="4" t="s">
        <v>677</v>
      </c>
      <c r="E1104" s="2">
        <f>VALUE("2015")</f>
        <v>2015</v>
      </c>
      <c r="F1104" t="s">
        <v>678</v>
      </c>
    </row>
    <row r="1105" spans="1:7" x14ac:dyDescent="0.25">
      <c r="A1105" s="4" t="s">
        <v>201</v>
      </c>
      <c r="B1105" s="2">
        <f>VALUE("7095")</f>
        <v>7095</v>
      </c>
      <c r="C1105" s="4" t="s">
        <v>750</v>
      </c>
      <c r="D1105" s="4" t="s">
        <v>751</v>
      </c>
      <c r="E1105" s="2">
        <f>VALUE("2013")</f>
        <v>2013</v>
      </c>
      <c r="F1105" t="s">
        <v>678</v>
      </c>
    </row>
    <row r="1106" spans="1:7" x14ac:dyDescent="0.25">
      <c r="A1106" s="4" t="s">
        <v>201</v>
      </c>
      <c r="B1106" s="2">
        <f>VALUE("7097")</f>
        <v>7097</v>
      </c>
      <c r="C1106" s="4" t="s">
        <v>752</v>
      </c>
      <c r="D1106" s="4" t="s">
        <v>753</v>
      </c>
      <c r="E1106" s="2">
        <f>VALUE("2012")</f>
        <v>2012</v>
      </c>
      <c r="F1106" t="s">
        <v>678</v>
      </c>
    </row>
    <row r="1107" spans="1:7" x14ac:dyDescent="0.25">
      <c r="A1107" s="4" t="s">
        <v>201</v>
      </c>
      <c r="B1107" s="2">
        <f>VALUE("7225")</f>
        <v>7225</v>
      </c>
      <c r="C1107" s="4" t="s">
        <v>1105</v>
      </c>
      <c r="D1107" s="4" t="s">
        <v>1106</v>
      </c>
      <c r="E1107" s="2">
        <f>VALUE("2011")</f>
        <v>2011</v>
      </c>
      <c r="F1107" t="s">
        <v>678</v>
      </c>
    </row>
    <row r="1108" spans="1:7" x14ac:dyDescent="0.25">
      <c r="A1108" s="4" t="s">
        <v>201</v>
      </c>
      <c r="B1108" s="2">
        <f>VALUE("7241")</f>
        <v>7241</v>
      </c>
      <c r="C1108" s="4" t="s">
        <v>1136</v>
      </c>
      <c r="D1108" s="4" t="s">
        <v>1137</v>
      </c>
      <c r="E1108" s="2">
        <f>VALUE("2012")</f>
        <v>2012</v>
      </c>
      <c r="F1108" t="s">
        <v>678</v>
      </c>
      <c r="G1108" s="8" t="s">
        <v>1138</v>
      </c>
    </row>
    <row r="1109" spans="1:7" x14ac:dyDescent="0.25">
      <c r="A1109" s="4" t="s">
        <v>201</v>
      </c>
      <c r="B1109" s="2">
        <f>VALUE("7246")</f>
        <v>7246</v>
      </c>
      <c r="C1109" s="4" t="s">
        <v>1145</v>
      </c>
      <c r="D1109" s="4" t="s">
        <v>1146</v>
      </c>
      <c r="E1109" s="2">
        <f>VALUE("2012")</f>
        <v>2012</v>
      </c>
      <c r="F1109" t="s">
        <v>678</v>
      </c>
    </row>
    <row r="1110" spans="1:7" x14ac:dyDescent="0.25">
      <c r="A1110" s="4" t="s">
        <v>201</v>
      </c>
      <c r="B1110" s="2">
        <f>VALUE("7246")</f>
        <v>7246</v>
      </c>
      <c r="C1110" s="4" t="s">
        <v>1147</v>
      </c>
      <c r="D1110" s="4" t="s">
        <v>1148</v>
      </c>
      <c r="E1110" s="2">
        <f>VALUE("2012")</f>
        <v>2012</v>
      </c>
      <c r="F1110" t="s">
        <v>678</v>
      </c>
    </row>
    <row r="1111" spans="1:7" x14ac:dyDescent="0.25">
      <c r="A1111" s="4" t="s">
        <v>201</v>
      </c>
      <c r="B1111" s="2">
        <f>VALUE("7246")</f>
        <v>7246</v>
      </c>
      <c r="C1111" s="4" t="s">
        <v>1149</v>
      </c>
      <c r="D1111" s="4" t="s">
        <v>1148</v>
      </c>
      <c r="E1111" s="2">
        <f>VALUE("2012")</f>
        <v>2012</v>
      </c>
      <c r="F1111" t="s">
        <v>678</v>
      </c>
    </row>
    <row r="1112" spans="1:7" x14ac:dyDescent="0.25">
      <c r="A1112" s="4" t="s">
        <v>201</v>
      </c>
      <c r="B1112" s="2">
        <f>VALUE("7293")</f>
        <v>7293</v>
      </c>
      <c r="C1112" s="4" t="s">
        <v>1371</v>
      </c>
      <c r="D1112" s="4" t="s">
        <v>1372</v>
      </c>
      <c r="E1112" s="2">
        <f>VALUE("2013")</f>
        <v>2013</v>
      </c>
      <c r="F1112" t="s">
        <v>678</v>
      </c>
      <c r="G1112" s="8" t="s">
        <v>1373</v>
      </c>
    </row>
    <row r="1113" spans="1:7" x14ac:dyDescent="0.25">
      <c r="A1113" s="4" t="s">
        <v>201</v>
      </c>
      <c r="B1113" s="2">
        <f>VALUE("7293")</f>
        <v>7293</v>
      </c>
      <c r="C1113" s="4" t="s">
        <v>1374</v>
      </c>
      <c r="D1113" s="4" t="s">
        <v>1372</v>
      </c>
      <c r="E1113" s="2">
        <f>VALUE("2013")</f>
        <v>2013</v>
      </c>
      <c r="F1113" t="s">
        <v>678</v>
      </c>
      <c r="G1113" s="8" t="s">
        <v>1375</v>
      </c>
    </row>
    <row r="1114" spans="1:7" x14ac:dyDescent="0.25">
      <c r="A1114" s="4" t="s">
        <v>201</v>
      </c>
      <c r="B1114" s="2">
        <f>VALUE("7331")</f>
        <v>7331</v>
      </c>
      <c r="C1114" s="4" t="s">
        <v>1505</v>
      </c>
      <c r="D1114" s="4" t="s">
        <v>200</v>
      </c>
      <c r="E1114" s="2">
        <f>VALUE("2012")</f>
        <v>2012</v>
      </c>
      <c r="F1114" t="s">
        <v>678</v>
      </c>
    </row>
    <row r="1115" spans="1:7" x14ac:dyDescent="0.25">
      <c r="A1115" s="4" t="s">
        <v>201</v>
      </c>
      <c r="B1115" s="2">
        <f>VALUE("7336")</f>
        <v>7336</v>
      </c>
      <c r="C1115" s="4" t="s">
        <v>1509</v>
      </c>
      <c r="D1115" s="4" t="s">
        <v>1510</v>
      </c>
      <c r="E1115" s="2">
        <f>VALUE("2019")</f>
        <v>2019</v>
      </c>
      <c r="F1115" t="s">
        <v>678</v>
      </c>
    </row>
    <row r="1116" spans="1:7" x14ac:dyDescent="0.25">
      <c r="A1116" s="4" t="s">
        <v>201</v>
      </c>
      <c r="B1116" s="2">
        <f>VALUE("7336")</f>
        <v>7336</v>
      </c>
      <c r="C1116" s="4" t="s">
        <v>1507</v>
      </c>
      <c r="D1116" s="4" t="s">
        <v>1508</v>
      </c>
      <c r="E1116" s="2">
        <f>VALUE("2013")</f>
        <v>2013</v>
      </c>
      <c r="F1116" t="s">
        <v>678</v>
      </c>
    </row>
    <row r="1117" spans="1:7" x14ac:dyDescent="0.25">
      <c r="A1117" s="4" t="s">
        <v>201</v>
      </c>
      <c r="B1117" s="2">
        <f>VALUE("7411")</f>
        <v>7411</v>
      </c>
      <c r="C1117" s="4" t="s">
        <v>1642</v>
      </c>
      <c r="D1117" s="4" t="s">
        <v>1643</v>
      </c>
      <c r="E1117" s="2">
        <f>VALUE("2013")</f>
        <v>2013</v>
      </c>
      <c r="F1117" t="s">
        <v>678</v>
      </c>
    </row>
    <row r="1118" spans="1:7" x14ac:dyDescent="0.25">
      <c r="A1118" s="4" t="s">
        <v>201</v>
      </c>
      <c r="B1118" s="2">
        <f>VALUE("7417")</f>
        <v>7417</v>
      </c>
      <c r="C1118" s="4" t="s">
        <v>1662</v>
      </c>
      <c r="D1118" s="4" t="s">
        <v>1663</v>
      </c>
      <c r="E1118" s="2">
        <f>VALUE("2012")</f>
        <v>2012</v>
      </c>
      <c r="F1118" t="s">
        <v>678</v>
      </c>
    </row>
    <row r="1119" spans="1:7" x14ac:dyDescent="0.25">
      <c r="A1119" s="4" t="s">
        <v>201</v>
      </c>
      <c r="B1119" s="2">
        <f>VALUE("7441")</f>
        <v>7441</v>
      </c>
      <c r="C1119" s="4" t="s">
        <v>1714</v>
      </c>
      <c r="D1119" s="4" t="s">
        <v>1715</v>
      </c>
      <c r="E1119" s="2">
        <f>VALUE("2013")</f>
        <v>2013</v>
      </c>
      <c r="F1119" t="s">
        <v>678</v>
      </c>
    </row>
    <row r="1120" spans="1:7" x14ac:dyDescent="0.25">
      <c r="A1120" s="4" t="s">
        <v>201</v>
      </c>
      <c r="B1120" s="2">
        <f>VALUE("7449")</f>
        <v>7449</v>
      </c>
      <c r="C1120" s="4" t="s">
        <v>1734</v>
      </c>
      <c r="D1120" s="4" t="s">
        <v>1735</v>
      </c>
      <c r="E1120" s="2">
        <f>VALUE("2014")</f>
        <v>2014</v>
      </c>
      <c r="F1120" t="s">
        <v>678</v>
      </c>
    </row>
    <row r="1121" spans="1:7" x14ac:dyDescent="0.25">
      <c r="A1121" s="4" t="s">
        <v>201</v>
      </c>
      <c r="B1121" s="2">
        <f>VALUE("7449")</f>
        <v>7449</v>
      </c>
      <c r="C1121" s="4" t="s">
        <v>1736</v>
      </c>
      <c r="D1121" s="4" t="s">
        <v>1737</v>
      </c>
      <c r="E1121" s="2">
        <f>VALUE("2013")</f>
        <v>2013</v>
      </c>
      <c r="F1121" t="s">
        <v>678</v>
      </c>
    </row>
    <row r="1122" spans="1:7" x14ac:dyDescent="0.25">
      <c r="A1122" s="4" t="s">
        <v>201</v>
      </c>
      <c r="B1122" s="2">
        <f>VALUE("7551")</f>
        <v>7551</v>
      </c>
      <c r="C1122" s="4" t="s">
        <v>1947</v>
      </c>
      <c r="D1122" s="4" t="s">
        <v>1948</v>
      </c>
      <c r="E1122" s="2">
        <f>VALUE("2014")</f>
        <v>2014</v>
      </c>
      <c r="F1122" t="s">
        <v>678</v>
      </c>
    </row>
    <row r="1123" spans="1:7" x14ac:dyDescent="0.25">
      <c r="A1123" s="4" t="s">
        <v>201</v>
      </c>
      <c r="B1123" s="2">
        <f>VALUE("7576")</f>
        <v>7576</v>
      </c>
      <c r="C1123" s="4" t="s">
        <v>1973</v>
      </c>
      <c r="D1123" s="4" t="s">
        <v>1974</v>
      </c>
      <c r="E1123" s="2">
        <f>VALUE("2014")</f>
        <v>2014</v>
      </c>
      <c r="F1123" t="s">
        <v>201</v>
      </c>
      <c r="G1123" s="8" t="s">
        <v>1975</v>
      </c>
    </row>
    <row r="1124" spans="1:7" x14ac:dyDescent="0.25">
      <c r="A1124" s="4" t="s">
        <v>201</v>
      </c>
      <c r="B1124" s="2">
        <f>VALUE("7578")</f>
        <v>7578</v>
      </c>
      <c r="C1124" s="4" t="s">
        <v>1979</v>
      </c>
      <c r="D1124" s="4" t="s">
        <v>1980</v>
      </c>
      <c r="E1124" s="2">
        <f>VALUE("2014")</f>
        <v>2014</v>
      </c>
      <c r="F1124" t="s">
        <v>201</v>
      </c>
    </row>
    <row r="1125" spans="1:7" x14ac:dyDescent="0.25">
      <c r="A1125" s="4" t="s">
        <v>201</v>
      </c>
      <c r="B1125" s="2">
        <f>VALUE("7643")</f>
        <v>7643</v>
      </c>
      <c r="C1125" s="4" t="s">
        <v>2168</v>
      </c>
      <c r="D1125" s="4" t="s">
        <v>2169</v>
      </c>
      <c r="E1125" s="2">
        <f>VALUE("2015")</f>
        <v>2015</v>
      </c>
      <c r="F1125" t="s">
        <v>2170</v>
      </c>
    </row>
    <row r="1126" spans="1:7" x14ac:dyDescent="0.25">
      <c r="A1126" s="4" t="s">
        <v>201</v>
      </c>
      <c r="B1126" s="2">
        <f>VALUE("7645")</f>
        <v>7645</v>
      </c>
      <c r="C1126" s="4" t="s">
        <v>2171</v>
      </c>
      <c r="D1126" s="4" t="s">
        <v>2172</v>
      </c>
      <c r="E1126" s="2">
        <f>VALUE("2014")</f>
        <v>2014</v>
      </c>
      <c r="F1126" t="s">
        <v>201</v>
      </c>
    </row>
    <row r="1127" spans="1:7" x14ac:dyDescent="0.25">
      <c r="A1127" s="4" t="s">
        <v>201</v>
      </c>
      <c r="B1127" s="2">
        <f>VALUE("7671")</f>
        <v>7671</v>
      </c>
      <c r="C1127" s="4" t="s">
        <v>2284</v>
      </c>
      <c r="D1127" s="4" t="s">
        <v>2285</v>
      </c>
      <c r="E1127" s="2">
        <f>VALUE("2020")</f>
        <v>2020</v>
      </c>
      <c r="F1127" t="s">
        <v>201</v>
      </c>
    </row>
    <row r="1128" spans="1:7" x14ac:dyDescent="0.25">
      <c r="A1128" s="4" t="s">
        <v>201</v>
      </c>
      <c r="B1128" s="2">
        <f>VALUE("7671")</f>
        <v>7671</v>
      </c>
      <c r="C1128" s="4" t="s">
        <v>2279</v>
      </c>
      <c r="D1128" s="4" t="s">
        <v>2280</v>
      </c>
      <c r="E1128" s="2">
        <f>VALUE("2017")</f>
        <v>2017</v>
      </c>
      <c r="F1128" t="s">
        <v>201</v>
      </c>
      <c r="G1128" s="8" t="s">
        <v>2281</v>
      </c>
    </row>
    <row r="1129" spans="1:7" x14ac:dyDescent="0.25">
      <c r="A1129" s="4" t="s">
        <v>201</v>
      </c>
      <c r="B1129" s="2">
        <f>VALUE("7671")</f>
        <v>7671</v>
      </c>
      <c r="C1129" s="4" t="s">
        <v>2276</v>
      </c>
      <c r="D1129" s="4" t="s">
        <v>2277</v>
      </c>
      <c r="E1129" s="2">
        <f>VALUE("2014")</f>
        <v>2014</v>
      </c>
      <c r="F1129" t="s">
        <v>201</v>
      </c>
      <c r="G1129" s="8" t="s">
        <v>2278</v>
      </c>
    </row>
    <row r="1130" spans="1:7" x14ac:dyDescent="0.25">
      <c r="A1130" s="4" t="s">
        <v>201</v>
      </c>
      <c r="B1130" s="2">
        <f>VALUE("7671")</f>
        <v>7671</v>
      </c>
      <c r="C1130" s="4" t="s">
        <v>2286</v>
      </c>
      <c r="D1130" s="4" t="s">
        <v>2285</v>
      </c>
      <c r="E1130" s="2">
        <f>VALUE("2021")</f>
        <v>2021</v>
      </c>
      <c r="F1130" t="s">
        <v>201</v>
      </c>
    </row>
    <row r="1131" spans="1:7" x14ac:dyDescent="0.25">
      <c r="A1131" s="4" t="s">
        <v>201</v>
      </c>
      <c r="B1131" s="2">
        <f>VALUE("7671")</f>
        <v>7671</v>
      </c>
      <c r="C1131" s="4" t="s">
        <v>2282</v>
      </c>
      <c r="D1131" s="4" t="s">
        <v>2283</v>
      </c>
      <c r="E1131" s="2">
        <f>VALUE("2019")</f>
        <v>2019</v>
      </c>
      <c r="F1131" t="s">
        <v>201</v>
      </c>
    </row>
    <row r="1132" spans="1:7" x14ac:dyDescent="0.25">
      <c r="A1132" s="4" t="s">
        <v>201</v>
      </c>
      <c r="B1132" s="2">
        <f>VALUE("7709")</f>
        <v>7709</v>
      </c>
      <c r="C1132" s="4" t="s">
        <v>2403</v>
      </c>
      <c r="D1132" s="4" t="s">
        <v>2404</v>
      </c>
      <c r="E1132" s="2">
        <f>VALUE("2015")</f>
        <v>2015</v>
      </c>
      <c r="F1132" t="s">
        <v>201</v>
      </c>
    </row>
    <row r="1133" spans="1:7" x14ac:dyDescent="0.25">
      <c r="A1133" s="4" t="s">
        <v>201</v>
      </c>
      <c r="B1133" s="2">
        <f>VALUE("7727")</f>
        <v>7727</v>
      </c>
      <c r="C1133" s="4" t="s">
        <v>2450</v>
      </c>
      <c r="D1133" s="4" t="s">
        <v>2451</v>
      </c>
      <c r="E1133" s="2">
        <f>VALUE("2015")</f>
        <v>2015</v>
      </c>
      <c r="F1133" t="s">
        <v>2452</v>
      </c>
    </row>
    <row r="1134" spans="1:7" x14ac:dyDescent="0.25">
      <c r="A1134" s="4" t="s">
        <v>201</v>
      </c>
      <c r="B1134" s="2">
        <f>VALUE("7728")</f>
        <v>7728</v>
      </c>
      <c r="C1134" s="4" t="s">
        <v>2453</v>
      </c>
      <c r="D1134" s="4" t="s">
        <v>2454</v>
      </c>
      <c r="E1134" s="2">
        <f>VALUE("2016")</f>
        <v>2016</v>
      </c>
      <c r="F1134" t="s">
        <v>201</v>
      </c>
    </row>
    <row r="1135" spans="1:7" x14ac:dyDescent="0.25">
      <c r="A1135" s="4" t="s">
        <v>201</v>
      </c>
      <c r="B1135" s="2">
        <f>VALUE("7804")</f>
        <v>7804</v>
      </c>
      <c r="C1135" s="4" t="s">
        <v>2591</v>
      </c>
      <c r="D1135" s="4" t="s">
        <v>2592</v>
      </c>
      <c r="E1135" s="2">
        <f>VALUE("2016")</f>
        <v>2016</v>
      </c>
      <c r="F1135" t="s">
        <v>2593</v>
      </c>
    </row>
    <row r="1136" spans="1:7" x14ac:dyDescent="0.25">
      <c r="A1136" s="4" t="s">
        <v>201</v>
      </c>
      <c r="B1136" s="2">
        <f>VALUE("7814")</f>
        <v>7814</v>
      </c>
      <c r="C1136" s="4" t="s">
        <v>2621</v>
      </c>
      <c r="D1136" s="4" t="s">
        <v>2622</v>
      </c>
      <c r="E1136" s="2">
        <f>VALUE("2015")</f>
        <v>2015</v>
      </c>
      <c r="F1136" t="s">
        <v>201</v>
      </c>
    </row>
    <row r="1137" spans="1:7" x14ac:dyDescent="0.25">
      <c r="A1137" s="4" t="s">
        <v>201</v>
      </c>
      <c r="B1137" s="2">
        <f>VALUE("7832")</f>
        <v>7832</v>
      </c>
      <c r="C1137" s="4" t="s">
        <v>2657</v>
      </c>
      <c r="D1137" s="4" t="s">
        <v>2658</v>
      </c>
      <c r="E1137" s="2">
        <f>VALUE("2016")</f>
        <v>2016</v>
      </c>
      <c r="F1137" t="s">
        <v>2659</v>
      </c>
      <c r="G1137" s="8" t="s">
        <v>2660</v>
      </c>
    </row>
    <row r="1138" spans="1:7" x14ac:dyDescent="0.25">
      <c r="A1138" s="4" t="s">
        <v>201</v>
      </c>
      <c r="B1138" s="2">
        <f>VALUE("7848")</f>
        <v>7848</v>
      </c>
      <c r="C1138" s="4" t="s">
        <v>2708</v>
      </c>
      <c r="D1138" s="4" t="s">
        <v>2709</v>
      </c>
      <c r="E1138" s="2">
        <f>VALUE("2019")</f>
        <v>2019</v>
      </c>
      <c r="F1138" t="s">
        <v>201</v>
      </c>
      <c r="G1138" s="8" t="s">
        <v>2710</v>
      </c>
    </row>
    <row r="1139" spans="1:7" x14ac:dyDescent="0.25">
      <c r="A1139" s="4" t="s">
        <v>201</v>
      </c>
      <c r="B1139" s="2">
        <f>VALUE("7928")</f>
        <v>7928</v>
      </c>
      <c r="C1139" s="4" t="s">
        <v>2901</v>
      </c>
      <c r="D1139" s="4" t="s">
        <v>2902</v>
      </c>
      <c r="E1139" s="2">
        <f>VALUE("2017")</f>
        <v>2017</v>
      </c>
      <c r="F1139" t="s">
        <v>2903</v>
      </c>
    </row>
    <row r="1140" spans="1:7" x14ac:dyDescent="0.25">
      <c r="A1140" s="4" t="s">
        <v>201</v>
      </c>
      <c r="B1140" s="2">
        <f>VALUE("7943")</f>
        <v>7943</v>
      </c>
      <c r="C1140" s="4" t="s">
        <v>2914</v>
      </c>
      <c r="D1140" s="4" t="s">
        <v>2915</v>
      </c>
      <c r="E1140" s="2">
        <f>VALUE("2019")</f>
        <v>2019</v>
      </c>
      <c r="F1140" t="s">
        <v>201</v>
      </c>
    </row>
    <row r="1141" spans="1:7" x14ac:dyDescent="0.25">
      <c r="A1141" s="4" t="s">
        <v>201</v>
      </c>
      <c r="B1141" s="2">
        <f>VALUE("7943")</f>
        <v>7943</v>
      </c>
      <c r="C1141" s="4" t="s">
        <v>2911</v>
      </c>
      <c r="D1141" s="4" t="s">
        <v>2913</v>
      </c>
      <c r="E1141" s="2">
        <f>VALUE("2018")</f>
        <v>2018</v>
      </c>
      <c r="F1141" t="s">
        <v>201</v>
      </c>
    </row>
    <row r="1142" spans="1:7" x14ac:dyDescent="0.25">
      <c r="A1142" s="4" t="s">
        <v>201</v>
      </c>
      <c r="B1142" s="2">
        <f>VALUE("7943")</f>
        <v>7943</v>
      </c>
      <c r="C1142" s="4" t="s">
        <v>2909</v>
      </c>
      <c r="D1142" s="4" t="s">
        <v>2910</v>
      </c>
      <c r="E1142" s="2">
        <f>VALUE("2019")</f>
        <v>2019</v>
      </c>
      <c r="F1142" t="s">
        <v>201</v>
      </c>
    </row>
    <row r="1143" spans="1:7" x14ac:dyDescent="0.25">
      <c r="A1143" s="4" t="s">
        <v>201</v>
      </c>
      <c r="B1143" s="2">
        <f>VALUE("7943")</f>
        <v>7943</v>
      </c>
      <c r="C1143" s="4" t="s">
        <v>2917</v>
      </c>
      <c r="D1143" s="4" t="s">
        <v>2918</v>
      </c>
      <c r="E1143" s="2">
        <f>VALUE("2019")</f>
        <v>2019</v>
      </c>
      <c r="F1143" t="s">
        <v>201</v>
      </c>
    </row>
    <row r="1144" spans="1:7" x14ac:dyDescent="0.25">
      <c r="A1144" s="4" t="s">
        <v>201</v>
      </c>
      <c r="B1144" s="2">
        <f>VALUE("7943")</f>
        <v>7943</v>
      </c>
      <c r="C1144" s="4" t="s">
        <v>2916</v>
      </c>
      <c r="D1144" s="4" t="s">
        <v>2910</v>
      </c>
      <c r="E1144" s="2">
        <f>VALUE("2019")</f>
        <v>2019</v>
      </c>
      <c r="F1144" t="s">
        <v>201</v>
      </c>
    </row>
    <row r="1145" spans="1:7" x14ac:dyDescent="0.25">
      <c r="A1145" s="4" t="s">
        <v>201</v>
      </c>
      <c r="B1145" s="2">
        <f>VALUE("7972")</f>
        <v>7972</v>
      </c>
      <c r="C1145" s="4" t="s">
        <v>2966</v>
      </c>
      <c r="D1145" s="4" t="s">
        <v>2967</v>
      </c>
      <c r="E1145" s="2">
        <f>VALUE("2018")</f>
        <v>2018</v>
      </c>
      <c r="F1145" t="s">
        <v>201</v>
      </c>
    </row>
    <row r="1146" spans="1:7" x14ac:dyDescent="0.25">
      <c r="A1146" s="4" t="s">
        <v>201</v>
      </c>
      <c r="B1146" s="2">
        <f>VALUE("8002")</f>
        <v>8002</v>
      </c>
      <c r="C1146" s="4" t="s">
        <v>3011</v>
      </c>
      <c r="D1146" s="4" t="s">
        <v>3012</v>
      </c>
      <c r="E1146" s="2">
        <f t="shared" ref="E1146:E1152" si="22">VALUE("2017")</f>
        <v>2017</v>
      </c>
      <c r="F1146" t="s">
        <v>2593</v>
      </c>
    </row>
    <row r="1147" spans="1:7" x14ac:dyDescent="0.25">
      <c r="A1147" s="4" t="s">
        <v>201</v>
      </c>
      <c r="B1147" s="2">
        <f>VALUE("8022")</f>
        <v>8022</v>
      </c>
      <c r="C1147" s="4" t="s">
        <v>3037</v>
      </c>
      <c r="D1147" s="4" t="s">
        <v>3038</v>
      </c>
      <c r="E1147" s="2">
        <f t="shared" si="22"/>
        <v>2017</v>
      </c>
      <c r="F1147" t="s">
        <v>201</v>
      </c>
      <c r="G1147" s="8" t="s">
        <v>3039</v>
      </c>
    </row>
    <row r="1148" spans="1:7" x14ac:dyDescent="0.25">
      <c r="A1148" s="4" t="s">
        <v>201</v>
      </c>
      <c r="B1148" s="2">
        <f>VALUE("8022")</f>
        <v>8022</v>
      </c>
      <c r="C1148" s="4" t="s">
        <v>3040</v>
      </c>
      <c r="D1148" s="4" t="s">
        <v>3041</v>
      </c>
      <c r="E1148" s="2">
        <f t="shared" si="22"/>
        <v>2017</v>
      </c>
      <c r="F1148" t="s">
        <v>201</v>
      </c>
      <c r="G1148" s="8" t="s">
        <v>3042</v>
      </c>
    </row>
    <row r="1149" spans="1:7" x14ac:dyDescent="0.25">
      <c r="A1149" s="4" t="s">
        <v>201</v>
      </c>
      <c r="B1149" s="2">
        <f>VALUE("8022")</f>
        <v>8022</v>
      </c>
      <c r="C1149" s="4" t="s">
        <v>3034</v>
      </c>
      <c r="D1149" s="4" t="s">
        <v>3035</v>
      </c>
      <c r="E1149" s="2">
        <f t="shared" si="22"/>
        <v>2017</v>
      </c>
      <c r="F1149" t="s">
        <v>201</v>
      </c>
      <c r="G1149" s="8" t="s">
        <v>3036</v>
      </c>
    </row>
    <row r="1150" spans="1:7" x14ac:dyDescent="0.25">
      <c r="A1150" s="4" t="s">
        <v>201</v>
      </c>
      <c r="B1150" s="2">
        <f>VALUE("8028")</f>
        <v>8028</v>
      </c>
      <c r="C1150" s="4" t="s">
        <v>3054</v>
      </c>
      <c r="D1150" s="4" t="s">
        <v>3055</v>
      </c>
      <c r="E1150" s="2">
        <f t="shared" si="22"/>
        <v>2017</v>
      </c>
      <c r="F1150" t="s">
        <v>3056</v>
      </c>
    </row>
    <row r="1151" spans="1:7" x14ac:dyDescent="0.25">
      <c r="A1151" s="4" t="s">
        <v>201</v>
      </c>
      <c r="B1151" s="2">
        <f>VALUE("8040")</f>
        <v>8040</v>
      </c>
      <c r="C1151" s="4" t="s">
        <v>3077</v>
      </c>
      <c r="D1151" s="4" t="s">
        <v>3078</v>
      </c>
      <c r="E1151" s="2">
        <f t="shared" si="22"/>
        <v>2017</v>
      </c>
      <c r="F1151" t="s">
        <v>201</v>
      </c>
    </row>
    <row r="1152" spans="1:7" x14ac:dyDescent="0.25">
      <c r="A1152" s="4" t="s">
        <v>201</v>
      </c>
      <c r="B1152" s="2">
        <f>VALUE("8040")</f>
        <v>8040</v>
      </c>
      <c r="C1152" s="4" t="s">
        <v>3077</v>
      </c>
      <c r="D1152" s="4" t="s">
        <v>3079</v>
      </c>
      <c r="E1152" s="2">
        <f t="shared" si="22"/>
        <v>2017</v>
      </c>
      <c r="F1152" t="s">
        <v>2593</v>
      </c>
    </row>
    <row r="1153" spans="1:7" x14ac:dyDescent="0.25">
      <c r="A1153" s="4" t="s">
        <v>201</v>
      </c>
      <c r="B1153" s="2">
        <f>VALUE("8044")</f>
        <v>8044</v>
      </c>
      <c r="C1153" s="4" t="s">
        <v>3087</v>
      </c>
      <c r="D1153" s="4" t="s">
        <v>3088</v>
      </c>
      <c r="E1153" s="2">
        <f>VALUE("2018")</f>
        <v>2018</v>
      </c>
      <c r="F1153" t="s">
        <v>201</v>
      </c>
    </row>
    <row r="1154" spans="1:7" x14ac:dyDescent="0.25">
      <c r="A1154" s="4" t="s">
        <v>201</v>
      </c>
      <c r="B1154" s="2">
        <f>VALUE("8044")</f>
        <v>8044</v>
      </c>
      <c r="C1154" s="4" t="s">
        <v>3090</v>
      </c>
      <c r="D1154" s="4" t="s">
        <v>3088</v>
      </c>
      <c r="E1154" s="2">
        <f>VALUE("2018")</f>
        <v>2018</v>
      </c>
      <c r="F1154" t="s">
        <v>201</v>
      </c>
    </row>
    <row r="1155" spans="1:7" x14ac:dyDescent="0.25">
      <c r="A1155" s="4" t="s">
        <v>201</v>
      </c>
      <c r="B1155" s="2">
        <f>VALUE("8044")</f>
        <v>8044</v>
      </c>
      <c r="C1155" s="4" t="s">
        <v>3089</v>
      </c>
      <c r="D1155" s="4" t="s">
        <v>3088</v>
      </c>
      <c r="E1155" s="2">
        <f>VALUE("2018")</f>
        <v>2018</v>
      </c>
      <c r="F1155" t="s">
        <v>201</v>
      </c>
    </row>
    <row r="1156" spans="1:7" x14ac:dyDescent="0.25">
      <c r="A1156" s="4" t="s">
        <v>201</v>
      </c>
      <c r="B1156" s="2">
        <f>VALUE("8044")</f>
        <v>8044</v>
      </c>
      <c r="C1156" s="4" t="s">
        <v>3091</v>
      </c>
      <c r="D1156" s="4" t="s">
        <v>3092</v>
      </c>
      <c r="E1156" s="2">
        <f>VALUE("2019")</f>
        <v>2019</v>
      </c>
      <c r="F1156" t="s">
        <v>201</v>
      </c>
    </row>
    <row r="1157" spans="1:7" x14ac:dyDescent="0.25">
      <c r="A1157" s="4" t="s">
        <v>201</v>
      </c>
      <c r="B1157" s="2">
        <f>VALUE("8051")</f>
        <v>8051</v>
      </c>
      <c r="C1157" s="4" t="s">
        <v>3110</v>
      </c>
      <c r="D1157" s="4" t="s">
        <v>3111</v>
      </c>
      <c r="E1157" s="2">
        <f>VALUE("2017")</f>
        <v>2017</v>
      </c>
      <c r="F1157" t="s">
        <v>201</v>
      </c>
    </row>
    <row r="1158" spans="1:7" x14ac:dyDescent="0.25">
      <c r="A1158" s="4" t="s">
        <v>201</v>
      </c>
      <c r="B1158" s="2">
        <f>VALUE("8072")</f>
        <v>8072</v>
      </c>
      <c r="C1158" s="4" t="s">
        <v>3131</v>
      </c>
      <c r="D1158" s="4" t="s">
        <v>3132</v>
      </c>
      <c r="E1158" s="2">
        <f>VALUE("2017")</f>
        <v>2017</v>
      </c>
      <c r="F1158" t="s">
        <v>201</v>
      </c>
      <c r="G1158" s="8" t="s">
        <v>3133</v>
      </c>
    </row>
    <row r="1159" spans="1:7" x14ac:dyDescent="0.25">
      <c r="A1159" s="4" t="s">
        <v>201</v>
      </c>
      <c r="B1159" s="2">
        <f>VALUE("8080")</f>
        <v>8080</v>
      </c>
      <c r="C1159" s="4" t="s">
        <v>3157</v>
      </c>
      <c r="D1159" s="4" t="s">
        <v>3158</v>
      </c>
      <c r="E1159" s="2">
        <f>VALUE("2017")</f>
        <v>2017</v>
      </c>
      <c r="F1159" t="s">
        <v>201</v>
      </c>
      <c r="G1159" s="8" t="s">
        <v>3159</v>
      </c>
    </row>
    <row r="1160" spans="1:7" x14ac:dyDescent="0.25">
      <c r="A1160" s="4" t="s">
        <v>201</v>
      </c>
      <c r="B1160" s="2">
        <f>VALUE("8090")</f>
        <v>8090</v>
      </c>
      <c r="C1160" s="4" t="s">
        <v>3187</v>
      </c>
      <c r="D1160" s="4" t="s">
        <v>3188</v>
      </c>
      <c r="E1160" s="2">
        <f>VALUE("2019")</f>
        <v>2019</v>
      </c>
      <c r="F1160" t="s">
        <v>201</v>
      </c>
      <c r="G1160" s="8" t="s">
        <v>3189</v>
      </c>
    </row>
    <row r="1161" spans="1:7" x14ac:dyDescent="0.25">
      <c r="A1161" s="4" t="s">
        <v>201</v>
      </c>
      <c r="B1161" s="2">
        <f>VALUE("8090")</f>
        <v>8090</v>
      </c>
      <c r="C1161" s="4" t="s">
        <v>3190</v>
      </c>
      <c r="D1161" s="4" t="s">
        <v>3188</v>
      </c>
      <c r="E1161" s="2">
        <f>VALUE("2020")</f>
        <v>2020</v>
      </c>
      <c r="F1161" t="s">
        <v>201</v>
      </c>
      <c r="G1161" s="8" t="s">
        <v>3191</v>
      </c>
    </row>
    <row r="1162" spans="1:7" x14ac:dyDescent="0.25">
      <c r="A1162" s="4" t="s">
        <v>201</v>
      </c>
      <c r="B1162" s="2">
        <f>VALUE("8108")</f>
        <v>8108</v>
      </c>
      <c r="C1162" s="4" t="s">
        <v>3227</v>
      </c>
      <c r="D1162" s="4" t="s">
        <v>3228</v>
      </c>
      <c r="E1162" s="2">
        <f>VALUE("2017")</f>
        <v>2017</v>
      </c>
      <c r="F1162" t="s">
        <v>201</v>
      </c>
      <c r="G1162" s="8" t="s">
        <v>3229</v>
      </c>
    </row>
    <row r="1163" spans="1:7" x14ac:dyDescent="0.25">
      <c r="A1163" s="4" t="s">
        <v>201</v>
      </c>
      <c r="B1163" s="2">
        <f>VALUE("8117")</f>
        <v>8117</v>
      </c>
      <c r="C1163" s="4" t="s">
        <v>3240</v>
      </c>
      <c r="D1163" s="4" t="s">
        <v>3241</v>
      </c>
      <c r="E1163" s="2">
        <f>VALUE("2017")</f>
        <v>2017</v>
      </c>
      <c r="F1163" t="s">
        <v>201</v>
      </c>
    </row>
    <row r="1164" spans="1:7" x14ac:dyDescent="0.25">
      <c r="A1164" s="4" t="s">
        <v>201</v>
      </c>
      <c r="B1164" s="2">
        <f>VALUE("8119")</f>
        <v>8119</v>
      </c>
      <c r="C1164" s="4" t="s">
        <v>3242</v>
      </c>
      <c r="D1164" s="4" t="s">
        <v>3243</v>
      </c>
      <c r="E1164" s="2">
        <f>VALUE("2017")</f>
        <v>2017</v>
      </c>
      <c r="F1164" t="s">
        <v>201</v>
      </c>
    </row>
    <row r="1165" spans="1:7" x14ac:dyDescent="0.25">
      <c r="A1165" s="4" t="s">
        <v>201</v>
      </c>
      <c r="B1165" s="2">
        <f>VALUE("8186")</f>
        <v>8186</v>
      </c>
      <c r="C1165" s="4" t="s">
        <v>3448</v>
      </c>
      <c r="D1165" s="4" t="s">
        <v>3449</v>
      </c>
      <c r="E1165" s="2">
        <f>VALUE("2018")</f>
        <v>2018</v>
      </c>
      <c r="F1165" t="s">
        <v>201</v>
      </c>
      <c r="G1165" s="8" t="s">
        <v>3450</v>
      </c>
    </row>
    <row r="1166" spans="1:7" x14ac:dyDescent="0.25">
      <c r="A1166" s="4" t="s">
        <v>201</v>
      </c>
      <c r="B1166" s="2">
        <f>VALUE("8197")</f>
        <v>8197</v>
      </c>
      <c r="C1166" s="4" t="s">
        <v>3458</v>
      </c>
      <c r="D1166" s="4" t="s">
        <v>3459</v>
      </c>
      <c r="E1166" s="2">
        <f>VALUE("2019")</f>
        <v>2019</v>
      </c>
      <c r="F1166" t="s">
        <v>201</v>
      </c>
      <c r="G1166" s="8" t="s">
        <v>3460</v>
      </c>
    </row>
    <row r="1167" spans="1:7" x14ac:dyDescent="0.25">
      <c r="A1167" s="4" t="s">
        <v>201</v>
      </c>
      <c r="B1167" s="2">
        <f>VALUE("8202")</f>
        <v>8202</v>
      </c>
      <c r="C1167" s="4" t="s">
        <v>3469</v>
      </c>
      <c r="D1167" s="4" t="s">
        <v>3470</v>
      </c>
      <c r="E1167" s="2">
        <f>VALUE("2018")</f>
        <v>2018</v>
      </c>
      <c r="F1167" t="s">
        <v>201</v>
      </c>
      <c r="G1167" s="8" t="s">
        <v>3471</v>
      </c>
    </row>
    <row r="1168" spans="1:7" x14ac:dyDescent="0.25">
      <c r="A1168" s="4" t="s">
        <v>201</v>
      </c>
      <c r="B1168" s="2">
        <f>VALUE("8202")</f>
        <v>8202</v>
      </c>
      <c r="C1168" s="4" t="s">
        <v>3472</v>
      </c>
      <c r="D1168" s="4" t="s">
        <v>3473</v>
      </c>
      <c r="E1168" s="2">
        <f>VALUE("2018")</f>
        <v>2018</v>
      </c>
      <c r="F1168" t="s">
        <v>201</v>
      </c>
      <c r="G1168" s="8" t="s">
        <v>3474</v>
      </c>
    </row>
    <row r="1169" spans="1:7" x14ac:dyDescent="0.25">
      <c r="A1169" s="4" t="s">
        <v>201</v>
      </c>
      <c r="B1169" s="2">
        <f>VALUE("8209")</f>
        <v>8209</v>
      </c>
      <c r="C1169" s="4" t="s">
        <v>3479</v>
      </c>
      <c r="D1169" s="4" t="s">
        <v>3459</v>
      </c>
      <c r="E1169" s="2">
        <f>VALUE("2018")</f>
        <v>2018</v>
      </c>
      <c r="F1169" t="s">
        <v>201</v>
      </c>
      <c r="G1169" s="8" t="s">
        <v>3480</v>
      </c>
    </row>
    <row r="1170" spans="1:7" x14ac:dyDescent="0.25">
      <c r="A1170" s="4" t="s">
        <v>201</v>
      </c>
      <c r="B1170" s="2">
        <f>VALUE("8231")</f>
        <v>8231</v>
      </c>
      <c r="C1170" s="4" t="s">
        <v>3529</v>
      </c>
      <c r="D1170" s="4" t="s">
        <v>3530</v>
      </c>
      <c r="E1170" s="2">
        <f>VALUE("2019")</f>
        <v>2019</v>
      </c>
      <c r="F1170" t="s">
        <v>201</v>
      </c>
    </row>
    <row r="1171" spans="1:7" x14ac:dyDescent="0.25">
      <c r="A1171" s="4" t="s">
        <v>201</v>
      </c>
      <c r="B1171" s="2">
        <f>VALUE("8239")</f>
        <v>8239</v>
      </c>
      <c r="C1171" s="4" t="s">
        <v>3542</v>
      </c>
      <c r="D1171" s="4" t="s">
        <v>3543</v>
      </c>
      <c r="E1171" s="2">
        <f>VALUE("2018")</f>
        <v>2018</v>
      </c>
      <c r="F1171" t="s">
        <v>201</v>
      </c>
      <c r="G1171" s="8" t="s">
        <v>3544</v>
      </c>
    </row>
    <row r="1172" spans="1:7" x14ac:dyDescent="0.25">
      <c r="A1172" s="4" t="s">
        <v>201</v>
      </c>
      <c r="B1172" s="2">
        <f>VALUE("8244")</f>
        <v>8244</v>
      </c>
      <c r="C1172" s="4" t="s">
        <v>3555</v>
      </c>
      <c r="D1172" s="4" t="s">
        <v>3556</v>
      </c>
      <c r="E1172" s="2">
        <f>VALUE("2020")</f>
        <v>2020</v>
      </c>
      <c r="F1172" t="s">
        <v>201</v>
      </c>
      <c r="G1172" s="8" t="s">
        <v>3557</v>
      </c>
    </row>
    <row r="1173" spans="1:7" x14ac:dyDescent="0.25">
      <c r="A1173" s="4" t="s">
        <v>201</v>
      </c>
      <c r="B1173" s="2">
        <f>VALUE("8244")</f>
        <v>8244</v>
      </c>
      <c r="C1173" s="4" t="s">
        <v>3558</v>
      </c>
      <c r="D1173" s="4" t="s">
        <v>3559</v>
      </c>
      <c r="E1173" s="2">
        <f>VALUE("2020")</f>
        <v>2020</v>
      </c>
      <c r="F1173" t="s">
        <v>201</v>
      </c>
      <c r="G1173" s="8" t="s">
        <v>3560</v>
      </c>
    </row>
    <row r="1174" spans="1:7" x14ac:dyDescent="0.25">
      <c r="A1174" s="4" t="s">
        <v>201</v>
      </c>
      <c r="B1174" s="2">
        <f>VALUE("8244")</f>
        <v>8244</v>
      </c>
      <c r="C1174" s="4" t="s">
        <v>3552</v>
      </c>
      <c r="D1174" s="4" t="s">
        <v>3553</v>
      </c>
      <c r="E1174" s="2">
        <f>VALUE("2020")</f>
        <v>2020</v>
      </c>
      <c r="F1174" t="s">
        <v>201</v>
      </c>
      <c r="G1174" s="8" t="s">
        <v>3554</v>
      </c>
    </row>
    <row r="1175" spans="1:7" x14ac:dyDescent="0.25">
      <c r="A1175" s="4" t="s">
        <v>201</v>
      </c>
      <c r="B1175" s="2">
        <f>VALUE("8265")</f>
        <v>8265</v>
      </c>
      <c r="C1175" s="4" t="s">
        <v>3631</v>
      </c>
      <c r="D1175" s="4" t="s">
        <v>3632</v>
      </c>
      <c r="E1175" s="2">
        <f>VALUE("2020")</f>
        <v>2020</v>
      </c>
      <c r="F1175" t="s">
        <v>201</v>
      </c>
      <c r="G1175" s="8" t="s">
        <v>3633</v>
      </c>
    </row>
    <row r="1176" spans="1:7" x14ac:dyDescent="0.25">
      <c r="A1176" s="4" t="s">
        <v>201</v>
      </c>
      <c r="B1176" s="2">
        <f>VALUE("8282")</f>
        <v>8282</v>
      </c>
      <c r="C1176" s="4" t="s">
        <v>3664</v>
      </c>
      <c r="D1176" s="4" t="s">
        <v>3665</v>
      </c>
      <c r="E1176" s="2">
        <f>VALUE("2019")</f>
        <v>2019</v>
      </c>
      <c r="F1176" t="s">
        <v>201</v>
      </c>
    </row>
    <row r="1177" spans="1:7" x14ac:dyDescent="0.25">
      <c r="A1177" s="4" t="s">
        <v>201</v>
      </c>
      <c r="B1177" s="2">
        <f>VALUE("8299")</f>
        <v>8299</v>
      </c>
      <c r="C1177" s="4" t="s">
        <v>3692</v>
      </c>
      <c r="D1177" s="4" t="s">
        <v>3693</v>
      </c>
      <c r="E1177" s="2">
        <f>VALUE("2018")</f>
        <v>2018</v>
      </c>
      <c r="F1177" t="s">
        <v>201</v>
      </c>
      <c r="G1177" s="8" t="s">
        <v>3694</v>
      </c>
    </row>
    <row r="1178" spans="1:7" x14ac:dyDescent="0.25">
      <c r="A1178" s="4" t="s">
        <v>201</v>
      </c>
      <c r="B1178" s="2">
        <f>VALUE("8325")</f>
        <v>8325</v>
      </c>
      <c r="C1178" s="4" t="s">
        <v>3527</v>
      </c>
      <c r="D1178" s="4" t="s">
        <v>3528</v>
      </c>
      <c r="E1178" s="2">
        <f>VALUE("2018")</f>
        <v>2018</v>
      </c>
      <c r="F1178" t="s">
        <v>201</v>
      </c>
    </row>
    <row r="1179" spans="1:7" x14ac:dyDescent="0.25">
      <c r="A1179" s="4" t="s">
        <v>201</v>
      </c>
      <c r="B1179" s="2">
        <f>VALUE("8339")</f>
        <v>8339</v>
      </c>
      <c r="C1179" s="4" t="s">
        <v>3786</v>
      </c>
      <c r="D1179" s="4" t="s">
        <v>3787</v>
      </c>
      <c r="E1179" s="2">
        <f>VALUE("2018")</f>
        <v>2018</v>
      </c>
      <c r="F1179" t="s">
        <v>201</v>
      </c>
      <c r="G1179" s="8" t="s">
        <v>3788</v>
      </c>
    </row>
    <row r="1180" spans="1:7" x14ac:dyDescent="0.25">
      <c r="A1180" s="4" t="s">
        <v>201</v>
      </c>
      <c r="B1180" s="2">
        <f>VALUE("8352")</f>
        <v>8352</v>
      </c>
      <c r="C1180" s="4" t="s">
        <v>3804</v>
      </c>
      <c r="D1180" s="4" t="s">
        <v>3805</v>
      </c>
      <c r="E1180" s="2">
        <f>VALUE("2018")</f>
        <v>2018</v>
      </c>
      <c r="F1180" t="s">
        <v>2993</v>
      </c>
      <c r="G1180" s="8" t="s">
        <v>3806</v>
      </c>
    </row>
    <row r="1181" spans="1:7" x14ac:dyDescent="0.25">
      <c r="A1181" s="4" t="s">
        <v>201</v>
      </c>
      <c r="B1181" s="2">
        <f>VALUE("8397")</f>
        <v>8397</v>
      </c>
      <c r="C1181" s="4" t="s">
        <v>3875</v>
      </c>
      <c r="D1181" s="4" t="s">
        <v>3876</v>
      </c>
      <c r="E1181" s="2">
        <f>VALUE("2019")</f>
        <v>2019</v>
      </c>
      <c r="F1181" t="s">
        <v>201</v>
      </c>
      <c r="G1181" s="8" t="s">
        <v>3877</v>
      </c>
    </row>
    <row r="1182" spans="1:7" x14ac:dyDescent="0.25">
      <c r="A1182" s="4" t="s">
        <v>201</v>
      </c>
      <c r="B1182" s="2">
        <f>VALUE("8454")</f>
        <v>8454</v>
      </c>
      <c r="C1182" s="4" t="s">
        <v>3961</v>
      </c>
      <c r="D1182" s="4" t="s">
        <v>3962</v>
      </c>
      <c r="E1182" s="2">
        <f>VALUE("2019")</f>
        <v>2019</v>
      </c>
      <c r="F1182" t="s">
        <v>201</v>
      </c>
    </row>
    <row r="1183" spans="1:7" x14ac:dyDescent="0.25">
      <c r="A1183" s="4" t="s">
        <v>201</v>
      </c>
      <c r="B1183" s="2">
        <f>VALUE("8454")</f>
        <v>8454</v>
      </c>
      <c r="C1183" s="4" t="s">
        <v>3963</v>
      </c>
      <c r="D1183" s="4" t="s">
        <v>3964</v>
      </c>
      <c r="E1183" s="2">
        <f>VALUE("2019")</f>
        <v>2019</v>
      </c>
      <c r="F1183" t="s">
        <v>201</v>
      </c>
    </row>
    <row r="1184" spans="1:7" x14ac:dyDescent="0.25">
      <c r="A1184" s="4" t="s">
        <v>201</v>
      </c>
      <c r="B1184" s="2">
        <f>VALUE("8476")</f>
        <v>8476</v>
      </c>
      <c r="C1184" s="4" t="s">
        <v>4027</v>
      </c>
      <c r="D1184" s="4" t="s">
        <v>4028</v>
      </c>
      <c r="E1184" s="2">
        <f>VALUE("2019")</f>
        <v>2019</v>
      </c>
      <c r="F1184" t="s">
        <v>201</v>
      </c>
    </row>
    <row r="1185" spans="1:7" x14ac:dyDescent="0.25">
      <c r="A1185" s="4" t="s">
        <v>201</v>
      </c>
      <c r="B1185" s="2">
        <f>VALUE("8489")</f>
        <v>8489</v>
      </c>
      <c r="C1185" s="4" t="s">
        <v>4072</v>
      </c>
      <c r="D1185" s="4" t="s">
        <v>4073</v>
      </c>
      <c r="E1185" s="2">
        <f>VALUE("2019")</f>
        <v>2019</v>
      </c>
      <c r="F1185" t="s">
        <v>201</v>
      </c>
      <c r="G1185" s="8" t="s">
        <v>4074</v>
      </c>
    </row>
    <row r="1186" spans="1:7" x14ac:dyDescent="0.25">
      <c r="A1186" s="4" t="s">
        <v>201</v>
      </c>
      <c r="B1186" s="2">
        <f>VALUE("8496")</f>
        <v>8496</v>
      </c>
      <c r="C1186" s="4" t="s">
        <v>4085</v>
      </c>
      <c r="D1186" s="4" t="s">
        <v>4086</v>
      </c>
      <c r="E1186" s="2">
        <f>VALUE("2020")</f>
        <v>2020</v>
      </c>
      <c r="F1186" t="s">
        <v>201</v>
      </c>
    </row>
    <row r="1187" spans="1:7" x14ac:dyDescent="0.25">
      <c r="A1187" s="4" t="s">
        <v>201</v>
      </c>
      <c r="B1187" s="2">
        <f>VALUE("8496")</f>
        <v>8496</v>
      </c>
      <c r="C1187" s="4" t="s">
        <v>4091</v>
      </c>
      <c r="D1187" s="4" t="s">
        <v>4092</v>
      </c>
      <c r="E1187" s="2">
        <f>VALUE("2021")</f>
        <v>2021</v>
      </c>
      <c r="F1187" t="s">
        <v>201</v>
      </c>
    </row>
    <row r="1188" spans="1:7" x14ac:dyDescent="0.25">
      <c r="A1188" s="4" t="s">
        <v>201</v>
      </c>
      <c r="B1188" s="2">
        <f>VALUE("8496")</f>
        <v>8496</v>
      </c>
      <c r="C1188" s="4" t="s">
        <v>4087</v>
      </c>
      <c r="D1188" s="4" t="s">
        <v>4088</v>
      </c>
      <c r="E1188" s="2">
        <f>VALUE("2020")</f>
        <v>2020</v>
      </c>
      <c r="F1188" t="s">
        <v>201</v>
      </c>
    </row>
    <row r="1189" spans="1:7" x14ac:dyDescent="0.25">
      <c r="A1189" s="4" t="s">
        <v>201</v>
      </c>
      <c r="B1189" s="2">
        <f>VALUE("8496")</f>
        <v>8496</v>
      </c>
      <c r="C1189" s="4" t="s">
        <v>4089</v>
      </c>
      <c r="D1189" s="4" t="s">
        <v>4090</v>
      </c>
      <c r="E1189" s="2">
        <f>VALUE("2021")</f>
        <v>2021</v>
      </c>
      <c r="F1189" t="s">
        <v>201</v>
      </c>
    </row>
    <row r="1190" spans="1:7" x14ac:dyDescent="0.25">
      <c r="A1190" s="4" t="s">
        <v>201</v>
      </c>
      <c r="B1190" s="2">
        <f>VALUE("8526")</f>
        <v>8526</v>
      </c>
      <c r="C1190" s="4" t="s">
        <v>4172</v>
      </c>
      <c r="D1190" s="4" t="s">
        <v>4173</v>
      </c>
      <c r="E1190" s="2">
        <f>VALUE("2020")</f>
        <v>2020</v>
      </c>
      <c r="F1190" t="s">
        <v>201</v>
      </c>
      <c r="G1190" s="8" t="s">
        <v>4174</v>
      </c>
    </row>
    <row r="1191" spans="1:7" x14ac:dyDescent="0.25">
      <c r="A1191" s="4" t="s">
        <v>201</v>
      </c>
      <c r="B1191" s="2">
        <f>VALUE("8546")</f>
        <v>8546</v>
      </c>
      <c r="C1191" s="4" t="s">
        <v>4226</v>
      </c>
      <c r="D1191" s="4" t="s">
        <v>4227</v>
      </c>
      <c r="E1191" s="2">
        <f>VALUE("2019")</f>
        <v>2019</v>
      </c>
      <c r="F1191" t="s">
        <v>201</v>
      </c>
      <c r="G1191" s="8" t="s">
        <v>4228</v>
      </c>
    </row>
    <row r="1192" spans="1:7" x14ac:dyDescent="0.25">
      <c r="A1192" s="4" t="s">
        <v>201</v>
      </c>
      <c r="B1192" s="2">
        <f>VALUE("8595")</f>
        <v>8595</v>
      </c>
      <c r="C1192" s="4" t="s">
        <v>4307</v>
      </c>
      <c r="D1192" s="4" t="s">
        <v>4308</v>
      </c>
      <c r="E1192" s="2">
        <f t="shared" ref="E1192:E1202" si="23">VALUE("2020")</f>
        <v>2020</v>
      </c>
      <c r="F1192" t="s">
        <v>201</v>
      </c>
      <c r="G1192" s="8" t="s">
        <v>4309</v>
      </c>
    </row>
    <row r="1193" spans="1:7" x14ac:dyDescent="0.25">
      <c r="A1193" s="4" t="s">
        <v>201</v>
      </c>
      <c r="B1193" s="2">
        <f>VALUE("8596")</f>
        <v>8596</v>
      </c>
      <c r="C1193" s="4" t="s">
        <v>4310</v>
      </c>
      <c r="D1193" s="4" t="s">
        <v>4311</v>
      </c>
      <c r="E1193" s="2">
        <f t="shared" si="23"/>
        <v>2020</v>
      </c>
      <c r="F1193" t="s">
        <v>201</v>
      </c>
      <c r="G1193" s="8" t="s">
        <v>4312</v>
      </c>
    </row>
    <row r="1194" spans="1:7" x14ac:dyDescent="0.25">
      <c r="A1194" s="4" t="s">
        <v>201</v>
      </c>
      <c r="B1194" s="2">
        <f>VALUE("8596")</f>
        <v>8596</v>
      </c>
      <c r="C1194" s="4" t="s">
        <v>4315</v>
      </c>
      <c r="D1194" s="4" t="s">
        <v>4316</v>
      </c>
      <c r="E1194" s="2">
        <f t="shared" si="23"/>
        <v>2020</v>
      </c>
      <c r="F1194" t="s">
        <v>201</v>
      </c>
    </row>
    <row r="1195" spans="1:7" x14ac:dyDescent="0.25">
      <c r="A1195" s="4" t="s">
        <v>201</v>
      </c>
      <c r="B1195" s="2">
        <f>VALUE("8596")</f>
        <v>8596</v>
      </c>
      <c r="C1195" s="4" t="s">
        <v>4313</v>
      </c>
      <c r="D1195" s="4" t="s">
        <v>4314</v>
      </c>
      <c r="E1195" s="2">
        <f t="shared" si="23"/>
        <v>2020</v>
      </c>
      <c r="F1195" t="s">
        <v>201</v>
      </c>
    </row>
    <row r="1196" spans="1:7" x14ac:dyDescent="0.25">
      <c r="A1196" s="4" t="s">
        <v>201</v>
      </c>
      <c r="B1196" s="2">
        <f>VALUE("8596")</f>
        <v>8596</v>
      </c>
      <c r="C1196" s="4" t="s">
        <v>4317</v>
      </c>
      <c r="D1196" s="4" t="s">
        <v>4318</v>
      </c>
      <c r="E1196" s="2">
        <f t="shared" si="23"/>
        <v>2020</v>
      </c>
      <c r="F1196" t="s">
        <v>201</v>
      </c>
    </row>
    <row r="1197" spans="1:7" x14ac:dyDescent="0.25">
      <c r="A1197" s="4" t="s">
        <v>201</v>
      </c>
      <c r="B1197" s="2">
        <f>VALUE("8626")</f>
        <v>8626</v>
      </c>
      <c r="C1197" s="4" t="s">
        <v>4382</v>
      </c>
      <c r="D1197" s="4" t="s">
        <v>4383</v>
      </c>
      <c r="E1197" s="2">
        <f t="shared" si="23"/>
        <v>2020</v>
      </c>
      <c r="F1197" t="s">
        <v>201</v>
      </c>
      <c r="G1197" s="8" t="s">
        <v>4384</v>
      </c>
    </row>
    <row r="1198" spans="1:7" x14ac:dyDescent="0.25">
      <c r="A1198" s="4" t="s">
        <v>201</v>
      </c>
      <c r="B1198" s="2">
        <f>VALUE("8709")</f>
        <v>8709</v>
      </c>
      <c r="C1198" s="4" t="s">
        <v>4533</v>
      </c>
      <c r="D1198" s="4" t="s">
        <v>4534</v>
      </c>
      <c r="E1198" s="2">
        <f t="shared" si="23"/>
        <v>2020</v>
      </c>
      <c r="F1198" t="s">
        <v>201</v>
      </c>
    </row>
    <row r="1199" spans="1:7" x14ac:dyDescent="0.25">
      <c r="A1199" s="4" t="s">
        <v>201</v>
      </c>
      <c r="B1199" s="2">
        <f>VALUE("8727")</f>
        <v>8727</v>
      </c>
      <c r="C1199" s="4" t="s">
        <v>4609</v>
      </c>
      <c r="D1199" s="4" t="s">
        <v>4610</v>
      </c>
      <c r="E1199" s="2">
        <f t="shared" si="23"/>
        <v>2020</v>
      </c>
      <c r="F1199" t="s">
        <v>201</v>
      </c>
      <c r="G1199" s="8" t="s">
        <v>4611</v>
      </c>
    </row>
    <row r="1200" spans="1:7" x14ac:dyDescent="0.25">
      <c r="A1200" s="4" t="s">
        <v>201</v>
      </c>
      <c r="B1200" s="2">
        <f>VALUE("8744")</f>
        <v>8744</v>
      </c>
      <c r="C1200" s="4" t="s">
        <v>4643</v>
      </c>
      <c r="D1200" s="4" t="s">
        <v>4644</v>
      </c>
      <c r="E1200" s="2">
        <f t="shared" si="23"/>
        <v>2020</v>
      </c>
      <c r="F1200" t="s">
        <v>201</v>
      </c>
      <c r="G1200" s="8" t="s">
        <v>4645</v>
      </c>
    </row>
    <row r="1201" spans="1:7" x14ac:dyDescent="0.25">
      <c r="A1201" s="4" t="s">
        <v>201</v>
      </c>
      <c r="B1201" s="2">
        <f>VALUE("8830")</f>
        <v>8830</v>
      </c>
      <c r="C1201" s="4" t="s">
        <v>4756</v>
      </c>
      <c r="D1201" s="4" t="s">
        <v>4757</v>
      </c>
      <c r="E1201" s="2">
        <f t="shared" si="23"/>
        <v>2020</v>
      </c>
      <c r="F1201" t="s">
        <v>678</v>
      </c>
      <c r="G1201" s="8" t="s">
        <v>4758</v>
      </c>
    </row>
    <row r="1202" spans="1:7" x14ac:dyDescent="0.25">
      <c r="A1202" s="4" t="s">
        <v>201</v>
      </c>
      <c r="B1202" s="2">
        <f>VALUE("8848")</f>
        <v>8848</v>
      </c>
      <c r="C1202" s="4" t="s">
        <v>4776</v>
      </c>
      <c r="D1202" s="4" t="s">
        <v>4777</v>
      </c>
      <c r="E1202" s="2">
        <f t="shared" si="23"/>
        <v>2020</v>
      </c>
      <c r="F1202" t="s">
        <v>201</v>
      </c>
      <c r="G1202" s="8" t="s">
        <v>4778</v>
      </c>
    </row>
    <row r="1203" spans="1:7" x14ac:dyDescent="0.25">
      <c r="A1203" s="4" t="s">
        <v>201</v>
      </c>
      <c r="B1203" s="2">
        <f>VALUE("8858")</f>
        <v>8858</v>
      </c>
      <c r="C1203" s="4" t="s">
        <v>4791</v>
      </c>
      <c r="D1203" s="4" t="s">
        <v>4792</v>
      </c>
      <c r="E1203" s="2">
        <f>VALUE("2021")</f>
        <v>2021</v>
      </c>
      <c r="F1203" t="s">
        <v>201</v>
      </c>
      <c r="G1203" s="8" t="s">
        <v>4793</v>
      </c>
    </row>
    <row r="1204" spans="1:7" x14ac:dyDescent="0.25">
      <c r="A1204" s="4" t="s">
        <v>201</v>
      </c>
      <c r="B1204" s="2">
        <f>VALUE("8865")</f>
        <v>8865</v>
      </c>
      <c r="C1204" s="4" t="s">
        <v>4798</v>
      </c>
      <c r="D1204" s="4" t="s">
        <v>4799</v>
      </c>
      <c r="E1204" s="2">
        <f>VALUE("2021")</f>
        <v>2021</v>
      </c>
      <c r="F1204" t="s">
        <v>201</v>
      </c>
      <c r="G1204" s="8" t="s">
        <v>4800</v>
      </c>
    </row>
    <row r="1205" spans="1:7" x14ac:dyDescent="0.25">
      <c r="A1205" s="4" t="s">
        <v>201</v>
      </c>
      <c r="B1205" s="2">
        <f>VALUE("8880")</f>
        <v>8880</v>
      </c>
      <c r="C1205" s="4" t="s">
        <v>4829</v>
      </c>
      <c r="D1205" s="4" t="s">
        <v>4830</v>
      </c>
      <c r="E1205" s="2">
        <f>VALUE("2021")</f>
        <v>2021</v>
      </c>
      <c r="F1205" t="s">
        <v>201</v>
      </c>
    </row>
    <row r="1206" spans="1:7" x14ac:dyDescent="0.25">
      <c r="A1206" s="4" t="s">
        <v>201</v>
      </c>
      <c r="B1206" s="2">
        <f>VALUE("8891")</f>
        <v>8891</v>
      </c>
      <c r="C1206" s="4" t="s">
        <v>4843</v>
      </c>
      <c r="D1206" s="4" t="s">
        <v>4844</v>
      </c>
      <c r="E1206" s="2">
        <f>VALUE("2021")</f>
        <v>2021</v>
      </c>
      <c r="F1206" t="s">
        <v>201</v>
      </c>
      <c r="G1206" s="8" t="s">
        <v>4845</v>
      </c>
    </row>
    <row r="1207" spans="1:7" x14ac:dyDescent="0.25">
      <c r="A1207" s="4" t="s">
        <v>201</v>
      </c>
      <c r="B1207" s="2">
        <f>VALUE("9008")</f>
        <v>9008</v>
      </c>
      <c r="C1207" s="4" t="s">
        <v>4952</v>
      </c>
      <c r="D1207" s="4" t="s">
        <v>4953</v>
      </c>
      <c r="E1207" s="2">
        <f>VALUE("2022")</f>
        <v>2022</v>
      </c>
      <c r="F1207" t="s">
        <v>201</v>
      </c>
      <c r="G1207" s="8" t="s">
        <v>4954</v>
      </c>
    </row>
    <row r="1208" spans="1:7" x14ac:dyDescent="0.25">
      <c r="A1208" s="4" t="s">
        <v>201</v>
      </c>
      <c r="B1208" s="2">
        <f>VALUE("9058")</f>
        <v>9058</v>
      </c>
      <c r="C1208" s="4" t="s">
        <v>4990</v>
      </c>
      <c r="D1208" s="4" t="s">
        <v>4991</v>
      </c>
      <c r="E1208" s="2">
        <f>VALUE("2021")</f>
        <v>2021</v>
      </c>
      <c r="F1208" t="s">
        <v>201</v>
      </c>
    </row>
    <row r="1209" spans="1:7" x14ac:dyDescent="0.25">
      <c r="A1209" s="4" t="s">
        <v>201</v>
      </c>
      <c r="B1209" s="2">
        <f>VALUE("9136")</f>
        <v>9136</v>
      </c>
      <c r="C1209" s="4" t="s">
        <v>5050</v>
      </c>
      <c r="D1209" s="4" t="s">
        <v>5051</v>
      </c>
      <c r="E1209" s="2">
        <f>VALUE("2022")</f>
        <v>2022</v>
      </c>
      <c r="F1209" t="s">
        <v>201</v>
      </c>
      <c r="G1209" s="8" t="s">
        <v>5052</v>
      </c>
    </row>
    <row r="1210" spans="1:7" x14ac:dyDescent="0.25">
      <c r="A1210" s="4" t="s">
        <v>201</v>
      </c>
      <c r="B1210" s="2">
        <f>VALUE("9144")</f>
        <v>9144</v>
      </c>
      <c r="C1210" s="4" t="s">
        <v>5056</v>
      </c>
      <c r="D1210" s="4" t="s">
        <v>5054</v>
      </c>
      <c r="E1210" s="2">
        <f>VALUE("2022")</f>
        <v>2022</v>
      </c>
      <c r="F1210" t="s">
        <v>201</v>
      </c>
      <c r="G1210" s="8" t="s">
        <v>5057</v>
      </c>
    </row>
    <row r="1211" spans="1:7" x14ac:dyDescent="0.25">
      <c r="A1211" s="4" t="s">
        <v>201</v>
      </c>
      <c r="B1211" s="2">
        <f>VALUE("9144")</f>
        <v>9144</v>
      </c>
      <c r="C1211" s="4" t="s">
        <v>5053</v>
      </c>
      <c r="D1211" s="4" t="s">
        <v>5054</v>
      </c>
      <c r="E1211" s="2">
        <f>VALUE("2022")</f>
        <v>2022</v>
      </c>
      <c r="F1211" t="s">
        <v>149</v>
      </c>
      <c r="G1211" s="8" t="s">
        <v>5055</v>
      </c>
    </row>
    <row r="1212" spans="1:7" x14ac:dyDescent="0.25">
      <c r="A1212" s="4" t="s">
        <v>201</v>
      </c>
      <c r="B1212" s="2">
        <f>VALUE("9150")</f>
        <v>9150</v>
      </c>
      <c r="C1212" s="4" t="s">
        <v>5061</v>
      </c>
      <c r="D1212" s="4" t="s">
        <v>293</v>
      </c>
      <c r="E1212" s="2">
        <f>VALUE("2023")</f>
        <v>2023</v>
      </c>
      <c r="F1212" t="s">
        <v>5062</v>
      </c>
      <c r="G1212" s="8" t="s">
        <v>5063</v>
      </c>
    </row>
    <row r="1213" spans="1:7" x14ac:dyDescent="0.25">
      <c r="A1213" s="4" t="s">
        <v>201</v>
      </c>
      <c r="B1213" s="2">
        <f>VALUE("9150")</f>
        <v>9150</v>
      </c>
      <c r="C1213" s="4" t="s">
        <v>5058</v>
      </c>
      <c r="D1213" s="4" t="s">
        <v>5059</v>
      </c>
      <c r="E1213" s="2">
        <f>VALUE("2023")</f>
        <v>2023</v>
      </c>
      <c r="F1213" t="s">
        <v>201</v>
      </c>
      <c r="G1213" s="8" t="s">
        <v>5060</v>
      </c>
    </row>
    <row r="1214" spans="1:7" x14ac:dyDescent="0.25">
      <c r="A1214" s="4" t="s">
        <v>201</v>
      </c>
      <c r="B1214" s="2">
        <f>VALUE("9163")</f>
        <v>9163</v>
      </c>
      <c r="C1214" s="4" t="s">
        <v>5080</v>
      </c>
      <c r="D1214" s="4" t="s">
        <v>5081</v>
      </c>
      <c r="E1214" s="2">
        <f>VALUE("2022")</f>
        <v>2022</v>
      </c>
      <c r="F1214" t="s">
        <v>678</v>
      </c>
      <c r="G1214" s="8" t="s">
        <v>5082</v>
      </c>
    </row>
    <row r="1215" spans="1:7" x14ac:dyDescent="0.25">
      <c r="A1215" s="4" t="s">
        <v>201</v>
      </c>
      <c r="B1215" s="2">
        <f>VALUE("9210")</f>
        <v>9210</v>
      </c>
      <c r="C1215" s="4" t="s">
        <v>5112</v>
      </c>
      <c r="D1215" s="4" t="s">
        <v>5113</v>
      </c>
      <c r="E1215" s="2">
        <f>VALUE("2022")</f>
        <v>2022</v>
      </c>
      <c r="F1215" t="s">
        <v>201</v>
      </c>
      <c r="G1215" s="8" t="s">
        <v>5114</v>
      </c>
    </row>
    <row r="1216" spans="1:7" x14ac:dyDescent="0.25">
      <c r="A1216" s="4" t="s">
        <v>201</v>
      </c>
      <c r="B1216" s="2">
        <f>VALUE("9252")</f>
        <v>9252</v>
      </c>
      <c r="C1216" s="4" t="s">
        <v>5135</v>
      </c>
      <c r="D1216" s="4" t="s">
        <v>5136</v>
      </c>
      <c r="E1216" s="2">
        <f>VALUE("2022")</f>
        <v>2022</v>
      </c>
      <c r="F1216" t="s">
        <v>201</v>
      </c>
      <c r="G1216" s="8" t="s">
        <v>5137</v>
      </c>
    </row>
    <row r="1217" spans="1:7" x14ac:dyDescent="0.25">
      <c r="A1217" s="4" t="s">
        <v>201</v>
      </c>
      <c r="B1217" s="2">
        <f>VALUE("9300")</f>
        <v>9300</v>
      </c>
      <c r="C1217" s="4" t="s">
        <v>5162</v>
      </c>
      <c r="D1217" s="4" t="s">
        <v>5163</v>
      </c>
      <c r="E1217" s="2">
        <f>VALUE("2023")</f>
        <v>2023</v>
      </c>
      <c r="F1217" t="s">
        <v>201</v>
      </c>
      <c r="G1217" s="8" t="s">
        <v>5164</v>
      </c>
    </row>
    <row r="1218" spans="1:7" x14ac:dyDescent="0.25">
      <c r="A1218" s="4" t="s">
        <v>201</v>
      </c>
      <c r="B1218" s="2">
        <f>VALUE("9349")</f>
        <v>9349</v>
      </c>
      <c r="C1218" s="4" t="s">
        <v>5175</v>
      </c>
      <c r="D1218" s="4" t="s">
        <v>5176</v>
      </c>
      <c r="E1218" s="2">
        <f>VALUE("2023")</f>
        <v>2023</v>
      </c>
      <c r="F1218" t="s">
        <v>5177</v>
      </c>
      <c r="G1218" s="8" t="s">
        <v>5178</v>
      </c>
    </row>
    <row r="1219" spans="1:7" x14ac:dyDescent="0.25">
      <c r="A1219" s="4" t="s">
        <v>201</v>
      </c>
      <c r="B1219" s="2">
        <f>VALUE("9353")</f>
        <v>9353</v>
      </c>
      <c r="C1219" s="4" t="s">
        <v>5179</v>
      </c>
      <c r="D1219" s="4" t="s">
        <v>5180</v>
      </c>
      <c r="E1219" s="2" t="s">
        <v>201</v>
      </c>
      <c r="G1219" s="8" t="s">
        <v>5181</v>
      </c>
    </row>
    <row r="1220" spans="1:7" x14ac:dyDescent="0.25">
      <c r="A1220" s="4" t="s">
        <v>201</v>
      </c>
      <c r="B1220" s="2">
        <f>VALUE("9361")</f>
        <v>9361</v>
      </c>
      <c r="C1220" s="4" t="s">
        <v>5182</v>
      </c>
      <c r="D1220" s="4" t="s">
        <v>5183</v>
      </c>
      <c r="E1220" s="2">
        <f>VALUE("2023")</f>
        <v>2023</v>
      </c>
      <c r="F1220" t="s">
        <v>201</v>
      </c>
      <c r="G1220" s="8" t="s">
        <v>5184</v>
      </c>
    </row>
    <row r="1221" spans="1:7" x14ac:dyDescent="0.25">
      <c r="A1221" s="4" t="s">
        <v>201</v>
      </c>
      <c r="B1221" s="2">
        <f>VALUE("9365")</f>
        <v>9365</v>
      </c>
      <c r="C1221" s="4" t="s">
        <v>5188</v>
      </c>
      <c r="D1221" s="4" t="s">
        <v>5189</v>
      </c>
      <c r="E1221" s="2">
        <f>VALUE("2023")</f>
        <v>2023</v>
      </c>
      <c r="F1221" t="s">
        <v>201</v>
      </c>
      <c r="G1221" s="8" t="s">
        <v>5190</v>
      </c>
    </row>
    <row r="1222" spans="1:7" x14ac:dyDescent="0.25">
      <c r="A1222" s="4" t="s">
        <v>201</v>
      </c>
      <c r="B1222" s="2">
        <f>VALUE("9386")</f>
        <v>9386</v>
      </c>
      <c r="C1222" s="4" t="s">
        <v>5196</v>
      </c>
      <c r="D1222" s="4" t="s">
        <v>5197</v>
      </c>
      <c r="E1222" s="2">
        <f>VALUE("2023")</f>
        <v>2023</v>
      </c>
      <c r="F1222" t="s">
        <v>201</v>
      </c>
      <c r="G1222" s="8" t="s">
        <v>5198</v>
      </c>
    </row>
    <row r="1223" spans="1:7" x14ac:dyDescent="0.25">
      <c r="A1223" s="4" t="s">
        <v>201</v>
      </c>
      <c r="B1223" s="2">
        <f>VALUE("9402")</f>
        <v>9402</v>
      </c>
      <c r="C1223" s="4" t="s">
        <v>5203</v>
      </c>
      <c r="D1223" s="4" t="s">
        <v>5204</v>
      </c>
      <c r="E1223" s="2">
        <f>VALUE("2023")</f>
        <v>2023</v>
      </c>
      <c r="F1223" t="s">
        <v>201</v>
      </c>
      <c r="G1223" s="8" t="s">
        <v>5181</v>
      </c>
    </row>
    <row r="1224" spans="1:7" x14ac:dyDescent="0.25">
      <c r="A1224" s="4" t="s">
        <v>201</v>
      </c>
      <c r="B1224" s="2" t="s">
        <v>5247</v>
      </c>
      <c r="C1224" s="4" t="s">
        <v>2911</v>
      </c>
      <c r="D1224" s="4" t="s">
        <v>2912</v>
      </c>
      <c r="E1224" s="2">
        <f>VALUE("2019")</f>
        <v>2019</v>
      </c>
      <c r="F1224" t="s">
        <v>201</v>
      </c>
    </row>
    <row r="1225" spans="1:7" x14ac:dyDescent="0.25">
      <c r="A1225" s="4" t="s">
        <v>201</v>
      </c>
      <c r="B1225" s="2" t="s">
        <v>5248</v>
      </c>
      <c r="C1225" s="4" t="s">
        <v>3527</v>
      </c>
      <c r="D1225" s="4" t="s">
        <v>3528</v>
      </c>
      <c r="E1225" s="2">
        <f>VALUE("2018")</f>
        <v>2018</v>
      </c>
      <c r="F1225" t="s">
        <v>2593</v>
      </c>
    </row>
    <row r="1226" spans="1:7" x14ac:dyDescent="0.25">
      <c r="A1226" s="4" t="s">
        <v>648</v>
      </c>
      <c r="B1226" s="2">
        <f>VALUE("7047")</f>
        <v>7047</v>
      </c>
      <c r="C1226" s="4" t="s">
        <v>646</v>
      </c>
      <c r="D1226" s="4" t="s">
        <v>647</v>
      </c>
      <c r="E1226" s="2">
        <f>VALUE("2012")</f>
        <v>2012</v>
      </c>
      <c r="F1226" t="s">
        <v>648</v>
      </c>
    </row>
    <row r="1227" spans="1:7" x14ac:dyDescent="0.25">
      <c r="A1227" s="4" t="s">
        <v>648</v>
      </c>
      <c r="B1227" s="2">
        <f>VALUE("7352")</f>
        <v>7352</v>
      </c>
      <c r="C1227" s="4" t="s">
        <v>1542</v>
      </c>
      <c r="D1227" s="4" t="s">
        <v>1543</v>
      </c>
      <c r="E1227" s="2">
        <f>VALUE("2013")</f>
        <v>2013</v>
      </c>
      <c r="F1227" t="s">
        <v>648</v>
      </c>
    </row>
    <row r="1228" spans="1:7" x14ac:dyDescent="0.25">
      <c r="A1228" s="4" t="s">
        <v>648</v>
      </c>
      <c r="B1228" s="2">
        <f>VALUE("7352")</f>
        <v>7352</v>
      </c>
      <c r="C1228" s="4" t="s">
        <v>1544</v>
      </c>
      <c r="D1228" s="4" t="s">
        <v>1543</v>
      </c>
      <c r="E1228" s="2">
        <f>VALUE("2014")</f>
        <v>2014</v>
      </c>
      <c r="F1228" t="s">
        <v>1545</v>
      </c>
    </row>
    <row r="1229" spans="1:7" x14ac:dyDescent="0.25">
      <c r="A1229" s="4" t="s">
        <v>648</v>
      </c>
      <c r="B1229" s="2">
        <f>VALUE("7891")</f>
        <v>7891</v>
      </c>
      <c r="C1229" s="4" t="s">
        <v>2823</v>
      </c>
      <c r="D1229" s="4" t="s">
        <v>2824</v>
      </c>
      <c r="E1229" s="2">
        <f>VALUE("2016")</f>
        <v>2016</v>
      </c>
      <c r="F1229" t="s">
        <v>1321</v>
      </c>
    </row>
    <row r="1230" spans="1:7" x14ac:dyDescent="0.25">
      <c r="A1230" s="4" t="s">
        <v>648</v>
      </c>
      <c r="B1230" s="2">
        <f>VALUE("7906")</f>
        <v>7906</v>
      </c>
      <c r="C1230" s="4" t="s">
        <v>2861</v>
      </c>
      <c r="D1230" s="4" t="s">
        <v>2862</v>
      </c>
      <c r="E1230" s="2">
        <f>VALUE("2020")</f>
        <v>2020</v>
      </c>
      <c r="F1230" t="s">
        <v>648</v>
      </c>
      <c r="G1230" s="8" t="s">
        <v>2863</v>
      </c>
    </row>
    <row r="1231" spans="1:7" x14ac:dyDescent="0.25">
      <c r="A1231" s="4" t="s">
        <v>648</v>
      </c>
      <c r="B1231" s="2">
        <f>VALUE("7906")</f>
        <v>7906</v>
      </c>
      <c r="C1231" s="4" t="s">
        <v>2858</v>
      </c>
      <c r="D1231" s="4" t="s">
        <v>2859</v>
      </c>
      <c r="E1231" s="2">
        <f>VALUE("2017")</f>
        <v>2017</v>
      </c>
      <c r="F1231" t="s">
        <v>2860</v>
      </c>
    </row>
    <row r="1232" spans="1:7" x14ac:dyDescent="0.25">
      <c r="A1232" s="4" t="s">
        <v>648</v>
      </c>
      <c r="B1232" s="2">
        <f>VALUE("8027")</f>
        <v>8027</v>
      </c>
      <c r="C1232" s="4" t="s">
        <v>3051</v>
      </c>
      <c r="D1232" s="4" t="s">
        <v>3052</v>
      </c>
      <c r="E1232" s="2">
        <f>VALUE("2017")</f>
        <v>2017</v>
      </c>
      <c r="F1232" t="s">
        <v>648</v>
      </c>
      <c r="G1232" s="8" t="s">
        <v>3053</v>
      </c>
    </row>
    <row r="1233" spans="1:7" x14ac:dyDescent="0.25">
      <c r="A1233" s="4" t="s">
        <v>648</v>
      </c>
      <c r="B1233" s="2">
        <f>VALUE("8034")</f>
        <v>8034</v>
      </c>
      <c r="C1233" s="4" t="s">
        <v>3064</v>
      </c>
      <c r="D1233" s="4" t="s">
        <v>3065</v>
      </c>
      <c r="E1233" s="2">
        <f>VALUE("2017")</f>
        <v>2017</v>
      </c>
      <c r="F1233" t="s">
        <v>648</v>
      </c>
      <c r="G1233" s="8" t="s">
        <v>3066</v>
      </c>
    </row>
    <row r="1234" spans="1:7" x14ac:dyDescent="0.25">
      <c r="A1234" s="4" t="s">
        <v>648</v>
      </c>
      <c r="B1234" s="2">
        <f>VALUE("8123")</f>
        <v>8123</v>
      </c>
      <c r="C1234" s="4" t="s">
        <v>3249</v>
      </c>
      <c r="D1234" s="4" t="s">
        <v>3250</v>
      </c>
      <c r="E1234" s="2">
        <f>VALUE("2019")</f>
        <v>2019</v>
      </c>
      <c r="F1234" t="s">
        <v>648</v>
      </c>
      <c r="G1234" s="8" t="s">
        <v>3251</v>
      </c>
    </row>
    <row r="1235" spans="1:7" x14ac:dyDescent="0.25">
      <c r="A1235" s="4" t="s">
        <v>648</v>
      </c>
      <c r="B1235" s="2">
        <f>VALUE("8123")</f>
        <v>8123</v>
      </c>
      <c r="C1235" s="4" t="s">
        <v>3252</v>
      </c>
      <c r="D1235" s="4" t="s">
        <v>3253</v>
      </c>
      <c r="E1235" s="2">
        <f>VALUE("2019")</f>
        <v>2019</v>
      </c>
      <c r="F1235" t="s">
        <v>648</v>
      </c>
      <c r="G1235" s="11" t="s">
        <v>5249</v>
      </c>
    </row>
    <row r="1236" spans="1:7" x14ac:dyDescent="0.25">
      <c r="A1236" s="4" t="s">
        <v>648</v>
      </c>
      <c r="B1236" s="2">
        <f>VALUE("8215")</f>
        <v>8215</v>
      </c>
      <c r="C1236" s="4" t="s">
        <v>3485</v>
      </c>
      <c r="D1236" s="4" t="s">
        <v>3486</v>
      </c>
      <c r="E1236" s="2">
        <f>VALUE("2019")</f>
        <v>2019</v>
      </c>
      <c r="F1236" t="s">
        <v>648</v>
      </c>
      <c r="G1236" s="8" t="s">
        <v>3487</v>
      </c>
    </row>
    <row r="1237" spans="1:7" x14ac:dyDescent="0.25">
      <c r="A1237" s="4" t="s">
        <v>648</v>
      </c>
      <c r="B1237" s="2">
        <f>VALUE("8310")</f>
        <v>8310</v>
      </c>
      <c r="C1237" s="4" t="s">
        <v>3715</v>
      </c>
      <c r="D1237" s="4" t="s">
        <v>3716</v>
      </c>
      <c r="E1237" s="2">
        <f>VALUE("2016")</f>
        <v>2016</v>
      </c>
      <c r="F1237" t="s">
        <v>648</v>
      </c>
      <c r="G1237" s="8" t="s">
        <v>3717</v>
      </c>
    </row>
    <row r="1238" spans="1:7" x14ac:dyDescent="0.25">
      <c r="A1238" s="4" t="s">
        <v>648</v>
      </c>
      <c r="B1238" s="2">
        <f>VALUE("8395")</f>
        <v>8395</v>
      </c>
      <c r="C1238" s="4" t="s">
        <v>3868</v>
      </c>
      <c r="D1238" s="4" t="s">
        <v>3869</v>
      </c>
      <c r="E1238" s="2">
        <f>VALUE("2019")</f>
        <v>2019</v>
      </c>
      <c r="F1238" t="s">
        <v>648</v>
      </c>
      <c r="G1238" s="8" t="s">
        <v>3870</v>
      </c>
    </row>
    <row r="1239" spans="1:7" x14ac:dyDescent="0.25">
      <c r="A1239" s="4" t="s">
        <v>648</v>
      </c>
      <c r="B1239" s="2">
        <f>VALUE("8545")</f>
        <v>8545</v>
      </c>
      <c r="C1239" s="4" t="s">
        <v>4223</v>
      </c>
      <c r="D1239" s="4" t="s">
        <v>4224</v>
      </c>
      <c r="E1239" s="2">
        <f t="shared" ref="E1239:E1245" si="24">VALUE("2020")</f>
        <v>2020</v>
      </c>
      <c r="F1239" t="s">
        <v>648</v>
      </c>
      <c r="G1239" s="8" t="s">
        <v>4225</v>
      </c>
    </row>
    <row r="1240" spans="1:7" x14ac:dyDescent="0.25">
      <c r="A1240" s="4" t="s">
        <v>648</v>
      </c>
      <c r="B1240" s="2">
        <f>VALUE("8608")</f>
        <v>8608</v>
      </c>
      <c r="C1240" s="4" t="s">
        <v>4333</v>
      </c>
      <c r="D1240" s="4" t="s">
        <v>4334</v>
      </c>
      <c r="E1240" s="2">
        <f t="shared" si="24"/>
        <v>2020</v>
      </c>
      <c r="F1240" t="s">
        <v>648</v>
      </c>
      <c r="G1240" s="8" t="s">
        <v>4335</v>
      </c>
    </row>
    <row r="1241" spans="1:7" x14ac:dyDescent="0.25">
      <c r="A1241" s="4" t="s">
        <v>648</v>
      </c>
      <c r="B1241" s="2">
        <f>VALUE("8611")</f>
        <v>8611</v>
      </c>
      <c r="C1241" s="4" t="s">
        <v>4336</v>
      </c>
      <c r="D1241" s="4" t="s">
        <v>4337</v>
      </c>
      <c r="E1241" s="2">
        <f t="shared" si="24"/>
        <v>2020</v>
      </c>
      <c r="F1241" t="s">
        <v>648</v>
      </c>
      <c r="G1241" s="8" t="s">
        <v>4338</v>
      </c>
    </row>
    <row r="1242" spans="1:7" x14ac:dyDescent="0.25">
      <c r="A1242" s="4" t="s">
        <v>648</v>
      </c>
      <c r="B1242" s="2">
        <f>VALUE("8645")</f>
        <v>8645</v>
      </c>
      <c r="C1242" s="4" t="s">
        <v>4436</v>
      </c>
      <c r="D1242" s="4" t="s">
        <v>4437</v>
      </c>
      <c r="E1242" s="2">
        <f t="shared" si="24"/>
        <v>2020</v>
      </c>
      <c r="F1242" t="s">
        <v>648</v>
      </c>
      <c r="G1242" s="8" t="s">
        <v>4438</v>
      </c>
    </row>
    <row r="1243" spans="1:7" x14ac:dyDescent="0.25">
      <c r="A1243" s="4" t="s">
        <v>648</v>
      </c>
      <c r="B1243" s="2">
        <f>VALUE("8648")</f>
        <v>8648</v>
      </c>
      <c r="C1243" s="4" t="s">
        <v>4442</v>
      </c>
      <c r="D1243" s="4" t="s">
        <v>4443</v>
      </c>
      <c r="E1243" s="2">
        <f t="shared" si="24"/>
        <v>2020</v>
      </c>
      <c r="F1243" t="s">
        <v>648</v>
      </c>
      <c r="G1243" s="8" t="s">
        <v>4444</v>
      </c>
    </row>
    <row r="1244" spans="1:7" x14ac:dyDescent="0.25">
      <c r="A1244" s="4" t="s">
        <v>648</v>
      </c>
      <c r="B1244" s="2">
        <f>VALUE("8740")</f>
        <v>8740</v>
      </c>
      <c r="C1244" s="4" t="s">
        <v>4636</v>
      </c>
      <c r="D1244" s="4" t="s">
        <v>4637</v>
      </c>
      <c r="E1244" s="2">
        <f t="shared" si="24"/>
        <v>2020</v>
      </c>
      <c r="F1244" t="s">
        <v>648</v>
      </c>
      <c r="G1244" s="8" t="s">
        <v>4638</v>
      </c>
    </row>
    <row r="1245" spans="1:7" x14ac:dyDescent="0.25">
      <c r="A1245" s="4" t="s">
        <v>648</v>
      </c>
      <c r="B1245" s="2">
        <f>VALUE("8746")</f>
        <v>8746</v>
      </c>
      <c r="C1245" s="4" t="s">
        <v>4649</v>
      </c>
      <c r="D1245" s="4" t="s">
        <v>4650</v>
      </c>
      <c r="E1245" s="2">
        <f t="shared" si="24"/>
        <v>2020</v>
      </c>
      <c r="F1245" t="s">
        <v>648</v>
      </c>
    </row>
    <row r="1246" spans="1:7" x14ac:dyDescent="0.25">
      <c r="A1246" s="4" t="s">
        <v>648</v>
      </c>
      <c r="B1246" s="2">
        <f>VALUE("8872")</f>
        <v>8872</v>
      </c>
      <c r="C1246" s="4" t="s">
        <v>4807</v>
      </c>
      <c r="D1246" s="4" t="s">
        <v>4808</v>
      </c>
      <c r="E1246" s="2">
        <f>VALUE("2021")</f>
        <v>2021</v>
      </c>
      <c r="F1246" t="s">
        <v>648</v>
      </c>
      <c r="G1246" s="8" t="s">
        <v>4809</v>
      </c>
    </row>
    <row r="1247" spans="1:7" x14ac:dyDescent="0.25">
      <c r="A1247" s="4" t="s">
        <v>648</v>
      </c>
      <c r="B1247" s="2">
        <f>VALUE("8874")</f>
        <v>8874</v>
      </c>
      <c r="C1247" s="4" t="s">
        <v>4633</v>
      </c>
      <c r="D1247" s="4" t="s">
        <v>4820</v>
      </c>
      <c r="E1247" s="2">
        <f>VALUE("2021")</f>
        <v>2021</v>
      </c>
      <c r="F1247" t="s">
        <v>648</v>
      </c>
      <c r="G1247" s="8" t="s">
        <v>4635</v>
      </c>
    </row>
    <row r="1248" spans="1:7" x14ac:dyDescent="0.25">
      <c r="A1248" s="4" t="s">
        <v>648</v>
      </c>
      <c r="B1248" s="2">
        <f>VALUE("8904")</f>
        <v>8904</v>
      </c>
      <c r="C1248" s="4" t="s">
        <v>4856</v>
      </c>
      <c r="D1248" s="4" t="s">
        <v>4857</v>
      </c>
      <c r="E1248" s="2">
        <f>VALUE("2021")</f>
        <v>2021</v>
      </c>
      <c r="F1248" t="s">
        <v>4858</v>
      </c>
      <c r="G1248" s="8" t="s">
        <v>4859</v>
      </c>
    </row>
    <row r="1249" spans="1:7" x14ac:dyDescent="0.25">
      <c r="A1249" s="4" t="s">
        <v>648</v>
      </c>
      <c r="B1249" s="2">
        <f>VALUE("8927")</f>
        <v>8927</v>
      </c>
      <c r="C1249" s="4" t="s">
        <v>4877</v>
      </c>
      <c r="D1249" s="4" t="s">
        <v>4878</v>
      </c>
      <c r="E1249" s="2">
        <f>VALUE("2021")</f>
        <v>2021</v>
      </c>
      <c r="F1249" t="s">
        <v>4858</v>
      </c>
      <c r="G1249" s="8" t="s">
        <v>4879</v>
      </c>
    </row>
    <row r="1250" spans="1:7" x14ac:dyDescent="0.25">
      <c r="A1250" s="4" t="s">
        <v>648</v>
      </c>
      <c r="B1250" s="2">
        <f>VALUE("9076")</f>
        <v>9076</v>
      </c>
      <c r="C1250" s="4" t="s">
        <v>5000</v>
      </c>
      <c r="D1250" s="4" t="s">
        <v>5001</v>
      </c>
      <c r="E1250" s="2">
        <f>VALUE("2022")</f>
        <v>2022</v>
      </c>
      <c r="F1250" t="s">
        <v>648</v>
      </c>
      <c r="G1250" s="8" t="s">
        <v>5002</v>
      </c>
    </row>
    <row r="1251" spans="1:7" x14ac:dyDescent="0.25">
      <c r="A1251" s="4" t="s">
        <v>648</v>
      </c>
      <c r="B1251" s="2">
        <f>VALUE("9185")</f>
        <v>9185</v>
      </c>
      <c r="C1251" s="4" t="s">
        <v>5099</v>
      </c>
      <c r="D1251" s="4" t="s">
        <v>5100</v>
      </c>
      <c r="E1251" s="2">
        <f>VALUE("2022")</f>
        <v>2022</v>
      </c>
      <c r="F1251" t="s">
        <v>648</v>
      </c>
      <c r="G1251" s="8" t="s">
        <v>5101</v>
      </c>
    </row>
    <row r="1252" spans="1:7" x14ac:dyDescent="0.25">
      <c r="A1252" s="4" t="s">
        <v>648</v>
      </c>
      <c r="B1252" s="2">
        <f>VALUE("9255")</f>
        <v>9255</v>
      </c>
      <c r="C1252" s="4" t="s">
        <v>5138</v>
      </c>
      <c r="D1252" s="4" t="s">
        <v>5139</v>
      </c>
      <c r="E1252" s="2">
        <f>VALUE("2023")</f>
        <v>2023</v>
      </c>
      <c r="F1252" t="s">
        <v>5140</v>
      </c>
      <c r="G1252" s="8" t="s">
        <v>5141</v>
      </c>
    </row>
    <row r="1253" spans="1:7" x14ac:dyDescent="0.25">
      <c r="A1253" s="4" t="s">
        <v>648</v>
      </c>
      <c r="B1253" s="2">
        <f>VALUE("9434")</f>
        <v>9434</v>
      </c>
      <c r="C1253" s="4" t="s">
        <v>5205</v>
      </c>
      <c r="D1253" s="4" t="s">
        <v>5206</v>
      </c>
      <c r="E1253" s="2">
        <f>VALUE("2023")</f>
        <v>2023</v>
      </c>
      <c r="F1253" t="s">
        <v>5207</v>
      </c>
      <c r="G1253" s="8" t="s">
        <v>5208</v>
      </c>
    </row>
    <row r="1254" spans="1:7" x14ac:dyDescent="0.25">
      <c r="A1254" s="4" t="s">
        <v>648</v>
      </c>
      <c r="B1254" s="2" t="s">
        <v>5250</v>
      </c>
      <c r="C1254" s="4" t="s">
        <v>4633</v>
      </c>
      <c r="D1254" s="4" t="s">
        <v>4634</v>
      </c>
      <c r="E1254" s="2">
        <f>VALUE("2021")</f>
        <v>2021</v>
      </c>
      <c r="F1254" t="s">
        <v>648</v>
      </c>
      <c r="G1254" s="8" t="s">
        <v>4635</v>
      </c>
    </row>
    <row r="1255" spans="1:7" x14ac:dyDescent="0.25">
      <c r="A1255" s="4" t="s">
        <v>1109</v>
      </c>
      <c r="B1255" s="2">
        <f>VALUE("7228")</f>
        <v>7228</v>
      </c>
      <c r="C1255" s="4" t="s">
        <v>1107</v>
      </c>
      <c r="D1255" s="4" t="s">
        <v>1108</v>
      </c>
      <c r="E1255" s="2">
        <f>VALUE("2009")</f>
        <v>2009</v>
      </c>
      <c r="F1255" t="s">
        <v>1109</v>
      </c>
      <c r="G1255" s="8" t="s">
        <v>1110</v>
      </c>
    </row>
    <row r="1256" spans="1:7" x14ac:dyDescent="0.25">
      <c r="A1256" s="4" t="s">
        <v>1109</v>
      </c>
      <c r="B1256" s="2">
        <f>VALUE("7447")</f>
        <v>7447</v>
      </c>
      <c r="C1256" s="4" t="s">
        <v>1726</v>
      </c>
      <c r="D1256" s="4" t="s">
        <v>1727</v>
      </c>
      <c r="E1256" s="2">
        <f>VALUE("2013")</f>
        <v>2013</v>
      </c>
      <c r="F1256" t="s">
        <v>1728</v>
      </c>
    </row>
    <row r="1257" spans="1:7" x14ac:dyDescent="0.25">
      <c r="A1257" s="4" t="s">
        <v>1109</v>
      </c>
      <c r="B1257" s="2">
        <f>VALUE("7447")</f>
        <v>7447</v>
      </c>
      <c r="C1257" s="4" t="s">
        <v>1729</v>
      </c>
      <c r="D1257" s="4" t="s">
        <v>1727</v>
      </c>
      <c r="E1257" s="2">
        <f>VALUE("2014")</f>
        <v>2014</v>
      </c>
      <c r="F1257" t="s">
        <v>1730</v>
      </c>
      <c r="G1257" s="8" t="s">
        <v>1731</v>
      </c>
    </row>
    <row r="1258" spans="1:7" x14ac:dyDescent="0.25">
      <c r="A1258" s="4" t="s">
        <v>1109</v>
      </c>
      <c r="B1258" s="2">
        <f>VALUE("7448")</f>
        <v>7448</v>
      </c>
      <c r="C1258" s="4" t="s">
        <v>1732</v>
      </c>
      <c r="D1258" s="4" t="s">
        <v>1733</v>
      </c>
      <c r="E1258" s="2">
        <f>VALUE("2014")</f>
        <v>2014</v>
      </c>
      <c r="F1258" t="s">
        <v>1109</v>
      </c>
    </row>
    <row r="1259" spans="1:7" x14ac:dyDescent="0.25">
      <c r="A1259" s="4" t="s">
        <v>4177</v>
      </c>
      <c r="B1259" s="2">
        <f>VALUE("8527")</f>
        <v>8527</v>
      </c>
      <c r="C1259" s="4" t="s">
        <v>4175</v>
      </c>
      <c r="D1259" s="4" t="s">
        <v>4176</v>
      </c>
      <c r="E1259" s="2">
        <f>VALUE("2020")</f>
        <v>2020</v>
      </c>
      <c r="G1259" s="8" t="s">
        <v>4178</v>
      </c>
    </row>
    <row r="1260" spans="1:7" x14ac:dyDescent="0.25">
      <c r="A1260" s="4" t="s">
        <v>4177</v>
      </c>
      <c r="B1260" s="2">
        <f>VALUE("8657")</f>
        <v>8657</v>
      </c>
      <c r="C1260" s="4" t="s">
        <v>4463</v>
      </c>
      <c r="D1260" s="4" t="s">
        <v>4464</v>
      </c>
      <c r="E1260" s="2">
        <f>VALUE("2020")</f>
        <v>2020</v>
      </c>
      <c r="F1260" t="s">
        <v>4465</v>
      </c>
      <c r="G1260" s="8" t="s">
        <v>4466</v>
      </c>
    </row>
    <row r="1261" spans="1:7" x14ac:dyDescent="0.25">
      <c r="A1261" s="4" t="s">
        <v>4177</v>
      </c>
      <c r="B1261" s="2">
        <f>VALUE("8657")</f>
        <v>8657</v>
      </c>
      <c r="C1261" s="4" t="s">
        <v>4467</v>
      </c>
      <c r="D1261" s="4" t="s">
        <v>4464</v>
      </c>
      <c r="E1261" s="2">
        <f>VALUE("2020")</f>
        <v>2020</v>
      </c>
      <c r="F1261" t="s">
        <v>4465</v>
      </c>
      <c r="G1261" s="8" t="s">
        <v>4468</v>
      </c>
    </row>
    <row r="1262" spans="1:7" x14ac:dyDescent="0.25">
      <c r="A1262" s="4" t="s">
        <v>4774</v>
      </c>
      <c r="B1262" s="2">
        <f>VALUE("8841")</f>
        <v>8841</v>
      </c>
      <c r="C1262" s="4" t="s">
        <v>4773</v>
      </c>
      <c r="D1262" s="4" t="s">
        <v>293</v>
      </c>
      <c r="E1262" s="2">
        <f>VALUE("2020")</f>
        <v>2020</v>
      </c>
      <c r="F1262" t="s">
        <v>4774</v>
      </c>
      <c r="G1262" s="8" t="s">
        <v>4775</v>
      </c>
    </row>
    <row r="1263" spans="1:7" x14ac:dyDescent="0.25">
      <c r="A1263" s="4" t="s">
        <v>2198</v>
      </c>
      <c r="B1263" s="2">
        <f>VALUE("7653")</f>
        <v>7653</v>
      </c>
      <c r="C1263" s="4" t="s">
        <v>2195</v>
      </c>
      <c r="D1263" s="4" t="s">
        <v>2196</v>
      </c>
      <c r="E1263" s="2">
        <f>VALUE("2014")</f>
        <v>2014</v>
      </c>
      <c r="F1263" t="s">
        <v>2197</v>
      </c>
    </row>
    <row r="1264" spans="1:7" x14ac:dyDescent="0.25">
      <c r="A1264" s="4" t="s">
        <v>2830</v>
      </c>
      <c r="B1264" s="2">
        <f>VALUE("7894")</f>
        <v>7894</v>
      </c>
      <c r="C1264" s="4" t="s">
        <v>2828</v>
      </c>
      <c r="D1264" s="4" t="s">
        <v>2829</v>
      </c>
      <c r="E1264" s="2">
        <f>VALUE("2015")</f>
        <v>2015</v>
      </c>
      <c r="F1264" t="s">
        <v>2830</v>
      </c>
    </row>
    <row r="1265" spans="1:7" x14ac:dyDescent="0.25">
      <c r="A1265" s="4" t="s">
        <v>2830</v>
      </c>
      <c r="B1265" s="2">
        <f>VALUE("8096")</f>
        <v>8096</v>
      </c>
      <c r="C1265" s="4" t="s">
        <v>3200</v>
      </c>
      <c r="D1265" s="4" t="s">
        <v>3201</v>
      </c>
      <c r="E1265" s="2">
        <f>VALUE("2019")</f>
        <v>2019</v>
      </c>
      <c r="F1265" t="s">
        <v>2830</v>
      </c>
      <c r="G1265" s="8" t="s">
        <v>3202</v>
      </c>
    </row>
    <row r="1266" spans="1:7" x14ac:dyDescent="0.25">
      <c r="A1266" s="4" t="s">
        <v>22</v>
      </c>
      <c r="B1266" s="2">
        <f>VALUE("0511")</f>
        <v>511</v>
      </c>
      <c r="C1266" s="4" t="s">
        <v>19</v>
      </c>
      <c r="D1266" s="4" t="s">
        <v>20</v>
      </c>
      <c r="E1266" s="2">
        <f>VALUE("2010")</f>
        <v>2010</v>
      </c>
      <c r="F1266" t="s">
        <v>21</v>
      </c>
    </row>
    <row r="1267" spans="1:7" x14ac:dyDescent="0.25">
      <c r="A1267" s="4" t="s">
        <v>22</v>
      </c>
      <c r="B1267" s="2">
        <f>VALUE("0511")</f>
        <v>511</v>
      </c>
      <c r="C1267" s="4" t="s">
        <v>23</v>
      </c>
      <c r="D1267" s="4" t="s">
        <v>24</v>
      </c>
      <c r="E1267" s="2">
        <f>VALUE("2012")</f>
        <v>2012</v>
      </c>
      <c r="F1267" t="s">
        <v>25</v>
      </c>
    </row>
    <row r="1268" spans="1:7" x14ac:dyDescent="0.25">
      <c r="A1268" s="4" t="s">
        <v>22</v>
      </c>
      <c r="B1268" s="2">
        <f>VALUE("0511")</f>
        <v>511</v>
      </c>
      <c r="C1268" s="4" t="s">
        <v>26</v>
      </c>
      <c r="D1268" s="4" t="s">
        <v>24</v>
      </c>
      <c r="E1268" s="2">
        <f>VALUE("2012")</f>
        <v>2012</v>
      </c>
      <c r="F1268" t="s">
        <v>27</v>
      </c>
    </row>
    <row r="1269" spans="1:7" x14ac:dyDescent="0.25">
      <c r="A1269" s="4" t="s">
        <v>22</v>
      </c>
      <c r="B1269" s="2">
        <f>VALUE("1064")</f>
        <v>1064</v>
      </c>
      <c r="C1269" s="4" t="s">
        <v>66</v>
      </c>
      <c r="D1269" s="4" t="s">
        <v>67</v>
      </c>
      <c r="E1269" s="2">
        <f>VALUE("2015")</f>
        <v>2015</v>
      </c>
      <c r="F1269" t="s">
        <v>68</v>
      </c>
    </row>
    <row r="1270" spans="1:7" x14ac:dyDescent="0.25">
      <c r="A1270" s="4" t="s">
        <v>22</v>
      </c>
      <c r="B1270" s="2">
        <f>VALUE("7457")</f>
        <v>7457</v>
      </c>
      <c r="C1270" s="4" t="s">
        <v>1752</v>
      </c>
      <c r="D1270" s="4" t="s">
        <v>1757</v>
      </c>
      <c r="E1270" s="2">
        <f>VALUE("2018")</f>
        <v>2018</v>
      </c>
      <c r="F1270" t="s">
        <v>22</v>
      </c>
      <c r="G1270" s="8" t="s">
        <v>1758</v>
      </c>
    </row>
    <row r="1271" spans="1:7" x14ac:dyDescent="0.25">
      <c r="A1271" s="4" t="s">
        <v>1755</v>
      </c>
      <c r="B1271" s="2" t="s">
        <v>5251</v>
      </c>
      <c r="C1271" s="4" t="s">
        <v>1752</v>
      </c>
      <c r="D1271" s="4" t="s">
        <v>1753</v>
      </c>
      <c r="E1271" s="2">
        <f>VALUE("2018")</f>
        <v>2018</v>
      </c>
      <c r="F1271" t="s">
        <v>1754</v>
      </c>
      <c r="G1271" s="8" t="s">
        <v>1756</v>
      </c>
    </row>
    <row r="1272" spans="1:7" x14ac:dyDescent="0.25">
      <c r="A1272" s="4" t="s">
        <v>1400</v>
      </c>
      <c r="B1272" s="2">
        <f>VALUE("7307")</f>
        <v>7307</v>
      </c>
      <c r="C1272" s="4" t="s">
        <v>1397</v>
      </c>
      <c r="D1272" s="4" t="s">
        <v>1398</v>
      </c>
      <c r="E1272" s="2">
        <f>VALUE("2012")</f>
        <v>2012</v>
      </c>
      <c r="F1272" t="s">
        <v>1399</v>
      </c>
    </row>
    <row r="1273" spans="1:7" x14ac:dyDescent="0.25">
      <c r="A1273" s="4" t="s">
        <v>1400</v>
      </c>
      <c r="B1273" s="2">
        <f>VALUE("7628")</f>
        <v>7628</v>
      </c>
      <c r="C1273" s="4" t="s">
        <v>2126</v>
      </c>
      <c r="D1273" s="4" t="s">
        <v>2127</v>
      </c>
      <c r="E1273" s="2">
        <f>VALUE("2019")</f>
        <v>2019</v>
      </c>
      <c r="F1273" t="s">
        <v>1378</v>
      </c>
      <c r="G1273" s="8" t="s">
        <v>2128</v>
      </c>
    </row>
    <row r="1274" spans="1:7" x14ac:dyDescent="0.25">
      <c r="A1274" s="4" t="s">
        <v>1033</v>
      </c>
      <c r="B1274" s="2">
        <f>VALUE("7188")</f>
        <v>7188</v>
      </c>
      <c r="C1274" s="4" t="s">
        <v>1030</v>
      </c>
      <c r="D1274" s="4" t="s">
        <v>1031</v>
      </c>
      <c r="E1274" s="2">
        <f>VALUE("2018")</f>
        <v>2018</v>
      </c>
      <c r="F1274" t="s">
        <v>1032</v>
      </c>
      <c r="G1274" s="8" t="s">
        <v>1034</v>
      </c>
    </row>
    <row r="1275" spans="1:7" x14ac:dyDescent="0.25">
      <c r="A1275" s="4" t="s">
        <v>1033</v>
      </c>
      <c r="B1275" s="2">
        <f>VALUE("7320")</f>
        <v>7320</v>
      </c>
      <c r="C1275" s="4" t="s">
        <v>1468</v>
      </c>
      <c r="D1275" s="4" t="s">
        <v>1469</v>
      </c>
      <c r="E1275" s="2">
        <f>VALUE("2014")</f>
        <v>2014</v>
      </c>
      <c r="F1275" t="s">
        <v>1470</v>
      </c>
      <c r="G1275" s="8" t="s">
        <v>1471</v>
      </c>
    </row>
    <row r="1276" spans="1:7" x14ac:dyDescent="0.25">
      <c r="A1276" s="4" t="s">
        <v>1033</v>
      </c>
      <c r="B1276" s="2">
        <f>VALUE("7320")</f>
        <v>7320</v>
      </c>
      <c r="C1276" s="4" t="s">
        <v>1472</v>
      </c>
      <c r="D1276" s="4" t="s">
        <v>1469</v>
      </c>
      <c r="E1276" s="2">
        <f>VALUE("2014")</f>
        <v>2014</v>
      </c>
      <c r="F1276" t="s">
        <v>1473</v>
      </c>
      <c r="G1276" s="8" t="s">
        <v>1474</v>
      </c>
    </row>
    <row r="1277" spans="1:7" x14ac:dyDescent="0.25">
      <c r="A1277" s="4" t="s">
        <v>1033</v>
      </c>
      <c r="B1277" s="2">
        <f>VALUE("8302")</f>
        <v>8302</v>
      </c>
      <c r="C1277" s="4" t="s">
        <v>3703</v>
      </c>
      <c r="D1277" s="4" t="s">
        <v>3704</v>
      </c>
      <c r="E1277" s="2">
        <f>VALUE("2020")</f>
        <v>2020</v>
      </c>
      <c r="F1277" t="s">
        <v>3705</v>
      </c>
      <c r="G1277" s="8" t="s">
        <v>3706</v>
      </c>
    </row>
    <row r="1278" spans="1:7" x14ac:dyDescent="0.25">
      <c r="A1278" s="4" t="s">
        <v>1033</v>
      </c>
      <c r="B1278" s="2">
        <f>VALUE("8535")</f>
        <v>8535</v>
      </c>
      <c r="C1278" s="4" t="s">
        <v>4208</v>
      </c>
      <c r="D1278" s="4" t="s">
        <v>4209</v>
      </c>
      <c r="E1278" s="2">
        <f>VALUE("2020")</f>
        <v>2020</v>
      </c>
      <c r="F1278" t="s">
        <v>149</v>
      </c>
    </row>
    <row r="1279" spans="1:7" x14ac:dyDescent="0.25">
      <c r="A1279" s="4" t="s">
        <v>4988</v>
      </c>
      <c r="B1279" s="2">
        <f>VALUE("9054")</f>
        <v>9054</v>
      </c>
      <c r="C1279" s="4" t="s">
        <v>4986</v>
      </c>
      <c r="D1279" s="4" t="s">
        <v>4987</v>
      </c>
      <c r="E1279" s="2">
        <f>VALUE("2021")</f>
        <v>2021</v>
      </c>
      <c r="F1279" t="s">
        <v>22</v>
      </c>
      <c r="G1279" s="8" t="s">
        <v>4989</v>
      </c>
    </row>
    <row r="1280" spans="1:7" x14ac:dyDescent="0.25">
      <c r="A1280" s="4" t="s">
        <v>150</v>
      </c>
      <c r="B1280" s="2">
        <f>VALUE("6015")</f>
        <v>6015</v>
      </c>
      <c r="C1280" s="4" t="s">
        <v>147</v>
      </c>
      <c r="D1280" s="4" t="s">
        <v>148</v>
      </c>
      <c r="E1280" s="2">
        <f>VALUE("2007")</f>
        <v>2007</v>
      </c>
      <c r="F1280" t="s">
        <v>149</v>
      </c>
    </row>
    <row r="1281" spans="1:7" x14ac:dyDescent="0.25">
      <c r="A1281" s="4" t="s">
        <v>150</v>
      </c>
      <c r="B1281" s="2">
        <f>VALUE("6016")</f>
        <v>6016</v>
      </c>
      <c r="C1281" s="4" t="s">
        <v>151</v>
      </c>
      <c r="D1281" s="4" t="s">
        <v>152</v>
      </c>
      <c r="E1281" s="2">
        <f>VALUE("2008")</f>
        <v>2008</v>
      </c>
      <c r="F1281" t="s">
        <v>153</v>
      </c>
    </row>
    <row r="1282" spans="1:7" x14ac:dyDescent="0.25">
      <c r="A1282" s="4" t="s">
        <v>150</v>
      </c>
      <c r="B1282" s="2">
        <f>VALUE("6166")</f>
        <v>6166</v>
      </c>
      <c r="C1282" s="4" t="s">
        <v>472</v>
      </c>
      <c r="D1282" s="4" t="s">
        <v>473</v>
      </c>
      <c r="E1282" s="2">
        <f>VALUE("2011")</f>
        <v>2011</v>
      </c>
      <c r="F1282" t="s">
        <v>474</v>
      </c>
      <c r="G1282" s="8" t="s">
        <v>475</v>
      </c>
    </row>
    <row r="1283" spans="1:7" x14ac:dyDescent="0.25">
      <c r="A1283" s="4" t="s">
        <v>150</v>
      </c>
      <c r="B1283" s="2">
        <f t="shared" ref="B1283:B1293" si="25">VALUE("7262")</f>
        <v>7262</v>
      </c>
      <c r="C1283" s="4" t="s">
        <v>1209</v>
      </c>
      <c r="D1283" s="4" t="s">
        <v>1210</v>
      </c>
      <c r="E1283" s="2">
        <f>VALUE("2014")</f>
        <v>2014</v>
      </c>
      <c r="F1283" t="s">
        <v>1211</v>
      </c>
    </row>
    <row r="1284" spans="1:7" x14ac:dyDescent="0.25">
      <c r="A1284" s="4" t="s">
        <v>150</v>
      </c>
      <c r="B1284" s="2">
        <f t="shared" si="25"/>
        <v>7262</v>
      </c>
      <c r="C1284" s="4" t="s">
        <v>1191</v>
      </c>
      <c r="D1284" s="4" t="s">
        <v>1192</v>
      </c>
      <c r="E1284" s="2">
        <f>VALUE("2013")</f>
        <v>2013</v>
      </c>
      <c r="F1284" t="s">
        <v>1193</v>
      </c>
    </row>
    <row r="1285" spans="1:7" x14ac:dyDescent="0.25">
      <c r="A1285" s="4" t="s">
        <v>150</v>
      </c>
      <c r="B1285" s="2">
        <f t="shared" si="25"/>
        <v>7262</v>
      </c>
      <c r="C1285" s="4" t="s">
        <v>1216</v>
      </c>
      <c r="D1285" s="4" t="s">
        <v>1217</v>
      </c>
      <c r="E1285" s="2">
        <f>VALUE("2017")</f>
        <v>2017</v>
      </c>
      <c r="F1285" t="s">
        <v>1211</v>
      </c>
    </row>
    <row r="1286" spans="1:7" x14ac:dyDescent="0.25">
      <c r="A1286" s="4" t="s">
        <v>150</v>
      </c>
      <c r="B1286" s="2">
        <f t="shared" si="25"/>
        <v>7262</v>
      </c>
      <c r="C1286" s="4" t="s">
        <v>1206</v>
      </c>
      <c r="D1286" s="4" t="s">
        <v>1207</v>
      </c>
      <c r="E1286" s="2">
        <f>VALUE("2017")</f>
        <v>2017</v>
      </c>
      <c r="F1286" t="s">
        <v>1208</v>
      </c>
    </row>
    <row r="1287" spans="1:7" x14ac:dyDescent="0.25">
      <c r="A1287" s="4" t="s">
        <v>150</v>
      </c>
      <c r="B1287" s="2">
        <f t="shared" si="25"/>
        <v>7262</v>
      </c>
      <c r="C1287" s="4" t="s">
        <v>1218</v>
      </c>
      <c r="D1287" s="4" t="s">
        <v>1219</v>
      </c>
      <c r="E1287" s="2">
        <f>VALUE("2022")</f>
        <v>2022</v>
      </c>
      <c r="F1287" t="s">
        <v>974</v>
      </c>
      <c r="G1287" s="8" t="s">
        <v>1220</v>
      </c>
    </row>
    <row r="1288" spans="1:7" x14ac:dyDescent="0.25">
      <c r="A1288" s="4" t="s">
        <v>150</v>
      </c>
      <c r="B1288" s="2">
        <f t="shared" si="25"/>
        <v>7262</v>
      </c>
      <c r="C1288" s="4" t="s">
        <v>1214</v>
      </c>
      <c r="D1288" s="4" t="s">
        <v>1215</v>
      </c>
      <c r="E1288" s="2">
        <f>VALUE("2016")</f>
        <v>2016</v>
      </c>
      <c r="F1288" t="s">
        <v>1211</v>
      </c>
    </row>
    <row r="1289" spans="1:7" x14ac:dyDescent="0.25">
      <c r="A1289" s="4" t="s">
        <v>150</v>
      </c>
      <c r="B1289" s="2">
        <f t="shared" si="25"/>
        <v>7262</v>
      </c>
      <c r="C1289" s="4" t="s">
        <v>1194</v>
      </c>
      <c r="D1289" s="4" t="s">
        <v>1195</v>
      </c>
      <c r="E1289" s="2">
        <f>VALUE("2013")</f>
        <v>2013</v>
      </c>
      <c r="F1289" t="s">
        <v>1196</v>
      </c>
    </row>
    <row r="1290" spans="1:7" x14ac:dyDescent="0.25">
      <c r="A1290" s="4" t="s">
        <v>150</v>
      </c>
      <c r="B1290" s="2">
        <f t="shared" si="25"/>
        <v>7262</v>
      </c>
      <c r="C1290" s="4" t="s">
        <v>1197</v>
      </c>
      <c r="D1290" s="4" t="s">
        <v>1198</v>
      </c>
      <c r="E1290" s="2">
        <f>VALUE("2013")</f>
        <v>2013</v>
      </c>
      <c r="F1290" t="s">
        <v>1199</v>
      </c>
    </row>
    <row r="1291" spans="1:7" x14ac:dyDescent="0.25">
      <c r="A1291" s="4" t="s">
        <v>150</v>
      </c>
      <c r="B1291" s="2">
        <f t="shared" si="25"/>
        <v>7262</v>
      </c>
      <c r="C1291" s="4" t="s">
        <v>1200</v>
      </c>
      <c r="D1291" s="4" t="s">
        <v>1201</v>
      </c>
      <c r="E1291" s="2">
        <f>VALUE("2013")</f>
        <v>2013</v>
      </c>
      <c r="F1291" t="s">
        <v>1202</v>
      </c>
    </row>
    <row r="1292" spans="1:7" x14ac:dyDescent="0.25">
      <c r="A1292" s="4" t="s">
        <v>150</v>
      </c>
      <c r="B1292" s="2">
        <f t="shared" si="25"/>
        <v>7262</v>
      </c>
      <c r="C1292" s="4" t="s">
        <v>1203</v>
      </c>
      <c r="D1292" s="4" t="s">
        <v>1204</v>
      </c>
      <c r="E1292" s="2">
        <f>VALUE("2013")</f>
        <v>2013</v>
      </c>
      <c r="F1292" t="s">
        <v>1205</v>
      </c>
    </row>
    <row r="1293" spans="1:7" x14ac:dyDescent="0.25">
      <c r="A1293" s="4" t="s">
        <v>150</v>
      </c>
      <c r="B1293" s="2">
        <f t="shared" si="25"/>
        <v>7262</v>
      </c>
      <c r="C1293" s="4" t="s">
        <v>1212</v>
      </c>
      <c r="D1293" s="4" t="s">
        <v>1213</v>
      </c>
      <c r="E1293" s="2">
        <f>VALUE("2015")</f>
        <v>2015</v>
      </c>
      <c r="F1293" t="s">
        <v>1211</v>
      </c>
    </row>
    <row r="1294" spans="1:7" x14ac:dyDescent="0.25">
      <c r="A1294" s="4" t="s">
        <v>150</v>
      </c>
      <c r="B1294" s="2">
        <f>VALUE("7264")</f>
        <v>7264</v>
      </c>
      <c r="C1294" s="4" t="s">
        <v>1221</v>
      </c>
      <c r="D1294" s="4" t="s">
        <v>1222</v>
      </c>
      <c r="E1294" s="2">
        <f>VALUE("2013")</f>
        <v>2013</v>
      </c>
      <c r="F1294" t="s">
        <v>1223</v>
      </c>
      <c r="G1294" s="8" t="s">
        <v>1224</v>
      </c>
    </row>
    <row r="1295" spans="1:7" x14ac:dyDescent="0.25">
      <c r="A1295" s="4" t="s">
        <v>150</v>
      </c>
      <c r="B1295" s="2">
        <f>VALUE("8801")</f>
        <v>8801</v>
      </c>
      <c r="C1295" s="4" t="s">
        <v>4721</v>
      </c>
      <c r="D1295" s="4" t="s">
        <v>4722</v>
      </c>
      <c r="E1295" s="2">
        <f>VALUE("2022")</f>
        <v>2022</v>
      </c>
      <c r="F1295" t="s">
        <v>1446</v>
      </c>
      <c r="G1295" s="8" t="s">
        <v>4723</v>
      </c>
    </row>
    <row r="1296" spans="1:7" x14ac:dyDescent="0.25">
      <c r="A1296" s="4" t="s">
        <v>150</v>
      </c>
      <c r="B1296" s="2">
        <f>VALUE("8801")</f>
        <v>8801</v>
      </c>
      <c r="C1296" s="4" t="s">
        <v>4727</v>
      </c>
      <c r="D1296" s="4" t="s">
        <v>4728</v>
      </c>
      <c r="E1296" s="2">
        <f>VALUE("2019")</f>
        <v>2019</v>
      </c>
      <c r="F1296" t="s">
        <v>4729</v>
      </c>
      <c r="G1296" s="8" t="s">
        <v>4730</v>
      </c>
    </row>
    <row r="1297" spans="1:7" x14ac:dyDescent="0.25">
      <c r="A1297" s="4" t="s">
        <v>150</v>
      </c>
      <c r="B1297" s="2">
        <f>VALUE("8801")</f>
        <v>8801</v>
      </c>
      <c r="C1297" s="4" t="s">
        <v>4724</v>
      </c>
      <c r="D1297" s="4" t="s">
        <v>4725</v>
      </c>
      <c r="E1297" s="2">
        <f>VALUE("2022")</f>
        <v>2022</v>
      </c>
      <c r="F1297" t="s">
        <v>1446</v>
      </c>
      <c r="G1297" s="8" t="s">
        <v>4726</v>
      </c>
    </row>
    <row r="1298" spans="1:7" x14ac:dyDescent="0.25">
      <c r="A1298" s="4" t="s">
        <v>2998</v>
      </c>
      <c r="B1298" s="2">
        <f>VALUE("7991")</f>
        <v>7991</v>
      </c>
      <c r="C1298" s="4" t="s">
        <v>2995</v>
      </c>
      <c r="D1298" s="4" t="s">
        <v>2996</v>
      </c>
      <c r="E1298" s="2">
        <f>VALUE("2018")</f>
        <v>2018</v>
      </c>
      <c r="F1298" t="s">
        <v>2997</v>
      </c>
    </row>
    <row r="1299" spans="1:7" x14ac:dyDescent="0.25">
      <c r="A1299" s="4" t="s">
        <v>2998</v>
      </c>
      <c r="B1299" s="2">
        <f>VALUE("7991")</f>
        <v>7991</v>
      </c>
      <c r="C1299" s="4" t="s">
        <v>2999</v>
      </c>
      <c r="D1299" s="4" t="s">
        <v>2996</v>
      </c>
      <c r="E1299" s="2">
        <f>VALUE("2018")</f>
        <v>2018</v>
      </c>
      <c r="F1299" t="s">
        <v>2997</v>
      </c>
    </row>
    <row r="1300" spans="1:7" x14ac:dyDescent="0.25">
      <c r="A1300" s="4" t="s">
        <v>2998</v>
      </c>
      <c r="B1300" s="2">
        <f>VALUE("8126")</f>
        <v>8126</v>
      </c>
      <c r="C1300" s="4" t="s">
        <v>3278</v>
      </c>
      <c r="D1300" s="4" t="s">
        <v>3279</v>
      </c>
      <c r="E1300" s="2">
        <f>VALUE("2018")</f>
        <v>2018</v>
      </c>
      <c r="F1300" t="s">
        <v>3276</v>
      </c>
      <c r="G1300" s="8" t="s">
        <v>3280</v>
      </c>
    </row>
    <row r="1301" spans="1:7" x14ac:dyDescent="0.25">
      <c r="A1301" s="4" t="s">
        <v>2998</v>
      </c>
      <c r="B1301" s="2">
        <f>VALUE("8126")</f>
        <v>8126</v>
      </c>
      <c r="C1301" s="4" t="s">
        <v>3274</v>
      </c>
      <c r="D1301" s="4" t="s">
        <v>3275</v>
      </c>
      <c r="E1301" s="2">
        <f>VALUE("2020")</f>
        <v>2020</v>
      </c>
      <c r="F1301" t="s">
        <v>3276</v>
      </c>
      <c r="G1301" s="8" t="s">
        <v>3277</v>
      </c>
    </row>
    <row r="1302" spans="1:7" x14ac:dyDescent="0.25">
      <c r="A1302" s="4" t="s">
        <v>2998</v>
      </c>
      <c r="B1302" s="2">
        <f>VALUE("8180")</f>
        <v>8180</v>
      </c>
      <c r="C1302" s="4" t="s">
        <v>3423</v>
      </c>
      <c r="D1302" s="4" t="s">
        <v>3424</v>
      </c>
      <c r="E1302" s="2">
        <f>VALUE("2018")</f>
        <v>2018</v>
      </c>
      <c r="F1302" t="s">
        <v>1033</v>
      </c>
      <c r="G1302" s="8" t="s">
        <v>3425</v>
      </c>
    </row>
    <row r="1303" spans="1:7" x14ac:dyDescent="0.25">
      <c r="A1303" s="4" t="s">
        <v>2998</v>
      </c>
      <c r="B1303" s="2">
        <f>VALUE("8180")</f>
        <v>8180</v>
      </c>
      <c r="C1303" s="4" t="s">
        <v>3429</v>
      </c>
      <c r="D1303" s="4" t="s">
        <v>3424</v>
      </c>
      <c r="E1303" s="2">
        <f>VALUE("2019")</f>
        <v>2019</v>
      </c>
      <c r="F1303" t="s">
        <v>1033</v>
      </c>
      <c r="G1303" s="8" t="s">
        <v>3430</v>
      </c>
    </row>
    <row r="1304" spans="1:7" x14ac:dyDescent="0.25">
      <c r="A1304" s="4" t="s">
        <v>2998</v>
      </c>
      <c r="B1304" s="2">
        <f>VALUE("8180")</f>
        <v>8180</v>
      </c>
      <c r="C1304" s="4" t="s">
        <v>3426</v>
      </c>
      <c r="D1304" s="4" t="s">
        <v>3427</v>
      </c>
      <c r="E1304" s="2">
        <f>VALUE("2019")</f>
        <v>2019</v>
      </c>
      <c r="F1304" t="s">
        <v>1033</v>
      </c>
      <c r="G1304" s="8" t="s">
        <v>3428</v>
      </c>
    </row>
    <row r="1305" spans="1:7" x14ac:dyDescent="0.25">
      <c r="A1305" s="4" t="s">
        <v>2998</v>
      </c>
      <c r="B1305" s="2">
        <f>VALUE("8180")</f>
        <v>8180</v>
      </c>
      <c r="C1305" s="4" t="s">
        <v>3431</v>
      </c>
      <c r="D1305" s="4" t="s">
        <v>3432</v>
      </c>
      <c r="E1305" s="2">
        <f>VALUE("2018")</f>
        <v>2018</v>
      </c>
      <c r="F1305" t="s">
        <v>1033</v>
      </c>
      <c r="G1305" s="8" t="s">
        <v>3433</v>
      </c>
    </row>
    <row r="1306" spans="1:7" x14ac:dyDescent="0.25">
      <c r="A1306" s="4" t="s">
        <v>1056</v>
      </c>
      <c r="B1306" s="2">
        <f>VALUE("8280")</f>
        <v>8280</v>
      </c>
      <c r="C1306" s="4" t="s">
        <v>3660</v>
      </c>
      <c r="D1306" s="4" t="s">
        <v>3661</v>
      </c>
      <c r="E1306" s="2">
        <f>VALUE("2020")</f>
        <v>2020</v>
      </c>
      <c r="F1306" t="s">
        <v>3662</v>
      </c>
      <c r="G1306" s="8" t="s">
        <v>3663</v>
      </c>
    </row>
    <row r="1307" spans="1:7" x14ac:dyDescent="0.25">
      <c r="A1307" s="4" t="s">
        <v>1056</v>
      </c>
      <c r="B1307" s="2">
        <f>VALUE("8558")</f>
        <v>8558</v>
      </c>
      <c r="C1307" s="4" t="s">
        <v>4254</v>
      </c>
      <c r="D1307" s="4" t="s">
        <v>4255</v>
      </c>
      <c r="E1307" s="2">
        <f>VALUE("2021")</f>
        <v>2021</v>
      </c>
      <c r="F1307" t="s">
        <v>4256</v>
      </c>
      <c r="G1307" s="8" t="s">
        <v>4257</v>
      </c>
    </row>
    <row r="1308" spans="1:7" x14ac:dyDescent="0.25">
      <c r="A1308" s="4" t="s">
        <v>1056</v>
      </c>
      <c r="B1308" s="2">
        <f>VALUE("8682")</f>
        <v>8682</v>
      </c>
      <c r="C1308" s="4" t="s">
        <v>4506</v>
      </c>
      <c r="D1308" s="4" t="s">
        <v>4507</v>
      </c>
      <c r="E1308" s="2">
        <f>VALUE("2020")</f>
        <v>2020</v>
      </c>
      <c r="F1308" t="s">
        <v>1056</v>
      </c>
      <c r="G1308" s="8" t="s">
        <v>4508</v>
      </c>
    </row>
    <row r="1309" spans="1:7" x14ac:dyDescent="0.25">
      <c r="A1309" s="4" t="s">
        <v>1056</v>
      </c>
      <c r="B1309" s="2">
        <f>VALUE("8896")</f>
        <v>8896</v>
      </c>
      <c r="C1309" s="4" t="s">
        <v>4852</v>
      </c>
      <c r="D1309" s="4" t="s">
        <v>4850</v>
      </c>
      <c r="E1309" s="2">
        <f>VALUE("2023")</f>
        <v>2023</v>
      </c>
      <c r="F1309" t="s">
        <v>1056</v>
      </c>
      <c r="G1309" s="8" t="s">
        <v>4853</v>
      </c>
    </row>
    <row r="1310" spans="1:7" x14ac:dyDescent="0.25">
      <c r="A1310" s="4" t="s">
        <v>1056</v>
      </c>
      <c r="B1310" s="2">
        <f>VALUE("8896")</f>
        <v>8896</v>
      </c>
      <c r="C1310" s="4" t="s">
        <v>4849</v>
      </c>
      <c r="D1310" s="4" t="s">
        <v>4850</v>
      </c>
      <c r="E1310" s="2">
        <f>VALUE("2022")</f>
        <v>2022</v>
      </c>
      <c r="F1310" t="s">
        <v>1056</v>
      </c>
      <c r="G1310" s="8" t="s">
        <v>4851</v>
      </c>
    </row>
    <row r="1311" spans="1:7" x14ac:dyDescent="0.25">
      <c r="A1311" s="4" t="s">
        <v>1718</v>
      </c>
      <c r="B1311" s="2">
        <f>VALUE("7443")</f>
        <v>7443</v>
      </c>
      <c r="C1311" s="4" t="s">
        <v>1716</v>
      </c>
      <c r="D1311" s="4" t="s">
        <v>1717</v>
      </c>
      <c r="E1311" s="2">
        <f>VALUE("2013")</f>
        <v>2013</v>
      </c>
      <c r="F1311" s="4" t="s">
        <v>1056</v>
      </c>
      <c r="G1311" s="8" t="s">
        <v>1719</v>
      </c>
    </row>
    <row r="1312" spans="1:7" x14ac:dyDescent="0.25">
      <c r="A1312" s="4" t="s">
        <v>1718</v>
      </c>
      <c r="B1312" s="2">
        <f>VALUE("7494")</f>
        <v>7494</v>
      </c>
      <c r="C1312" s="4" t="s">
        <v>1824</v>
      </c>
      <c r="D1312" s="4" t="s">
        <v>1825</v>
      </c>
      <c r="E1312" s="2">
        <f>VALUE("2013")</f>
        <v>2013</v>
      </c>
      <c r="F1312" t="s">
        <v>1056</v>
      </c>
    </row>
    <row r="1313" spans="1:7" x14ac:dyDescent="0.25">
      <c r="A1313" s="4" t="s">
        <v>1718</v>
      </c>
      <c r="B1313" s="2">
        <f>VALUE("7494")</f>
        <v>7494</v>
      </c>
      <c r="C1313" s="4" t="s">
        <v>1826</v>
      </c>
      <c r="D1313" s="4" t="s">
        <v>1827</v>
      </c>
      <c r="E1313" s="2">
        <f>VALUE("2013")</f>
        <v>2013</v>
      </c>
      <c r="F1313" t="s">
        <v>1828</v>
      </c>
      <c r="G1313" s="8" t="s">
        <v>1829</v>
      </c>
    </row>
    <row r="1314" spans="1:7" x14ac:dyDescent="0.25">
      <c r="A1314" s="4" t="s">
        <v>1718</v>
      </c>
      <c r="B1314" s="2">
        <f>VALUE("7876")</f>
        <v>7876</v>
      </c>
      <c r="C1314" s="4" t="s">
        <v>2797</v>
      </c>
      <c r="D1314" s="4" t="s">
        <v>2798</v>
      </c>
      <c r="E1314" s="2">
        <f>VALUE("2019")</f>
        <v>2019</v>
      </c>
      <c r="F1314" t="s">
        <v>1056</v>
      </c>
    </row>
    <row r="1315" spans="1:7" x14ac:dyDescent="0.25">
      <c r="A1315" s="4" t="s">
        <v>1718</v>
      </c>
      <c r="B1315" s="2">
        <f>VALUE("7876")</f>
        <v>7876</v>
      </c>
      <c r="C1315" s="4" t="s">
        <v>2795</v>
      </c>
      <c r="D1315" s="4" t="s">
        <v>2796</v>
      </c>
      <c r="E1315" s="2">
        <f>VALUE("2019")</f>
        <v>2019</v>
      </c>
      <c r="F1315" t="s">
        <v>1056</v>
      </c>
    </row>
    <row r="1316" spans="1:7" x14ac:dyDescent="0.25">
      <c r="A1316" s="4" t="s">
        <v>1688</v>
      </c>
      <c r="B1316" s="2">
        <f>VALUE("7430")</f>
        <v>7430</v>
      </c>
      <c r="C1316" s="4" t="s">
        <v>1685</v>
      </c>
      <c r="D1316" s="4" t="s">
        <v>1686</v>
      </c>
      <c r="E1316" s="2">
        <f>VALUE("2013")</f>
        <v>2013</v>
      </c>
      <c r="F1316" t="s">
        <v>1687</v>
      </c>
    </row>
    <row r="1317" spans="1:7" x14ac:dyDescent="0.25">
      <c r="A1317" s="4" t="s">
        <v>1688</v>
      </c>
      <c r="B1317" s="2">
        <f>VALUE("8969")</f>
        <v>8969</v>
      </c>
      <c r="C1317" s="4" t="s">
        <v>4920</v>
      </c>
      <c r="D1317" s="4" t="s">
        <v>293</v>
      </c>
      <c r="E1317" s="2">
        <f>VALUE("2023")</f>
        <v>2023</v>
      </c>
      <c r="F1317" t="s">
        <v>4921</v>
      </c>
      <c r="G1317" s="8" t="s">
        <v>4922</v>
      </c>
    </row>
    <row r="1318" spans="1:7" x14ac:dyDescent="0.25">
      <c r="A1318" s="4" t="s">
        <v>644</v>
      </c>
      <c r="B1318" s="2">
        <f>VALUE("7046")</f>
        <v>7046</v>
      </c>
      <c r="C1318" s="4" t="s">
        <v>641</v>
      </c>
      <c r="D1318" s="4" t="s">
        <v>642</v>
      </c>
      <c r="E1318" s="2">
        <f>VALUE("2015")</f>
        <v>2015</v>
      </c>
      <c r="F1318" t="s">
        <v>643</v>
      </c>
      <c r="G1318" s="8" t="s">
        <v>645</v>
      </c>
    </row>
    <row r="1319" spans="1:7" x14ac:dyDescent="0.25">
      <c r="A1319" s="4" t="s">
        <v>644</v>
      </c>
      <c r="B1319" s="2">
        <f t="shared" ref="B1319:B1324" si="26">VALUE("7108")</f>
        <v>7108</v>
      </c>
      <c r="C1319" s="4" t="s">
        <v>767</v>
      </c>
      <c r="D1319" s="4" t="s">
        <v>768</v>
      </c>
      <c r="E1319" s="2">
        <f>VALUE("2012")</f>
        <v>2012</v>
      </c>
      <c r="F1319" t="s">
        <v>769</v>
      </c>
      <c r="G1319" s="8" t="s">
        <v>770</v>
      </c>
    </row>
    <row r="1320" spans="1:7" x14ac:dyDescent="0.25">
      <c r="A1320" s="4" t="s">
        <v>644</v>
      </c>
      <c r="B1320" s="2">
        <f t="shared" si="26"/>
        <v>7108</v>
      </c>
      <c r="C1320" s="4" t="s">
        <v>771</v>
      </c>
      <c r="D1320" s="4" t="s">
        <v>772</v>
      </c>
      <c r="E1320" s="2">
        <f>VALUE("2012")</f>
        <v>2012</v>
      </c>
      <c r="F1320" t="s">
        <v>773</v>
      </c>
      <c r="G1320" s="8" t="s">
        <v>774</v>
      </c>
    </row>
    <row r="1321" spans="1:7" x14ac:dyDescent="0.25">
      <c r="A1321" s="4" t="s">
        <v>644</v>
      </c>
      <c r="B1321" s="2">
        <f t="shared" si="26"/>
        <v>7108</v>
      </c>
      <c r="C1321" s="4" t="s">
        <v>775</v>
      </c>
      <c r="D1321" s="4" t="s">
        <v>776</v>
      </c>
      <c r="E1321" s="2">
        <f>VALUE("2012")</f>
        <v>2012</v>
      </c>
      <c r="F1321" t="s">
        <v>777</v>
      </c>
      <c r="G1321" s="8" t="s">
        <v>778</v>
      </c>
    </row>
    <row r="1322" spans="1:7" x14ac:dyDescent="0.25">
      <c r="A1322" s="4" t="s">
        <v>644</v>
      </c>
      <c r="B1322" s="2">
        <f t="shared" si="26"/>
        <v>7108</v>
      </c>
      <c r="C1322" s="4" t="s">
        <v>779</v>
      </c>
      <c r="D1322" s="4" t="s">
        <v>780</v>
      </c>
      <c r="E1322" s="2">
        <f>VALUE("2012")</f>
        <v>2012</v>
      </c>
      <c r="F1322" t="s">
        <v>781</v>
      </c>
      <c r="G1322" s="8" t="s">
        <v>782</v>
      </c>
    </row>
    <row r="1323" spans="1:7" x14ac:dyDescent="0.25">
      <c r="A1323" s="4" t="s">
        <v>644</v>
      </c>
      <c r="B1323" s="2">
        <f t="shared" si="26"/>
        <v>7108</v>
      </c>
      <c r="C1323" s="4" t="s">
        <v>783</v>
      </c>
      <c r="D1323" s="4" t="s">
        <v>784</v>
      </c>
      <c r="E1323" s="2">
        <f>VALUE("2011")</f>
        <v>2011</v>
      </c>
      <c r="F1323" t="s">
        <v>785</v>
      </c>
      <c r="G1323" s="8" t="s">
        <v>786</v>
      </c>
    </row>
    <row r="1324" spans="1:7" x14ac:dyDescent="0.25">
      <c r="A1324" s="4" t="s">
        <v>644</v>
      </c>
      <c r="B1324" s="2">
        <f t="shared" si="26"/>
        <v>7108</v>
      </c>
      <c r="C1324" s="4" t="s">
        <v>787</v>
      </c>
      <c r="D1324" s="4" t="s">
        <v>772</v>
      </c>
      <c r="E1324" s="2">
        <f>VALUE("2013")</f>
        <v>2013</v>
      </c>
      <c r="F1324" t="s">
        <v>788</v>
      </c>
      <c r="G1324" s="8" t="s">
        <v>789</v>
      </c>
    </row>
    <row r="1325" spans="1:7" x14ac:dyDescent="0.25">
      <c r="A1325" s="4" t="s">
        <v>644</v>
      </c>
      <c r="B1325" s="2">
        <f>VALUE("7200")</f>
        <v>7200</v>
      </c>
      <c r="C1325" s="4" t="s">
        <v>1054</v>
      </c>
      <c r="D1325" s="4" t="s">
        <v>1055</v>
      </c>
      <c r="E1325" s="2">
        <f>VALUE("2012")</f>
        <v>2012</v>
      </c>
      <c r="F1325" t="s">
        <v>1056</v>
      </c>
      <c r="G1325" s="8" t="s">
        <v>1057</v>
      </c>
    </row>
    <row r="1326" spans="1:7" x14ac:dyDescent="0.25">
      <c r="A1326" s="4" t="s">
        <v>644</v>
      </c>
      <c r="B1326" s="2">
        <f>VALUE("7200")</f>
        <v>7200</v>
      </c>
      <c r="C1326" s="4" t="s">
        <v>1046</v>
      </c>
      <c r="D1326" s="4" t="s">
        <v>1047</v>
      </c>
      <c r="E1326" s="2">
        <f>VALUE("2015")</f>
        <v>2015</v>
      </c>
      <c r="F1326" t="s">
        <v>1048</v>
      </c>
      <c r="G1326" s="8" t="s">
        <v>1049</v>
      </c>
    </row>
    <row r="1327" spans="1:7" x14ac:dyDescent="0.25">
      <c r="A1327" s="4" t="s">
        <v>644</v>
      </c>
      <c r="B1327" s="2">
        <f>VALUE("7200")</f>
        <v>7200</v>
      </c>
      <c r="C1327" s="4" t="s">
        <v>1050</v>
      </c>
      <c r="D1327" s="4" t="s">
        <v>1051</v>
      </c>
      <c r="E1327" s="2">
        <f>VALUE("2015")</f>
        <v>2015</v>
      </c>
      <c r="F1327" t="s">
        <v>1052</v>
      </c>
      <c r="G1327" s="8" t="s">
        <v>1053</v>
      </c>
    </row>
    <row r="1328" spans="1:7" x14ac:dyDescent="0.25">
      <c r="A1328" s="4" t="s">
        <v>644</v>
      </c>
      <c r="B1328" s="2">
        <f>VALUE("7540")</f>
        <v>7540</v>
      </c>
      <c r="C1328" s="4" t="s">
        <v>1926</v>
      </c>
      <c r="D1328" s="4" t="s">
        <v>1927</v>
      </c>
      <c r="E1328" s="2">
        <f>VALUE("2014")</f>
        <v>2014</v>
      </c>
      <c r="F1328" t="s">
        <v>1056</v>
      </c>
      <c r="G1328" s="8" t="s">
        <v>1928</v>
      </c>
    </row>
    <row r="1329" spans="1:7" x14ac:dyDescent="0.25">
      <c r="A1329" s="4" t="s">
        <v>4559</v>
      </c>
      <c r="B1329" s="2">
        <f>VALUE("8716")</f>
        <v>8716</v>
      </c>
      <c r="C1329" s="4" t="s">
        <v>4556</v>
      </c>
      <c r="D1329" s="4" t="s">
        <v>4557</v>
      </c>
      <c r="E1329" s="2">
        <f>VALUE("2020")</f>
        <v>2020</v>
      </c>
      <c r="F1329" t="s">
        <v>4558</v>
      </c>
    </row>
    <row r="1330" spans="1:7" x14ac:dyDescent="0.25">
      <c r="A1330" s="4" t="s">
        <v>2758</v>
      </c>
      <c r="B1330" s="2">
        <f>VALUE("7864")</f>
        <v>7864</v>
      </c>
      <c r="C1330" s="4" t="s">
        <v>2755</v>
      </c>
      <c r="D1330" s="4" t="s">
        <v>2756</v>
      </c>
      <c r="E1330" s="2">
        <f>VALUE("2016")</f>
        <v>2016</v>
      </c>
      <c r="F1330" t="s">
        <v>2757</v>
      </c>
      <c r="G1330" s="8" t="s">
        <v>2759</v>
      </c>
    </row>
    <row r="1331" spans="1:7" x14ac:dyDescent="0.25">
      <c r="A1331" s="4" t="s">
        <v>2193</v>
      </c>
      <c r="B1331" s="2">
        <f>VALUE("7652")</f>
        <v>7652</v>
      </c>
      <c r="C1331" s="4" t="s">
        <v>2191</v>
      </c>
      <c r="D1331" s="4" t="s">
        <v>2192</v>
      </c>
      <c r="E1331" s="2">
        <f>VALUE("2020")</f>
        <v>2020</v>
      </c>
      <c r="F1331" t="s">
        <v>153</v>
      </c>
      <c r="G1331" s="8" t="s">
        <v>2194</v>
      </c>
    </row>
    <row r="1332" spans="1:7" x14ac:dyDescent="0.25">
      <c r="A1332" s="4" t="s">
        <v>1128</v>
      </c>
      <c r="B1332" s="2">
        <f>VALUE("7233")</f>
        <v>7233</v>
      </c>
      <c r="C1332" s="4" t="s">
        <v>1125</v>
      </c>
      <c r="D1332" s="4" t="s">
        <v>1126</v>
      </c>
      <c r="E1332" s="2">
        <f>VALUE("2012")</f>
        <v>2012</v>
      </c>
      <c r="F1332" t="s">
        <v>1127</v>
      </c>
      <c r="G1332" s="8" t="s">
        <v>1129</v>
      </c>
    </row>
    <row r="1333" spans="1:7" x14ac:dyDescent="0.25">
      <c r="A1333" s="4" t="s">
        <v>31</v>
      </c>
      <c r="B1333" s="2">
        <f>VALUE("1004")</f>
        <v>1004</v>
      </c>
      <c r="C1333" s="4" t="s">
        <v>28</v>
      </c>
      <c r="D1333" s="4" t="s">
        <v>29</v>
      </c>
      <c r="E1333" s="2">
        <f>VALUE("2006")</f>
        <v>2006</v>
      </c>
      <c r="F1333" t="s">
        <v>30</v>
      </c>
    </row>
    <row r="1334" spans="1:7" x14ac:dyDescent="0.25">
      <c r="A1334" s="4" t="s">
        <v>31</v>
      </c>
      <c r="B1334" s="2">
        <f>VALUE("1004")</f>
        <v>1004</v>
      </c>
      <c r="C1334" s="4" t="s">
        <v>32</v>
      </c>
      <c r="D1334" s="4" t="s">
        <v>33</v>
      </c>
      <c r="E1334" s="2">
        <f>VALUE("2006")</f>
        <v>2006</v>
      </c>
      <c r="F1334" t="s">
        <v>31</v>
      </c>
    </row>
    <row r="1335" spans="1:7" x14ac:dyDescent="0.25">
      <c r="A1335" s="4" t="s">
        <v>31</v>
      </c>
      <c r="B1335" s="2">
        <f>VALUE("1004")</f>
        <v>1004</v>
      </c>
      <c r="C1335" s="4" t="s">
        <v>34</v>
      </c>
      <c r="D1335" s="4" t="s">
        <v>35</v>
      </c>
      <c r="E1335" s="2">
        <f>VALUE("2006")</f>
        <v>2006</v>
      </c>
      <c r="F1335" t="s">
        <v>31</v>
      </c>
    </row>
    <row r="1336" spans="1:7" x14ac:dyDescent="0.25">
      <c r="A1336" s="4" t="s">
        <v>31</v>
      </c>
      <c r="B1336" s="2">
        <f>VALUE("7490")</f>
        <v>7490</v>
      </c>
      <c r="C1336" s="4" t="s">
        <v>1818</v>
      </c>
      <c r="D1336" s="4" t="s">
        <v>1819</v>
      </c>
      <c r="E1336" s="2">
        <f>VALUE("2014")</f>
        <v>2014</v>
      </c>
      <c r="F1336" t="s">
        <v>1820</v>
      </c>
    </row>
    <row r="1337" spans="1:7" x14ac:dyDescent="0.25">
      <c r="A1337" s="4" t="s">
        <v>31</v>
      </c>
      <c r="B1337" s="2">
        <f>VALUE("8172")</f>
        <v>8172</v>
      </c>
      <c r="C1337" s="4" t="s">
        <v>3407</v>
      </c>
      <c r="D1337" s="4" t="s">
        <v>3408</v>
      </c>
      <c r="E1337" s="2">
        <f>VALUE("2018")</f>
        <v>2018</v>
      </c>
      <c r="F1337" t="s">
        <v>974</v>
      </c>
    </row>
    <row r="1338" spans="1:7" x14ac:dyDescent="0.25">
      <c r="A1338" s="4" t="s">
        <v>5</v>
      </c>
      <c r="B1338" s="2">
        <f t="shared" ref="B1338:B1352" si="27">VALUE("7312")</f>
        <v>7312</v>
      </c>
      <c r="C1338" s="4" t="s">
        <v>1412</v>
      </c>
      <c r="D1338" s="4" t="s">
        <v>1413</v>
      </c>
      <c r="E1338" s="2">
        <f>VALUE("2014")</f>
        <v>2014</v>
      </c>
      <c r="F1338" t="s">
        <v>5</v>
      </c>
    </row>
    <row r="1339" spans="1:7" x14ac:dyDescent="0.25">
      <c r="A1339" s="4" t="s">
        <v>5</v>
      </c>
      <c r="B1339" s="2">
        <f t="shared" si="27"/>
        <v>7312</v>
      </c>
      <c r="C1339" s="4" t="s">
        <v>1423</v>
      </c>
      <c r="D1339" s="4" t="s">
        <v>1424</v>
      </c>
      <c r="E1339" s="2">
        <f>VALUE("2017")</f>
        <v>2017</v>
      </c>
      <c r="F1339" t="s">
        <v>1425</v>
      </c>
    </row>
    <row r="1340" spans="1:7" x14ac:dyDescent="0.25">
      <c r="A1340" s="4" t="s">
        <v>5</v>
      </c>
      <c r="B1340" s="2">
        <f t="shared" si="27"/>
        <v>7312</v>
      </c>
      <c r="C1340" s="4" t="s">
        <v>1414</v>
      </c>
      <c r="D1340" s="4" t="s">
        <v>1415</v>
      </c>
      <c r="E1340" s="2">
        <f>VALUE("2014")</f>
        <v>2014</v>
      </c>
      <c r="F1340" t="s">
        <v>1416</v>
      </c>
      <c r="G1340" s="8" t="s">
        <v>1417</v>
      </c>
    </row>
    <row r="1341" spans="1:7" x14ac:dyDescent="0.25">
      <c r="A1341" s="4" t="s">
        <v>5</v>
      </c>
      <c r="B1341" s="2">
        <f t="shared" si="27"/>
        <v>7312</v>
      </c>
      <c r="C1341" s="4" t="s">
        <v>1429</v>
      </c>
      <c r="D1341" s="4" t="s">
        <v>1430</v>
      </c>
      <c r="E1341" s="2">
        <f>VALUE("2018")</f>
        <v>2018</v>
      </c>
      <c r="F1341" t="s">
        <v>1431</v>
      </c>
    </row>
    <row r="1342" spans="1:7" x14ac:dyDescent="0.25">
      <c r="A1342" s="4" t="s">
        <v>5</v>
      </c>
      <c r="B1342" s="2">
        <f t="shared" si="27"/>
        <v>7312</v>
      </c>
      <c r="C1342" s="4" t="s">
        <v>1426</v>
      </c>
      <c r="D1342" s="4" t="s">
        <v>1427</v>
      </c>
      <c r="E1342" s="2">
        <f>VALUE("2018")</f>
        <v>2018</v>
      </c>
      <c r="F1342" t="s">
        <v>1428</v>
      </c>
    </row>
    <row r="1343" spans="1:7" x14ac:dyDescent="0.25">
      <c r="A1343" s="4" t="s">
        <v>5</v>
      </c>
      <c r="B1343" s="2">
        <f t="shared" si="27"/>
        <v>7312</v>
      </c>
      <c r="C1343" s="4" t="s">
        <v>1454</v>
      </c>
      <c r="D1343" s="4" t="s">
        <v>1455</v>
      </c>
      <c r="E1343" s="2">
        <f>VALUE("2018")</f>
        <v>2018</v>
      </c>
      <c r="F1343" t="s">
        <v>1456</v>
      </c>
      <c r="G1343" s="8" t="s">
        <v>1457</v>
      </c>
    </row>
    <row r="1344" spans="1:7" x14ac:dyDescent="0.25">
      <c r="A1344" s="4" t="s">
        <v>5</v>
      </c>
      <c r="B1344" s="2">
        <f t="shared" si="27"/>
        <v>7312</v>
      </c>
      <c r="C1344" s="4" t="s">
        <v>1444</v>
      </c>
      <c r="D1344" s="4" t="s">
        <v>1445</v>
      </c>
      <c r="E1344" s="2">
        <f>VALUE("2021")</f>
        <v>2021</v>
      </c>
      <c r="F1344" t="s">
        <v>1446</v>
      </c>
      <c r="G1344" s="8" t="s">
        <v>1447</v>
      </c>
    </row>
    <row r="1345" spans="1:7" x14ac:dyDescent="0.25">
      <c r="A1345" s="4" t="s">
        <v>5</v>
      </c>
      <c r="B1345" s="2">
        <f t="shared" si="27"/>
        <v>7312</v>
      </c>
      <c r="C1345" s="4" t="s">
        <v>1448</v>
      </c>
      <c r="D1345" s="4" t="s">
        <v>1449</v>
      </c>
      <c r="E1345" s="2">
        <f>VALUE("2021")</f>
        <v>2021</v>
      </c>
      <c r="F1345" t="s">
        <v>1446</v>
      </c>
      <c r="G1345" s="8" t="s">
        <v>1450</v>
      </c>
    </row>
    <row r="1346" spans="1:7" x14ac:dyDescent="0.25">
      <c r="A1346" s="4" t="s">
        <v>5</v>
      </c>
      <c r="B1346" s="2">
        <f t="shared" si="27"/>
        <v>7312</v>
      </c>
      <c r="C1346" s="4" t="s">
        <v>1434</v>
      </c>
      <c r="D1346" s="4" t="s">
        <v>1435</v>
      </c>
      <c r="E1346" s="2">
        <f>VALUE("2020")</f>
        <v>2020</v>
      </c>
      <c r="F1346" t="s">
        <v>31</v>
      </c>
      <c r="G1346" s="8" t="s">
        <v>1436</v>
      </c>
    </row>
    <row r="1347" spans="1:7" x14ac:dyDescent="0.25">
      <c r="A1347" s="4" t="s">
        <v>5</v>
      </c>
      <c r="B1347" s="2">
        <f t="shared" si="27"/>
        <v>7312</v>
      </c>
      <c r="C1347" s="4" t="s">
        <v>6</v>
      </c>
      <c r="D1347" s="4" t="s">
        <v>1432</v>
      </c>
      <c r="E1347" s="2">
        <f>VALUE("2015")</f>
        <v>2015</v>
      </c>
      <c r="F1347" t="s">
        <v>1433</v>
      </c>
    </row>
    <row r="1348" spans="1:7" x14ac:dyDescent="0.25">
      <c r="A1348" s="4" t="s">
        <v>5</v>
      </c>
      <c r="B1348" s="2">
        <f t="shared" si="27"/>
        <v>7312</v>
      </c>
      <c r="C1348" s="4" t="s">
        <v>1418</v>
      </c>
      <c r="D1348" s="4" t="s">
        <v>1419</v>
      </c>
      <c r="E1348" s="2">
        <f>VALUE("2013")</f>
        <v>2013</v>
      </c>
      <c r="F1348" t="s">
        <v>11</v>
      </c>
      <c r="G1348" s="8" t="s">
        <v>1420</v>
      </c>
    </row>
    <row r="1349" spans="1:7" x14ac:dyDescent="0.25">
      <c r="A1349" s="4" t="s">
        <v>5</v>
      </c>
      <c r="B1349" s="2">
        <f t="shared" si="27"/>
        <v>7312</v>
      </c>
      <c r="C1349" s="4" t="s">
        <v>1441</v>
      </c>
      <c r="D1349" s="4" t="s">
        <v>1442</v>
      </c>
      <c r="E1349" s="2">
        <f>VALUE("2015")</f>
        <v>2015</v>
      </c>
      <c r="F1349" t="s">
        <v>31</v>
      </c>
      <c r="G1349" s="8" t="s">
        <v>1443</v>
      </c>
    </row>
    <row r="1350" spans="1:7" x14ac:dyDescent="0.25">
      <c r="A1350" s="4" t="s">
        <v>5</v>
      </c>
      <c r="B1350" s="2">
        <f t="shared" si="27"/>
        <v>7312</v>
      </c>
      <c r="C1350" s="4" t="s">
        <v>1421</v>
      </c>
      <c r="D1350" s="4" t="s">
        <v>1413</v>
      </c>
      <c r="E1350" s="2">
        <f>VALUE("2014")</f>
        <v>2014</v>
      </c>
      <c r="F1350" t="s">
        <v>1422</v>
      </c>
    </row>
    <row r="1351" spans="1:7" x14ac:dyDescent="0.25">
      <c r="A1351" s="4" t="s">
        <v>5</v>
      </c>
      <c r="B1351" s="2">
        <f t="shared" si="27"/>
        <v>7312</v>
      </c>
      <c r="C1351" s="4" t="s">
        <v>1451</v>
      </c>
      <c r="D1351" s="4" t="s">
        <v>1452</v>
      </c>
      <c r="E1351" s="2">
        <f>VALUE("2016")</f>
        <v>2016</v>
      </c>
      <c r="F1351" t="s">
        <v>1446</v>
      </c>
      <c r="G1351" s="8" t="s">
        <v>1453</v>
      </c>
    </row>
    <row r="1352" spans="1:7" x14ac:dyDescent="0.25">
      <c r="A1352" s="4" t="s">
        <v>5</v>
      </c>
      <c r="B1352" s="2">
        <f t="shared" si="27"/>
        <v>7312</v>
      </c>
      <c r="C1352" s="4" t="s">
        <v>1437</v>
      </c>
      <c r="D1352" s="4" t="s">
        <v>1438</v>
      </c>
      <c r="E1352" s="2">
        <f>VALUE("2018")</f>
        <v>2018</v>
      </c>
      <c r="F1352" t="s">
        <v>1439</v>
      </c>
      <c r="G1352" s="8" t="s">
        <v>1440</v>
      </c>
    </row>
    <row r="1353" spans="1:7" x14ac:dyDescent="0.25">
      <c r="A1353" s="4" t="s">
        <v>5</v>
      </c>
      <c r="B1353" s="2">
        <f>VALUE("7746")</f>
        <v>7746</v>
      </c>
      <c r="C1353" s="4" t="s">
        <v>2507</v>
      </c>
      <c r="D1353" s="4" t="s">
        <v>2508</v>
      </c>
      <c r="E1353" s="2">
        <f>VALUE("2016")</f>
        <v>2016</v>
      </c>
      <c r="F1353" t="s">
        <v>2509</v>
      </c>
    </row>
    <row r="1354" spans="1:7" x14ac:dyDescent="0.25">
      <c r="A1354" s="4" t="s">
        <v>5</v>
      </c>
      <c r="B1354" s="2">
        <f>VALUE("7913")</f>
        <v>7913</v>
      </c>
      <c r="C1354" s="4" t="s">
        <v>2879</v>
      </c>
      <c r="D1354" s="4" t="s">
        <v>2880</v>
      </c>
      <c r="E1354" s="2">
        <f>VALUE("2017")</f>
        <v>2017</v>
      </c>
      <c r="F1354" t="s">
        <v>2881</v>
      </c>
      <c r="G1354" s="8" t="s">
        <v>2882</v>
      </c>
    </row>
    <row r="1355" spans="1:7" x14ac:dyDescent="0.25">
      <c r="A1355" s="4" t="s">
        <v>5</v>
      </c>
      <c r="B1355" s="2">
        <f>VALUE("7913")</f>
        <v>7913</v>
      </c>
      <c r="C1355" s="4" t="s">
        <v>2883</v>
      </c>
      <c r="D1355" s="4" t="s">
        <v>2884</v>
      </c>
      <c r="E1355" s="2">
        <f>VALUE("2016")</f>
        <v>2016</v>
      </c>
      <c r="F1355" t="s">
        <v>2885</v>
      </c>
      <c r="G1355" s="8" t="s">
        <v>2886</v>
      </c>
    </row>
    <row r="1356" spans="1:7" x14ac:dyDescent="0.25">
      <c r="A1356" s="4" t="s">
        <v>5</v>
      </c>
      <c r="B1356" s="2">
        <f>VALUE("8229")</f>
        <v>8229</v>
      </c>
      <c r="C1356" s="4" t="s">
        <v>3520</v>
      </c>
      <c r="D1356" s="4" t="s">
        <v>3521</v>
      </c>
      <c r="E1356" s="2">
        <f>VALUE("2019")</f>
        <v>2019</v>
      </c>
      <c r="F1356" t="s">
        <v>2509</v>
      </c>
      <c r="G1356" s="8" t="s">
        <v>3522</v>
      </c>
    </row>
    <row r="1357" spans="1:7" x14ac:dyDescent="0.25">
      <c r="A1357" s="4" t="s">
        <v>5</v>
      </c>
      <c r="B1357" s="2">
        <f>VALUE("8229")</f>
        <v>8229</v>
      </c>
      <c r="C1357" s="4" t="s">
        <v>3523</v>
      </c>
      <c r="D1357" s="4" t="s">
        <v>3524</v>
      </c>
      <c r="E1357" s="2">
        <f>VALUE("2018")</f>
        <v>2018</v>
      </c>
      <c r="F1357" t="s">
        <v>2509</v>
      </c>
      <c r="G1357" s="8" t="s">
        <v>3525</v>
      </c>
    </row>
    <row r="1358" spans="1:7" x14ac:dyDescent="0.25">
      <c r="A1358" s="4" t="s">
        <v>5</v>
      </c>
      <c r="B1358" s="2">
        <f>VALUE("9171")</f>
        <v>9171</v>
      </c>
      <c r="C1358" s="4" t="s">
        <v>5089</v>
      </c>
      <c r="D1358" s="4" t="s">
        <v>5090</v>
      </c>
      <c r="E1358" s="2">
        <f>VALUE("2022")</f>
        <v>2022</v>
      </c>
      <c r="F1358" t="s">
        <v>2509</v>
      </c>
    </row>
    <row r="1359" spans="1:7" x14ac:dyDescent="0.25">
      <c r="A1359" s="4" t="s">
        <v>5</v>
      </c>
      <c r="B1359" s="2">
        <v>7312</v>
      </c>
      <c r="C1359" s="4" t="s">
        <v>6</v>
      </c>
      <c r="D1359" s="4" t="s">
        <v>7</v>
      </c>
      <c r="E1359" s="2">
        <f>VALUE("2015")</f>
        <v>2015</v>
      </c>
      <c r="F1359" t="s">
        <v>8</v>
      </c>
      <c r="G1359" s="8" t="s">
        <v>9</v>
      </c>
    </row>
    <row r="1360" spans="1:7" x14ac:dyDescent="0.25">
      <c r="A1360" s="4" t="s">
        <v>5</v>
      </c>
      <c r="B1360" s="2">
        <v>7312</v>
      </c>
      <c r="C1360" s="4" t="s">
        <v>10</v>
      </c>
      <c r="D1360" s="4" t="s">
        <v>7</v>
      </c>
      <c r="E1360" s="2">
        <f>VALUE("2013")</f>
        <v>2013</v>
      </c>
      <c r="F1360" t="s">
        <v>11</v>
      </c>
      <c r="G1360" s="8" t="s">
        <v>12</v>
      </c>
    </row>
    <row r="1361" spans="1:7" x14ac:dyDescent="0.25">
      <c r="A1361" s="4" t="s">
        <v>3895</v>
      </c>
      <c r="B1361" s="2">
        <f>VALUE("8407")</f>
        <v>8407</v>
      </c>
      <c r="C1361" s="4" t="s">
        <v>3894</v>
      </c>
      <c r="D1361" s="4" t="s">
        <v>293</v>
      </c>
      <c r="E1361" s="2">
        <f>VALUE("2022")</f>
        <v>2022</v>
      </c>
      <c r="F1361" t="s">
        <v>3895</v>
      </c>
      <c r="G1361" s="8" t="s">
        <v>3896</v>
      </c>
    </row>
    <row r="1362" spans="1:7" x14ac:dyDescent="0.25">
      <c r="A1362" s="4" t="s">
        <v>1833</v>
      </c>
      <c r="B1362" s="2">
        <f>VALUE("7495")</f>
        <v>7495</v>
      </c>
      <c r="C1362" s="4" t="s">
        <v>1830</v>
      </c>
      <c r="D1362" s="4" t="s">
        <v>1831</v>
      </c>
      <c r="E1362" s="2">
        <f>VALUE("2016")</f>
        <v>2016</v>
      </c>
      <c r="F1362" t="s">
        <v>1832</v>
      </c>
    </row>
    <row r="1363" spans="1:7" x14ac:dyDescent="0.25">
      <c r="A1363" s="4" t="s">
        <v>1833</v>
      </c>
      <c r="B1363" s="2">
        <f>VALUE("7760")</f>
        <v>7760</v>
      </c>
      <c r="C1363" s="4" t="s">
        <v>2532</v>
      </c>
      <c r="D1363" s="4" t="s">
        <v>2533</v>
      </c>
      <c r="E1363" s="2">
        <f>VALUE("2018")</f>
        <v>2018</v>
      </c>
      <c r="F1363" t="s">
        <v>2534</v>
      </c>
    </row>
    <row r="1364" spans="1:7" x14ac:dyDescent="0.25">
      <c r="A1364" s="4" t="s">
        <v>1833</v>
      </c>
      <c r="B1364" s="2">
        <f>VALUE("8047")</f>
        <v>8047</v>
      </c>
      <c r="C1364" s="4" t="s">
        <v>3105</v>
      </c>
      <c r="D1364" s="4" t="s">
        <v>3106</v>
      </c>
      <c r="E1364" s="2">
        <f>VALUE("2018")</f>
        <v>2018</v>
      </c>
      <c r="F1364" t="s">
        <v>1833</v>
      </c>
      <c r="G1364" s="8" t="s">
        <v>3107</v>
      </c>
    </row>
    <row r="1365" spans="1:7" x14ac:dyDescent="0.25">
      <c r="A1365" s="4" t="s">
        <v>1833</v>
      </c>
      <c r="B1365" s="2">
        <f>VALUE("8047")</f>
        <v>8047</v>
      </c>
      <c r="C1365" s="4" t="s">
        <v>3102</v>
      </c>
      <c r="D1365" s="4" t="s">
        <v>3103</v>
      </c>
      <c r="E1365" s="2">
        <f>VALUE("2020")</f>
        <v>2020</v>
      </c>
      <c r="F1365" t="s">
        <v>1833</v>
      </c>
      <c r="G1365" s="8" t="s">
        <v>3104</v>
      </c>
    </row>
    <row r="1366" spans="1:7" x14ac:dyDescent="0.25">
      <c r="A1366" s="4" t="s">
        <v>1833</v>
      </c>
      <c r="B1366" s="2">
        <f>VALUE("8205")</f>
        <v>8205</v>
      </c>
      <c r="C1366" s="4" t="s">
        <v>3477</v>
      </c>
      <c r="D1366" s="4" t="s">
        <v>3478</v>
      </c>
      <c r="E1366" s="2">
        <f>VALUE("2021")</f>
        <v>2021</v>
      </c>
      <c r="F1366" t="s">
        <v>1833</v>
      </c>
    </row>
    <row r="1367" spans="1:7" x14ac:dyDescent="0.25">
      <c r="A1367" s="4" t="s">
        <v>2102</v>
      </c>
      <c r="B1367" s="2">
        <f>VALUE("7621")</f>
        <v>7621</v>
      </c>
      <c r="C1367" s="4" t="s">
        <v>2099</v>
      </c>
      <c r="D1367" s="4" t="s">
        <v>2100</v>
      </c>
      <c r="E1367" s="2">
        <f>VALUE("2015")</f>
        <v>2015</v>
      </c>
      <c r="F1367" t="s">
        <v>2101</v>
      </c>
    </row>
    <row r="1368" spans="1:7" x14ac:dyDescent="0.25">
      <c r="A1368" s="4" t="s">
        <v>2102</v>
      </c>
      <c r="B1368" s="2">
        <f>VALUE("7621")</f>
        <v>7621</v>
      </c>
      <c r="C1368" s="4" t="s">
        <v>2103</v>
      </c>
      <c r="D1368" s="4" t="s">
        <v>2104</v>
      </c>
      <c r="E1368" s="2">
        <f>VALUE("2015")</f>
        <v>2015</v>
      </c>
      <c r="F1368" t="s">
        <v>2105</v>
      </c>
      <c r="G1368" s="8" t="s">
        <v>2106</v>
      </c>
    </row>
    <row r="1369" spans="1:7" x14ac:dyDescent="0.25">
      <c r="A1369" s="4" t="s">
        <v>2102</v>
      </c>
      <c r="B1369" s="2">
        <f>VALUE("7621")</f>
        <v>7621</v>
      </c>
      <c r="C1369" s="4" t="s">
        <v>2107</v>
      </c>
      <c r="D1369" s="4" t="s">
        <v>2104</v>
      </c>
      <c r="E1369" s="2">
        <f>VALUE("2015")</f>
        <v>2015</v>
      </c>
      <c r="F1369" t="s">
        <v>2108</v>
      </c>
    </row>
    <row r="1370" spans="1:7" x14ac:dyDescent="0.25">
      <c r="A1370" s="4" t="s">
        <v>2102</v>
      </c>
      <c r="B1370" s="2">
        <f>VALUE("7621")</f>
        <v>7621</v>
      </c>
      <c r="C1370" s="4" t="s">
        <v>2109</v>
      </c>
      <c r="D1370" s="4" t="s">
        <v>2110</v>
      </c>
      <c r="E1370" s="2">
        <f>VALUE("2016")</f>
        <v>2016</v>
      </c>
      <c r="F1370" t="s">
        <v>2111</v>
      </c>
      <c r="G1370" s="8" t="s">
        <v>2112</v>
      </c>
    </row>
    <row r="1371" spans="1:7" x14ac:dyDescent="0.25">
      <c r="A1371" s="4" t="s">
        <v>2102</v>
      </c>
      <c r="B1371" s="2">
        <f>VALUE("8542")</f>
        <v>8542</v>
      </c>
      <c r="C1371" s="4" t="s">
        <v>4220</v>
      </c>
      <c r="D1371" s="4" t="s">
        <v>4221</v>
      </c>
      <c r="E1371" s="2">
        <f>VALUE("2021")</f>
        <v>2021</v>
      </c>
      <c r="F1371" t="s">
        <v>4222</v>
      </c>
    </row>
    <row r="1372" spans="1:7" x14ac:dyDescent="0.25">
      <c r="A1372" s="4" t="s">
        <v>2102</v>
      </c>
      <c r="B1372" s="2">
        <f>VALUE("8542")</f>
        <v>8542</v>
      </c>
      <c r="C1372" s="4" t="s">
        <v>4217</v>
      </c>
      <c r="D1372" s="4" t="s">
        <v>4218</v>
      </c>
      <c r="E1372" s="2">
        <f>VALUE("2020")</f>
        <v>2020</v>
      </c>
      <c r="F1372" t="s">
        <v>4219</v>
      </c>
    </row>
    <row r="1373" spans="1:7" x14ac:dyDescent="0.25">
      <c r="A1373" s="4" t="s">
        <v>2102</v>
      </c>
      <c r="B1373" s="2">
        <f>VALUE("8975")</f>
        <v>8975</v>
      </c>
      <c r="C1373" s="4" t="s">
        <v>4926</v>
      </c>
      <c r="D1373" s="4" t="s">
        <v>4927</v>
      </c>
      <c r="E1373" s="2">
        <f>VALUE("2023")</f>
        <v>2023</v>
      </c>
      <c r="F1373" t="s">
        <v>149</v>
      </c>
      <c r="G1373" s="8" t="s">
        <v>4928</v>
      </c>
    </row>
    <row r="1374" spans="1:7" x14ac:dyDescent="0.25">
      <c r="A1374" s="4" t="s">
        <v>3296</v>
      </c>
      <c r="B1374" s="2">
        <f>VALUE("8132")</f>
        <v>8132</v>
      </c>
      <c r="C1374" s="4" t="s">
        <v>3298</v>
      </c>
      <c r="D1374" s="4" t="s">
        <v>3299</v>
      </c>
      <c r="E1374" s="2">
        <f>VALUE("2021")</f>
        <v>2021</v>
      </c>
      <c r="F1374" t="s">
        <v>3300</v>
      </c>
      <c r="G1374" s="8" t="s">
        <v>3301</v>
      </c>
    </row>
    <row r="1375" spans="1:7" x14ac:dyDescent="0.25">
      <c r="A1375" s="4" t="s">
        <v>3296</v>
      </c>
      <c r="B1375" s="2">
        <f>VALUE("8132")</f>
        <v>8132</v>
      </c>
      <c r="C1375" s="4" t="s">
        <v>3294</v>
      </c>
      <c r="D1375" s="4" t="s">
        <v>3295</v>
      </c>
      <c r="E1375" s="2">
        <f>VALUE("2017")</f>
        <v>2017</v>
      </c>
      <c r="F1375" t="s">
        <v>1208</v>
      </c>
      <c r="G1375" s="8" t="s">
        <v>3297</v>
      </c>
    </row>
    <row r="1376" spans="1:7" x14ac:dyDescent="0.25">
      <c r="A1376" s="4" t="s">
        <v>2060</v>
      </c>
      <c r="B1376" s="2">
        <f>VALUE("7604")</f>
        <v>7604</v>
      </c>
      <c r="C1376" s="4" t="s">
        <v>2057</v>
      </c>
      <c r="D1376" s="4" t="s">
        <v>2058</v>
      </c>
      <c r="E1376" s="2">
        <f>VALUE("2018")</f>
        <v>2018</v>
      </c>
      <c r="F1376" t="s">
        <v>2059</v>
      </c>
      <c r="G1376" s="8" t="s">
        <v>2061</v>
      </c>
    </row>
    <row r="1377" spans="1:7" x14ac:dyDescent="0.25">
      <c r="A1377" s="4" t="s">
        <v>2060</v>
      </c>
      <c r="B1377" s="2">
        <f>VALUE("9235")</f>
        <v>9235</v>
      </c>
      <c r="C1377" s="4" t="s">
        <v>5127</v>
      </c>
      <c r="D1377" s="4" t="s">
        <v>2089</v>
      </c>
      <c r="E1377" s="2">
        <f>VALUE("2022")</f>
        <v>2022</v>
      </c>
    </row>
    <row r="1378" spans="1:7" x14ac:dyDescent="0.25">
      <c r="A1378" s="4" t="s">
        <v>2853</v>
      </c>
      <c r="B1378" s="2">
        <f>VALUE("7905")</f>
        <v>7905</v>
      </c>
      <c r="C1378" s="4" t="s">
        <v>2855</v>
      </c>
      <c r="D1378" s="4" t="s">
        <v>2856</v>
      </c>
      <c r="E1378" s="2">
        <f>VALUE("2021")</f>
        <v>2021</v>
      </c>
      <c r="F1378" t="s">
        <v>2853</v>
      </c>
      <c r="G1378" s="8" t="s">
        <v>2857</v>
      </c>
    </row>
    <row r="1379" spans="1:7" x14ac:dyDescent="0.25">
      <c r="A1379" s="4" t="s">
        <v>2853</v>
      </c>
      <c r="B1379" s="2">
        <f>VALUE("7905")</f>
        <v>7905</v>
      </c>
      <c r="C1379" s="4" t="s">
        <v>2851</v>
      </c>
      <c r="D1379" s="4" t="s">
        <v>2852</v>
      </c>
      <c r="E1379" s="2">
        <f>VALUE("2019")</f>
        <v>2019</v>
      </c>
      <c r="F1379" t="s">
        <v>2853</v>
      </c>
      <c r="G1379" s="8" t="s">
        <v>2854</v>
      </c>
    </row>
    <row r="1380" spans="1:7" x14ac:dyDescent="0.25">
      <c r="A1380" s="4" t="s">
        <v>2853</v>
      </c>
      <c r="B1380" s="2">
        <f>VALUE("8517")</f>
        <v>8517</v>
      </c>
      <c r="C1380" s="4" t="s">
        <v>4152</v>
      </c>
      <c r="D1380" s="4" t="s">
        <v>4153</v>
      </c>
      <c r="E1380" s="2">
        <f>VALUE("2022")</f>
        <v>2022</v>
      </c>
      <c r="F1380" t="s">
        <v>1969</v>
      </c>
      <c r="G1380" s="8" t="s">
        <v>4154</v>
      </c>
    </row>
    <row r="1381" spans="1:7" x14ac:dyDescent="0.25">
      <c r="A1381" s="4" t="s">
        <v>2853</v>
      </c>
      <c r="B1381" s="2">
        <f>VALUE("9119")</f>
        <v>9119</v>
      </c>
      <c r="C1381" s="4" t="s">
        <v>5047</v>
      </c>
      <c r="D1381" s="4" t="s">
        <v>5048</v>
      </c>
      <c r="E1381" s="2">
        <f>VALUE("2023")</f>
        <v>2023</v>
      </c>
      <c r="F1381" t="s">
        <v>445</v>
      </c>
      <c r="G1381" s="8" t="s">
        <v>5049</v>
      </c>
    </row>
    <row r="1382" spans="1:7" x14ac:dyDescent="0.25">
      <c r="A1382" s="4" t="s">
        <v>58</v>
      </c>
      <c r="B1382" s="2">
        <f>VALUE("1043")</f>
        <v>1043</v>
      </c>
      <c r="C1382" s="4" t="s">
        <v>59</v>
      </c>
      <c r="D1382" s="4" t="s">
        <v>60</v>
      </c>
      <c r="E1382" s="2">
        <f>VALUE("2016")</f>
        <v>2016</v>
      </c>
      <c r="F1382" t="s">
        <v>61</v>
      </c>
    </row>
    <row r="1383" spans="1:7" x14ac:dyDescent="0.25">
      <c r="A1383" s="4" t="s">
        <v>58</v>
      </c>
      <c r="B1383" s="2">
        <f>VALUE("1043")</f>
        <v>1043</v>
      </c>
      <c r="C1383" s="4" t="s">
        <v>55</v>
      </c>
      <c r="D1383" s="4" t="s">
        <v>56</v>
      </c>
      <c r="E1383" s="2">
        <f>VALUE("2011")</f>
        <v>2011</v>
      </c>
      <c r="F1383" t="s">
        <v>57</v>
      </c>
    </row>
    <row r="1384" spans="1:7" x14ac:dyDescent="0.25">
      <c r="A1384" s="4" t="s">
        <v>58</v>
      </c>
      <c r="B1384" s="2">
        <f>VALUE("6093")</f>
        <v>6093</v>
      </c>
      <c r="C1384" s="4" t="s">
        <v>297</v>
      </c>
      <c r="D1384" s="4" t="s">
        <v>290</v>
      </c>
      <c r="E1384" s="2">
        <f>VALUE("2013")</f>
        <v>2013</v>
      </c>
      <c r="F1384" t="s">
        <v>42</v>
      </c>
    </row>
    <row r="1385" spans="1:7" x14ac:dyDescent="0.25">
      <c r="A1385" s="4" t="s">
        <v>58</v>
      </c>
      <c r="B1385" s="2">
        <f>VALUE("6093")</f>
        <v>6093</v>
      </c>
      <c r="C1385" s="4" t="s">
        <v>292</v>
      </c>
      <c r="D1385" s="4" t="s">
        <v>293</v>
      </c>
      <c r="E1385" s="2">
        <f>VALUE("2014")</f>
        <v>2014</v>
      </c>
      <c r="F1385" t="s">
        <v>294</v>
      </c>
    </row>
    <row r="1386" spans="1:7" x14ac:dyDescent="0.25">
      <c r="A1386" s="4" t="s">
        <v>58</v>
      </c>
      <c r="B1386" s="2">
        <f>VALUE("6093")</f>
        <v>6093</v>
      </c>
      <c r="C1386" s="4" t="s">
        <v>289</v>
      </c>
      <c r="D1386" s="4" t="s">
        <v>290</v>
      </c>
      <c r="E1386" s="2">
        <f>VALUE("2012")</f>
        <v>2012</v>
      </c>
      <c r="F1386" t="s">
        <v>291</v>
      </c>
    </row>
    <row r="1387" spans="1:7" x14ac:dyDescent="0.25">
      <c r="A1387" s="4" t="s">
        <v>58</v>
      </c>
      <c r="B1387" s="2">
        <f>VALUE("6093")</f>
        <v>6093</v>
      </c>
      <c r="C1387" s="4" t="s">
        <v>295</v>
      </c>
      <c r="D1387" s="4" t="s">
        <v>293</v>
      </c>
      <c r="E1387" s="2">
        <f>VALUE("2012")</f>
        <v>2012</v>
      </c>
      <c r="F1387" t="s">
        <v>296</v>
      </c>
    </row>
    <row r="1388" spans="1:7" x14ac:dyDescent="0.25">
      <c r="A1388" s="4" t="s">
        <v>58</v>
      </c>
      <c r="B1388" s="2">
        <f>VALUE("6157")</f>
        <v>6157</v>
      </c>
      <c r="C1388" s="4" t="s">
        <v>469</v>
      </c>
      <c r="D1388" s="4" t="s">
        <v>470</v>
      </c>
      <c r="E1388" s="2">
        <f>VALUE("2013")</f>
        <v>2013</v>
      </c>
      <c r="F1388" t="s">
        <v>471</v>
      </c>
    </row>
    <row r="1389" spans="1:7" x14ac:dyDescent="0.25">
      <c r="A1389" s="4" t="s">
        <v>58</v>
      </c>
      <c r="B1389" s="2">
        <f>VALUE("7527")</f>
        <v>7527</v>
      </c>
      <c r="C1389" s="4" t="s">
        <v>1901</v>
      </c>
      <c r="D1389" s="4" t="s">
        <v>1902</v>
      </c>
      <c r="E1389" s="2">
        <f>VALUE("2019")</f>
        <v>2019</v>
      </c>
      <c r="F1389" t="s">
        <v>204</v>
      </c>
    </row>
    <row r="1390" spans="1:7" x14ac:dyDescent="0.25">
      <c r="A1390" s="4" t="s">
        <v>58</v>
      </c>
      <c r="B1390" s="2">
        <f>VALUE("7527")</f>
        <v>7527</v>
      </c>
      <c r="C1390" s="4" t="s">
        <v>1903</v>
      </c>
      <c r="D1390" s="4" t="s">
        <v>1904</v>
      </c>
      <c r="E1390" s="2">
        <f>VALUE("2020")</f>
        <v>2020</v>
      </c>
      <c r="F1390" t="s">
        <v>204</v>
      </c>
    </row>
    <row r="1391" spans="1:7" x14ac:dyDescent="0.25">
      <c r="A1391" s="4" t="s">
        <v>58</v>
      </c>
      <c r="B1391" s="2">
        <f>VALUE("7969")</f>
        <v>7969</v>
      </c>
      <c r="C1391" s="4" t="s">
        <v>2960</v>
      </c>
      <c r="D1391" s="4" t="s">
        <v>2961</v>
      </c>
      <c r="E1391" s="2">
        <f>VALUE("2018")</f>
        <v>2018</v>
      </c>
      <c r="F1391" t="s">
        <v>2962</v>
      </c>
      <c r="G1391" s="8" t="s">
        <v>2963</v>
      </c>
    </row>
    <row r="1392" spans="1:7" x14ac:dyDescent="0.25">
      <c r="A1392" s="4" t="s">
        <v>58</v>
      </c>
      <c r="B1392" s="2">
        <f>VALUE("8122")</f>
        <v>8122</v>
      </c>
      <c r="C1392" s="4" t="s">
        <v>3246</v>
      </c>
      <c r="D1392" s="4" t="s">
        <v>3247</v>
      </c>
      <c r="E1392" s="2">
        <f>VALUE("2019")</f>
        <v>2019</v>
      </c>
      <c r="F1392" t="s">
        <v>58</v>
      </c>
      <c r="G1392" s="8" t="s">
        <v>3248</v>
      </c>
    </row>
    <row r="1393" spans="1:7" x14ac:dyDescent="0.25">
      <c r="A1393" s="4" t="s">
        <v>58</v>
      </c>
      <c r="B1393" s="2">
        <f>VALUE("8797")</f>
        <v>8797</v>
      </c>
      <c r="C1393" s="4" t="s">
        <v>4715</v>
      </c>
      <c r="D1393" s="4" t="s">
        <v>4716</v>
      </c>
      <c r="E1393" s="2">
        <f>VALUE("2023")</f>
        <v>2023</v>
      </c>
      <c r="F1393" t="s">
        <v>1998</v>
      </c>
      <c r="G1393" s="8" t="s">
        <v>4717</v>
      </c>
    </row>
    <row r="1394" spans="1:7" x14ac:dyDescent="0.25">
      <c r="A1394" s="4" t="s">
        <v>112</v>
      </c>
      <c r="B1394" s="2">
        <f>VALUE("6002")</f>
        <v>6002</v>
      </c>
      <c r="C1394" s="4" t="s">
        <v>110</v>
      </c>
      <c r="D1394" s="4" t="s">
        <v>107</v>
      </c>
      <c r="E1394" s="2">
        <f>VALUE("2013")</f>
        <v>2013</v>
      </c>
      <c r="F1394" t="s">
        <v>111</v>
      </c>
    </row>
    <row r="1395" spans="1:7" x14ac:dyDescent="0.25">
      <c r="A1395" s="4" t="s">
        <v>112</v>
      </c>
      <c r="B1395" s="2">
        <f>VALUE("6003")</f>
        <v>6003</v>
      </c>
      <c r="C1395" s="4" t="s">
        <v>128</v>
      </c>
      <c r="D1395" s="4" t="s">
        <v>129</v>
      </c>
      <c r="E1395" s="2">
        <f>VALUE("2017")</f>
        <v>2017</v>
      </c>
      <c r="F1395" t="s">
        <v>130</v>
      </c>
      <c r="G1395" s="8" t="s">
        <v>131</v>
      </c>
    </row>
    <row r="1396" spans="1:7" x14ac:dyDescent="0.25">
      <c r="A1396" s="4" t="s">
        <v>112</v>
      </c>
      <c r="B1396" s="2">
        <f>VALUE("6003")</f>
        <v>6003</v>
      </c>
      <c r="C1396" s="4" t="s">
        <v>117</v>
      </c>
      <c r="D1396" s="4" t="s">
        <v>118</v>
      </c>
      <c r="E1396" s="2">
        <f>VALUE("2014")</f>
        <v>2014</v>
      </c>
      <c r="F1396" t="s">
        <v>119</v>
      </c>
      <c r="G1396" s="8" t="s">
        <v>120</v>
      </c>
    </row>
    <row r="1397" spans="1:7" x14ac:dyDescent="0.25">
      <c r="A1397" s="4" t="s">
        <v>112</v>
      </c>
      <c r="B1397" s="2">
        <f>VALUE("6003")</f>
        <v>6003</v>
      </c>
      <c r="C1397" s="4" t="s">
        <v>121</v>
      </c>
      <c r="D1397" s="4" t="s">
        <v>122</v>
      </c>
      <c r="E1397" s="2">
        <f>VALUE("2014")</f>
        <v>2014</v>
      </c>
      <c r="F1397" t="s">
        <v>123</v>
      </c>
      <c r="G1397" s="8" t="s">
        <v>124</v>
      </c>
    </row>
    <row r="1398" spans="1:7" x14ac:dyDescent="0.25">
      <c r="A1398" s="4" t="s">
        <v>112</v>
      </c>
      <c r="B1398" s="2">
        <f>VALUE("6003")</f>
        <v>6003</v>
      </c>
      <c r="C1398" s="4" t="s">
        <v>125</v>
      </c>
      <c r="D1398" s="4" t="s">
        <v>126</v>
      </c>
      <c r="E1398" s="2">
        <f>VALUE("2014")</f>
        <v>2014</v>
      </c>
      <c r="F1398" t="s">
        <v>123</v>
      </c>
      <c r="G1398" s="8" t="s">
        <v>127</v>
      </c>
    </row>
    <row r="1399" spans="1:7" x14ac:dyDescent="0.25">
      <c r="A1399" s="4" t="s">
        <v>112</v>
      </c>
      <c r="B1399" s="2">
        <f>VALUE("6009")</f>
        <v>6009</v>
      </c>
      <c r="C1399" s="4" t="s">
        <v>132</v>
      </c>
      <c r="D1399" s="4" t="s">
        <v>133</v>
      </c>
      <c r="E1399" s="2">
        <f>VALUE("2013")</f>
        <v>2013</v>
      </c>
      <c r="F1399" t="s">
        <v>134</v>
      </c>
    </row>
    <row r="1400" spans="1:7" x14ac:dyDescent="0.25">
      <c r="A1400" s="4" t="s">
        <v>112</v>
      </c>
      <c r="B1400" s="2">
        <f>VALUE("6009")</f>
        <v>6009</v>
      </c>
      <c r="C1400" s="4" t="s">
        <v>135</v>
      </c>
      <c r="D1400" s="4" t="s">
        <v>136</v>
      </c>
      <c r="E1400" s="2">
        <f>VALUE("2014")</f>
        <v>2014</v>
      </c>
      <c r="F1400" t="s">
        <v>137</v>
      </c>
    </row>
    <row r="1401" spans="1:7" x14ac:dyDescent="0.25">
      <c r="A1401" s="4" t="s">
        <v>112</v>
      </c>
      <c r="B1401" s="2">
        <f>VALUE("6009")</f>
        <v>6009</v>
      </c>
      <c r="C1401" s="4" t="s">
        <v>138</v>
      </c>
      <c r="D1401" s="4" t="s">
        <v>139</v>
      </c>
      <c r="E1401" s="2">
        <f>VALUE("2013")</f>
        <v>2013</v>
      </c>
      <c r="F1401" t="s">
        <v>140</v>
      </c>
    </row>
    <row r="1402" spans="1:7" x14ac:dyDescent="0.25">
      <c r="A1402" s="4" t="s">
        <v>112</v>
      </c>
      <c r="B1402" s="2">
        <f>VALUE("6009")</f>
        <v>6009</v>
      </c>
      <c r="C1402" s="4" t="s">
        <v>141</v>
      </c>
      <c r="D1402" s="4" t="s">
        <v>142</v>
      </c>
      <c r="E1402" s="2">
        <f>VALUE("2013")</f>
        <v>2013</v>
      </c>
      <c r="F1402" t="s">
        <v>143</v>
      </c>
    </row>
    <row r="1403" spans="1:7" x14ac:dyDescent="0.25">
      <c r="A1403" s="4" t="s">
        <v>112</v>
      </c>
      <c r="B1403" s="2">
        <f>VALUE("6073")</f>
        <v>6073</v>
      </c>
      <c r="C1403" s="4" t="s">
        <v>241</v>
      </c>
      <c r="D1403" s="4" t="s">
        <v>242</v>
      </c>
      <c r="E1403" s="2">
        <f>VALUE("2014")</f>
        <v>2014</v>
      </c>
      <c r="F1403" t="s">
        <v>243</v>
      </c>
    </row>
    <row r="1404" spans="1:7" x14ac:dyDescent="0.25">
      <c r="A1404" s="4" t="s">
        <v>112</v>
      </c>
      <c r="B1404" s="2">
        <f>VALUE("6081")</f>
        <v>6081</v>
      </c>
      <c r="C1404" s="4" t="s">
        <v>256</v>
      </c>
      <c r="D1404" s="4" t="s">
        <v>257</v>
      </c>
      <c r="E1404" s="2">
        <f>VALUE("2009")</f>
        <v>2009</v>
      </c>
      <c r="G1404" s="8" t="s">
        <v>258</v>
      </c>
    </row>
    <row r="1405" spans="1:7" x14ac:dyDescent="0.25">
      <c r="A1405" s="4" t="s">
        <v>112</v>
      </c>
      <c r="B1405" s="2">
        <f>VALUE("7840")</f>
        <v>7840</v>
      </c>
      <c r="C1405" s="4" t="s">
        <v>2684</v>
      </c>
      <c r="D1405" s="4" t="s">
        <v>2685</v>
      </c>
      <c r="E1405" s="2">
        <f>VALUE("2016")</f>
        <v>2016</v>
      </c>
      <c r="F1405" t="s">
        <v>2686</v>
      </c>
    </row>
    <row r="1406" spans="1:7" x14ac:dyDescent="0.25">
      <c r="A1406" s="4" t="s">
        <v>112</v>
      </c>
      <c r="B1406" s="2">
        <f>VALUE("7999")</f>
        <v>7999</v>
      </c>
      <c r="C1406" s="4" t="s">
        <v>3007</v>
      </c>
      <c r="D1406" s="4" t="s">
        <v>3008</v>
      </c>
      <c r="E1406" s="2">
        <f>VALUE("2018")</f>
        <v>2018</v>
      </c>
      <c r="F1406" t="s">
        <v>3009</v>
      </c>
      <c r="G1406" s="8" t="s">
        <v>3010</v>
      </c>
    </row>
    <row r="1407" spans="1:7" x14ac:dyDescent="0.25">
      <c r="A1407" s="4" t="s">
        <v>112</v>
      </c>
      <c r="B1407" s="2">
        <f>VALUE("8537")</f>
        <v>8537</v>
      </c>
      <c r="C1407" s="4" t="s">
        <v>4210</v>
      </c>
      <c r="D1407" s="4" t="s">
        <v>4211</v>
      </c>
      <c r="E1407" s="2">
        <f>VALUE("2021")</f>
        <v>2021</v>
      </c>
      <c r="F1407" t="s">
        <v>112</v>
      </c>
      <c r="G1407" s="8" t="s">
        <v>4212</v>
      </c>
    </row>
    <row r="1408" spans="1:7" x14ac:dyDescent="0.25">
      <c r="A1408" s="4" t="s">
        <v>112</v>
      </c>
      <c r="B1408" s="2">
        <f>VALUE("8615")</f>
        <v>8615</v>
      </c>
      <c r="C1408" s="4" t="s">
        <v>4350</v>
      </c>
      <c r="D1408" s="4" t="s">
        <v>4351</v>
      </c>
      <c r="E1408" s="2">
        <f>VALUE("2020")</f>
        <v>2020</v>
      </c>
      <c r="F1408" t="s">
        <v>112</v>
      </c>
      <c r="G1408" s="8" t="s">
        <v>4352</v>
      </c>
    </row>
    <row r="1409" spans="1:7" x14ac:dyDescent="0.25">
      <c r="A1409" s="4" t="s">
        <v>112</v>
      </c>
      <c r="B1409" s="2">
        <f>VALUE("8870")</f>
        <v>8870</v>
      </c>
      <c r="C1409" s="4" t="s">
        <v>4801</v>
      </c>
      <c r="D1409" s="4" t="s">
        <v>4802</v>
      </c>
      <c r="E1409" s="2">
        <f>VALUE("2022")</f>
        <v>2022</v>
      </c>
      <c r="F1409" t="s">
        <v>1378</v>
      </c>
      <c r="G1409" s="8" t="s">
        <v>4803</v>
      </c>
    </row>
    <row r="1410" spans="1:7" x14ac:dyDescent="0.25">
      <c r="A1410" s="4" t="s">
        <v>109</v>
      </c>
      <c r="B1410" s="2">
        <f>VALUE("6002")</f>
        <v>6002</v>
      </c>
      <c r="C1410" s="4" t="s">
        <v>106</v>
      </c>
      <c r="D1410" s="4" t="s">
        <v>107</v>
      </c>
      <c r="E1410" s="2">
        <f>VALUE("2011")</f>
        <v>2011</v>
      </c>
      <c r="F1410" t="s">
        <v>108</v>
      </c>
    </row>
    <row r="1411" spans="1:7" x14ac:dyDescent="0.25">
      <c r="A1411" s="4" t="s">
        <v>116</v>
      </c>
      <c r="B1411" s="2">
        <f>VALUE("6002")</f>
        <v>6002</v>
      </c>
      <c r="C1411" s="4" t="s">
        <v>113</v>
      </c>
      <c r="D1411" s="4" t="s">
        <v>114</v>
      </c>
      <c r="E1411" s="2">
        <f>VALUE("2011")</f>
        <v>2011</v>
      </c>
      <c r="F1411" t="s">
        <v>115</v>
      </c>
    </row>
    <row r="1412" spans="1:7" x14ac:dyDescent="0.25">
      <c r="A1412" s="4" t="s">
        <v>116</v>
      </c>
      <c r="B1412" s="2">
        <f>VALUE("7015")</f>
        <v>7015</v>
      </c>
      <c r="C1412" s="4" t="s">
        <v>539</v>
      </c>
      <c r="D1412" s="4" t="s">
        <v>540</v>
      </c>
      <c r="E1412" s="2">
        <f>VALUE("2013")</f>
        <v>2013</v>
      </c>
      <c r="F1412" t="s">
        <v>108</v>
      </c>
    </row>
    <row r="1413" spans="1:7" x14ac:dyDescent="0.25">
      <c r="A1413" s="4" t="s">
        <v>116</v>
      </c>
      <c r="B1413" s="2">
        <f>VALUE("7015")</f>
        <v>7015</v>
      </c>
      <c r="C1413" s="4" t="s">
        <v>541</v>
      </c>
      <c r="D1413" s="4" t="s">
        <v>542</v>
      </c>
      <c r="E1413" s="2">
        <f>VALUE("2013")</f>
        <v>2013</v>
      </c>
      <c r="F1413" t="s">
        <v>108</v>
      </c>
    </row>
    <row r="1414" spans="1:7" x14ac:dyDescent="0.25">
      <c r="A1414" s="4" t="s">
        <v>116</v>
      </c>
      <c r="B1414" s="2">
        <f>VALUE("7015")</f>
        <v>7015</v>
      </c>
      <c r="C1414" s="4" t="s">
        <v>543</v>
      </c>
      <c r="D1414" s="4" t="s">
        <v>544</v>
      </c>
      <c r="E1414" s="2">
        <f>VALUE("2013")</f>
        <v>2013</v>
      </c>
      <c r="F1414" t="s">
        <v>108</v>
      </c>
    </row>
    <row r="1415" spans="1:7" x14ac:dyDescent="0.25">
      <c r="A1415" s="4" t="s">
        <v>116</v>
      </c>
      <c r="B1415" s="2">
        <f>VALUE("7408")</f>
        <v>7408</v>
      </c>
      <c r="C1415" s="4" t="s">
        <v>1628</v>
      </c>
      <c r="D1415" s="4" t="s">
        <v>1629</v>
      </c>
      <c r="E1415" s="2">
        <f>VALUE("2013")</f>
        <v>2013</v>
      </c>
      <c r="F1415" t="s">
        <v>1630</v>
      </c>
    </row>
    <row r="1416" spans="1:7" x14ac:dyDescent="0.25">
      <c r="A1416" s="4" t="s">
        <v>116</v>
      </c>
      <c r="B1416" s="2">
        <f>VALUE("7408")</f>
        <v>7408</v>
      </c>
      <c r="C1416" s="4" t="s">
        <v>1631</v>
      </c>
      <c r="D1416" s="4" t="s">
        <v>1632</v>
      </c>
      <c r="E1416" s="2">
        <f>VALUE("2015")</f>
        <v>2015</v>
      </c>
      <c r="F1416" t="s">
        <v>730</v>
      </c>
    </row>
    <row r="1417" spans="1:7" x14ac:dyDescent="0.25">
      <c r="A1417" s="4" t="s">
        <v>116</v>
      </c>
      <c r="B1417" s="2">
        <f>VALUE("7408")</f>
        <v>7408</v>
      </c>
      <c r="C1417" s="4" t="s">
        <v>1633</v>
      </c>
      <c r="D1417" s="4" t="s">
        <v>1634</v>
      </c>
      <c r="E1417" s="2">
        <f>VALUE("2013")</f>
        <v>2013</v>
      </c>
      <c r="F1417" t="s">
        <v>1635</v>
      </c>
    </row>
    <row r="1418" spans="1:7" x14ac:dyDescent="0.25">
      <c r="A1418" s="4" t="s">
        <v>116</v>
      </c>
      <c r="B1418" s="2">
        <f>VALUE("7408")</f>
        <v>7408</v>
      </c>
      <c r="C1418" s="4" t="s">
        <v>1636</v>
      </c>
      <c r="D1418" s="4" t="s">
        <v>1637</v>
      </c>
      <c r="E1418" s="2">
        <f>VALUE("2015")</f>
        <v>2015</v>
      </c>
      <c r="F1418" t="s">
        <v>116</v>
      </c>
      <c r="G1418" s="8" t="s">
        <v>1638</v>
      </c>
    </row>
    <row r="1419" spans="1:7" x14ac:dyDescent="0.25">
      <c r="A1419" s="4" t="s">
        <v>3936</v>
      </c>
      <c r="B1419" s="2">
        <f>VALUE("8437")</f>
        <v>8437</v>
      </c>
      <c r="C1419" s="4" t="s">
        <v>3934</v>
      </c>
      <c r="D1419" s="4" t="s">
        <v>3935</v>
      </c>
      <c r="E1419" s="2">
        <f>VALUE("2022")</f>
        <v>2022</v>
      </c>
      <c r="F1419" t="s">
        <v>974</v>
      </c>
      <c r="G1419" s="8" t="s">
        <v>3937</v>
      </c>
    </row>
    <row r="1420" spans="1:7" x14ac:dyDescent="0.25">
      <c r="A1420" s="4" t="s">
        <v>3933</v>
      </c>
      <c r="B1420" s="2" t="s">
        <v>5233</v>
      </c>
      <c r="C1420" s="4" t="s">
        <v>3931</v>
      </c>
      <c r="D1420" s="4" t="s">
        <v>3932</v>
      </c>
      <c r="E1420" s="2">
        <f>VALUE("2022")</f>
        <v>2022</v>
      </c>
      <c r="F1420" s="4" t="s">
        <v>974</v>
      </c>
      <c r="G1420" s="8" t="s">
        <v>3937</v>
      </c>
    </row>
    <row r="1421" spans="1:7" x14ac:dyDescent="0.25">
      <c r="A1421" s="4" t="s">
        <v>455</v>
      </c>
      <c r="B1421" s="2">
        <f>VALUE("6136")</f>
        <v>6136</v>
      </c>
      <c r="C1421" s="4" t="s">
        <v>452</v>
      </c>
      <c r="D1421" s="4" t="s">
        <v>453</v>
      </c>
      <c r="E1421" s="2">
        <f>VALUE("2012")</f>
        <v>2012</v>
      </c>
      <c r="F1421" t="s">
        <v>454</v>
      </c>
    </row>
    <row r="1422" spans="1:7" x14ac:dyDescent="0.25">
      <c r="A1422" s="4" t="s">
        <v>455</v>
      </c>
      <c r="B1422" s="2">
        <f>VALUE("7084")</f>
        <v>7084</v>
      </c>
      <c r="C1422" s="4" t="s">
        <v>725</v>
      </c>
      <c r="D1422" s="4" t="s">
        <v>726</v>
      </c>
      <c r="E1422" s="2">
        <f>VALUE("2013")</f>
        <v>2013</v>
      </c>
      <c r="F1422" t="s">
        <v>727</v>
      </c>
    </row>
    <row r="1423" spans="1:7" x14ac:dyDescent="0.25">
      <c r="A1423" s="4" t="s">
        <v>455</v>
      </c>
      <c r="B1423" s="2">
        <f>VALUE("7159")</f>
        <v>7159</v>
      </c>
      <c r="C1423" s="4" t="s">
        <v>989</v>
      </c>
      <c r="D1423" s="4" t="s">
        <v>990</v>
      </c>
      <c r="E1423" s="2">
        <f>VALUE("2016")</f>
        <v>2016</v>
      </c>
      <c r="F1423" t="s">
        <v>974</v>
      </c>
    </row>
    <row r="1424" spans="1:7" x14ac:dyDescent="0.25">
      <c r="A1424" s="4" t="s">
        <v>455</v>
      </c>
      <c r="B1424" s="2">
        <f>VALUE("7270")</f>
        <v>7270</v>
      </c>
      <c r="C1424" s="4" t="s">
        <v>1303</v>
      </c>
      <c r="D1424" s="4" t="s">
        <v>1304</v>
      </c>
      <c r="E1424" s="2">
        <f>VALUE("2016")</f>
        <v>2016</v>
      </c>
      <c r="F1424" t="s">
        <v>1305</v>
      </c>
    </row>
    <row r="1425" spans="1:7" x14ac:dyDescent="0.25">
      <c r="A1425" s="4" t="s">
        <v>455</v>
      </c>
      <c r="B1425" s="2">
        <f>VALUE("7270")</f>
        <v>7270</v>
      </c>
      <c r="C1425" s="4" t="s">
        <v>1297</v>
      </c>
      <c r="D1425" s="4" t="s">
        <v>1298</v>
      </c>
      <c r="E1425" s="2">
        <f>VALUE("2016")</f>
        <v>2016</v>
      </c>
      <c r="F1425" t="s">
        <v>1299</v>
      </c>
    </row>
    <row r="1426" spans="1:7" x14ac:dyDescent="0.25">
      <c r="A1426" s="4" t="s">
        <v>455</v>
      </c>
      <c r="B1426" s="2">
        <f>VALUE("7270")</f>
        <v>7270</v>
      </c>
      <c r="C1426" s="4" t="s">
        <v>1300</v>
      </c>
      <c r="D1426" s="4" t="s">
        <v>1301</v>
      </c>
      <c r="E1426" s="2">
        <f>VALUE("2016")</f>
        <v>2016</v>
      </c>
      <c r="F1426" t="s">
        <v>1302</v>
      </c>
    </row>
    <row r="1427" spans="1:7" x14ac:dyDescent="0.25">
      <c r="A1427" s="4" t="s">
        <v>455</v>
      </c>
      <c r="B1427" s="2">
        <f>VALUE("7285")</f>
        <v>7285</v>
      </c>
      <c r="C1427" s="4" t="s">
        <v>1359</v>
      </c>
      <c r="D1427" s="4" t="s">
        <v>1360</v>
      </c>
      <c r="E1427" s="2">
        <f>VALUE("2015")</f>
        <v>2015</v>
      </c>
      <c r="F1427" t="s">
        <v>1361</v>
      </c>
    </row>
    <row r="1428" spans="1:7" x14ac:dyDescent="0.25">
      <c r="A1428" s="4" t="s">
        <v>455</v>
      </c>
      <c r="B1428" s="2">
        <f>VALUE("7503")</f>
        <v>7503</v>
      </c>
      <c r="C1428" s="4" t="s">
        <v>1858</v>
      </c>
      <c r="D1428" s="4" t="s">
        <v>1859</v>
      </c>
      <c r="E1428" s="2">
        <f>VALUE("2015")</f>
        <v>2015</v>
      </c>
      <c r="F1428" t="s">
        <v>1860</v>
      </c>
    </row>
    <row r="1429" spans="1:7" x14ac:dyDescent="0.25">
      <c r="A1429" s="4" t="s">
        <v>455</v>
      </c>
      <c r="B1429" s="2">
        <f>VALUE("7503")</f>
        <v>7503</v>
      </c>
      <c r="C1429" s="4" t="s">
        <v>1861</v>
      </c>
      <c r="D1429" s="4" t="s">
        <v>1862</v>
      </c>
      <c r="E1429" s="2">
        <f>VALUE("2013")</f>
        <v>2013</v>
      </c>
      <c r="F1429" t="s">
        <v>1863</v>
      </c>
      <c r="G1429" s="8" t="s">
        <v>1864</v>
      </c>
    </row>
    <row r="1430" spans="1:7" x14ac:dyDescent="0.25">
      <c r="A1430" s="4" t="s">
        <v>455</v>
      </c>
      <c r="B1430" s="2">
        <f>VALUE("7528")</f>
        <v>7528</v>
      </c>
      <c r="C1430" s="4" t="s">
        <v>1908</v>
      </c>
      <c r="D1430" s="4" t="s">
        <v>1909</v>
      </c>
      <c r="E1430" s="2">
        <f>VALUE("2017")</f>
        <v>2017</v>
      </c>
      <c r="F1430" t="s">
        <v>1907</v>
      </c>
    </row>
    <row r="1431" spans="1:7" x14ac:dyDescent="0.25">
      <c r="A1431" s="4" t="s">
        <v>455</v>
      </c>
      <c r="B1431" s="2">
        <f>VALUE("7528")</f>
        <v>7528</v>
      </c>
      <c r="C1431" s="4" t="s">
        <v>1905</v>
      </c>
      <c r="D1431" s="4" t="s">
        <v>1906</v>
      </c>
      <c r="E1431" s="2">
        <f>VALUE("2016")</f>
        <v>2016</v>
      </c>
      <c r="F1431" t="s">
        <v>1907</v>
      </c>
    </row>
    <row r="1432" spans="1:7" x14ac:dyDescent="0.25">
      <c r="A1432" s="4" t="s">
        <v>455</v>
      </c>
      <c r="B1432" s="2">
        <f>VALUE("7877")</f>
        <v>7877</v>
      </c>
      <c r="C1432" s="4" t="s">
        <v>2799</v>
      </c>
      <c r="D1432" s="4" t="s">
        <v>2800</v>
      </c>
      <c r="E1432" s="2">
        <f>VALUE("2019")</f>
        <v>2019</v>
      </c>
      <c r="F1432" t="s">
        <v>204</v>
      </c>
      <c r="G1432" s="8" t="s">
        <v>2801</v>
      </c>
    </row>
    <row r="1433" spans="1:7" x14ac:dyDescent="0.25">
      <c r="A1433" s="4" t="s">
        <v>455</v>
      </c>
      <c r="B1433" s="2">
        <f>VALUE("7900")</f>
        <v>7900</v>
      </c>
      <c r="C1433" s="4" t="s">
        <v>2840</v>
      </c>
      <c r="D1433" s="4" t="s">
        <v>2841</v>
      </c>
      <c r="E1433" s="2">
        <f>VALUE("2019")</f>
        <v>2019</v>
      </c>
      <c r="F1433" t="s">
        <v>1907</v>
      </c>
    </row>
    <row r="1434" spans="1:7" x14ac:dyDescent="0.25">
      <c r="A1434" s="4" t="s">
        <v>455</v>
      </c>
      <c r="B1434" s="2">
        <f>VALUE("7900")</f>
        <v>7900</v>
      </c>
      <c r="C1434" s="4" t="s">
        <v>2842</v>
      </c>
      <c r="D1434" s="4" t="s">
        <v>2843</v>
      </c>
      <c r="E1434" s="2">
        <f>VALUE("2020")</f>
        <v>2020</v>
      </c>
      <c r="F1434" t="s">
        <v>1907</v>
      </c>
    </row>
    <row r="1435" spans="1:7" x14ac:dyDescent="0.25">
      <c r="A1435" s="4" t="s">
        <v>455</v>
      </c>
      <c r="B1435" s="2">
        <f>VALUE("7900")</f>
        <v>7900</v>
      </c>
      <c r="C1435" s="4" t="s">
        <v>2837</v>
      </c>
      <c r="D1435" s="4" t="s">
        <v>2838</v>
      </c>
      <c r="E1435" s="2">
        <f>VALUE("2020")</f>
        <v>2020</v>
      </c>
      <c r="F1435" t="s">
        <v>1907</v>
      </c>
      <c r="G1435" s="8" t="s">
        <v>2839</v>
      </c>
    </row>
    <row r="1436" spans="1:7" x14ac:dyDescent="0.25">
      <c r="A1436" s="4" t="s">
        <v>455</v>
      </c>
      <c r="B1436" s="2">
        <f>VALUE("8225")</f>
        <v>8225</v>
      </c>
      <c r="C1436" s="4" t="s">
        <v>3513</v>
      </c>
      <c r="D1436" s="4" t="s">
        <v>3514</v>
      </c>
      <c r="E1436" s="2">
        <f>VALUE("2021")</f>
        <v>2021</v>
      </c>
      <c r="F1436" t="s">
        <v>1907</v>
      </c>
    </row>
    <row r="1437" spans="1:7" x14ac:dyDescent="0.25">
      <c r="A1437" s="4" t="s">
        <v>455</v>
      </c>
      <c r="B1437" s="2">
        <f>VALUE("8284")</f>
        <v>8284</v>
      </c>
      <c r="C1437" s="4" t="s">
        <v>3670</v>
      </c>
      <c r="D1437" s="4" t="s">
        <v>3671</v>
      </c>
      <c r="E1437" s="2">
        <f>VALUE("2022")</f>
        <v>2022</v>
      </c>
      <c r="F1437" t="s">
        <v>455</v>
      </c>
      <c r="G1437" s="8" t="s">
        <v>3672</v>
      </c>
    </row>
    <row r="1438" spans="1:7" x14ac:dyDescent="0.25">
      <c r="A1438" s="4" t="s">
        <v>455</v>
      </c>
      <c r="B1438" s="2">
        <f>VALUE("8372")</f>
        <v>8372</v>
      </c>
      <c r="C1438" s="4" t="s">
        <v>3823</v>
      </c>
      <c r="D1438" s="4" t="s">
        <v>3820</v>
      </c>
      <c r="E1438" s="2">
        <f>VALUE("2020")</f>
        <v>2020</v>
      </c>
      <c r="F1438" t="s">
        <v>1907</v>
      </c>
    </row>
    <row r="1439" spans="1:7" x14ac:dyDescent="0.25">
      <c r="A1439" s="4" t="s">
        <v>455</v>
      </c>
      <c r="B1439" s="2">
        <f>VALUE("8372")</f>
        <v>8372</v>
      </c>
      <c r="C1439" s="4" t="s">
        <v>3821</v>
      </c>
      <c r="D1439" s="4" t="s">
        <v>3822</v>
      </c>
      <c r="E1439" s="2">
        <f>VALUE("2020")</f>
        <v>2020</v>
      </c>
      <c r="F1439" t="s">
        <v>1907</v>
      </c>
    </row>
    <row r="1440" spans="1:7" x14ac:dyDescent="0.25">
      <c r="A1440" s="4" t="s">
        <v>455</v>
      </c>
      <c r="B1440" s="2">
        <f>VALUE("8372")</f>
        <v>8372</v>
      </c>
      <c r="C1440" s="4" t="s">
        <v>3819</v>
      </c>
      <c r="D1440" s="4" t="s">
        <v>3820</v>
      </c>
      <c r="E1440" s="2">
        <f>VALUE("2020")</f>
        <v>2020</v>
      </c>
      <c r="F1440" t="s">
        <v>1907</v>
      </c>
    </row>
    <row r="1441" spans="1:7" x14ac:dyDescent="0.25">
      <c r="A1441" s="4" t="s">
        <v>455</v>
      </c>
      <c r="B1441" s="2">
        <f t="shared" ref="B1441:B1447" si="28">VALUE("8617")</f>
        <v>8617</v>
      </c>
      <c r="C1441" s="4" t="s">
        <v>4369</v>
      </c>
      <c r="D1441" s="4" t="s">
        <v>4370</v>
      </c>
      <c r="E1441" s="2">
        <f>VALUE("2022")</f>
        <v>2022</v>
      </c>
      <c r="F1441" t="s">
        <v>4371</v>
      </c>
      <c r="G1441" s="8" t="s">
        <v>4372</v>
      </c>
    </row>
    <row r="1442" spans="1:7" x14ac:dyDescent="0.25">
      <c r="A1442" s="4" t="s">
        <v>455</v>
      </c>
      <c r="B1442" s="2">
        <f t="shared" si="28"/>
        <v>8617</v>
      </c>
      <c r="C1442" s="4" t="s">
        <v>4353</v>
      </c>
      <c r="D1442" s="4" t="s">
        <v>4354</v>
      </c>
      <c r="E1442" s="2">
        <f>VALUE("2022")</f>
        <v>2022</v>
      </c>
      <c r="F1442" t="s">
        <v>4355</v>
      </c>
      <c r="G1442" s="8" t="s">
        <v>4356</v>
      </c>
    </row>
    <row r="1443" spans="1:7" x14ac:dyDescent="0.25">
      <c r="A1443" s="4" t="s">
        <v>455</v>
      </c>
      <c r="B1443" s="2">
        <f t="shared" si="28"/>
        <v>8617</v>
      </c>
      <c r="C1443" s="4" t="s">
        <v>4373</v>
      </c>
      <c r="D1443" s="4" t="s">
        <v>4374</v>
      </c>
      <c r="E1443" s="2">
        <f>VALUE("2023")</f>
        <v>2023</v>
      </c>
      <c r="F1443" t="s">
        <v>4375</v>
      </c>
      <c r="G1443" s="8" t="s">
        <v>4376</v>
      </c>
    </row>
    <row r="1444" spans="1:7" x14ac:dyDescent="0.25">
      <c r="A1444" s="4" t="s">
        <v>455</v>
      </c>
      <c r="B1444" s="2">
        <f t="shared" si="28"/>
        <v>8617</v>
      </c>
      <c r="C1444" s="4" t="s">
        <v>4357</v>
      </c>
      <c r="D1444" s="4" t="s">
        <v>4358</v>
      </c>
      <c r="E1444" s="2">
        <f>VALUE("2022")</f>
        <v>2022</v>
      </c>
      <c r="F1444" t="s">
        <v>4359</v>
      </c>
      <c r="G1444" s="8" t="s">
        <v>4360</v>
      </c>
    </row>
    <row r="1445" spans="1:7" x14ac:dyDescent="0.25">
      <c r="A1445" s="4" t="s">
        <v>455</v>
      </c>
      <c r="B1445" s="2">
        <f t="shared" si="28"/>
        <v>8617</v>
      </c>
      <c r="C1445" s="4" t="s">
        <v>4365</v>
      </c>
      <c r="D1445" s="4" t="s">
        <v>4366</v>
      </c>
      <c r="E1445" s="2">
        <f>VALUE("2023")</f>
        <v>2023</v>
      </c>
      <c r="F1445" t="s">
        <v>2338</v>
      </c>
      <c r="G1445" s="8" t="s">
        <v>4367</v>
      </c>
    </row>
    <row r="1446" spans="1:7" x14ac:dyDescent="0.25">
      <c r="A1446" s="4" t="s">
        <v>455</v>
      </c>
      <c r="B1446" s="2">
        <f t="shared" si="28"/>
        <v>8617</v>
      </c>
      <c r="C1446" s="4" t="s">
        <v>4365</v>
      </c>
      <c r="D1446" s="4" t="s">
        <v>4368</v>
      </c>
      <c r="E1446" s="2">
        <f>VALUE("2023")</f>
        <v>2023</v>
      </c>
      <c r="F1446" t="s">
        <v>2338</v>
      </c>
      <c r="G1446" s="8" t="s">
        <v>4367</v>
      </c>
    </row>
    <row r="1447" spans="1:7" x14ac:dyDescent="0.25">
      <c r="A1447" s="4" t="s">
        <v>455</v>
      </c>
      <c r="B1447" s="2">
        <f t="shared" si="28"/>
        <v>8617</v>
      </c>
      <c r="C1447" s="4" t="s">
        <v>4361</v>
      </c>
      <c r="D1447" s="4" t="s">
        <v>4362</v>
      </c>
      <c r="E1447" s="2">
        <f>VALUE("2022")</f>
        <v>2022</v>
      </c>
      <c r="F1447" t="s">
        <v>4363</v>
      </c>
      <c r="G1447" s="8" t="s">
        <v>4364</v>
      </c>
    </row>
    <row r="1448" spans="1:7" x14ac:dyDescent="0.25">
      <c r="A1448" s="4" t="s">
        <v>455</v>
      </c>
      <c r="B1448" s="2">
        <f>VALUE("8806")</f>
        <v>8806</v>
      </c>
      <c r="C1448" s="4" t="s">
        <v>4745</v>
      </c>
      <c r="D1448" s="4" t="s">
        <v>293</v>
      </c>
      <c r="E1448" s="2">
        <f>VALUE("2022")</f>
        <v>2022</v>
      </c>
      <c r="F1448" t="s">
        <v>4517</v>
      </c>
      <c r="G1448" s="8" t="s">
        <v>4746</v>
      </c>
    </row>
    <row r="1449" spans="1:7" x14ac:dyDescent="0.25">
      <c r="A1449" s="4" t="s">
        <v>455</v>
      </c>
      <c r="B1449" s="2">
        <f>VALUE("8806")</f>
        <v>8806</v>
      </c>
      <c r="C1449" s="4" t="s">
        <v>4743</v>
      </c>
      <c r="D1449" s="4" t="s">
        <v>293</v>
      </c>
      <c r="E1449" s="2">
        <f>VALUE("2022")</f>
        <v>2022</v>
      </c>
      <c r="F1449" t="s">
        <v>4517</v>
      </c>
      <c r="G1449" s="8" t="s">
        <v>4744</v>
      </c>
    </row>
    <row r="1450" spans="1:7" x14ac:dyDescent="0.25">
      <c r="A1450" s="4" t="s">
        <v>455</v>
      </c>
      <c r="B1450" s="2">
        <f>VALUE("8922")</f>
        <v>8922</v>
      </c>
      <c r="C1450" s="4" t="s">
        <v>4871</v>
      </c>
      <c r="D1450" s="4" t="s">
        <v>4872</v>
      </c>
      <c r="E1450" s="2">
        <f>VALUE("2023")</f>
        <v>2023</v>
      </c>
      <c r="F1450" t="s">
        <v>2683</v>
      </c>
      <c r="G1450" s="8" t="s">
        <v>4873</v>
      </c>
    </row>
    <row r="1451" spans="1:7" x14ac:dyDescent="0.25">
      <c r="A1451" s="4" t="s">
        <v>455</v>
      </c>
      <c r="B1451" s="2">
        <f>VALUE("8922")</f>
        <v>8922</v>
      </c>
      <c r="C1451" s="4" t="s">
        <v>4874</v>
      </c>
      <c r="D1451" s="4" t="s">
        <v>4875</v>
      </c>
      <c r="E1451" s="2">
        <f>VALUE("2023")</f>
        <v>2023</v>
      </c>
      <c r="F1451" t="s">
        <v>4375</v>
      </c>
      <c r="G1451" s="8" t="s">
        <v>4876</v>
      </c>
    </row>
    <row r="1452" spans="1:7" x14ac:dyDescent="0.25">
      <c r="A1452" s="4" t="s">
        <v>455</v>
      </c>
      <c r="B1452" s="2">
        <f>VALUE("8922")</f>
        <v>8922</v>
      </c>
      <c r="C1452" s="4" t="s">
        <v>4868</v>
      </c>
      <c r="D1452" s="4" t="s">
        <v>4869</v>
      </c>
      <c r="E1452" s="2">
        <f>VALUE("2022")</f>
        <v>2022</v>
      </c>
      <c r="F1452" t="s">
        <v>4375</v>
      </c>
      <c r="G1452" s="8" t="s">
        <v>4870</v>
      </c>
    </row>
    <row r="1453" spans="1:7" x14ac:dyDescent="0.25">
      <c r="A1453" s="4" t="s">
        <v>4824</v>
      </c>
      <c r="B1453" s="2">
        <f>VALUE("8877")</f>
        <v>8877</v>
      </c>
      <c r="C1453" s="4" t="s">
        <v>4821</v>
      </c>
      <c r="D1453" s="4" t="s">
        <v>4822</v>
      </c>
      <c r="E1453" s="2">
        <f>VALUE("2022")</f>
        <v>2022</v>
      </c>
      <c r="F1453" t="s">
        <v>4823</v>
      </c>
      <c r="G1453" s="8" t="s">
        <v>4825</v>
      </c>
    </row>
    <row r="1454" spans="1:7" x14ac:dyDescent="0.25">
      <c r="A1454" s="4" t="s">
        <v>39</v>
      </c>
      <c r="B1454" s="2">
        <f>VALUE("1030")</f>
        <v>1030</v>
      </c>
      <c r="C1454" s="4" t="s">
        <v>36</v>
      </c>
      <c r="D1454" s="4" t="s">
        <v>37</v>
      </c>
      <c r="E1454" s="2">
        <f>VALUE("2012")</f>
        <v>2012</v>
      </c>
      <c r="F1454" t="s">
        <v>38</v>
      </c>
    </row>
    <row r="1455" spans="1:7" x14ac:dyDescent="0.25">
      <c r="A1455" s="4" t="s">
        <v>39</v>
      </c>
      <c r="B1455" s="2">
        <f t="shared" ref="B1455:B1461" si="29">VALUE("6122")</f>
        <v>6122</v>
      </c>
      <c r="C1455" s="4" t="s">
        <v>346</v>
      </c>
      <c r="D1455" s="4" t="s">
        <v>347</v>
      </c>
      <c r="E1455" s="2">
        <f>VALUE("2015")</f>
        <v>2015</v>
      </c>
      <c r="F1455" t="s">
        <v>348</v>
      </c>
      <c r="G1455" s="8" t="s">
        <v>5234</v>
      </c>
    </row>
    <row r="1456" spans="1:7" x14ac:dyDescent="0.25">
      <c r="A1456" s="4" t="s">
        <v>39</v>
      </c>
      <c r="B1456" s="2">
        <f t="shared" si="29"/>
        <v>6122</v>
      </c>
      <c r="C1456" s="4" t="s">
        <v>349</v>
      </c>
      <c r="D1456" s="4" t="s">
        <v>350</v>
      </c>
      <c r="E1456" s="2">
        <f>VALUE("2011")</f>
        <v>2011</v>
      </c>
      <c r="F1456" t="s">
        <v>5235</v>
      </c>
    </row>
    <row r="1457" spans="1:7" x14ac:dyDescent="0.25">
      <c r="A1457" s="4" t="s">
        <v>39</v>
      </c>
      <c r="B1457" s="2">
        <f t="shared" si="29"/>
        <v>6122</v>
      </c>
      <c r="C1457" s="4" t="s">
        <v>351</v>
      </c>
      <c r="D1457" s="4" t="s">
        <v>352</v>
      </c>
      <c r="E1457" s="2">
        <f>VALUE("2015")</f>
        <v>2015</v>
      </c>
      <c r="F1457" t="s">
        <v>364</v>
      </c>
    </row>
    <row r="1458" spans="1:7" x14ac:dyDescent="0.25">
      <c r="A1458" s="4" t="s">
        <v>39</v>
      </c>
      <c r="B1458" s="2">
        <f t="shared" si="29"/>
        <v>6122</v>
      </c>
      <c r="C1458" s="4" t="s">
        <v>353</v>
      </c>
      <c r="D1458" s="4" t="s">
        <v>354</v>
      </c>
      <c r="E1458" s="2">
        <f>VALUE("2012")</f>
        <v>2012</v>
      </c>
      <c r="F1458" t="s">
        <v>355</v>
      </c>
    </row>
    <row r="1459" spans="1:7" x14ac:dyDescent="0.25">
      <c r="A1459" s="4" t="s">
        <v>39</v>
      </c>
      <c r="B1459" s="2">
        <f t="shared" si="29"/>
        <v>6122</v>
      </c>
      <c r="C1459" s="4" t="s">
        <v>356</v>
      </c>
      <c r="D1459" s="4" t="s">
        <v>357</v>
      </c>
      <c r="E1459" s="2">
        <f>VALUE("2013")</f>
        <v>2013</v>
      </c>
      <c r="F1459" t="s">
        <v>358</v>
      </c>
    </row>
    <row r="1460" spans="1:7" x14ac:dyDescent="0.25">
      <c r="A1460" s="4" t="s">
        <v>39</v>
      </c>
      <c r="B1460" s="2">
        <f t="shared" si="29"/>
        <v>6122</v>
      </c>
      <c r="C1460" s="4" t="s">
        <v>359</v>
      </c>
      <c r="D1460" s="4" t="s">
        <v>360</v>
      </c>
      <c r="E1460" s="2">
        <f>VALUE("2013")</f>
        <v>2013</v>
      </c>
      <c r="F1460" t="s">
        <v>361</v>
      </c>
    </row>
    <row r="1461" spans="1:7" x14ac:dyDescent="0.25">
      <c r="A1461" s="4" t="s">
        <v>39</v>
      </c>
      <c r="B1461" s="2">
        <f t="shared" si="29"/>
        <v>6122</v>
      </c>
      <c r="C1461" s="4" t="s">
        <v>362</v>
      </c>
      <c r="D1461" s="4" t="s">
        <v>363</v>
      </c>
      <c r="E1461" s="2">
        <f>VALUE("2012")</f>
        <v>2012</v>
      </c>
      <c r="F1461" t="s">
        <v>364</v>
      </c>
    </row>
    <row r="1462" spans="1:7" x14ac:dyDescent="0.25">
      <c r="A1462" s="4" t="s">
        <v>39</v>
      </c>
      <c r="B1462" s="2">
        <f>VALUE("6123")</f>
        <v>6123</v>
      </c>
      <c r="C1462" s="4" t="s">
        <v>365</v>
      </c>
      <c r="D1462" s="4" t="s">
        <v>366</v>
      </c>
      <c r="E1462" s="2">
        <f>VALUE("2012")</f>
        <v>2012</v>
      </c>
      <c r="F1462" t="s">
        <v>367</v>
      </c>
      <c r="G1462" s="8" t="s">
        <v>368</v>
      </c>
    </row>
    <row r="1463" spans="1:7" x14ac:dyDescent="0.25">
      <c r="A1463" s="4" t="s">
        <v>39</v>
      </c>
      <c r="B1463" s="2">
        <f>VALUE("6123")</f>
        <v>6123</v>
      </c>
      <c r="C1463" s="4" t="s">
        <v>369</v>
      </c>
      <c r="D1463" s="4" t="s">
        <v>370</v>
      </c>
      <c r="E1463" s="2">
        <f>VALUE("2014")</f>
        <v>2014</v>
      </c>
      <c r="F1463" t="s">
        <v>371</v>
      </c>
    </row>
    <row r="1464" spans="1:7" x14ac:dyDescent="0.25">
      <c r="A1464" s="4" t="s">
        <v>39</v>
      </c>
      <c r="B1464" s="2">
        <f>VALUE("6123")</f>
        <v>6123</v>
      </c>
      <c r="C1464" s="4" t="s">
        <v>372</v>
      </c>
      <c r="D1464" s="4" t="s">
        <v>373</v>
      </c>
      <c r="E1464" s="2">
        <f>VALUE("2011")</f>
        <v>2011</v>
      </c>
      <c r="F1464" t="s">
        <v>374</v>
      </c>
    </row>
    <row r="1465" spans="1:7" x14ac:dyDescent="0.25">
      <c r="A1465" s="4" t="s">
        <v>39</v>
      </c>
      <c r="B1465" s="2">
        <f>VALUE("7123")</f>
        <v>7123</v>
      </c>
      <c r="C1465" s="4" t="s">
        <v>900</v>
      </c>
      <c r="D1465" s="4" t="s">
        <v>901</v>
      </c>
      <c r="E1465" s="2">
        <f>VALUE("2014")</f>
        <v>2014</v>
      </c>
      <c r="F1465" t="s">
        <v>902</v>
      </c>
    </row>
    <row r="1466" spans="1:7" x14ac:dyDescent="0.25">
      <c r="A1466" s="4" t="s">
        <v>39</v>
      </c>
      <c r="B1466" s="2">
        <f>VALUE("7123")</f>
        <v>7123</v>
      </c>
      <c r="C1466" s="4" t="s">
        <v>903</v>
      </c>
      <c r="D1466" s="4" t="s">
        <v>904</v>
      </c>
      <c r="E1466" s="2">
        <f>VALUE("2013")</f>
        <v>2013</v>
      </c>
      <c r="F1466" t="s">
        <v>905</v>
      </c>
    </row>
    <row r="1467" spans="1:7" x14ac:dyDescent="0.25">
      <c r="A1467" s="4" t="s">
        <v>39</v>
      </c>
      <c r="B1467" s="2">
        <f>VALUE("7123")</f>
        <v>7123</v>
      </c>
      <c r="C1467" s="4" t="s">
        <v>906</v>
      </c>
      <c r="D1467" s="4" t="s">
        <v>907</v>
      </c>
      <c r="E1467" s="2">
        <f>VALUE("2014")</f>
        <v>2014</v>
      </c>
      <c r="F1467" t="s">
        <v>908</v>
      </c>
    </row>
    <row r="1468" spans="1:7" x14ac:dyDescent="0.25">
      <c r="A1468" s="4" t="s">
        <v>39</v>
      </c>
      <c r="B1468" s="2">
        <f>VALUE("7256")</f>
        <v>7256</v>
      </c>
      <c r="C1468" s="4" t="s">
        <v>1162</v>
      </c>
      <c r="D1468" s="4" t="s">
        <v>1163</v>
      </c>
      <c r="E1468" s="2">
        <f>VALUE("2015")</f>
        <v>2015</v>
      </c>
      <c r="F1468" t="s">
        <v>1164</v>
      </c>
    </row>
    <row r="1469" spans="1:7" x14ac:dyDescent="0.25">
      <c r="A1469" s="4" t="s">
        <v>39</v>
      </c>
      <c r="B1469" s="2">
        <f>VALUE("7256")</f>
        <v>7256</v>
      </c>
      <c r="C1469" s="4" t="s">
        <v>1165</v>
      </c>
      <c r="D1469" s="4" t="s">
        <v>1166</v>
      </c>
      <c r="E1469" s="2">
        <f>VALUE("2016")</f>
        <v>2016</v>
      </c>
      <c r="F1469" t="s">
        <v>1167</v>
      </c>
    </row>
    <row r="1470" spans="1:7" x14ac:dyDescent="0.25">
      <c r="A1470" s="4" t="s">
        <v>39</v>
      </c>
      <c r="B1470" s="2">
        <f>VALUE("7577")</f>
        <v>7577</v>
      </c>
      <c r="C1470" s="4" t="s">
        <v>1976</v>
      </c>
      <c r="D1470" s="4" t="s">
        <v>1977</v>
      </c>
      <c r="E1470" s="2">
        <f>VALUE("2015")</f>
        <v>2015</v>
      </c>
      <c r="F1470" t="s">
        <v>1978</v>
      </c>
    </row>
    <row r="1471" spans="1:7" x14ac:dyDescent="0.25">
      <c r="A1471" s="4" t="s">
        <v>39</v>
      </c>
      <c r="B1471" s="2">
        <f t="shared" ref="B1471:B1476" si="30">VALUE("7714")</f>
        <v>7714</v>
      </c>
      <c r="C1471" s="4" t="s">
        <v>2413</v>
      </c>
      <c r="D1471" s="4" t="s">
        <v>2414</v>
      </c>
      <c r="E1471" s="2">
        <f t="shared" ref="E1471:E1476" si="31">VALUE("2017")</f>
        <v>2017</v>
      </c>
      <c r="F1471" t="s">
        <v>2412</v>
      </c>
    </row>
    <row r="1472" spans="1:7" x14ac:dyDescent="0.25">
      <c r="A1472" s="4" t="s">
        <v>39</v>
      </c>
      <c r="B1472" s="2">
        <f t="shared" si="30"/>
        <v>7714</v>
      </c>
      <c r="C1472" s="4" t="s">
        <v>2410</v>
      </c>
      <c r="D1472" s="4" t="s">
        <v>2411</v>
      </c>
      <c r="E1472" s="2">
        <f t="shared" si="31"/>
        <v>2017</v>
      </c>
      <c r="F1472" t="s">
        <v>2412</v>
      </c>
    </row>
    <row r="1473" spans="1:7" x14ac:dyDescent="0.25">
      <c r="A1473" s="4" t="s">
        <v>39</v>
      </c>
      <c r="B1473" s="2">
        <f t="shared" si="30"/>
        <v>7714</v>
      </c>
      <c r="C1473" s="4" t="s">
        <v>2419</v>
      </c>
      <c r="D1473" s="4" t="s">
        <v>2420</v>
      </c>
      <c r="E1473" s="2">
        <f t="shared" si="31"/>
        <v>2017</v>
      </c>
      <c r="F1473" t="s">
        <v>2412</v>
      </c>
    </row>
    <row r="1474" spans="1:7" x14ac:dyDescent="0.25">
      <c r="A1474" s="4" t="s">
        <v>39</v>
      </c>
      <c r="B1474" s="2">
        <f t="shared" si="30"/>
        <v>7714</v>
      </c>
      <c r="C1474" s="4" t="s">
        <v>2415</v>
      </c>
      <c r="D1474" s="4" t="s">
        <v>2416</v>
      </c>
      <c r="E1474" s="2">
        <f t="shared" si="31"/>
        <v>2017</v>
      </c>
      <c r="F1474" t="s">
        <v>2412</v>
      </c>
    </row>
    <row r="1475" spans="1:7" x14ac:dyDescent="0.25">
      <c r="A1475" s="4" t="s">
        <v>39</v>
      </c>
      <c r="B1475" s="2">
        <f t="shared" si="30"/>
        <v>7714</v>
      </c>
      <c r="C1475" s="4" t="s">
        <v>2417</v>
      </c>
      <c r="D1475" s="4" t="s">
        <v>2418</v>
      </c>
      <c r="E1475" s="2">
        <f t="shared" si="31"/>
        <v>2017</v>
      </c>
      <c r="F1475" t="s">
        <v>2412</v>
      </c>
    </row>
    <row r="1476" spans="1:7" x14ac:dyDescent="0.25">
      <c r="A1476" s="4" t="s">
        <v>39</v>
      </c>
      <c r="B1476" s="2">
        <f t="shared" si="30"/>
        <v>7714</v>
      </c>
      <c r="C1476" s="4" t="s">
        <v>2421</v>
      </c>
      <c r="D1476" s="4" t="s">
        <v>2422</v>
      </c>
      <c r="E1476" s="2">
        <f t="shared" si="31"/>
        <v>2017</v>
      </c>
      <c r="F1476" t="s">
        <v>2412</v>
      </c>
    </row>
    <row r="1477" spans="1:7" x14ac:dyDescent="0.25">
      <c r="A1477" s="4" t="s">
        <v>39</v>
      </c>
      <c r="B1477" s="2">
        <f>VALUE("7782")</f>
        <v>7782</v>
      </c>
      <c r="C1477" s="4" t="s">
        <v>2559</v>
      </c>
      <c r="D1477" s="4" t="s">
        <v>2560</v>
      </c>
      <c r="E1477" s="2">
        <f>VALUE("2016")</f>
        <v>2016</v>
      </c>
      <c r="F1477" t="s">
        <v>2562</v>
      </c>
    </row>
    <row r="1478" spans="1:7" x14ac:dyDescent="0.25">
      <c r="A1478" s="4" t="s">
        <v>39</v>
      </c>
      <c r="B1478" s="2">
        <f>VALUE("7782")</f>
        <v>7782</v>
      </c>
      <c r="C1478" s="4" t="s">
        <v>2559</v>
      </c>
      <c r="D1478" s="4" t="s">
        <v>2560</v>
      </c>
      <c r="E1478" s="2">
        <f>VALUE("2016")</f>
        <v>2016</v>
      </c>
      <c r="F1478" t="s">
        <v>2561</v>
      </c>
    </row>
    <row r="1479" spans="1:7" x14ac:dyDescent="0.25">
      <c r="A1479" s="4" t="s">
        <v>39</v>
      </c>
      <c r="B1479" s="2">
        <f>VALUE("7783")</f>
        <v>7783</v>
      </c>
      <c r="C1479" s="4" t="s">
        <v>2563</v>
      </c>
      <c r="D1479" s="4" t="s">
        <v>2564</v>
      </c>
      <c r="E1479" s="2">
        <f>VALUE("2018")</f>
        <v>2018</v>
      </c>
      <c r="F1479" t="s">
        <v>1167</v>
      </c>
    </row>
    <row r="1480" spans="1:7" x14ac:dyDescent="0.25">
      <c r="A1480" s="4" t="s">
        <v>39</v>
      </c>
      <c r="B1480" s="2">
        <f>VALUE("7888")</f>
        <v>7888</v>
      </c>
      <c r="C1480" s="4" t="s">
        <v>2821</v>
      </c>
      <c r="D1480" s="4" t="s">
        <v>2822</v>
      </c>
      <c r="E1480" s="2">
        <f>VALUE("2019")</f>
        <v>2019</v>
      </c>
      <c r="F1480" t="s">
        <v>39</v>
      </c>
    </row>
    <row r="1481" spans="1:7" x14ac:dyDescent="0.25">
      <c r="A1481" s="4" t="s">
        <v>39</v>
      </c>
      <c r="B1481" s="2">
        <f>VALUE("7919")</f>
        <v>7919</v>
      </c>
      <c r="C1481" s="4" t="s">
        <v>2887</v>
      </c>
      <c r="D1481" s="4" t="s">
        <v>2888</v>
      </c>
      <c r="E1481" s="2">
        <f>VALUE("2017")</f>
        <v>2017</v>
      </c>
      <c r="F1481" t="s">
        <v>2889</v>
      </c>
      <c r="G1481" s="8" t="s">
        <v>2890</v>
      </c>
    </row>
    <row r="1482" spans="1:7" x14ac:dyDescent="0.25">
      <c r="A1482" s="4" t="s">
        <v>39</v>
      </c>
      <c r="B1482" s="2">
        <f>VALUE("8251")</f>
        <v>8251</v>
      </c>
      <c r="C1482" s="4" t="s">
        <v>3606</v>
      </c>
      <c r="D1482" s="4" t="s">
        <v>3607</v>
      </c>
      <c r="E1482" s="2">
        <f>VALUE("2021")</f>
        <v>2021</v>
      </c>
      <c r="F1482" t="s">
        <v>153</v>
      </c>
    </row>
    <row r="1483" spans="1:7" x14ac:dyDescent="0.25">
      <c r="A1483" s="4" t="s">
        <v>39</v>
      </c>
      <c r="B1483" s="2">
        <f>VALUE("8549")</f>
        <v>8549</v>
      </c>
      <c r="C1483" s="4" t="s">
        <v>4229</v>
      </c>
      <c r="D1483" s="4" t="s">
        <v>4230</v>
      </c>
      <c r="E1483" s="2">
        <f>VALUE("2021")</f>
        <v>2021</v>
      </c>
      <c r="F1483" t="s">
        <v>39</v>
      </c>
    </row>
    <row r="1484" spans="1:7" x14ac:dyDescent="0.25">
      <c r="A1484" s="4" t="s">
        <v>39</v>
      </c>
      <c r="B1484" s="2">
        <f>VALUE("8634")</f>
        <v>8634</v>
      </c>
      <c r="C1484" s="4" t="s">
        <v>4400</v>
      </c>
      <c r="D1484" s="4" t="s">
        <v>4401</v>
      </c>
      <c r="E1484" s="2">
        <f>VALUE("2022")</f>
        <v>2022</v>
      </c>
      <c r="F1484" t="s">
        <v>39</v>
      </c>
      <c r="G1484" s="8" t="s">
        <v>4402</v>
      </c>
    </row>
    <row r="1485" spans="1:7" x14ac:dyDescent="0.25">
      <c r="A1485" s="4" t="s">
        <v>39</v>
      </c>
      <c r="B1485" s="2">
        <f>VALUE("8736")</f>
        <v>8736</v>
      </c>
      <c r="C1485" s="4" t="s">
        <v>4627</v>
      </c>
      <c r="D1485" s="4" t="s">
        <v>4628</v>
      </c>
      <c r="E1485" s="2">
        <f>VALUE("2021")</f>
        <v>2021</v>
      </c>
      <c r="F1485" t="s">
        <v>39</v>
      </c>
    </row>
    <row r="1486" spans="1:7" x14ac:dyDescent="0.25">
      <c r="A1486" s="4" t="s">
        <v>39</v>
      </c>
      <c r="B1486" s="2">
        <f>VALUE("8954")</f>
        <v>8954</v>
      </c>
      <c r="C1486" s="4" t="s">
        <v>4910</v>
      </c>
      <c r="D1486" s="4" t="s">
        <v>4911</v>
      </c>
      <c r="E1486" s="2">
        <f>VALUE("2022")</f>
        <v>2022</v>
      </c>
      <c r="F1486" t="s">
        <v>39</v>
      </c>
      <c r="G1486" s="8" t="s">
        <v>4912</v>
      </c>
    </row>
    <row r="1487" spans="1:7" x14ac:dyDescent="0.25">
      <c r="A1487" s="4" t="s">
        <v>656</v>
      </c>
      <c r="B1487" s="2">
        <f>VALUE("7055")</f>
        <v>7055</v>
      </c>
      <c r="C1487" s="4" t="s">
        <v>653</v>
      </c>
      <c r="D1487" s="4" t="s">
        <v>654</v>
      </c>
      <c r="E1487" s="2">
        <f>VALUE("2014")</f>
        <v>2014</v>
      </c>
      <c r="F1487" t="s">
        <v>655</v>
      </c>
    </row>
    <row r="1488" spans="1:7" x14ac:dyDescent="0.25">
      <c r="A1488" s="4" t="s">
        <v>656</v>
      </c>
      <c r="B1488" s="2">
        <f>VALUE("7055")</f>
        <v>7055</v>
      </c>
      <c r="C1488" s="4" t="s">
        <v>657</v>
      </c>
      <c r="D1488" s="4" t="s">
        <v>658</v>
      </c>
      <c r="E1488" s="2">
        <f>VALUE("2014")</f>
        <v>2014</v>
      </c>
      <c r="F1488" t="s">
        <v>659</v>
      </c>
    </row>
    <row r="1489" spans="1:7" x14ac:dyDescent="0.25">
      <c r="A1489" s="4" t="s">
        <v>656</v>
      </c>
      <c r="B1489" s="2">
        <f>VALUE("7055")</f>
        <v>7055</v>
      </c>
      <c r="C1489" s="4" t="s">
        <v>660</v>
      </c>
      <c r="D1489" s="4" t="s">
        <v>661</v>
      </c>
      <c r="E1489" s="2">
        <f>VALUE("2014")</f>
        <v>2014</v>
      </c>
      <c r="F1489" t="s">
        <v>662</v>
      </c>
    </row>
    <row r="1490" spans="1:7" x14ac:dyDescent="0.25">
      <c r="A1490" s="4" t="s">
        <v>656</v>
      </c>
      <c r="B1490" s="2">
        <f>VALUE("7055")</f>
        <v>7055</v>
      </c>
      <c r="C1490" s="4" t="s">
        <v>663</v>
      </c>
      <c r="D1490" s="4" t="s">
        <v>664</v>
      </c>
      <c r="E1490" s="2">
        <f>VALUE("2013")</f>
        <v>2013</v>
      </c>
      <c r="F1490" t="s">
        <v>665</v>
      </c>
    </row>
    <row r="1491" spans="1:7" x14ac:dyDescent="0.25">
      <c r="A1491" s="4" t="s">
        <v>656</v>
      </c>
      <c r="B1491" s="2">
        <f>VALUE("7055")</f>
        <v>7055</v>
      </c>
      <c r="C1491" s="4" t="s">
        <v>666</v>
      </c>
      <c r="D1491" s="4" t="s">
        <v>667</v>
      </c>
      <c r="E1491" s="2">
        <f>VALUE("2014")</f>
        <v>2014</v>
      </c>
      <c r="F1491" t="s">
        <v>668</v>
      </c>
    </row>
    <row r="1492" spans="1:7" x14ac:dyDescent="0.25">
      <c r="A1492" s="4" t="s">
        <v>656</v>
      </c>
      <c r="B1492" s="2">
        <f t="shared" ref="B1492:B1497" si="32">VALUE("7067")</f>
        <v>7067</v>
      </c>
      <c r="C1492" s="4" t="s">
        <v>682</v>
      </c>
      <c r="D1492" s="4" t="s">
        <v>683</v>
      </c>
      <c r="E1492" s="2">
        <f>VALUE("2012")</f>
        <v>2012</v>
      </c>
      <c r="F1492" t="s">
        <v>684</v>
      </c>
    </row>
    <row r="1493" spans="1:7" x14ac:dyDescent="0.25">
      <c r="A1493" s="4" t="s">
        <v>656</v>
      </c>
      <c r="B1493" s="2">
        <f t="shared" si="32"/>
        <v>7067</v>
      </c>
      <c r="C1493" s="4" t="s">
        <v>693</v>
      </c>
      <c r="D1493" s="4" t="s">
        <v>694</v>
      </c>
      <c r="E1493" s="2">
        <f>VALUE("2015")</f>
        <v>2015</v>
      </c>
      <c r="F1493" t="s">
        <v>695</v>
      </c>
    </row>
    <row r="1494" spans="1:7" x14ac:dyDescent="0.25">
      <c r="A1494" s="4" t="s">
        <v>656</v>
      </c>
      <c r="B1494" s="2">
        <f t="shared" si="32"/>
        <v>7067</v>
      </c>
      <c r="C1494" s="4" t="s">
        <v>696</v>
      </c>
      <c r="D1494" s="4" t="s">
        <v>697</v>
      </c>
      <c r="E1494" s="2">
        <f>VALUE("2016")</f>
        <v>2016</v>
      </c>
      <c r="F1494" t="s">
        <v>698</v>
      </c>
    </row>
    <row r="1495" spans="1:7" x14ac:dyDescent="0.25">
      <c r="A1495" s="4" t="s">
        <v>656</v>
      </c>
      <c r="B1495" s="2">
        <f t="shared" si="32"/>
        <v>7067</v>
      </c>
      <c r="C1495" s="4" t="s">
        <v>688</v>
      </c>
      <c r="D1495" s="4" t="s">
        <v>689</v>
      </c>
      <c r="E1495" s="2">
        <f>VALUE("2013")</f>
        <v>2013</v>
      </c>
      <c r="F1495" t="s">
        <v>687</v>
      </c>
    </row>
    <row r="1496" spans="1:7" x14ac:dyDescent="0.25">
      <c r="A1496" s="4" t="s">
        <v>656</v>
      </c>
      <c r="B1496" s="2">
        <f t="shared" si="32"/>
        <v>7067</v>
      </c>
      <c r="C1496" s="4" t="s">
        <v>690</v>
      </c>
      <c r="D1496" s="4" t="s">
        <v>691</v>
      </c>
      <c r="E1496" s="2">
        <f>VALUE("2014")</f>
        <v>2014</v>
      </c>
      <c r="F1496" t="s">
        <v>692</v>
      </c>
    </row>
    <row r="1497" spans="1:7" x14ac:dyDescent="0.25">
      <c r="A1497" s="4" t="s">
        <v>656</v>
      </c>
      <c r="B1497" s="2">
        <f t="shared" si="32"/>
        <v>7067</v>
      </c>
      <c r="C1497" s="4" t="s">
        <v>685</v>
      </c>
      <c r="D1497" s="4" t="s">
        <v>686</v>
      </c>
      <c r="E1497" s="2">
        <f>VALUE("2013")</f>
        <v>2013</v>
      </c>
      <c r="F1497" t="s">
        <v>687</v>
      </c>
    </row>
    <row r="1498" spans="1:7" x14ac:dyDescent="0.25">
      <c r="A1498" s="4" t="s">
        <v>656</v>
      </c>
      <c r="B1498" s="2">
        <f>VALUE("7277")</f>
        <v>7277</v>
      </c>
      <c r="C1498" s="4" t="s">
        <v>1332</v>
      </c>
      <c r="D1498" s="4" t="s">
        <v>1333</v>
      </c>
      <c r="E1498" s="2">
        <f>VALUE("2014")</f>
        <v>2014</v>
      </c>
      <c r="F1498" t="s">
        <v>1334</v>
      </c>
    </row>
    <row r="1499" spans="1:7" x14ac:dyDescent="0.25">
      <c r="A1499" s="4" t="s">
        <v>656</v>
      </c>
      <c r="B1499" s="2">
        <f>VALUE("7277")</f>
        <v>7277</v>
      </c>
      <c r="C1499" s="4" t="s">
        <v>1335</v>
      </c>
      <c r="D1499" s="4" t="s">
        <v>1336</v>
      </c>
      <c r="E1499" s="2">
        <f>VALUE("2015")</f>
        <v>2015</v>
      </c>
      <c r="F1499" t="s">
        <v>1337</v>
      </c>
    </row>
    <row r="1500" spans="1:7" x14ac:dyDescent="0.25">
      <c r="A1500" s="4" t="s">
        <v>656</v>
      </c>
      <c r="B1500" s="2">
        <f>VALUE("7618")</f>
        <v>7618</v>
      </c>
      <c r="C1500" s="4" t="s">
        <v>2095</v>
      </c>
      <c r="D1500" s="4" t="s">
        <v>2096</v>
      </c>
      <c r="E1500" s="2">
        <f>VALUE("2018")</f>
        <v>2018</v>
      </c>
      <c r="F1500" t="s">
        <v>2097</v>
      </c>
    </row>
    <row r="1501" spans="1:7" x14ac:dyDescent="0.25">
      <c r="A1501" s="4" t="s">
        <v>656</v>
      </c>
      <c r="B1501" s="2">
        <f>VALUE("7618")</f>
        <v>7618</v>
      </c>
      <c r="C1501" s="4" t="s">
        <v>2093</v>
      </c>
      <c r="D1501" s="4" t="s">
        <v>2094</v>
      </c>
      <c r="E1501" s="2">
        <f>VALUE("2018")</f>
        <v>2018</v>
      </c>
      <c r="F1501" t="s">
        <v>1998</v>
      </c>
    </row>
    <row r="1502" spans="1:7" x14ac:dyDescent="0.25">
      <c r="A1502" s="4" t="s">
        <v>656</v>
      </c>
      <c r="B1502" s="2">
        <f>VALUE("7883")</f>
        <v>7883</v>
      </c>
      <c r="C1502" s="4" t="s">
        <v>2816</v>
      </c>
      <c r="D1502" s="4" t="s">
        <v>2817</v>
      </c>
      <c r="E1502" s="2">
        <f>VALUE("2019")</f>
        <v>2019</v>
      </c>
      <c r="F1502" t="s">
        <v>1167</v>
      </c>
      <c r="G1502" s="8" t="s">
        <v>2818</v>
      </c>
    </row>
    <row r="1503" spans="1:7" x14ac:dyDescent="0.25">
      <c r="A1503" s="4" t="s">
        <v>656</v>
      </c>
      <c r="B1503" s="2">
        <f>VALUE("7883")</f>
        <v>7883</v>
      </c>
      <c r="C1503" s="4" t="s">
        <v>2819</v>
      </c>
      <c r="D1503" s="4" t="s">
        <v>2820</v>
      </c>
      <c r="E1503" s="2">
        <f>VALUE("2020")</f>
        <v>2020</v>
      </c>
      <c r="F1503" t="s">
        <v>39</v>
      </c>
    </row>
    <row r="1504" spans="1:7" x14ac:dyDescent="0.25">
      <c r="A1504" s="4" t="s">
        <v>656</v>
      </c>
      <c r="B1504" s="2">
        <f>VALUE("8761")</f>
        <v>8761</v>
      </c>
      <c r="C1504" s="4" t="s">
        <v>4670</v>
      </c>
      <c r="D1504" s="4" t="s">
        <v>4671</v>
      </c>
      <c r="E1504" s="2">
        <f>VALUE("2022")</f>
        <v>2022</v>
      </c>
      <c r="F1504" t="s">
        <v>656</v>
      </c>
      <c r="G1504" s="8" t="s">
        <v>4672</v>
      </c>
    </row>
    <row r="1505" spans="1:7" x14ac:dyDescent="0.25">
      <c r="A1505" s="4" t="s">
        <v>87</v>
      </c>
      <c r="B1505" s="2">
        <f>VALUE("1101")</f>
        <v>1101</v>
      </c>
      <c r="C1505" s="4" t="s">
        <v>84</v>
      </c>
      <c r="D1505" s="4" t="s">
        <v>85</v>
      </c>
      <c r="E1505" s="2">
        <f>VALUE("2013")</f>
        <v>2013</v>
      </c>
      <c r="F1505" t="s">
        <v>86</v>
      </c>
    </row>
    <row r="1506" spans="1:7" x14ac:dyDescent="0.25">
      <c r="A1506" s="4" t="s">
        <v>87</v>
      </c>
      <c r="B1506" s="2">
        <f>VALUE("6184")</f>
        <v>6184</v>
      </c>
      <c r="C1506" s="4" t="s">
        <v>484</v>
      </c>
      <c r="D1506" s="4" t="s">
        <v>485</v>
      </c>
      <c r="E1506" s="2">
        <f>VALUE("2012")</f>
        <v>2012</v>
      </c>
      <c r="F1506" t="s">
        <v>486</v>
      </c>
    </row>
    <row r="1507" spans="1:7" x14ac:dyDescent="0.25">
      <c r="A1507" s="4" t="s">
        <v>87</v>
      </c>
      <c r="B1507" s="2">
        <f>VALUE("6184")</f>
        <v>6184</v>
      </c>
      <c r="C1507" s="4" t="s">
        <v>487</v>
      </c>
      <c r="D1507" s="4" t="s">
        <v>488</v>
      </c>
      <c r="E1507" s="2">
        <f>VALUE("2013")</f>
        <v>2013</v>
      </c>
      <c r="F1507" t="s">
        <v>489</v>
      </c>
    </row>
    <row r="1508" spans="1:7" x14ac:dyDescent="0.25">
      <c r="A1508" s="4" t="s">
        <v>87</v>
      </c>
      <c r="B1508" s="2">
        <f>VALUE("6184")</f>
        <v>6184</v>
      </c>
      <c r="C1508" s="4" t="s">
        <v>490</v>
      </c>
      <c r="D1508" s="4" t="s">
        <v>491</v>
      </c>
      <c r="E1508" s="2">
        <f>VALUE("2012")</f>
        <v>2012</v>
      </c>
      <c r="F1508" t="s">
        <v>492</v>
      </c>
    </row>
    <row r="1509" spans="1:7" x14ac:dyDescent="0.25">
      <c r="A1509" s="4" t="s">
        <v>87</v>
      </c>
      <c r="B1509" s="2">
        <f>VALUE("6184")</f>
        <v>6184</v>
      </c>
      <c r="C1509" s="4" t="s">
        <v>493</v>
      </c>
      <c r="D1509" s="4" t="s">
        <v>488</v>
      </c>
      <c r="E1509" s="2">
        <f>VALUE("2012")</f>
        <v>2012</v>
      </c>
      <c r="F1509" t="s">
        <v>494</v>
      </c>
    </row>
    <row r="1510" spans="1:7" x14ac:dyDescent="0.25">
      <c r="A1510" s="4" t="s">
        <v>87</v>
      </c>
      <c r="B1510" s="2">
        <f>VALUE("7060")</f>
        <v>7060</v>
      </c>
      <c r="C1510" s="4" t="s">
        <v>669</v>
      </c>
      <c r="D1510" s="4" t="s">
        <v>670</v>
      </c>
      <c r="E1510" s="2">
        <f>VALUE("2015")</f>
        <v>2015</v>
      </c>
      <c r="F1510" t="s">
        <v>671</v>
      </c>
      <c r="G1510" s="8" t="s">
        <v>672</v>
      </c>
    </row>
    <row r="1511" spans="1:7" x14ac:dyDescent="0.25">
      <c r="A1511" s="4" t="s">
        <v>87</v>
      </c>
      <c r="B1511" s="2">
        <f>VALUE("7294")</f>
        <v>7294</v>
      </c>
      <c r="C1511" s="4" t="s">
        <v>1376</v>
      </c>
      <c r="D1511" s="4" t="s">
        <v>1377</v>
      </c>
      <c r="E1511" s="2">
        <f>VALUE("2013")</f>
        <v>2013</v>
      </c>
      <c r="F1511" t="s">
        <v>1378</v>
      </c>
      <c r="G1511" s="8" t="s">
        <v>1379</v>
      </c>
    </row>
    <row r="1512" spans="1:7" x14ac:dyDescent="0.25">
      <c r="A1512" s="4" t="s">
        <v>87</v>
      </c>
      <c r="B1512" s="2">
        <f>VALUE("7472")</f>
        <v>7472</v>
      </c>
      <c r="C1512" s="4" t="s">
        <v>1770</v>
      </c>
      <c r="D1512" s="4" t="s">
        <v>1771</v>
      </c>
      <c r="E1512" s="2">
        <f>VALUE("2015")</f>
        <v>2015</v>
      </c>
      <c r="F1512" t="s">
        <v>1378</v>
      </c>
      <c r="G1512" s="8" t="s">
        <v>1772</v>
      </c>
    </row>
    <row r="1513" spans="1:7" x14ac:dyDescent="0.25">
      <c r="A1513" s="4" t="s">
        <v>87</v>
      </c>
      <c r="B1513" s="2">
        <f t="shared" ref="B1513:B1521" si="33">VALUE("8163")</f>
        <v>8163</v>
      </c>
      <c r="C1513" s="4" t="s">
        <v>3379</v>
      </c>
      <c r="D1513" s="4" t="s">
        <v>3380</v>
      </c>
      <c r="E1513" s="2">
        <f>VALUE("2013")</f>
        <v>2013</v>
      </c>
      <c r="F1513" t="s">
        <v>87</v>
      </c>
      <c r="G1513" s="8" t="s">
        <v>3381</v>
      </c>
    </row>
    <row r="1514" spans="1:7" x14ac:dyDescent="0.25">
      <c r="A1514" s="4" t="s">
        <v>87</v>
      </c>
      <c r="B1514" s="2">
        <f t="shared" si="33"/>
        <v>8163</v>
      </c>
      <c r="C1514" s="4" t="s">
        <v>3393</v>
      </c>
      <c r="D1514" s="4" t="s">
        <v>3394</v>
      </c>
      <c r="E1514" s="2">
        <f>VALUE("2015")</f>
        <v>2015</v>
      </c>
      <c r="F1514" t="s">
        <v>87</v>
      </c>
      <c r="G1514" s="8" t="s">
        <v>3395</v>
      </c>
    </row>
    <row r="1515" spans="1:7" x14ac:dyDescent="0.25">
      <c r="A1515" s="4" t="s">
        <v>87</v>
      </c>
      <c r="B1515" s="2">
        <f t="shared" si="33"/>
        <v>8163</v>
      </c>
      <c r="C1515" s="4" t="s">
        <v>3383</v>
      </c>
      <c r="D1515" s="4" t="s">
        <v>3384</v>
      </c>
      <c r="E1515" s="2">
        <f>VALUE("2012")</f>
        <v>2012</v>
      </c>
      <c r="F1515" t="s">
        <v>87</v>
      </c>
      <c r="G1515" s="8" t="s">
        <v>3385</v>
      </c>
    </row>
    <row r="1516" spans="1:7" x14ac:dyDescent="0.25">
      <c r="A1516" s="4" t="s">
        <v>87</v>
      </c>
      <c r="B1516" s="2">
        <f t="shared" si="33"/>
        <v>8163</v>
      </c>
      <c r="C1516" s="4" t="s">
        <v>3386</v>
      </c>
      <c r="D1516" s="4" t="s">
        <v>3387</v>
      </c>
      <c r="E1516" s="2">
        <f>VALUE("2016")</f>
        <v>2016</v>
      </c>
      <c r="F1516" t="s">
        <v>87</v>
      </c>
      <c r="G1516" s="8" t="s">
        <v>3388</v>
      </c>
    </row>
    <row r="1517" spans="1:7" x14ac:dyDescent="0.25">
      <c r="A1517" s="4" t="s">
        <v>87</v>
      </c>
      <c r="B1517" s="2">
        <f t="shared" si="33"/>
        <v>8163</v>
      </c>
      <c r="C1517" s="4" t="s">
        <v>3396</v>
      </c>
      <c r="D1517" s="4" t="s">
        <v>3397</v>
      </c>
      <c r="E1517" s="2">
        <f>VALUE("2020")</f>
        <v>2020</v>
      </c>
      <c r="F1517" t="s">
        <v>87</v>
      </c>
      <c r="G1517" s="8" t="s">
        <v>3398</v>
      </c>
    </row>
    <row r="1518" spans="1:7" x14ac:dyDescent="0.25">
      <c r="A1518" s="4" t="s">
        <v>87</v>
      </c>
      <c r="B1518" s="2">
        <f t="shared" si="33"/>
        <v>8163</v>
      </c>
      <c r="C1518" s="4" t="s">
        <v>3376</v>
      </c>
      <c r="D1518" s="4" t="s">
        <v>3377</v>
      </c>
      <c r="E1518" s="2">
        <f>VALUE("2014")</f>
        <v>2014</v>
      </c>
      <c r="F1518" t="s">
        <v>87</v>
      </c>
      <c r="G1518" s="8" t="s">
        <v>3378</v>
      </c>
    </row>
    <row r="1519" spans="1:7" x14ac:dyDescent="0.25">
      <c r="A1519" s="4" t="s">
        <v>87</v>
      </c>
      <c r="B1519" s="2">
        <f t="shared" si="33"/>
        <v>8163</v>
      </c>
      <c r="C1519" s="4" t="s">
        <v>3389</v>
      </c>
      <c r="D1519" s="4" t="s">
        <v>3390</v>
      </c>
      <c r="E1519" s="2">
        <f>VALUE("2014")</f>
        <v>2014</v>
      </c>
      <c r="F1519" t="s">
        <v>87</v>
      </c>
      <c r="G1519" s="8" t="s">
        <v>3391</v>
      </c>
    </row>
    <row r="1520" spans="1:7" x14ac:dyDescent="0.25">
      <c r="A1520" s="4" t="s">
        <v>87</v>
      </c>
      <c r="B1520" s="2">
        <f t="shared" si="33"/>
        <v>8163</v>
      </c>
      <c r="C1520" s="4" t="s">
        <v>95</v>
      </c>
      <c r="D1520" s="4" t="s">
        <v>3387</v>
      </c>
      <c r="E1520" s="2">
        <f>VALUE("2014")</f>
        <v>2014</v>
      </c>
      <c r="F1520" t="s">
        <v>87</v>
      </c>
      <c r="G1520" s="8" t="s">
        <v>3392</v>
      </c>
    </row>
    <row r="1521" spans="1:7" x14ac:dyDescent="0.25">
      <c r="A1521" s="4" t="s">
        <v>87</v>
      </c>
      <c r="B1521" s="2">
        <f t="shared" si="33"/>
        <v>8163</v>
      </c>
      <c r="C1521" s="4" t="s">
        <v>98</v>
      </c>
      <c r="D1521" s="4" t="s">
        <v>3377</v>
      </c>
      <c r="E1521" s="2">
        <f>VALUE("2013")</f>
        <v>2013</v>
      </c>
      <c r="F1521" t="s">
        <v>87</v>
      </c>
      <c r="G1521" s="8" t="s">
        <v>3382</v>
      </c>
    </row>
    <row r="1522" spans="1:7" x14ac:dyDescent="0.25">
      <c r="A1522" s="4" t="s">
        <v>87</v>
      </c>
      <c r="B1522" s="2">
        <f>VALUE("8411")</f>
        <v>8411</v>
      </c>
      <c r="C1522" s="4" t="s">
        <v>3897</v>
      </c>
      <c r="D1522" s="4" t="s">
        <v>3898</v>
      </c>
      <c r="E1522" s="2">
        <f>VALUE("2022")</f>
        <v>2022</v>
      </c>
      <c r="F1522" t="s">
        <v>3899</v>
      </c>
      <c r="G1522" s="8" t="s">
        <v>3900</v>
      </c>
    </row>
    <row r="1523" spans="1:7" x14ac:dyDescent="0.25">
      <c r="A1523" s="4" t="s">
        <v>87</v>
      </c>
      <c r="B1523" s="2">
        <f>VALUE("8494")</f>
        <v>8494</v>
      </c>
      <c r="C1523" s="4" t="s">
        <v>4079</v>
      </c>
      <c r="D1523" s="4" t="s">
        <v>4080</v>
      </c>
      <c r="E1523" s="2">
        <f>VALUE("2021")</f>
        <v>2021</v>
      </c>
      <c r="F1523" t="s">
        <v>87</v>
      </c>
    </row>
    <row r="1524" spans="1:7" x14ac:dyDescent="0.25">
      <c r="A1524" s="4" t="s">
        <v>87</v>
      </c>
      <c r="B1524" s="2">
        <f>VALUE("8494")</f>
        <v>8494</v>
      </c>
      <c r="C1524" s="4" t="s">
        <v>4075</v>
      </c>
      <c r="D1524" s="4" t="s">
        <v>4076</v>
      </c>
      <c r="E1524" s="2">
        <f>VALUE("2020")</f>
        <v>2020</v>
      </c>
      <c r="F1524" t="s">
        <v>87</v>
      </c>
      <c r="G1524" s="8" t="s">
        <v>4077</v>
      </c>
    </row>
    <row r="1525" spans="1:7" x14ac:dyDescent="0.25">
      <c r="A1525" s="4" t="s">
        <v>87</v>
      </c>
      <c r="B1525" s="2">
        <f>VALUE("8494")</f>
        <v>8494</v>
      </c>
      <c r="C1525" s="4" t="s">
        <v>4081</v>
      </c>
      <c r="D1525" s="4" t="s">
        <v>4080</v>
      </c>
      <c r="E1525" s="2">
        <f>VALUE("2021")</f>
        <v>2021</v>
      </c>
      <c r="F1525" t="s">
        <v>87</v>
      </c>
    </row>
    <row r="1526" spans="1:7" x14ac:dyDescent="0.25">
      <c r="A1526" s="4" t="s">
        <v>87</v>
      </c>
      <c r="B1526" s="2">
        <f>VALUE("8494")</f>
        <v>8494</v>
      </c>
      <c r="C1526" s="4" t="s">
        <v>4078</v>
      </c>
      <c r="D1526" s="4" t="s">
        <v>4076</v>
      </c>
      <c r="E1526" s="2">
        <f>VALUE("2020")</f>
        <v>2020</v>
      </c>
      <c r="F1526" t="s">
        <v>87</v>
      </c>
    </row>
    <row r="1527" spans="1:7" x14ac:dyDescent="0.25">
      <c r="A1527" s="4" t="s">
        <v>87</v>
      </c>
      <c r="B1527" s="2">
        <f>VALUE("8656")</f>
        <v>8656</v>
      </c>
      <c r="C1527" s="4" t="s">
        <v>4459</v>
      </c>
      <c r="D1527" s="4" t="s">
        <v>4460</v>
      </c>
      <c r="E1527" s="2">
        <f>VALUE("2023")</f>
        <v>2023</v>
      </c>
      <c r="F1527" t="s">
        <v>4461</v>
      </c>
      <c r="G1527" s="8" t="s">
        <v>4462</v>
      </c>
    </row>
    <row r="1528" spans="1:7" x14ac:dyDescent="0.25">
      <c r="A1528" s="4" t="s">
        <v>87</v>
      </c>
      <c r="B1528" s="2">
        <f>VALUE("8963")</f>
        <v>8963</v>
      </c>
      <c r="C1528" s="4" t="s">
        <v>4913</v>
      </c>
      <c r="D1528" s="4" t="s">
        <v>4914</v>
      </c>
      <c r="E1528" s="2">
        <f>VALUE("2023")</f>
        <v>2023</v>
      </c>
      <c r="F1528" t="s">
        <v>4915</v>
      </c>
      <c r="G1528" s="8" t="s">
        <v>4916</v>
      </c>
    </row>
    <row r="1529" spans="1:7" x14ac:dyDescent="0.25">
      <c r="A1529" s="4" t="s">
        <v>87</v>
      </c>
      <c r="B1529" s="2" t="s">
        <v>5252</v>
      </c>
      <c r="C1529" s="4" t="s">
        <v>88</v>
      </c>
      <c r="D1529" s="4" t="s">
        <v>89</v>
      </c>
      <c r="E1529" s="2">
        <f>VALUE("2012")</f>
        <v>2012</v>
      </c>
      <c r="F1529" t="s">
        <v>90</v>
      </c>
    </row>
    <row r="1530" spans="1:7" x14ac:dyDescent="0.25">
      <c r="A1530" s="4" t="s">
        <v>87</v>
      </c>
      <c r="B1530" s="2" t="s">
        <v>5252</v>
      </c>
      <c r="C1530" s="4" t="s">
        <v>91</v>
      </c>
      <c r="D1530" s="4" t="s">
        <v>92</v>
      </c>
      <c r="E1530" s="2">
        <f>VALUE("2014")</f>
        <v>2014</v>
      </c>
      <c r="F1530" t="s">
        <v>93</v>
      </c>
      <c r="G1530" s="4" t="s">
        <v>94</v>
      </c>
    </row>
    <row r="1531" spans="1:7" x14ac:dyDescent="0.25">
      <c r="A1531" s="4" t="s">
        <v>87</v>
      </c>
      <c r="B1531" s="2" t="s">
        <v>5252</v>
      </c>
      <c r="C1531" s="4" t="s">
        <v>95</v>
      </c>
      <c r="D1531" s="4" t="s">
        <v>96</v>
      </c>
      <c r="E1531" s="2">
        <f>VALUE("2014")</f>
        <v>2014</v>
      </c>
      <c r="F1531" t="s">
        <v>97</v>
      </c>
    </row>
    <row r="1532" spans="1:7" x14ac:dyDescent="0.25">
      <c r="A1532" s="4" t="s">
        <v>87</v>
      </c>
      <c r="B1532" s="2" t="s">
        <v>5252</v>
      </c>
      <c r="C1532" s="4" t="s">
        <v>98</v>
      </c>
      <c r="D1532" s="4" t="s">
        <v>92</v>
      </c>
      <c r="E1532" s="2">
        <f>VALUE("2013")</f>
        <v>2013</v>
      </c>
      <c r="F1532" t="s">
        <v>99</v>
      </c>
    </row>
    <row r="1533" spans="1:7" x14ac:dyDescent="0.25">
      <c r="A1533" s="4" t="s">
        <v>3567</v>
      </c>
      <c r="B1533" s="2">
        <f t="shared" ref="B1533:B1538" si="34">VALUE("8246")</f>
        <v>8246</v>
      </c>
      <c r="C1533" s="4" t="s">
        <v>3584</v>
      </c>
      <c r="D1533" s="4" t="s">
        <v>3585</v>
      </c>
      <c r="E1533" s="2">
        <f>VALUE("2023")</f>
        <v>2023</v>
      </c>
      <c r="F1533" t="s">
        <v>3586</v>
      </c>
      <c r="G1533" s="11" t="s">
        <v>5253</v>
      </c>
    </row>
    <row r="1534" spans="1:7" x14ac:dyDescent="0.25">
      <c r="A1534" s="4" t="s">
        <v>3567</v>
      </c>
      <c r="B1534" s="2">
        <f t="shared" si="34"/>
        <v>8246</v>
      </c>
      <c r="C1534" s="4" t="s">
        <v>3564</v>
      </c>
      <c r="D1534" s="4" t="s">
        <v>3565</v>
      </c>
      <c r="E1534" s="2">
        <f>VALUE("2021")</f>
        <v>2021</v>
      </c>
      <c r="F1534" t="s">
        <v>3566</v>
      </c>
      <c r="G1534" s="8" t="s">
        <v>3568</v>
      </c>
    </row>
    <row r="1535" spans="1:7" x14ac:dyDescent="0.25">
      <c r="A1535" s="4" t="s">
        <v>3567</v>
      </c>
      <c r="B1535" s="2">
        <f t="shared" si="34"/>
        <v>8246</v>
      </c>
      <c r="C1535" s="4" t="s">
        <v>3569</v>
      </c>
      <c r="D1535" s="4" t="s">
        <v>3570</v>
      </c>
      <c r="E1535" s="2">
        <f>VALUE("2021")</f>
        <v>2021</v>
      </c>
      <c r="F1535" t="s">
        <v>1378</v>
      </c>
      <c r="G1535" s="8" t="s">
        <v>3571</v>
      </c>
    </row>
    <row r="1536" spans="1:7" x14ac:dyDescent="0.25">
      <c r="A1536" s="4" t="s">
        <v>3567</v>
      </c>
      <c r="B1536" s="2">
        <f t="shared" si="34"/>
        <v>8246</v>
      </c>
      <c r="C1536" s="4" t="s">
        <v>3576</v>
      </c>
      <c r="D1536" s="4" t="s">
        <v>3577</v>
      </c>
      <c r="E1536" s="2">
        <f>VALUE("2022")</f>
        <v>2022</v>
      </c>
      <c r="F1536" t="s">
        <v>3578</v>
      </c>
      <c r="G1536" s="8" t="s">
        <v>3579</v>
      </c>
    </row>
    <row r="1537" spans="1:7" x14ac:dyDescent="0.25">
      <c r="A1537" s="4" t="s">
        <v>3567</v>
      </c>
      <c r="B1537" s="2">
        <f t="shared" si="34"/>
        <v>8246</v>
      </c>
      <c r="C1537" s="4" t="s">
        <v>3580</v>
      </c>
      <c r="D1537" s="4" t="s">
        <v>3581</v>
      </c>
      <c r="E1537" s="2">
        <f>VALUE("2022")</f>
        <v>2022</v>
      </c>
      <c r="F1537" t="s">
        <v>3582</v>
      </c>
      <c r="G1537" s="8" t="s">
        <v>3583</v>
      </c>
    </row>
    <row r="1538" spans="1:7" x14ac:dyDescent="0.25">
      <c r="A1538" s="4" t="s">
        <v>3567</v>
      </c>
      <c r="B1538" s="2">
        <f t="shared" si="34"/>
        <v>8246</v>
      </c>
      <c r="C1538" s="4" t="s">
        <v>3572</v>
      </c>
      <c r="D1538" s="4" t="s">
        <v>3573</v>
      </c>
      <c r="E1538" s="2">
        <f>VALUE("2022")</f>
        <v>2022</v>
      </c>
      <c r="F1538" t="s">
        <v>3574</v>
      </c>
      <c r="G1538" s="8" t="s">
        <v>3575</v>
      </c>
    </row>
    <row r="1539" spans="1:7" x14ac:dyDescent="0.25">
      <c r="A1539" s="4" t="s">
        <v>71</v>
      </c>
      <c r="B1539" s="2">
        <f>VALUE("1087")</f>
        <v>1087</v>
      </c>
      <c r="C1539" s="4" t="s">
        <v>69</v>
      </c>
      <c r="D1539" s="4" t="s">
        <v>70</v>
      </c>
      <c r="E1539" s="2">
        <f>VALUE("2012")</f>
        <v>2012</v>
      </c>
      <c r="F1539" t="s">
        <v>71</v>
      </c>
    </row>
    <row r="1540" spans="1:7" x14ac:dyDescent="0.25">
      <c r="A1540" s="4" t="s">
        <v>71</v>
      </c>
      <c r="B1540" s="2">
        <f>VALUE("1087")</f>
        <v>1087</v>
      </c>
      <c r="C1540" s="4" t="s">
        <v>72</v>
      </c>
      <c r="D1540" s="4" t="s">
        <v>73</v>
      </c>
      <c r="E1540" s="2">
        <f>VALUE("2014")</f>
        <v>2014</v>
      </c>
      <c r="F1540" t="s">
        <v>74</v>
      </c>
    </row>
    <row r="1541" spans="1:7" x14ac:dyDescent="0.25">
      <c r="A1541" s="4" t="s">
        <v>71</v>
      </c>
      <c r="B1541" s="2">
        <f>VALUE("1087")</f>
        <v>1087</v>
      </c>
      <c r="C1541" s="4" t="s">
        <v>75</v>
      </c>
      <c r="D1541" s="4" t="s">
        <v>76</v>
      </c>
      <c r="E1541" s="2">
        <f>VALUE("2011")</f>
        <v>2011</v>
      </c>
      <c r="F1541" t="s">
        <v>77</v>
      </c>
      <c r="G1541" s="8" t="s">
        <v>78</v>
      </c>
    </row>
    <row r="1542" spans="1:7" x14ac:dyDescent="0.25">
      <c r="A1542" s="4" t="s">
        <v>71</v>
      </c>
      <c r="B1542" s="2">
        <f>VALUE("7287")</f>
        <v>7287</v>
      </c>
      <c r="C1542" s="4" t="s">
        <v>1362</v>
      </c>
      <c r="D1542" s="4" t="s">
        <v>1363</v>
      </c>
      <c r="E1542" s="2">
        <f>VALUE("2015")</f>
        <v>2015</v>
      </c>
      <c r="F1542" t="s">
        <v>71</v>
      </c>
      <c r="G1542" s="8" t="s">
        <v>1364</v>
      </c>
    </row>
    <row r="1543" spans="1:7" x14ac:dyDescent="0.25">
      <c r="A1543" s="4" t="s">
        <v>71</v>
      </c>
      <c r="B1543" s="2">
        <f>VALUE("7384")</f>
        <v>7384</v>
      </c>
      <c r="C1543" s="4" t="s">
        <v>1580</v>
      </c>
      <c r="D1543" s="4" t="s">
        <v>1581</v>
      </c>
      <c r="E1543" s="2">
        <f>VALUE("2014")</f>
        <v>2014</v>
      </c>
      <c r="F1543" t="s">
        <v>1582</v>
      </c>
    </row>
    <row r="1544" spans="1:7" x14ac:dyDescent="0.25">
      <c r="A1544" s="4" t="s">
        <v>71</v>
      </c>
      <c r="B1544" s="2">
        <f>VALUE("8007")</f>
        <v>8007</v>
      </c>
      <c r="C1544" s="4" t="s">
        <v>3013</v>
      </c>
      <c r="D1544" s="4" t="s">
        <v>3014</v>
      </c>
      <c r="E1544" s="2">
        <f>VALUE("2018")</f>
        <v>2018</v>
      </c>
      <c r="F1544" t="s">
        <v>3015</v>
      </c>
      <c r="G1544" s="8" t="s">
        <v>3016</v>
      </c>
    </row>
    <row r="1545" spans="1:7" x14ac:dyDescent="0.25">
      <c r="A1545" s="4" t="s">
        <v>71</v>
      </c>
      <c r="B1545" s="2">
        <f>VALUE("8232")</f>
        <v>8232</v>
      </c>
      <c r="C1545" s="4" t="s">
        <v>3531</v>
      </c>
      <c r="D1545" s="4" t="s">
        <v>3532</v>
      </c>
      <c r="E1545" s="2">
        <f>VALUE("2022")</f>
        <v>2022</v>
      </c>
      <c r="F1545" t="s">
        <v>974</v>
      </c>
      <c r="G1545" s="8" t="s">
        <v>3533</v>
      </c>
    </row>
    <row r="1546" spans="1:7" x14ac:dyDescent="0.25">
      <c r="A1546" s="4" t="s">
        <v>71</v>
      </c>
      <c r="B1546" s="2">
        <f>VALUE("8256")</f>
        <v>8256</v>
      </c>
      <c r="C1546" s="4" t="s">
        <v>3612</v>
      </c>
      <c r="D1546" s="4" t="s">
        <v>3613</v>
      </c>
      <c r="E1546" s="2">
        <f>VALUE("2020")</f>
        <v>2020</v>
      </c>
      <c r="F1546" t="s">
        <v>71</v>
      </c>
    </row>
    <row r="1547" spans="1:7" x14ac:dyDescent="0.25">
      <c r="A1547" s="4" t="s">
        <v>71</v>
      </c>
      <c r="B1547" s="2">
        <f>VALUE("8270")</f>
        <v>8270</v>
      </c>
      <c r="C1547" s="4" t="s">
        <v>3642</v>
      </c>
      <c r="D1547" s="4" t="s">
        <v>3643</v>
      </c>
      <c r="E1547" s="2">
        <f>VALUE("2021")</f>
        <v>2021</v>
      </c>
      <c r="F1547" t="s">
        <v>71</v>
      </c>
    </row>
    <row r="1548" spans="1:7" x14ac:dyDescent="0.25">
      <c r="A1548" s="4" t="s">
        <v>71</v>
      </c>
      <c r="B1548" s="2">
        <f>VALUE("8279")</f>
        <v>8279</v>
      </c>
      <c r="C1548" s="4" t="s">
        <v>3656</v>
      </c>
      <c r="D1548" s="4" t="s">
        <v>3657</v>
      </c>
      <c r="E1548" s="2">
        <f>VALUE("2021")</f>
        <v>2021</v>
      </c>
      <c r="F1548" t="s">
        <v>3658</v>
      </c>
      <c r="G1548" s="8" t="s">
        <v>3659</v>
      </c>
    </row>
    <row r="1549" spans="1:7" x14ac:dyDescent="0.25">
      <c r="A1549" s="4" t="s">
        <v>71</v>
      </c>
      <c r="B1549" s="2">
        <f>VALUE("8432")</f>
        <v>8432</v>
      </c>
      <c r="C1549" s="4" t="s">
        <v>3925</v>
      </c>
      <c r="D1549" s="4" t="s">
        <v>3926</v>
      </c>
      <c r="E1549" s="2">
        <f>VALUE("2020")</f>
        <v>2020</v>
      </c>
      <c r="F1549" t="s">
        <v>71</v>
      </c>
      <c r="G1549" s="8" t="s">
        <v>3927</v>
      </c>
    </row>
    <row r="1550" spans="1:7" x14ac:dyDescent="0.25">
      <c r="A1550" s="4" t="s">
        <v>71</v>
      </c>
      <c r="B1550" s="2">
        <f>VALUE("8443")</f>
        <v>8443</v>
      </c>
      <c r="C1550" s="4" t="s">
        <v>3945</v>
      </c>
      <c r="D1550" s="4" t="s">
        <v>3946</v>
      </c>
      <c r="E1550" s="2">
        <f>VALUE("2021")</f>
        <v>2021</v>
      </c>
      <c r="F1550" t="s">
        <v>71</v>
      </c>
    </row>
    <row r="1551" spans="1:7" x14ac:dyDescent="0.25">
      <c r="A1551" s="4" t="s">
        <v>71</v>
      </c>
      <c r="B1551" s="2">
        <f>VALUE("8563")</f>
        <v>8563</v>
      </c>
      <c r="C1551" s="4" t="s">
        <v>4266</v>
      </c>
      <c r="D1551" s="4" t="s">
        <v>4267</v>
      </c>
      <c r="E1551" s="2">
        <f>VALUE("2020")</f>
        <v>2020</v>
      </c>
      <c r="F1551" t="s">
        <v>71</v>
      </c>
      <c r="G1551" s="8" t="s">
        <v>4268</v>
      </c>
    </row>
    <row r="1552" spans="1:7" x14ac:dyDescent="0.25">
      <c r="A1552" s="4" t="s">
        <v>71</v>
      </c>
      <c r="B1552" s="2">
        <f>VALUE("8786")</f>
        <v>8786</v>
      </c>
      <c r="C1552" s="4" t="s">
        <v>4696</v>
      </c>
      <c r="D1552" s="4" t="s">
        <v>4697</v>
      </c>
      <c r="E1552" s="2">
        <f>VALUE("2022")</f>
        <v>2022</v>
      </c>
      <c r="F1552" t="s">
        <v>4698</v>
      </c>
      <c r="G1552" s="8" t="s">
        <v>4699</v>
      </c>
    </row>
    <row r="1553" spans="1:7" x14ac:dyDescent="0.25">
      <c r="A1553" s="4" t="s">
        <v>1077</v>
      </c>
      <c r="B1553" s="2">
        <f>VALUE("7210")</f>
        <v>7210</v>
      </c>
      <c r="C1553" s="4" t="s">
        <v>1074</v>
      </c>
      <c r="D1553" s="4" t="s">
        <v>1075</v>
      </c>
      <c r="E1553" s="2">
        <f>VALUE("2013")</f>
        <v>2013</v>
      </c>
      <c r="F1553" t="s">
        <v>1076</v>
      </c>
      <c r="G1553" s="8" t="s">
        <v>1078</v>
      </c>
    </row>
    <row r="1554" spans="1:7" x14ac:dyDescent="0.25">
      <c r="A1554" s="4" t="s">
        <v>1077</v>
      </c>
      <c r="B1554" s="2">
        <f>VALUE("7210")</f>
        <v>7210</v>
      </c>
      <c r="C1554" s="4" t="s">
        <v>1079</v>
      </c>
      <c r="D1554" s="4" t="s">
        <v>1080</v>
      </c>
      <c r="E1554" s="2">
        <f>VALUE("2022")</f>
        <v>2022</v>
      </c>
      <c r="F1554" t="s">
        <v>1081</v>
      </c>
      <c r="G1554" s="8" t="s">
        <v>1082</v>
      </c>
    </row>
    <row r="1555" spans="1:7" x14ac:dyDescent="0.25">
      <c r="A1555" s="4" t="s">
        <v>1077</v>
      </c>
      <c r="B1555" s="2">
        <f>VALUE("7347")</f>
        <v>7347</v>
      </c>
      <c r="C1555" s="4" t="s">
        <v>1525</v>
      </c>
      <c r="D1555" s="4" t="s">
        <v>1526</v>
      </c>
      <c r="E1555" s="2">
        <f>VALUE("2014")</f>
        <v>2014</v>
      </c>
      <c r="F1555" t="s">
        <v>1527</v>
      </c>
      <c r="G1555" s="8" t="s">
        <v>1528</v>
      </c>
    </row>
    <row r="1556" spans="1:7" x14ac:dyDescent="0.25">
      <c r="A1556" s="4" t="s">
        <v>1077</v>
      </c>
      <c r="B1556" s="2">
        <f>VALUE("7347")</f>
        <v>7347</v>
      </c>
      <c r="C1556" s="4" t="s">
        <v>1529</v>
      </c>
      <c r="D1556" s="4" t="s">
        <v>1530</v>
      </c>
      <c r="E1556" s="2">
        <f>VALUE("2014")</f>
        <v>2014</v>
      </c>
      <c r="F1556" t="s">
        <v>1531</v>
      </c>
      <c r="G1556" s="8" t="s">
        <v>1532</v>
      </c>
    </row>
    <row r="1557" spans="1:7" x14ac:dyDescent="0.25">
      <c r="A1557" s="4" t="s">
        <v>1077</v>
      </c>
      <c r="B1557" s="2">
        <f>VALUE("7373")</f>
        <v>7373</v>
      </c>
      <c r="C1557" s="4" t="s">
        <v>1567</v>
      </c>
      <c r="D1557" s="4" t="s">
        <v>1568</v>
      </c>
      <c r="E1557" s="2">
        <f>VALUE("2013")</f>
        <v>2013</v>
      </c>
      <c r="F1557" t="s">
        <v>1569</v>
      </c>
      <c r="G1557" s="8" t="s">
        <v>1570</v>
      </c>
    </row>
    <row r="1558" spans="1:7" x14ac:dyDescent="0.25">
      <c r="A1558" s="4" t="s">
        <v>1077</v>
      </c>
      <c r="B1558" s="2">
        <f>VALUE("7497")</f>
        <v>7497</v>
      </c>
      <c r="C1558" s="4" t="s">
        <v>1834</v>
      </c>
      <c r="D1558" s="4" t="s">
        <v>1835</v>
      </c>
      <c r="E1558" s="2">
        <f>VALUE("2019")</f>
        <v>2019</v>
      </c>
      <c r="F1558" t="s">
        <v>1836</v>
      </c>
      <c r="G1558" s="8" t="s">
        <v>1837</v>
      </c>
    </row>
    <row r="1559" spans="1:7" x14ac:dyDescent="0.25">
      <c r="A1559" s="4" t="s">
        <v>1077</v>
      </c>
      <c r="B1559" s="2">
        <f>VALUE("7497")</f>
        <v>7497</v>
      </c>
      <c r="C1559" s="4" t="s">
        <v>1838</v>
      </c>
      <c r="D1559" s="4" t="s">
        <v>1839</v>
      </c>
      <c r="E1559" s="2">
        <f>VALUE("2016")</f>
        <v>2016</v>
      </c>
      <c r="F1559" t="s">
        <v>1840</v>
      </c>
    </row>
    <row r="1560" spans="1:7" x14ac:dyDescent="0.25">
      <c r="A1560" s="4" t="s">
        <v>1077</v>
      </c>
      <c r="B1560" s="2">
        <f>VALUE("7847")</f>
        <v>7847</v>
      </c>
      <c r="C1560" s="4" t="s">
        <v>2698</v>
      </c>
      <c r="D1560" s="4" t="s">
        <v>2699</v>
      </c>
      <c r="E1560" s="2">
        <f>VALUE("2017")</f>
        <v>2017</v>
      </c>
      <c r="F1560" t="s">
        <v>2700</v>
      </c>
      <c r="G1560" s="8" t="s">
        <v>2701</v>
      </c>
    </row>
    <row r="1561" spans="1:7" x14ac:dyDescent="0.25">
      <c r="A1561" s="4" t="s">
        <v>1077</v>
      </c>
      <c r="B1561" s="2">
        <f>VALUE("7847")</f>
        <v>7847</v>
      </c>
      <c r="C1561" s="4" t="s">
        <v>2702</v>
      </c>
      <c r="D1561" s="4" t="s">
        <v>2703</v>
      </c>
      <c r="E1561" s="2">
        <f>VALUE("2017")</f>
        <v>2017</v>
      </c>
      <c r="F1561" t="s">
        <v>2704</v>
      </c>
      <c r="G1561" s="8" t="s">
        <v>2705</v>
      </c>
    </row>
    <row r="1562" spans="1:7" x14ac:dyDescent="0.25">
      <c r="A1562" s="4" t="s">
        <v>1077</v>
      </c>
      <c r="B1562" s="2">
        <f>VALUE("7847")</f>
        <v>7847</v>
      </c>
      <c r="C1562" s="4" t="s">
        <v>2706</v>
      </c>
      <c r="D1562" s="4" t="s">
        <v>2707</v>
      </c>
      <c r="E1562" s="2">
        <f>VALUE("2018")</f>
        <v>2018</v>
      </c>
      <c r="F1562" t="s">
        <v>2700</v>
      </c>
    </row>
    <row r="1563" spans="1:7" x14ac:dyDescent="0.25">
      <c r="A1563" s="4" t="s">
        <v>1077</v>
      </c>
      <c r="B1563" s="2">
        <f>VALUE("8917")</f>
        <v>8917</v>
      </c>
      <c r="C1563" s="4" t="s">
        <v>4867</v>
      </c>
      <c r="D1563" s="4" t="s">
        <v>4865</v>
      </c>
      <c r="E1563" s="2">
        <f>VALUE("2021")</f>
        <v>2021</v>
      </c>
      <c r="F1563" t="s">
        <v>1077</v>
      </c>
    </row>
    <row r="1564" spans="1:7" x14ac:dyDescent="0.25">
      <c r="A1564" s="4" t="s">
        <v>1077</v>
      </c>
      <c r="B1564" s="2">
        <f>VALUE("8917")</f>
        <v>8917</v>
      </c>
      <c r="C1564" s="4" t="s">
        <v>4864</v>
      </c>
      <c r="D1564" s="4" t="s">
        <v>4865</v>
      </c>
      <c r="E1564" s="2">
        <f>VALUE("2021")</f>
        <v>2021</v>
      </c>
      <c r="F1564" t="s">
        <v>1077</v>
      </c>
      <c r="G1564" s="8" t="s">
        <v>4866</v>
      </c>
    </row>
    <row r="1565" spans="1:7" x14ac:dyDescent="0.25">
      <c r="A1565" s="4" t="s">
        <v>1077</v>
      </c>
      <c r="B1565" s="2">
        <f>VALUE("9002")</f>
        <v>9002</v>
      </c>
      <c r="C1565" s="4" t="s">
        <v>4949</v>
      </c>
      <c r="D1565" s="4" t="s">
        <v>4950</v>
      </c>
      <c r="E1565" s="2">
        <f>VALUE("2021")</f>
        <v>2021</v>
      </c>
      <c r="F1565" t="s">
        <v>1077</v>
      </c>
      <c r="G1565" s="8" t="s">
        <v>4951</v>
      </c>
    </row>
    <row r="1566" spans="1:7" x14ac:dyDescent="0.25">
      <c r="A1566" s="4" t="s">
        <v>1077</v>
      </c>
      <c r="B1566" s="2">
        <f>VALUE("9181")</f>
        <v>9181</v>
      </c>
      <c r="C1566" s="4" t="s">
        <v>5095</v>
      </c>
      <c r="D1566" s="4" t="s">
        <v>5096</v>
      </c>
      <c r="E1566" s="2">
        <f>VALUE("2022")</f>
        <v>2022</v>
      </c>
      <c r="F1566" t="s">
        <v>5097</v>
      </c>
      <c r="G1566" s="8" t="s">
        <v>5098</v>
      </c>
    </row>
    <row r="1567" spans="1:7" x14ac:dyDescent="0.25">
      <c r="A1567" s="4" t="s">
        <v>1023</v>
      </c>
      <c r="B1567" s="2">
        <f>VALUE("7176")</f>
        <v>7176</v>
      </c>
      <c r="C1567" s="4" t="s">
        <v>1020</v>
      </c>
      <c r="D1567" s="4" t="s">
        <v>1021</v>
      </c>
      <c r="E1567" s="2">
        <f>VALUE("2013")</f>
        <v>2013</v>
      </c>
      <c r="F1567" t="s">
        <v>1022</v>
      </c>
    </row>
    <row r="1568" spans="1:7" x14ac:dyDescent="0.25">
      <c r="A1568" s="4" t="s">
        <v>1023</v>
      </c>
      <c r="B1568" s="2">
        <f>VALUE("7255")</f>
        <v>7255</v>
      </c>
      <c r="C1568" s="4" t="s">
        <v>1158</v>
      </c>
      <c r="D1568" s="4" t="s">
        <v>1159</v>
      </c>
      <c r="E1568" s="2">
        <f>VALUE("2013")</f>
        <v>2013</v>
      </c>
      <c r="F1568" t="s">
        <v>1160</v>
      </c>
      <c r="G1568" s="8" t="s">
        <v>1161</v>
      </c>
    </row>
    <row r="1569" spans="1:7" x14ac:dyDescent="0.25">
      <c r="A1569" s="4" t="s">
        <v>1174</v>
      </c>
      <c r="B1569" s="2">
        <f>VALUE("7258")</f>
        <v>7258</v>
      </c>
      <c r="C1569" s="4" t="s">
        <v>1171</v>
      </c>
      <c r="D1569" s="4" t="s">
        <v>1172</v>
      </c>
      <c r="E1569" s="2">
        <f>VALUE("2013")</f>
        <v>2013</v>
      </c>
      <c r="F1569" t="s">
        <v>1173</v>
      </c>
      <c r="G1569" s="8" t="s">
        <v>5236</v>
      </c>
    </row>
    <row r="1570" spans="1:7" x14ac:dyDescent="0.25">
      <c r="A1570" s="4" t="s">
        <v>1174</v>
      </c>
      <c r="B1570" s="2">
        <f>VALUE("7258")</f>
        <v>7258</v>
      </c>
      <c r="C1570" s="4" t="s">
        <v>1175</v>
      </c>
      <c r="D1570" s="4" t="s">
        <v>1176</v>
      </c>
      <c r="E1570" s="2">
        <f>VALUE("2013")</f>
        <v>2013</v>
      </c>
      <c r="F1570" t="s">
        <v>1177</v>
      </c>
      <c r="G1570" s="8"/>
    </row>
    <row r="1571" spans="1:7" x14ac:dyDescent="0.25">
      <c r="A1571" s="4" t="s">
        <v>1174</v>
      </c>
      <c r="B1571" s="2">
        <f>VALUE("7258")</f>
        <v>7258</v>
      </c>
      <c r="C1571" s="4" t="s">
        <v>1178</v>
      </c>
      <c r="D1571" s="4" t="s">
        <v>1179</v>
      </c>
      <c r="E1571" s="2">
        <f>VALUE("2014")</f>
        <v>2014</v>
      </c>
      <c r="F1571" t="s">
        <v>1180</v>
      </c>
      <c r="G1571" s="8" t="s">
        <v>1181</v>
      </c>
    </row>
    <row r="1572" spans="1:7" x14ac:dyDescent="0.25">
      <c r="A1572" s="4" t="s">
        <v>1174</v>
      </c>
      <c r="B1572" s="2">
        <f>VALUE("7766")</f>
        <v>7766</v>
      </c>
      <c r="C1572" s="4" t="s">
        <v>2542</v>
      </c>
      <c r="D1572" s="4" t="s">
        <v>2543</v>
      </c>
      <c r="E1572" s="2">
        <f>VALUE("2017")</f>
        <v>2017</v>
      </c>
      <c r="F1572" t="s">
        <v>2544</v>
      </c>
      <c r="G1572" s="8" t="s">
        <v>2545</v>
      </c>
    </row>
    <row r="1573" spans="1:7" x14ac:dyDescent="0.25">
      <c r="A1573" s="4" t="s">
        <v>1174</v>
      </c>
      <c r="B1573" s="2">
        <f>VALUE("8094")</f>
        <v>8094</v>
      </c>
      <c r="C1573" s="4" t="s">
        <v>3196</v>
      </c>
      <c r="D1573" s="4" t="s">
        <v>3197</v>
      </c>
      <c r="E1573" s="2">
        <f>VALUE("2019")</f>
        <v>2019</v>
      </c>
      <c r="F1573" t="s">
        <v>3198</v>
      </c>
      <c r="G1573" s="8" t="s">
        <v>3199</v>
      </c>
    </row>
    <row r="1574" spans="1:7" x14ac:dyDescent="0.25">
      <c r="A1574" s="4" t="s">
        <v>1174</v>
      </c>
      <c r="B1574" s="2">
        <f>VALUE("8394")</f>
        <v>8394</v>
      </c>
      <c r="C1574" s="4" t="s">
        <v>3865</v>
      </c>
      <c r="D1574" s="4" t="s">
        <v>3866</v>
      </c>
      <c r="E1574" s="2">
        <f>VALUE("2021")</f>
        <v>2021</v>
      </c>
      <c r="F1574" t="s">
        <v>1174</v>
      </c>
      <c r="G1574" s="8" t="s">
        <v>3867</v>
      </c>
    </row>
    <row r="1575" spans="1:7" x14ac:dyDescent="0.25">
      <c r="A1575" s="4" t="s">
        <v>1174</v>
      </c>
      <c r="B1575" s="2">
        <f>VALUE("8394")</f>
        <v>8394</v>
      </c>
      <c r="C1575" s="4" t="s">
        <v>3862</v>
      </c>
      <c r="D1575" s="4" t="s">
        <v>3863</v>
      </c>
      <c r="E1575" s="2">
        <f>VALUE("2021")</f>
        <v>2021</v>
      </c>
      <c r="F1575" t="s">
        <v>1174</v>
      </c>
      <c r="G1575" s="8" t="s">
        <v>3864</v>
      </c>
    </row>
    <row r="1576" spans="1:7" x14ac:dyDescent="0.25">
      <c r="A1576" s="4" t="s">
        <v>1174</v>
      </c>
      <c r="B1576" s="2">
        <f>VALUE("8394")</f>
        <v>8394</v>
      </c>
      <c r="C1576" s="4" t="s">
        <v>3859</v>
      </c>
      <c r="D1576" s="4" t="s">
        <v>3860</v>
      </c>
      <c r="E1576" s="2">
        <f>VALUE("2021")</f>
        <v>2021</v>
      </c>
      <c r="F1576" t="s">
        <v>1174</v>
      </c>
      <c r="G1576" s="8" t="s">
        <v>3861</v>
      </c>
    </row>
    <row r="1577" spans="1:7" x14ac:dyDescent="0.25">
      <c r="A1577" s="4" t="s">
        <v>176</v>
      </c>
      <c r="B1577" s="2">
        <f>VALUE("6034")</f>
        <v>6034</v>
      </c>
      <c r="C1577" s="4" t="s">
        <v>174</v>
      </c>
      <c r="D1577" s="4" t="s">
        <v>175</v>
      </c>
      <c r="E1577" s="2">
        <f>VALUE("2009")</f>
        <v>2009</v>
      </c>
      <c r="F1577" t="s">
        <v>176</v>
      </c>
    </row>
    <row r="1578" spans="1:7" x14ac:dyDescent="0.25">
      <c r="A1578" s="4" t="s">
        <v>176</v>
      </c>
      <c r="B1578" s="2">
        <f>VALUE("6045")</f>
        <v>6045</v>
      </c>
      <c r="C1578" s="4" t="s">
        <v>181</v>
      </c>
      <c r="D1578" s="4" t="s">
        <v>182</v>
      </c>
      <c r="E1578" s="2">
        <f>VALUE("2012")</f>
        <v>2012</v>
      </c>
      <c r="F1578" t="s">
        <v>183</v>
      </c>
      <c r="G1578" s="8" t="s">
        <v>184</v>
      </c>
    </row>
    <row r="1579" spans="1:7" x14ac:dyDescent="0.25">
      <c r="A1579" s="4" t="s">
        <v>176</v>
      </c>
      <c r="B1579" s="2">
        <f>VALUE("6045")</f>
        <v>6045</v>
      </c>
      <c r="C1579" s="4" t="s">
        <v>185</v>
      </c>
      <c r="D1579" s="4" t="s">
        <v>186</v>
      </c>
      <c r="E1579" s="2">
        <f>VALUE("2014")</f>
        <v>2014</v>
      </c>
      <c r="F1579" t="s">
        <v>187</v>
      </c>
    </row>
    <row r="1580" spans="1:7" x14ac:dyDescent="0.25">
      <c r="A1580" s="4" t="s">
        <v>176</v>
      </c>
      <c r="B1580" s="2">
        <f>VALUE("6045")</f>
        <v>6045</v>
      </c>
      <c r="C1580" s="4" t="s">
        <v>188</v>
      </c>
      <c r="D1580" s="4" t="s">
        <v>189</v>
      </c>
      <c r="E1580" s="2">
        <f>VALUE("2011")</f>
        <v>2011</v>
      </c>
      <c r="F1580" t="s">
        <v>190</v>
      </c>
      <c r="G1580" s="8" t="s">
        <v>191</v>
      </c>
    </row>
    <row r="1581" spans="1:7" x14ac:dyDescent="0.25">
      <c r="A1581" s="4" t="s">
        <v>176</v>
      </c>
      <c r="B1581" s="2">
        <f>VALUE("6045")</f>
        <v>6045</v>
      </c>
      <c r="C1581" s="4" t="s">
        <v>192</v>
      </c>
      <c r="D1581" s="4" t="s">
        <v>193</v>
      </c>
      <c r="E1581" s="2">
        <f>VALUE("2013")</f>
        <v>2013</v>
      </c>
      <c r="F1581" t="s">
        <v>194</v>
      </c>
    </row>
    <row r="1582" spans="1:7" x14ac:dyDescent="0.25">
      <c r="A1582" s="4" t="s">
        <v>176</v>
      </c>
      <c r="B1582" s="2">
        <f>VALUE("6045")</f>
        <v>6045</v>
      </c>
      <c r="C1582" s="4" t="s">
        <v>195</v>
      </c>
      <c r="D1582" s="4" t="s">
        <v>196</v>
      </c>
      <c r="E1582" s="2">
        <f>VALUE("2012")</f>
        <v>2012</v>
      </c>
      <c r="F1582" t="s">
        <v>197</v>
      </c>
      <c r="G1582" s="8" t="s">
        <v>198</v>
      </c>
    </row>
    <row r="1583" spans="1:7" x14ac:dyDescent="0.25">
      <c r="A1583" s="4" t="s">
        <v>176</v>
      </c>
      <c r="B1583" s="2">
        <f>VALUE("6058")</f>
        <v>6058</v>
      </c>
      <c r="C1583" s="4" t="s">
        <v>205</v>
      </c>
      <c r="D1583" s="4" t="s">
        <v>206</v>
      </c>
      <c r="E1583" s="2">
        <f>VALUE("2010")</f>
        <v>2010</v>
      </c>
      <c r="F1583" t="s">
        <v>207</v>
      </c>
    </row>
    <row r="1584" spans="1:7" x14ac:dyDescent="0.25">
      <c r="A1584" s="4" t="s">
        <v>176</v>
      </c>
      <c r="B1584" s="2">
        <f>VALUE("6058")</f>
        <v>6058</v>
      </c>
      <c r="C1584" s="4" t="s">
        <v>208</v>
      </c>
      <c r="D1584" s="4" t="s">
        <v>209</v>
      </c>
      <c r="E1584" s="2">
        <f>VALUE("2010")</f>
        <v>2010</v>
      </c>
      <c r="F1584" t="s">
        <v>207</v>
      </c>
    </row>
    <row r="1585" spans="1:7" x14ac:dyDescent="0.25">
      <c r="A1585" s="4" t="s">
        <v>176</v>
      </c>
      <c r="B1585" s="2">
        <f t="shared" ref="B1585:B1595" si="35">VALUE("6094")</f>
        <v>6094</v>
      </c>
      <c r="C1585" s="4" t="s">
        <v>298</v>
      </c>
      <c r="D1585" s="4" t="s">
        <v>299</v>
      </c>
      <c r="E1585" s="2">
        <f>VALUE("2010")</f>
        <v>2010</v>
      </c>
      <c r="F1585" t="s">
        <v>300</v>
      </c>
    </row>
    <row r="1586" spans="1:7" x14ac:dyDescent="0.25">
      <c r="A1586" s="4" t="s">
        <v>176</v>
      </c>
      <c r="B1586" s="2">
        <f t="shared" si="35"/>
        <v>6094</v>
      </c>
      <c r="C1586" s="4" t="s">
        <v>301</v>
      </c>
      <c r="D1586" s="4" t="s">
        <v>302</v>
      </c>
      <c r="E1586" s="2">
        <f>VALUE("2014")</f>
        <v>2014</v>
      </c>
      <c r="F1586" t="s">
        <v>303</v>
      </c>
    </row>
    <row r="1587" spans="1:7" x14ac:dyDescent="0.25">
      <c r="A1587" s="4" t="s">
        <v>176</v>
      </c>
      <c r="B1587" s="2">
        <f t="shared" si="35"/>
        <v>6094</v>
      </c>
      <c r="C1587" s="4" t="s">
        <v>304</v>
      </c>
      <c r="D1587" s="4" t="s">
        <v>305</v>
      </c>
      <c r="E1587" s="2">
        <f>VALUE("2013")</f>
        <v>2013</v>
      </c>
      <c r="F1587" t="s">
        <v>306</v>
      </c>
    </row>
    <row r="1588" spans="1:7" x14ac:dyDescent="0.25">
      <c r="A1588" s="4" t="s">
        <v>176</v>
      </c>
      <c r="B1588" s="2">
        <f t="shared" si="35"/>
        <v>6094</v>
      </c>
      <c r="C1588" s="4" t="s">
        <v>307</v>
      </c>
      <c r="D1588" s="4" t="s">
        <v>308</v>
      </c>
      <c r="E1588" s="2">
        <f>VALUE("2011")</f>
        <v>2011</v>
      </c>
      <c r="F1588" t="s">
        <v>309</v>
      </c>
      <c r="G1588" s="8" t="s">
        <v>310</v>
      </c>
    </row>
    <row r="1589" spans="1:7" x14ac:dyDescent="0.25">
      <c r="A1589" s="4" t="s">
        <v>176</v>
      </c>
      <c r="B1589" s="2">
        <f t="shared" si="35"/>
        <v>6094</v>
      </c>
      <c r="C1589" s="4" t="s">
        <v>311</v>
      </c>
      <c r="D1589" s="4" t="s">
        <v>312</v>
      </c>
      <c r="E1589" s="2">
        <f>VALUE("2014")</f>
        <v>2014</v>
      </c>
      <c r="F1589" t="s">
        <v>313</v>
      </c>
    </row>
    <row r="1590" spans="1:7" x14ac:dyDescent="0.25">
      <c r="A1590" s="4" t="s">
        <v>176</v>
      </c>
      <c r="B1590" s="2">
        <f t="shared" si="35"/>
        <v>6094</v>
      </c>
      <c r="C1590" s="4" t="s">
        <v>314</v>
      </c>
      <c r="D1590" s="4" t="s">
        <v>315</v>
      </c>
      <c r="E1590" s="2">
        <f>VALUE("2010")</f>
        <v>2010</v>
      </c>
      <c r="F1590" t="s">
        <v>316</v>
      </c>
    </row>
    <row r="1591" spans="1:7" x14ac:dyDescent="0.25">
      <c r="A1591" s="4" t="s">
        <v>176</v>
      </c>
      <c r="B1591" s="2">
        <f t="shared" si="35"/>
        <v>6094</v>
      </c>
      <c r="C1591" s="4" t="s">
        <v>317</v>
      </c>
      <c r="D1591" s="4" t="s">
        <v>318</v>
      </c>
      <c r="E1591" s="2">
        <f>VALUE("2014")</f>
        <v>2014</v>
      </c>
      <c r="F1591" t="s">
        <v>319</v>
      </c>
    </row>
    <row r="1592" spans="1:7" x14ac:dyDescent="0.25">
      <c r="A1592" s="4" t="s">
        <v>176</v>
      </c>
      <c r="B1592" s="2">
        <f t="shared" si="35"/>
        <v>6094</v>
      </c>
      <c r="C1592" s="4" t="s">
        <v>320</v>
      </c>
      <c r="D1592" s="4" t="s">
        <v>321</v>
      </c>
      <c r="E1592" s="2">
        <f>VALUE("2011")</f>
        <v>2011</v>
      </c>
      <c r="F1592" t="s">
        <v>322</v>
      </c>
    </row>
    <row r="1593" spans="1:7" x14ac:dyDescent="0.25">
      <c r="A1593" s="4" t="s">
        <v>176</v>
      </c>
      <c r="B1593" s="2">
        <f t="shared" si="35"/>
        <v>6094</v>
      </c>
      <c r="C1593" s="4" t="s">
        <v>323</v>
      </c>
      <c r="D1593" s="4" t="s">
        <v>324</v>
      </c>
      <c r="E1593" s="2">
        <f>VALUE("2011")</f>
        <v>2011</v>
      </c>
      <c r="F1593" t="s">
        <v>325</v>
      </c>
    </row>
    <row r="1594" spans="1:7" x14ac:dyDescent="0.25">
      <c r="A1594" s="4" t="s">
        <v>176</v>
      </c>
      <c r="B1594" s="2">
        <f t="shared" si="35"/>
        <v>6094</v>
      </c>
      <c r="C1594" s="4" t="s">
        <v>326</v>
      </c>
      <c r="D1594" s="4" t="s">
        <v>327</v>
      </c>
      <c r="E1594" s="2">
        <f>VALUE("2012")</f>
        <v>2012</v>
      </c>
      <c r="F1594" t="s">
        <v>328</v>
      </c>
    </row>
    <row r="1595" spans="1:7" x14ac:dyDescent="0.25">
      <c r="A1595" s="4" t="s">
        <v>176</v>
      </c>
      <c r="B1595" s="2">
        <f t="shared" si="35"/>
        <v>6094</v>
      </c>
      <c r="C1595" s="4" t="s">
        <v>329</v>
      </c>
      <c r="D1595" s="4" t="s">
        <v>330</v>
      </c>
      <c r="E1595" s="2">
        <f>VALUE("2011")</f>
        <v>2011</v>
      </c>
      <c r="F1595" t="s">
        <v>331</v>
      </c>
    </row>
    <row r="1596" spans="1:7" x14ac:dyDescent="0.25">
      <c r="A1596" s="4" t="s">
        <v>176</v>
      </c>
      <c r="B1596" s="2">
        <f t="shared" ref="B1596:B1604" si="36">VALUE("6130")</f>
        <v>6130</v>
      </c>
      <c r="C1596" s="4" t="s">
        <v>418</v>
      </c>
      <c r="D1596" s="4" t="s">
        <v>419</v>
      </c>
      <c r="E1596" s="2">
        <f>VALUE("2013")</f>
        <v>2013</v>
      </c>
      <c r="F1596" t="s">
        <v>420</v>
      </c>
    </row>
    <row r="1597" spans="1:7" x14ac:dyDescent="0.25">
      <c r="A1597" s="4" t="s">
        <v>176</v>
      </c>
      <c r="B1597" s="2">
        <f t="shared" si="36"/>
        <v>6130</v>
      </c>
      <c r="C1597" s="4" t="s">
        <v>421</v>
      </c>
      <c r="D1597" s="4" t="s">
        <v>422</v>
      </c>
      <c r="E1597" s="2">
        <f>VALUE("2013")</f>
        <v>2013</v>
      </c>
      <c r="F1597" t="s">
        <v>423</v>
      </c>
    </row>
    <row r="1598" spans="1:7" x14ac:dyDescent="0.25">
      <c r="A1598" s="4" t="s">
        <v>176</v>
      </c>
      <c r="B1598" s="2">
        <f t="shared" si="36"/>
        <v>6130</v>
      </c>
      <c r="C1598" s="4" t="s">
        <v>424</v>
      </c>
      <c r="D1598" s="4" t="s">
        <v>425</v>
      </c>
      <c r="E1598" s="2">
        <f>VALUE("2013")</f>
        <v>2013</v>
      </c>
      <c r="F1598" t="s">
        <v>426</v>
      </c>
    </row>
    <row r="1599" spans="1:7" x14ac:dyDescent="0.25">
      <c r="A1599" s="4" t="s">
        <v>176</v>
      </c>
      <c r="B1599" s="2">
        <f t="shared" si="36"/>
        <v>6130</v>
      </c>
      <c r="C1599" s="4" t="s">
        <v>440</v>
      </c>
      <c r="D1599" s="4" t="s">
        <v>441</v>
      </c>
      <c r="E1599" s="2">
        <f>VALUE("2015")</f>
        <v>2015</v>
      </c>
      <c r="F1599" t="s">
        <v>442</v>
      </c>
    </row>
    <row r="1600" spans="1:7" x14ac:dyDescent="0.25">
      <c r="A1600" s="4" t="s">
        <v>176</v>
      </c>
      <c r="B1600" s="2">
        <f t="shared" si="36"/>
        <v>6130</v>
      </c>
      <c r="C1600" s="4" t="s">
        <v>443</v>
      </c>
      <c r="D1600" s="4" t="s">
        <v>444</v>
      </c>
      <c r="E1600" s="2">
        <f>VALUE("2016")</f>
        <v>2016</v>
      </c>
      <c r="F1600" t="s">
        <v>445</v>
      </c>
    </row>
    <row r="1601" spans="1:7" x14ac:dyDescent="0.25">
      <c r="A1601" s="4" t="s">
        <v>176</v>
      </c>
      <c r="B1601" s="2">
        <f t="shared" si="36"/>
        <v>6130</v>
      </c>
      <c r="C1601" s="4" t="s">
        <v>427</v>
      </c>
      <c r="D1601" s="4" t="s">
        <v>428</v>
      </c>
      <c r="E1601" s="2">
        <f>VALUE("2013")</f>
        <v>2013</v>
      </c>
      <c r="F1601" t="s">
        <v>429</v>
      </c>
    </row>
    <row r="1602" spans="1:7" x14ac:dyDescent="0.25">
      <c r="A1602" s="4" t="s">
        <v>176</v>
      </c>
      <c r="B1602" s="2">
        <f t="shared" si="36"/>
        <v>6130</v>
      </c>
      <c r="C1602" s="4" t="s">
        <v>430</v>
      </c>
      <c r="D1602" s="4" t="s">
        <v>431</v>
      </c>
      <c r="E1602" s="2">
        <f>VALUE("2014")</f>
        <v>2014</v>
      </c>
      <c r="F1602" t="s">
        <v>432</v>
      </c>
    </row>
    <row r="1603" spans="1:7" x14ac:dyDescent="0.25">
      <c r="A1603" s="4" t="s">
        <v>176</v>
      </c>
      <c r="B1603" s="2">
        <f t="shared" si="36"/>
        <v>6130</v>
      </c>
      <c r="C1603" s="4" t="s">
        <v>433</v>
      </c>
      <c r="D1603" s="4" t="s">
        <v>434</v>
      </c>
      <c r="E1603" s="2">
        <f>VALUE("2015")</f>
        <v>2015</v>
      </c>
      <c r="F1603" t="s">
        <v>435</v>
      </c>
      <c r="G1603" s="4" t="s">
        <v>436</v>
      </c>
    </row>
    <row r="1604" spans="1:7" x14ac:dyDescent="0.25">
      <c r="A1604" s="4" t="s">
        <v>176</v>
      </c>
      <c r="B1604" s="2">
        <f t="shared" si="36"/>
        <v>6130</v>
      </c>
      <c r="C1604" s="4" t="s">
        <v>437</v>
      </c>
      <c r="D1604" s="4" t="s">
        <v>438</v>
      </c>
      <c r="E1604" s="2">
        <f>VALUE("2015")</f>
        <v>2015</v>
      </c>
      <c r="F1604" t="s">
        <v>439</v>
      </c>
    </row>
    <row r="1605" spans="1:7" x14ac:dyDescent="0.25">
      <c r="A1605" s="4" t="s">
        <v>176</v>
      </c>
      <c r="B1605" s="2">
        <f>VALUE("6132")</f>
        <v>6132</v>
      </c>
      <c r="C1605" s="4" t="s">
        <v>446</v>
      </c>
      <c r="D1605" s="4" t="s">
        <v>447</v>
      </c>
      <c r="E1605" s="2">
        <f>VALUE("2013")</f>
        <v>2013</v>
      </c>
      <c r="F1605" t="s">
        <v>448</v>
      </c>
    </row>
    <row r="1606" spans="1:7" x14ac:dyDescent="0.25">
      <c r="A1606" s="4" t="s">
        <v>176</v>
      </c>
      <c r="B1606" s="2">
        <f>VALUE("6132")</f>
        <v>6132</v>
      </c>
      <c r="C1606" s="4" t="s">
        <v>449</v>
      </c>
      <c r="D1606" s="4" t="s">
        <v>450</v>
      </c>
      <c r="E1606" s="2">
        <f>VALUE("2013")</f>
        <v>2013</v>
      </c>
      <c r="F1606" t="s">
        <v>451</v>
      </c>
    </row>
    <row r="1607" spans="1:7" x14ac:dyDescent="0.25">
      <c r="A1607" s="4" t="s">
        <v>176</v>
      </c>
      <c r="B1607" s="2">
        <f>VALUE("7024")</f>
        <v>7024</v>
      </c>
      <c r="C1607" s="4" t="s">
        <v>572</v>
      </c>
      <c r="D1607" s="4" t="s">
        <v>573</v>
      </c>
      <c r="E1607" s="2">
        <f>VALUE("2014")</f>
        <v>2014</v>
      </c>
      <c r="F1607" t="s">
        <v>207</v>
      </c>
    </row>
    <row r="1608" spans="1:7" x14ac:dyDescent="0.25">
      <c r="A1608" s="4" t="s">
        <v>176</v>
      </c>
      <c r="B1608" s="2">
        <f>VALUE("7024")</f>
        <v>7024</v>
      </c>
      <c r="C1608" s="4" t="s">
        <v>574</v>
      </c>
      <c r="D1608" s="4" t="s">
        <v>575</v>
      </c>
      <c r="E1608" s="2">
        <f>VALUE("2013")</f>
        <v>2013</v>
      </c>
      <c r="F1608" t="s">
        <v>576</v>
      </c>
    </row>
    <row r="1609" spans="1:7" x14ac:dyDescent="0.25">
      <c r="A1609" s="4" t="s">
        <v>176</v>
      </c>
      <c r="B1609" s="2">
        <f>VALUE("7024")</f>
        <v>7024</v>
      </c>
      <c r="C1609" s="4" t="s">
        <v>577</v>
      </c>
      <c r="D1609" s="4" t="s">
        <v>578</v>
      </c>
      <c r="E1609" s="2">
        <f>VALUE("2014")</f>
        <v>2014</v>
      </c>
      <c r="F1609" t="s">
        <v>579</v>
      </c>
    </row>
    <row r="1610" spans="1:7" x14ac:dyDescent="0.25">
      <c r="A1610" s="4" t="s">
        <v>176</v>
      </c>
      <c r="B1610" s="2">
        <f>VALUE("7024")</f>
        <v>7024</v>
      </c>
      <c r="C1610" s="4" t="s">
        <v>580</v>
      </c>
      <c r="D1610" s="4" t="s">
        <v>581</v>
      </c>
      <c r="E1610" s="2">
        <f>VALUE("2013")</f>
        <v>2013</v>
      </c>
      <c r="F1610" t="s">
        <v>582</v>
      </c>
    </row>
    <row r="1611" spans="1:7" x14ac:dyDescent="0.25">
      <c r="A1611" s="4" t="s">
        <v>176</v>
      </c>
      <c r="B1611" s="2">
        <f>VALUE("7024")</f>
        <v>7024</v>
      </c>
      <c r="C1611" s="4" t="s">
        <v>583</v>
      </c>
      <c r="D1611" s="4" t="s">
        <v>584</v>
      </c>
      <c r="E1611" s="2">
        <f>VALUE("2012")</f>
        <v>2012</v>
      </c>
      <c r="F1611" t="s">
        <v>585</v>
      </c>
    </row>
    <row r="1612" spans="1:7" x14ac:dyDescent="0.25">
      <c r="A1612" s="4" t="s">
        <v>176</v>
      </c>
      <c r="B1612" s="2">
        <f>VALUE("7257")</f>
        <v>7257</v>
      </c>
      <c r="C1612" s="4" t="s">
        <v>1168</v>
      </c>
      <c r="D1612" s="4" t="s">
        <v>1169</v>
      </c>
      <c r="E1612" s="2">
        <f>VALUE("2014")</f>
        <v>2014</v>
      </c>
      <c r="F1612" t="s">
        <v>1170</v>
      </c>
    </row>
    <row r="1613" spans="1:7" x14ac:dyDescent="0.25">
      <c r="A1613" s="4" t="s">
        <v>176</v>
      </c>
      <c r="B1613" s="2">
        <f>VALUE("7329")</f>
        <v>7329</v>
      </c>
      <c r="C1613" s="4" t="s">
        <v>1497</v>
      </c>
      <c r="D1613" s="4" t="s">
        <v>1498</v>
      </c>
      <c r="E1613" s="2">
        <f>VALUE("2014")</f>
        <v>2014</v>
      </c>
      <c r="F1613" t="s">
        <v>1499</v>
      </c>
      <c r="G1613" s="8" t="s">
        <v>1500</v>
      </c>
    </row>
    <row r="1614" spans="1:7" x14ac:dyDescent="0.25">
      <c r="A1614" s="4" t="s">
        <v>176</v>
      </c>
      <c r="B1614" s="2">
        <f>VALUE("7329")</f>
        <v>7329</v>
      </c>
      <c r="C1614" s="4" t="s">
        <v>1501</v>
      </c>
      <c r="D1614" s="4" t="s">
        <v>1502</v>
      </c>
      <c r="E1614" s="2">
        <f>VALUE("2016")</f>
        <v>2016</v>
      </c>
      <c r="F1614" t="s">
        <v>1503</v>
      </c>
      <c r="G1614" s="8" t="s">
        <v>1504</v>
      </c>
    </row>
    <row r="1615" spans="1:7" x14ac:dyDescent="0.25">
      <c r="A1615" s="4" t="s">
        <v>176</v>
      </c>
      <c r="B1615" s="2">
        <f>VALUE("7419")</f>
        <v>7419</v>
      </c>
      <c r="C1615" s="4" t="s">
        <v>1666</v>
      </c>
      <c r="D1615" s="4" t="s">
        <v>1667</v>
      </c>
      <c r="E1615" s="2">
        <f>VALUE("2014")</f>
        <v>2014</v>
      </c>
      <c r="F1615" t="s">
        <v>1668</v>
      </c>
    </row>
    <row r="1616" spans="1:7" x14ac:dyDescent="0.25">
      <c r="A1616" s="4" t="s">
        <v>176</v>
      </c>
      <c r="B1616" s="2">
        <f>VALUE("7660")</f>
        <v>7660</v>
      </c>
      <c r="C1616" s="4" t="s">
        <v>2225</v>
      </c>
      <c r="D1616" s="4" t="s">
        <v>2226</v>
      </c>
      <c r="E1616" s="2">
        <f>VALUE("2023")</f>
        <v>2023</v>
      </c>
      <c r="F1616" t="s">
        <v>2227</v>
      </c>
      <c r="G1616" s="8" t="s">
        <v>2228</v>
      </c>
    </row>
    <row r="1617" spans="1:7" x14ac:dyDescent="0.25">
      <c r="A1617" s="4" t="s">
        <v>176</v>
      </c>
      <c r="B1617" s="2">
        <f>VALUE("7660")</f>
        <v>7660</v>
      </c>
      <c r="C1617" s="4" t="s">
        <v>2222</v>
      </c>
      <c r="D1617" s="4" t="s">
        <v>2223</v>
      </c>
      <c r="E1617" s="2">
        <f>VALUE("2023")</f>
        <v>2023</v>
      </c>
      <c r="F1617" t="s">
        <v>974</v>
      </c>
      <c r="G1617" s="8" t="s">
        <v>2224</v>
      </c>
    </row>
    <row r="1618" spans="1:7" x14ac:dyDescent="0.25">
      <c r="A1618" s="4" t="s">
        <v>589</v>
      </c>
      <c r="B1618" s="2" t="s">
        <v>5218</v>
      </c>
      <c r="C1618" s="4" t="s">
        <v>586</v>
      </c>
      <c r="D1618" s="4" t="s">
        <v>587</v>
      </c>
      <c r="E1618" s="2">
        <f>VALUE("2019")</f>
        <v>2019</v>
      </c>
      <c r="F1618" t="s">
        <v>588</v>
      </c>
      <c r="G1618" s="8" t="s">
        <v>590</v>
      </c>
    </row>
    <row r="1619" spans="1:7" x14ac:dyDescent="0.25">
      <c r="A1619" s="4" t="s">
        <v>757</v>
      </c>
      <c r="B1619" s="2">
        <f>VALUE("7099")</f>
        <v>7099</v>
      </c>
      <c r="C1619" s="4" t="s">
        <v>754</v>
      </c>
      <c r="D1619" s="4" t="s">
        <v>755</v>
      </c>
      <c r="E1619" s="2">
        <f>VALUE("2011")</f>
        <v>2011</v>
      </c>
      <c r="F1619" t="s">
        <v>756</v>
      </c>
    </row>
    <row r="1620" spans="1:7" x14ac:dyDescent="0.25">
      <c r="A1620" s="4" t="s">
        <v>757</v>
      </c>
      <c r="B1620" s="2">
        <f>VALUE("7509")</f>
        <v>7509</v>
      </c>
      <c r="C1620" s="4" t="s">
        <v>1878</v>
      </c>
      <c r="D1620" s="4" t="s">
        <v>1879</v>
      </c>
      <c r="E1620" s="2">
        <f>VALUE("2015")</f>
        <v>2015</v>
      </c>
      <c r="F1620" t="s">
        <v>1880</v>
      </c>
    </row>
    <row r="1621" spans="1:7" x14ac:dyDescent="0.25">
      <c r="A1621" s="4" t="s">
        <v>757</v>
      </c>
      <c r="B1621" s="2">
        <f>VALUE("8506")</f>
        <v>8506</v>
      </c>
      <c r="C1621" s="4" t="s">
        <v>586</v>
      </c>
      <c r="D1621" s="4" t="s">
        <v>4112</v>
      </c>
      <c r="E1621" s="2">
        <f>VALUE("2019")</f>
        <v>2019</v>
      </c>
      <c r="F1621" t="s">
        <v>757</v>
      </c>
      <c r="G1621" s="8" t="s">
        <v>590</v>
      </c>
    </row>
    <row r="1622" spans="1:7" x14ac:dyDescent="0.25">
      <c r="A1622" s="4" t="s">
        <v>757</v>
      </c>
      <c r="B1622" s="2">
        <f>VALUE("8506")</f>
        <v>8506</v>
      </c>
      <c r="C1622" s="4" t="s">
        <v>4118</v>
      </c>
      <c r="D1622" s="4" t="s">
        <v>4119</v>
      </c>
      <c r="E1622" s="2">
        <f>VALUE("2022")</f>
        <v>2022</v>
      </c>
      <c r="F1622" t="s">
        <v>4120</v>
      </c>
      <c r="G1622" s="8" t="s">
        <v>4121</v>
      </c>
    </row>
    <row r="1623" spans="1:7" x14ac:dyDescent="0.25">
      <c r="A1623" s="4" t="s">
        <v>757</v>
      </c>
      <c r="B1623" s="2">
        <f>VALUE("8506")</f>
        <v>8506</v>
      </c>
      <c r="C1623" s="4" t="s">
        <v>4109</v>
      </c>
      <c r="D1623" s="4" t="s">
        <v>4110</v>
      </c>
      <c r="E1623" s="2">
        <f>VALUE("2019")</f>
        <v>2019</v>
      </c>
      <c r="F1623" t="s">
        <v>757</v>
      </c>
      <c r="G1623" s="8" t="s">
        <v>4111</v>
      </c>
    </row>
    <row r="1624" spans="1:7" x14ac:dyDescent="0.25">
      <c r="A1624" s="4" t="s">
        <v>757</v>
      </c>
      <c r="B1624" s="2">
        <f>VALUE("8506")</f>
        <v>8506</v>
      </c>
      <c r="C1624" s="4" t="s">
        <v>4115</v>
      </c>
      <c r="D1624" s="4" t="s">
        <v>4116</v>
      </c>
      <c r="E1624" s="2">
        <f>VALUE("2021")</f>
        <v>2021</v>
      </c>
      <c r="F1624" t="s">
        <v>757</v>
      </c>
      <c r="G1624" s="8" t="s">
        <v>4117</v>
      </c>
    </row>
    <row r="1625" spans="1:7" x14ac:dyDescent="0.25">
      <c r="A1625" s="4" t="s">
        <v>757</v>
      </c>
      <c r="B1625" s="2">
        <f>VALUE("8506")</f>
        <v>8506</v>
      </c>
      <c r="C1625" s="4" t="s">
        <v>4113</v>
      </c>
      <c r="D1625" s="4" t="s">
        <v>4114</v>
      </c>
      <c r="E1625" s="2">
        <f>VALUE("2020")</f>
        <v>2020</v>
      </c>
      <c r="F1625" t="s">
        <v>757</v>
      </c>
    </row>
    <row r="1626" spans="1:7" x14ac:dyDescent="0.25">
      <c r="A1626" s="4" t="s">
        <v>757</v>
      </c>
      <c r="B1626" s="2">
        <f>VALUE("8632")</f>
        <v>8632</v>
      </c>
      <c r="C1626" s="4" t="s">
        <v>4396</v>
      </c>
      <c r="D1626" s="4" t="s">
        <v>4397</v>
      </c>
      <c r="E1626" s="2">
        <f>VALUE("2022")</f>
        <v>2022</v>
      </c>
      <c r="F1626" t="s">
        <v>4398</v>
      </c>
      <c r="G1626" s="8" t="s">
        <v>4399</v>
      </c>
    </row>
    <row r="1627" spans="1:7" x14ac:dyDescent="0.25">
      <c r="A1627" s="4" t="s">
        <v>757</v>
      </c>
      <c r="B1627" s="2">
        <f>VALUE("8632")</f>
        <v>8632</v>
      </c>
      <c r="C1627" s="4" t="s">
        <v>4392</v>
      </c>
      <c r="D1627" s="4" t="s">
        <v>4393</v>
      </c>
      <c r="E1627" s="2">
        <f>VALUE("2022")</f>
        <v>2022</v>
      </c>
      <c r="F1627" t="s">
        <v>4394</v>
      </c>
      <c r="G1627" s="8" t="s">
        <v>4395</v>
      </c>
    </row>
    <row r="1628" spans="1:7" x14ac:dyDescent="0.25">
      <c r="A1628" s="4" t="s">
        <v>757</v>
      </c>
      <c r="B1628" s="2">
        <f>VALUE("8642")</f>
        <v>8642</v>
      </c>
      <c r="C1628" s="4" t="s">
        <v>4428</v>
      </c>
      <c r="D1628" s="4" t="s">
        <v>4429</v>
      </c>
      <c r="E1628" s="2">
        <f>VALUE("2022")</f>
        <v>2022</v>
      </c>
      <c r="F1628" t="s">
        <v>4430</v>
      </c>
      <c r="G1628" s="8" t="s">
        <v>4431</v>
      </c>
    </row>
    <row r="1629" spans="1:7" x14ac:dyDescent="0.25">
      <c r="A1629" s="4" t="s">
        <v>2023</v>
      </c>
      <c r="B1629" s="2">
        <f>VALUE("7594")</f>
        <v>7594</v>
      </c>
      <c r="C1629" s="4" t="s">
        <v>2021</v>
      </c>
      <c r="D1629" s="4" t="s">
        <v>2022</v>
      </c>
      <c r="E1629" s="2">
        <f>VALUE("2016")</f>
        <v>2016</v>
      </c>
      <c r="F1629" t="s">
        <v>1582</v>
      </c>
    </row>
    <row r="1630" spans="1:7" x14ac:dyDescent="0.25">
      <c r="A1630" s="4" t="s">
        <v>2023</v>
      </c>
      <c r="B1630" s="2">
        <f>VALUE("7594")</f>
        <v>7594</v>
      </c>
      <c r="C1630" s="4" t="s">
        <v>2029</v>
      </c>
      <c r="D1630" s="4" t="s">
        <v>2030</v>
      </c>
      <c r="E1630" s="2">
        <f>VALUE("2018")</f>
        <v>2018</v>
      </c>
      <c r="F1630" t="s">
        <v>2031</v>
      </c>
    </row>
    <row r="1631" spans="1:7" x14ac:dyDescent="0.25">
      <c r="A1631" s="4" t="s">
        <v>2023</v>
      </c>
      <c r="B1631" s="2">
        <f>VALUE("7594")</f>
        <v>7594</v>
      </c>
      <c r="C1631" s="4" t="s">
        <v>2024</v>
      </c>
      <c r="D1631" s="4" t="s">
        <v>2022</v>
      </c>
      <c r="E1631" s="2">
        <f>VALUE("2016")</f>
        <v>2016</v>
      </c>
      <c r="F1631" t="s">
        <v>2025</v>
      </c>
    </row>
    <row r="1632" spans="1:7" x14ac:dyDescent="0.25">
      <c r="A1632" s="4" t="s">
        <v>2023</v>
      </c>
      <c r="B1632" s="2">
        <f>VALUE("7594")</f>
        <v>7594</v>
      </c>
      <c r="C1632" s="4" t="s">
        <v>2026</v>
      </c>
      <c r="D1632" s="4" t="s">
        <v>2027</v>
      </c>
      <c r="E1632" s="2">
        <f>VALUE("2017")</f>
        <v>2017</v>
      </c>
      <c r="F1632" t="s">
        <v>2028</v>
      </c>
    </row>
    <row r="1633" spans="1:7" x14ac:dyDescent="0.25">
      <c r="A1633" s="4" t="s">
        <v>2023</v>
      </c>
      <c r="B1633" s="2">
        <f>VALUE("7736")</f>
        <v>7736</v>
      </c>
      <c r="C1633" s="4" t="s">
        <v>2495</v>
      </c>
      <c r="D1633" s="4" t="s">
        <v>2496</v>
      </c>
      <c r="E1633" s="2">
        <f>VALUE("2017")</f>
        <v>2017</v>
      </c>
      <c r="F1633" t="s">
        <v>2497</v>
      </c>
    </row>
    <row r="1634" spans="1:7" x14ac:dyDescent="0.25">
      <c r="A1634" s="4" t="s">
        <v>2023</v>
      </c>
      <c r="B1634" s="2">
        <f>VALUE("7736")</f>
        <v>7736</v>
      </c>
      <c r="C1634" s="4" t="s">
        <v>2498</v>
      </c>
      <c r="D1634" s="4" t="s">
        <v>2499</v>
      </c>
      <c r="E1634" s="2">
        <f>VALUE("2018")</f>
        <v>2018</v>
      </c>
      <c r="F1634" t="s">
        <v>1998</v>
      </c>
    </row>
    <row r="1635" spans="1:7" x14ac:dyDescent="0.25">
      <c r="A1635" s="4" t="s">
        <v>2023</v>
      </c>
      <c r="B1635" s="2">
        <f>VALUE("8024")</f>
        <v>8024</v>
      </c>
      <c r="C1635" s="4" t="s">
        <v>3043</v>
      </c>
      <c r="D1635" s="4" t="s">
        <v>3044</v>
      </c>
      <c r="E1635" s="2">
        <f>VALUE("2019")</f>
        <v>2019</v>
      </c>
      <c r="F1635" t="s">
        <v>757</v>
      </c>
    </row>
    <row r="1636" spans="1:7" x14ac:dyDescent="0.25">
      <c r="A1636" s="4" t="s">
        <v>557</v>
      </c>
      <c r="B1636" s="2">
        <f>VALUE("7022")</f>
        <v>7022</v>
      </c>
      <c r="C1636" s="4" t="s">
        <v>563</v>
      </c>
      <c r="D1636" s="4" t="s">
        <v>564</v>
      </c>
      <c r="E1636" s="2">
        <f>VALUE("2017")</f>
        <v>2017</v>
      </c>
      <c r="F1636" t="s">
        <v>565</v>
      </c>
    </row>
    <row r="1637" spans="1:7" x14ac:dyDescent="0.25">
      <c r="A1637" s="4" t="s">
        <v>557</v>
      </c>
      <c r="B1637" s="2">
        <f>VALUE("7022")</f>
        <v>7022</v>
      </c>
      <c r="C1637" s="4" t="s">
        <v>559</v>
      </c>
      <c r="D1637" s="4" t="s">
        <v>560</v>
      </c>
      <c r="E1637" s="2">
        <f>VALUE("2015")</f>
        <v>2015</v>
      </c>
      <c r="F1637" t="s">
        <v>561</v>
      </c>
      <c r="G1637" s="8" t="s">
        <v>562</v>
      </c>
    </row>
    <row r="1638" spans="1:7" x14ac:dyDescent="0.25">
      <c r="A1638" s="4" t="s">
        <v>557</v>
      </c>
      <c r="B1638" s="2">
        <f>VALUE("7022")</f>
        <v>7022</v>
      </c>
      <c r="C1638" s="4" t="s">
        <v>554</v>
      </c>
      <c r="D1638" s="4" t="s">
        <v>555</v>
      </c>
      <c r="E1638" s="2">
        <f>VALUE("2015")</f>
        <v>2015</v>
      </c>
      <c r="F1638" t="s">
        <v>556</v>
      </c>
      <c r="G1638" s="8" t="s">
        <v>558</v>
      </c>
    </row>
    <row r="1639" spans="1:7" x14ac:dyDescent="0.25">
      <c r="A1639" s="4" t="s">
        <v>557</v>
      </c>
      <c r="B1639" s="2">
        <f>VALUE("7022")</f>
        <v>7022</v>
      </c>
      <c r="C1639" s="4" t="s">
        <v>569</v>
      </c>
      <c r="D1639" s="4" t="s">
        <v>570</v>
      </c>
      <c r="E1639" s="2">
        <f>VALUE("2012")</f>
        <v>2012</v>
      </c>
      <c r="F1639" t="s">
        <v>571</v>
      </c>
    </row>
    <row r="1640" spans="1:7" x14ac:dyDescent="0.25">
      <c r="A1640" s="4" t="s">
        <v>557</v>
      </c>
      <c r="B1640" s="2">
        <f>VALUE("7022")</f>
        <v>7022</v>
      </c>
      <c r="C1640" s="4" t="s">
        <v>566</v>
      </c>
      <c r="D1640" s="4" t="s">
        <v>567</v>
      </c>
      <c r="E1640" s="2">
        <f>VALUE("2016")</f>
        <v>2016</v>
      </c>
      <c r="F1640" t="s">
        <v>568</v>
      </c>
    </row>
    <row r="1641" spans="1:7" x14ac:dyDescent="0.25">
      <c r="A1641" s="4" t="s">
        <v>971</v>
      </c>
      <c r="B1641" s="2">
        <f>VALUE("7151")</f>
        <v>7151</v>
      </c>
      <c r="C1641" s="4" t="s">
        <v>968</v>
      </c>
      <c r="D1641" s="4" t="s">
        <v>969</v>
      </c>
      <c r="E1641" s="2">
        <f>VALUE("2015")</f>
        <v>2015</v>
      </c>
      <c r="F1641" t="s">
        <v>970</v>
      </c>
    </row>
    <row r="1642" spans="1:7" x14ac:dyDescent="0.25">
      <c r="A1642" s="4" t="s">
        <v>971</v>
      </c>
      <c r="B1642" s="2">
        <f>VALUE("7151")</f>
        <v>7151</v>
      </c>
      <c r="C1642" s="4" t="s">
        <v>975</v>
      </c>
      <c r="D1642" s="4" t="s">
        <v>976</v>
      </c>
      <c r="E1642" s="2">
        <f>VALUE("2015")</f>
        <v>2015</v>
      </c>
      <c r="F1642" t="s">
        <v>977</v>
      </c>
    </row>
    <row r="1643" spans="1:7" x14ac:dyDescent="0.25">
      <c r="A1643" s="4" t="s">
        <v>971</v>
      </c>
      <c r="B1643" s="2">
        <f>VALUE("7151")</f>
        <v>7151</v>
      </c>
      <c r="C1643" s="4" t="s">
        <v>972</v>
      </c>
      <c r="D1643" s="4" t="s">
        <v>973</v>
      </c>
      <c r="E1643" s="2">
        <f>VALUE("2016")</f>
        <v>2016</v>
      </c>
      <c r="F1643" t="s">
        <v>974</v>
      </c>
    </row>
    <row r="1644" spans="1:7" x14ac:dyDescent="0.25">
      <c r="A1644" s="4" t="s">
        <v>3944</v>
      </c>
      <c r="B1644" s="2">
        <f>VALUE("8442")</f>
        <v>8442</v>
      </c>
      <c r="C1644" s="4" t="s">
        <v>3942</v>
      </c>
      <c r="D1644" s="4" t="s">
        <v>3943</v>
      </c>
      <c r="E1644" s="2">
        <f>VALUE("2022")</f>
        <v>2022</v>
      </c>
      <c r="F1644" t="s">
        <v>3944</v>
      </c>
    </row>
    <row r="1645" spans="1:7" x14ac:dyDescent="0.25">
      <c r="A1645" s="4" t="s">
        <v>1579</v>
      </c>
      <c r="B1645" s="2">
        <f>VALUE("7380")</f>
        <v>7380</v>
      </c>
      <c r="C1645" s="4" t="s">
        <v>1576</v>
      </c>
      <c r="D1645" s="4" t="s">
        <v>1577</v>
      </c>
      <c r="E1645" s="2">
        <f>VALUE("2014")</f>
        <v>2014</v>
      </c>
      <c r="F1645" t="s">
        <v>1578</v>
      </c>
    </row>
    <row r="1646" spans="1:7" x14ac:dyDescent="0.25">
      <c r="A1646" s="4" t="s">
        <v>3636</v>
      </c>
      <c r="B1646" s="2">
        <f>VALUE("8266")</f>
        <v>8266</v>
      </c>
      <c r="C1646" s="4" t="s">
        <v>3634</v>
      </c>
      <c r="D1646" s="4" t="s">
        <v>3635</v>
      </c>
      <c r="E1646" s="2">
        <f>VALUE("2022")</f>
        <v>2022</v>
      </c>
      <c r="F1646" t="s">
        <v>1081</v>
      </c>
      <c r="G1646" s="8" t="s">
        <v>3637</v>
      </c>
    </row>
    <row r="1647" spans="1:7" x14ac:dyDescent="0.25">
      <c r="A1647" s="4" t="s">
        <v>3457</v>
      </c>
      <c r="B1647" s="2">
        <f>VALUE("8192")</f>
        <v>8192</v>
      </c>
      <c r="C1647" s="4" t="s">
        <v>3454</v>
      </c>
      <c r="D1647" s="4" t="s">
        <v>3455</v>
      </c>
      <c r="E1647" s="2">
        <f>VALUE("2018")</f>
        <v>2018</v>
      </c>
      <c r="F1647" t="s">
        <v>3456</v>
      </c>
    </row>
    <row r="1648" spans="1:7" x14ac:dyDescent="0.25">
      <c r="A1648" s="4" t="s">
        <v>3020</v>
      </c>
      <c r="B1648" s="2">
        <f>VALUE("8010")</f>
        <v>8010</v>
      </c>
      <c r="C1648" s="4" t="s">
        <v>3017</v>
      </c>
      <c r="D1648" s="4" t="s">
        <v>3018</v>
      </c>
      <c r="E1648" s="2">
        <f>VALUE("2023")</f>
        <v>2023</v>
      </c>
      <c r="F1648" t="s">
        <v>3019</v>
      </c>
    </row>
    <row r="1649" spans="1:7" x14ac:dyDescent="0.25">
      <c r="A1649" s="4" t="s">
        <v>1562</v>
      </c>
      <c r="B1649" s="2">
        <f>VALUE("7368")</f>
        <v>7368</v>
      </c>
      <c r="C1649" s="4" t="s">
        <v>1559</v>
      </c>
      <c r="D1649" s="4" t="s">
        <v>1560</v>
      </c>
      <c r="E1649" s="2">
        <f>VALUE("2014")</f>
        <v>2014</v>
      </c>
      <c r="F1649" t="s">
        <v>1561</v>
      </c>
    </row>
    <row r="1650" spans="1:7" x14ac:dyDescent="0.25">
      <c r="A1650" s="4" t="s">
        <v>2587</v>
      </c>
      <c r="B1650" s="2">
        <f>VALUE("8301")</f>
        <v>8301</v>
      </c>
      <c r="C1650" s="4" t="s">
        <v>3700</v>
      </c>
      <c r="D1650" s="4" t="s">
        <v>3701</v>
      </c>
      <c r="E1650" s="2">
        <f>VALUE("2021")</f>
        <v>2021</v>
      </c>
      <c r="F1650" t="s">
        <v>2587</v>
      </c>
      <c r="G1650" s="8" t="s">
        <v>3702</v>
      </c>
    </row>
    <row r="1651" spans="1:7" x14ac:dyDescent="0.25">
      <c r="A1651" s="4" t="s">
        <v>2587</v>
      </c>
      <c r="B1651" s="2">
        <f>VALUE("8301")</f>
        <v>8301</v>
      </c>
      <c r="C1651" s="4" t="s">
        <v>3697</v>
      </c>
      <c r="D1651" s="4" t="s">
        <v>3698</v>
      </c>
      <c r="E1651" s="2">
        <f>VALUE("2020")</f>
        <v>2020</v>
      </c>
      <c r="F1651" t="s">
        <v>2587</v>
      </c>
      <c r="G1651" s="8" t="s">
        <v>3699</v>
      </c>
    </row>
    <row r="1652" spans="1:7" x14ac:dyDescent="0.25">
      <c r="A1652" s="4" t="s">
        <v>3845</v>
      </c>
      <c r="B1652" s="2">
        <f>VALUE("8385")</f>
        <v>8385</v>
      </c>
      <c r="C1652" s="4" t="s">
        <v>3843</v>
      </c>
      <c r="D1652" s="4" t="s">
        <v>3844</v>
      </c>
      <c r="E1652" s="2">
        <f>VALUE("2021")</f>
        <v>2021</v>
      </c>
      <c r="F1652" t="s">
        <v>3845</v>
      </c>
    </row>
    <row r="1653" spans="1:7" x14ac:dyDescent="0.25">
      <c r="A1653" s="4" t="s">
        <v>2503</v>
      </c>
      <c r="B1653" s="2">
        <f>VALUE("7738")</f>
        <v>7738</v>
      </c>
      <c r="C1653" s="4" t="s">
        <v>2500</v>
      </c>
      <c r="D1653" s="4" t="s">
        <v>2501</v>
      </c>
      <c r="E1653" s="2">
        <f>VALUE("2016")</f>
        <v>2016</v>
      </c>
      <c r="F1653" t="s">
        <v>2502</v>
      </c>
    </row>
    <row r="1654" spans="1:7" x14ac:dyDescent="0.25">
      <c r="A1654" s="4" t="s">
        <v>3155</v>
      </c>
      <c r="B1654" s="2">
        <f>VALUE("8079")</f>
        <v>8079</v>
      </c>
      <c r="C1654" s="4" t="s">
        <v>3152</v>
      </c>
      <c r="D1654" s="4" t="s">
        <v>3153</v>
      </c>
      <c r="E1654" s="2">
        <f>VALUE("2018")</f>
        <v>2018</v>
      </c>
      <c r="F1654" t="s">
        <v>3154</v>
      </c>
      <c r="G1654" s="8" t="s">
        <v>3156</v>
      </c>
    </row>
    <row r="1655" spans="1:7" x14ac:dyDescent="0.25">
      <c r="A1655" s="4" t="s">
        <v>4618</v>
      </c>
      <c r="B1655" s="2">
        <f>VALUE("8731")</f>
        <v>8731</v>
      </c>
      <c r="C1655" s="4" t="s">
        <v>4615</v>
      </c>
      <c r="D1655" s="4" t="s">
        <v>4616</v>
      </c>
      <c r="E1655" s="2">
        <f>VALUE("2020")</f>
        <v>2020</v>
      </c>
      <c r="F1655" t="s">
        <v>4617</v>
      </c>
    </row>
    <row r="1656" spans="1:7" x14ac:dyDescent="0.25">
      <c r="A1656" s="4" t="s">
        <v>3792</v>
      </c>
      <c r="B1656" s="2">
        <f>VALUE("8340")</f>
        <v>8340</v>
      </c>
      <c r="C1656" s="4" t="s">
        <v>3789</v>
      </c>
      <c r="D1656" s="4" t="s">
        <v>3790</v>
      </c>
      <c r="E1656" s="2">
        <f>VALUE("2020")</f>
        <v>2020</v>
      </c>
      <c r="F1656" t="s">
        <v>3791</v>
      </c>
    </row>
    <row r="1657" spans="1:7" x14ac:dyDescent="0.25">
      <c r="A1657" s="4" t="s">
        <v>2344</v>
      </c>
      <c r="B1657" s="2">
        <f>VALUE("7688")</f>
        <v>7688</v>
      </c>
      <c r="C1657" s="4" t="s">
        <v>2345</v>
      </c>
      <c r="D1657" s="4" t="s">
        <v>2346</v>
      </c>
      <c r="E1657" s="2">
        <f>VALUE("2016")</f>
        <v>2016</v>
      </c>
      <c r="F1657" t="s">
        <v>2347</v>
      </c>
      <c r="G1657" s="8" t="s">
        <v>2348</v>
      </c>
    </row>
    <row r="1658" spans="1:7" x14ac:dyDescent="0.25">
      <c r="A1658" s="4" t="s">
        <v>2344</v>
      </c>
      <c r="B1658" s="2">
        <f>VALUE("7688")</f>
        <v>7688</v>
      </c>
      <c r="C1658" s="4" t="s">
        <v>2349</v>
      </c>
      <c r="D1658" s="4" t="s">
        <v>2350</v>
      </c>
      <c r="E1658" s="2">
        <f>VALUE("2016")</f>
        <v>2016</v>
      </c>
      <c r="F1658" t="s">
        <v>2351</v>
      </c>
      <c r="G1658" s="8" t="s">
        <v>2352</v>
      </c>
    </row>
    <row r="1659" spans="1:7" x14ac:dyDescent="0.25">
      <c r="A1659" s="4" t="s">
        <v>2344</v>
      </c>
      <c r="B1659" s="2">
        <f>VALUE("7688")</f>
        <v>7688</v>
      </c>
      <c r="C1659" s="4" t="s">
        <v>2342</v>
      </c>
      <c r="D1659" s="4" t="s">
        <v>2343</v>
      </c>
      <c r="E1659" s="2">
        <f>VALUE("2016")</f>
        <v>2016</v>
      </c>
      <c r="F1659" t="s">
        <v>130</v>
      </c>
    </row>
    <row r="1660" spans="1:7" x14ac:dyDescent="0.25">
      <c r="A1660" s="4" t="s">
        <v>2074</v>
      </c>
      <c r="B1660" s="2">
        <f>VALUE("7610")</f>
        <v>7610</v>
      </c>
      <c r="C1660" s="4" t="s">
        <v>2071</v>
      </c>
      <c r="D1660" s="4" t="s">
        <v>2072</v>
      </c>
      <c r="E1660" s="2">
        <f>VALUE("2015")</f>
        <v>2015</v>
      </c>
      <c r="F1660" t="s">
        <v>2073</v>
      </c>
      <c r="G1660" s="4" t="s">
        <v>2075</v>
      </c>
    </row>
    <row r="1661" spans="1:7" x14ac:dyDescent="0.25">
      <c r="A1661" s="4" t="s">
        <v>1516</v>
      </c>
      <c r="B1661" s="2">
        <f>VALUE("7341")</f>
        <v>7341</v>
      </c>
      <c r="C1661" s="4" t="s">
        <v>1514</v>
      </c>
      <c r="D1661" s="4" t="s">
        <v>1515</v>
      </c>
      <c r="E1661" s="2">
        <f>VALUE("2017")</f>
        <v>2017</v>
      </c>
      <c r="F1661" t="s">
        <v>245</v>
      </c>
      <c r="G1661" s="8" t="s">
        <v>1517</v>
      </c>
    </row>
    <row r="1662" spans="1:7" x14ac:dyDescent="0.25">
      <c r="A1662" s="4" t="s">
        <v>4487</v>
      </c>
      <c r="B1662" s="2">
        <f>VALUE("8666")</f>
        <v>8666</v>
      </c>
      <c r="C1662" s="4" t="s">
        <v>4484</v>
      </c>
      <c r="D1662" s="4" t="s">
        <v>4485</v>
      </c>
      <c r="E1662" s="2">
        <f>VALUE("2023")</f>
        <v>2023</v>
      </c>
      <c r="F1662" t="s">
        <v>4486</v>
      </c>
      <c r="G1662" s="8" t="s">
        <v>4488</v>
      </c>
    </row>
    <row r="1663" spans="1:7" x14ac:dyDescent="0.25">
      <c r="A1663" s="4" t="s">
        <v>761</v>
      </c>
      <c r="B1663" s="2">
        <f>VALUE("7100")</f>
        <v>7100</v>
      </c>
      <c r="C1663" s="4" t="s">
        <v>758</v>
      </c>
      <c r="D1663" s="4" t="s">
        <v>759</v>
      </c>
      <c r="E1663" s="2">
        <f>VALUE("2014")</f>
        <v>2014</v>
      </c>
      <c r="F1663" t="s">
        <v>760</v>
      </c>
      <c r="G1663" s="8" t="s">
        <v>762</v>
      </c>
    </row>
    <row r="1664" spans="1:7" x14ac:dyDescent="0.25">
      <c r="A1664" s="4" t="s">
        <v>1114</v>
      </c>
      <c r="B1664" s="2">
        <f>VALUE("7229")</f>
        <v>7229</v>
      </c>
      <c r="C1664" s="4" t="s">
        <v>1111</v>
      </c>
      <c r="D1664" s="4" t="s">
        <v>1112</v>
      </c>
      <c r="E1664" s="2">
        <f>VALUE("2012")</f>
        <v>2012</v>
      </c>
      <c r="F1664" t="s">
        <v>1113</v>
      </c>
    </row>
    <row r="1665" spans="1:7" x14ac:dyDescent="0.25">
      <c r="A1665" s="4" t="s">
        <v>1967</v>
      </c>
      <c r="B1665" s="2">
        <f>VALUE("7571")</f>
        <v>7571</v>
      </c>
      <c r="C1665" s="4" t="s">
        <v>1964</v>
      </c>
      <c r="D1665" s="4" t="s">
        <v>1965</v>
      </c>
      <c r="E1665" s="2">
        <f>VALUE("2016")</f>
        <v>2016</v>
      </c>
      <c r="F1665" t="s">
        <v>1966</v>
      </c>
    </row>
    <row r="1666" spans="1:7" x14ac:dyDescent="0.25">
      <c r="A1666" s="4" t="s">
        <v>1967</v>
      </c>
      <c r="B1666" s="2">
        <f>VALUE("7571")</f>
        <v>7571</v>
      </c>
      <c r="C1666" s="4" t="s">
        <v>1968</v>
      </c>
      <c r="D1666" s="4" t="s">
        <v>1965</v>
      </c>
      <c r="E1666" s="2">
        <f>VALUE("2016")</f>
        <v>2016</v>
      </c>
      <c r="F1666" t="s">
        <v>1969</v>
      </c>
    </row>
    <row r="1667" spans="1:7" x14ac:dyDescent="0.25">
      <c r="A1667" s="4" t="s">
        <v>3440</v>
      </c>
      <c r="B1667" s="2">
        <f>VALUE("8183")</f>
        <v>8183</v>
      </c>
      <c r="C1667" s="4" t="s">
        <v>3441</v>
      </c>
      <c r="D1667" s="4" t="s">
        <v>3442</v>
      </c>
      <c r="E1667" s="2">
        <f>VALUE("2020")</f>
        <v>2020</v>
      </c>
      <c r="F1667" t="s">
        <v>2060</v>
      </c>
      <c r="G1667" s="8" t="s">
        <v>3443</v>
      </c>
    </row>
    <row r="1668" spans="1:7" x14ac:dyDescent="0.25">
      <c r="A1668" s="4" t="s">
        <v>3440</v>
      </c>
      <c r="B1668" s="2">
        <f>VALUE("8183")</f>
        <v>8183</v>
      </c>
      <c r="C1668" s="4" t="s">
        <v>3438</v>
      </c>
      <c r="D1668" s="4" t="s">
        <v>3439</v>
      </c>
      <c r="E1668" s="2">
        <f>VALUE("2019")</f>
        <v>2019</v>
      </c>
      <c r="F1668" t="s">
        <v>1378</v>
      </c>
    </row>
    <row r="1669" spans="1:7" x14ac:dyDescent="0.25">
      <c r="A1669" s="4" t="s">
        <v>1566</v>
      </c>
      <c r="B1669" s="2">
        <f>VALUE("7371")</f>
        <v>7371</v>
      </c>
      <c r="C1669" s="4" t="s">
        <v>1563</v>
      </c>
      <c r="D1669" s="4" t="s">
        <v>1564</v>
      </c>
      <c r="E1669" s="2">
        <f>VALUE("2014")</f>
        <v>2014</v>
      </c>
      <c r="F1669" t="s">
        <v>1565</v>
      </c>
    </row>
    <row r="1670" spans="1:7" x14ac:dyDescent="0.25">
      <c r="A1670" s="4" t="s">
        <v>2202</v>
      </c>
      <c r="B1670" s="2">
        <f>VALUE("7655")</f>
        <v>7655</v>
      </c>
      <c r="C1670" s="4" t="s">
        <v>2204</v>
      </c>
      <c r="D1670" s="4" t="s">
        <v>2205</v>
      </c>
      <c r="E1670" s="2">
        <f>VALUE("2016")</f>
        <v>2016</v>
      </c>
      <c r="F1670" t="s">
        <v>2202</v>
      </c>
    </row>
    <row r="1671" spans="1:7" x14ac:dyDescent="0.25">
      <c r="A1671" s="4" t="s">
        <v>2202</v>
      </c>
      <c r="B1671" s="2">
        <f>VALUE("7655")</f>
        <v>7655</v>
      </c>
      <c r="C1671" s="4" t="s">
        <v>2203</v>
      </c>
      <c r="D1671" s="4" t="s">
        <v>2200</v>
      </c>
      <c r="E1671" s="2">
        <f>VALUE("2019")</f>
        <v>2019</v>
      </c>
      <c r="F1671" t="s">
        <v>2201</v>
      </c>
    </row>
    <row r="1672" spans="1:7" x14ac:dyDescent="0.25">
      <c r="A1672" s="4" t="s">
        <v>2202</v>
      </c>
      <c r="B1672" s="2">
        <f>VALUE("7655")</f>
        <v>7655</v>
      </c>
      <c r="C1672" s="4" t="s">
        <v>2199</v>
      </c>
      <c r="D1672" s="4" t="s">
        <v>2200</v>
      </c>
      <c r="E1672" s="2">
        <f>VALUE("2017")</f>
        <v>2017</v>
      </c>
      <c r="F1672" t="s">
        <v>2201</v>
      </c>
    </row>
    <row r="1673" spans="1:7" x14ac:dyDescent="0.25">
      <c r="A1673" s="4" t="s">
        <v>82</v>
      </c>
      <c r="B1673" s="2">
        <f>VALUE("1094")</f>
        <v>1094</v>
      </c>
      <c r="C1673" s="4" t="s">
        <v>79</v>
      </c>
      <c r="D1673" s="4" t="s">
        <v>80</v>
      </c>
      <c r="E1673" s="2">
        <f>VALUE("2012")</f>
        <v>2012</v>
      </c>
      <c r="F1673" t="s">
        <v>81</v>
      </c>
      <c r="G1673" s="8" t="s">
        <v>83</v>
      </c>
    </row>
    <row r="1674" spans="1:7" x14ac:dyDescent="0.25">
      <c r="A1674" s="4" t="s">
        <v>3784</v>
      </c>
      <c r="B1674" s="2">
        <f>VALUE("8338")</f>
        <v>8338</v>
      </c>
      <c r="C1674" s="4" t="s">
        <v>3783</v>
      </c>
      <c r="D1674" s="4" t="s">
        <v>293</v>
      </c>
      <c r="E1674" s="2">
        <f>VALUE("2021")</f>
        <v>2021</v>
      </c>
      <c r="F1674" t="s">
        <v>82</v>
      </c>
      <c r="G1674" s="8" t="s">
        <v>3785</v>
      </c>
    </row>
    <row r="1675" spans="1:7" x14ac:dyDescent="0.25">
      <c r="A1675" s="4" t="s">
        <v>479</v>
      </c>
      <c r="B1675" s="2">
        <f>VALUE("6168")</f>
        <v>6168</v>
      </c>
      <c r="C1675" s="4" t="s">
        <v>476</v>
      </c>
      <c r="D1675" s="4" t="s">
        <v>477</v>
      </c>
      <c r="E1675" s="2">
        <f>VALUE("2012")</f>
        <v>2012</v>
      </c>
      <c r="F1675" t="s">
        <v>478</v>
      </c>
    </row>
    <row r="1676" spans="1:7" x14ac:dyDescent="0.25">
      <c r="A1676" s="4" t="s">
        <v>479</v>
      </c>
      <c r="B1676" s="2">
        <f>VALUE("7039")</f>
        <v>7039</v>
      </c>
      <c r="C1676" s="4" t="s">
        <v>631</v>
      </c>
      <c r="D1676" s="4" t="s">
        <v>632</v>
      </c>
      <c r="E1676" s="2">
        <f>VALUE("2013")</f>
        <v>2013</v>
      </c>
      <c r="F1676" t="s">
        <v>633</v>
      </c>
    </row>
    <row r="1677" spans="1:7" x14ac:dyDescent="0.25">
      <c r="A1677" s="4" t="s">
        <v>479</v>
      </c>
      <c r="B1677" s="2">
        <f>VALUE("7039")</f>
        <v>7039</v>
      </c>
      <c r="C1677" s="4" t="s">
        <v>634</v>
      </c>
      <c r="D1677" s="4" t="s">
        <v>635</v>
      </c>
      <c r="E1677" s="2">
        <f>VALUE("2014")</f>
        <v>2014</v>
      </c>
      <c r="F1677" t="s">
        <v>636</v>
      </c>
    </row>
    <row r="1678" spans="1:7" x14ac:dyDescent="0.25">
      <c r="A1678" s="4" t="s">
        <v>479</v>
      </c>
      <c r="B1678" s="2">
        <f>VALUE("7394")</f>
        <v>7394</v>
      </c>
      <c r="C1678" s="4" t="s">
        <v>1592</v>
      </c>
      <c r="D1678" s="4" t="s">
        <v>1593</v>
      </c>
      <c r="E1678" s="2">
        <f>VALUE("2014")</f>
        <v>2014</v>
      </c>
      <c r="F1678" t="s">
        <v>1594</v>
      </c>
      <c r="G1678" s="8" t="s">
        <v>1595</v>
      </c>
    </row>
    <row r="1679" spans="1:7" x14ac:dyDescent="0.25">
      <c r="A1679" s="4" t="s">
        <v>479</v>
      </c>
      <c r="B1679" s="2">
        <f>VALUE("7422")</f>
        <v>7422</v>
      </c>
      <c r="C1679" s="4" t="s">
        <v>1671</v>
      </c>
      <c r="D1679" s="4" t="s">
        <v>1672</v>
      </c>
      <c r="E1679" s="2">
        <f>VALUE("2013")</f>
        <v>2013</v>
      </c>
      <c r="F1679" t="s">
        <v>207</v>
      </c>
    </row>
    <row r="1680" spans="1:7" x14ac:dyDescent="0.25">
      <c r="A1680" s="4" t="s">
        <v>479</v>
      </c>
      <c r="B1680" s="2">
        <f t="shared" ref="B1680:B1686" si="37">VALUE("7866")</f>
        <v>7866</v>
      </c>
      <c r="C1680" s="4" t="s">
        <v>2780</v>
      </c>
      <c r="D1680" s="4" t="s">
        <v>2781</v>
      </c>
      <c r="E1680" s="2">
        <f>VALUE("2021")</f>
        <v>2021</v>
      </c>
      <c r="F1680" t="s">
        <v>2782</v>
      </c>
      <c r="G1680" s="8" t="s">
        <v>2783</v>
      </c>
    </row>
    <row r="1681" spans="1:7" x14ac:dyDescent="0.25">
      <c r="A1681" s="4" t="s">
        <v>479</v>
      </c>
      <c r="B1681" s="2">
        <f t="shared" si="37"/>
        <v>7866</v>
      </c>
      <c r="C1681" s="4" t="s">
        <v>2767</v>
      </c>
      <c r="D1681" s="4" t="s">
        <v>2768</v>
      </c>
      <c r="E1681" s="2">
        <f>VALUE("2021")</f>
        <v>2021</v>
      </c>
      <c r="F1681" t="s">
        <v>2769</v>
      </c>
      <c r="G1681" s="8" t="s">
        <v>2770</v>
      </c>
    </row>
    <row r="1682" spans="1:7" x14ac:dyDescent="0.25">
      <c r="A1682" s="4" t="s">
        <v>479</v>
      </c>
      <c r="B1682" s="2">
        <f t="shared" si="37"/>
        <v>7866</v>
      </c>
      <c r="C1682" s="4" t="s">
        <v>2777</v>
      </c>
      <c r="D1682" s="4" t="s">
        <v>2772</v>
      </c>
      <c r="E1682" s="2">
        <f>VALUE("2019")</f>
        <v>2019</v>
      </c>
      <c r="F1682" t="s">
        <v>2778</v>
      </c>
      <c r="G1682" s="8" t="s">
        <v>2779</v>
      </c>
    </row>
    <row r="1683" spans="1:7" x14ac:dyDescent="0.25">
      <c r="A1683" s="4" t="s">
        <v>479</v>
      </c>
      <c r="B1683" s="2">
        <f t="shared" si="37"/>
        <v>7866</v>
      </c>
      <c r="C1683" s="4" t="s">
        <v>2764</v>
      </c>
      <c r="D1683" s="4" t="s">
        <v>2765</v>
      </c>
      <c r="E1683" s="2">
        <f>VALUE("2021")</f>
        <v>2021</v>
      </c>
      <c r="F1683" t="s">
        <v>498</v>
      </c>
      <c r="G1683" s="8" t="s">
        <v>2766</v>
      </c>
    </row>
    <row r="1684" spans="1:7" x14ac:dyDescent="0.25">
      <c r="A1684" s="4" t="s">
        <v>479</v>
      </c>
      <c r="B1684" s="2">
        <f t="shared" si="37"/>
        <v>7866</v>
      </c>
      <c r="C1684" s="4" t="s">
        <v>2760</v>
      </c>
      <c r="D1684" s="4" t="s">
        <v>2761</v>
      </c>
      <c r="E1684" s="2">
        <f>VALUE("2019")</f>
        <v>2019</v>
      </c>
      <c r="F1684" t="s">
        <v>2762</v>
      </c>
      <c r="G1684" s="8" t="s">
        <v>2763</v>
      </c>
    </row>
    <row r="1685" spans="1:7" x14ac:dyDescent="0.25">
      <c r="A1685" s="4" t="s">
        <v>479</v>
      </c>
      <c r="B1685" s="2">
        <f t="shared" si="37"/>
        <v>7866</v>
      </c>
      <c r="C1685" s="4" t="s">
        <v>2775</v>
      </c>
      <c r="D1685" s="4" t="s">
        <v>2772</v>
      </c>
      <c r="E1685" s="2">
        <f>VALUE("2019")</f>
        <v>2019</v>
      </c>
      <c r="F1685" t="s">
        <v>2776</v>
      </c>
      <c r="G1685" s="8" t="s">
        <v>5237</v>
      </c>
    </row>
    <row r="1686" spans="1:7" x14ac:dyDescent="0.25">
      <c r="A1686" s="4" t="s">
        <v>479</v>
      </c>
      <c r="B1686" s="2">
        <f t="shared" si="37"/>
        <v>7866</v>
      </c>
      <c r="C1686" s="4" t="s">
        <v>2771</v>
      </c>
      <c r="D1686" s="4" t="s">
        <v>2772</v>
      </c>
      <c r="E1686" s="2">
        <f>VALUE("2021")</f>
        <v>2021</v>
      </c>
      <c r="F1686" t="s">
        <v>2773</v>
      </c>
      <c r="G1686" s="8" t="s">
        <v>2774</v>
      </c>
    </row>
    <row r="1687" spans="1:7" x14ac:dyDescent="0.25">
      <c r="A1687" s="4" t="s">
        <v>479</v>
      </c>
      <c r="B1687" s="2">
        <f>VALUE("8075")</f>
        <v>8075</v>
      </c>
      <c r="C1687" s="4" t="s">
        <v>3143</v>
      </c>
      <c r="D1687" s="4" t="s">
        <v>3144</v>
      </c>
      <c r="E1687" s="2">
        <f>VALUE("2018")</f>
        <v>2018</v>
      </c>
      <c r="F1687" t="s">
        <v>82</v>
      </c>
      <c r="G1687" s="8" t="s">
        <v>5240</v>
      </c>
    </row>
    <row r="1688" spans="1:7" x14ac:dyDescent="0.25">
      <c r="A1688" s="4" t="s">
        <v>479</v>
      </c>
      <c r="B1688" s="2">
        <f>VALUE("8373")</f>
        <v>8373</v>
      </c>
      <c r="C1688" s="4" t="s">
        <v>3827</v>
      </c>
      <c r="D1688" s="4" t="s">
        <v>3828</v>
      </c>
      <c r="E1688" s="2">
        <f>VALUE("2019")</f>
        <v>2019</v>
      </c>
      <c r="F1688" t="s">
        <v>1321</v>
      </c>
      <c r="G1688" s="8" t="s">
        <v>3829</v>
      </c>
    </row>
    <row r="1689" spans="1:7" x14ac:dyDescent="0.25">
      <c r="A1689" s="4" t="s">
        <v>479</v>
      </c>
      <c r="B1689" s="2">
        <f>VALUE("8373")</f>
        <v>8373</v>
      </c>
      <c r="C1689" s="4" t="s">
        <v>3824</v>
      </c>
      <c r="D1689" s="4" t="s">
        <v>3825</v>
      </c>
      <c r="E1689" s="2">
        <f>VALUE("2019")</f>
        <v>2019</v>
      </c>
      <c r="F1689" t="s">
        <v>207</v>
      </c>
      <c r="G1689" s="8" t="s">
        <v>3826</v>
      </c>
    </row>
    <row r="1690" spans="1:7" x14ac:dyDescent="0.25">
      <c r="A1690" s="4" t="s">
        <v>479</v>
      </c>
      <c r="B1690" s="2">
        <f>VALUE("8482")</f>
        <v>8482</v>
      </c>
      <c r="C1690" s="4" t="s">
        <v>4063</v>
      </c>
      <c r="D1690" s="4" t="s">
        <v>4064</v>
      </c>
      <c r="E1690" s="2">
        <f>VALUE("2019")</f>
        <v>2019</v>
      </c>
      <c r="F1690" t="s">
        <v>207</v>
      </c>
      <c r="G1690" s="8" t="s">
        <v>4065</v>
      </c>
    </row>
    <row r="1691" spans="1:7" x14ac:dyDescent="0.25">
      <c r="A1691" s="4" t="s">
        <v>479</v>
      </c>
      <c r="B1691" s="2">
        <f>VALUE("8739")</f>
        <v>8739</v>
      </c>
      <c r="C1691" s="4" t="s">
        <v>4631</v>
      </c>
      <c r="D1691" s="4" t="s">
        <v>4632</v>
      </c>
      <c r="E1691" s="2">
        <f>VALUE("2022")</f>
        <v>2022</v>
      </c>
      <c r="F1691" t="s">
        <v>207</v>
      </c>
      <c r="G1691" s="8" t="s">
        <v>5241</v>
      </c>
    </row>
    <row r="1692" spans="1:7" x14ac:dyDescent="0.25">
      <c r="A1692" s="4" t="s">
        <v>731</v>
      </c>
      <c r="B1692" s="2">
        <f>VALUE("7085")</f>
        <v>7085</v>
      </c>
      <c r="C1692" s="4" t="s">
        <v>728</v>
      </c>
      <c r="D1692" s="4" t="s">
        <v>729</v>
      </c>
      <c r="E1692" s="2">
        <f>VALUE("2013")</f>
        <v>2013</v>
      </c>
      <c r="F1692" t="s">
        <v>730</v>
      </c>
    </row>
    <row r="1693" spans="1:7" x14ac:dyDescent="0.25">
      <c r="A1693" s="4" t="s">
        <v>731</v>
      </c>
      <c r="B1693" s="2">
        <f>VALUE("7453")</f>
        <v>7453</v>
      </c>
      <c r="C1693" s="4" t="s">
        <v>1741</v>
      </c>
      <c r="D1693" s="4" t="s">
        <v>1742</v>
      </c>
      <c r="E1693" s="2">
        <f>VALUE("2018")</f>
        <v>2018</v>
      </c>
      <c r="F1693" t="s">
        <v>1743</v>
      </c>
      <c r="G1693" s="8" t="s">
        <v>1744</v>
      </c>
    </row>
    <row r="1694" spans="1:7" x14ac:dyDescent="0.25">
      <c r="A1694" s="4" t="s">
        <v>731</v>
      </c>
      <c r="B1694" s="2">
        <f t="shared" ref="B1694:B1702" si="38">VALUE("8217")</f>
        <v>8217</v>
      </c>
      <c r="C1694" s="4" t="s">
        <v>3500</v>
      </c>
      <c r="D1694" s="4" t="s">
        <v>3501</v>
      </c>
      <c r="E1694" s="2">
        <f>VALUE("2021")</f>
        <v>2021</v>
      </c>
      <c r="F1694" t="s">
        <v>731</v>
      </c>
      <c r="G1694" s="8" t="s">
        <v>3502</v>
      </c>
    </row>
    <row r="1695" spans="1:7" x14ac:dyDescent="0.25">
      <c r="A1695" s="4" t="s">
        <v>731</v>
      </c>
      <c r="B1695" s="2">
        <f t="shared" si="38"/>
        <v>8217</v>
      </c>
      <c r="C1695" s="4" t="s">
        <v>3506</v>
      </c>
      <c r="D1695" s="4" t="s">
        <v>3507</v>
      </c>
      <c r="E1695" s="2">
        <f>VALUE("2022")</f>
        <v>2022</v>
      </c>
      <c r="F1695" t="s">
        <v>974</v>
      </c>
      <c r="G1695" s="8" t="s">
        <v>3508</v>
      </c>
    </row>
    <row r="1696" spans="1:7" x14ac:dyDescent="0.25">
      <c r="A1696" s="4" t="s">
        <v>731</v>
      </c>
      <c r="B1696" s="2">
        <f t="shared" si="38"/>
        <v>8217</v>
      </c>
      <c r="C1696" s="4" t="s">
        <v>3492</v>
      </c>
      <c r="D1696" s="4" t="s">
        <v>3493</v>
      </c>
      <c r="E1696" s="2">
        <f>VALUE("2020")</f>
        <v>2020</v>
      </c>
      <c r="F1696" t="s">
        <v>974</v>
      </c>
    </row>
    <row r="1697" spans="1:7" x14ac:dyDescent="0.25">
      <c r="A1697" s="4" t="s">
        <v>731</v>
      </c>
      <c r="B1697" s="2">
        <f t="shared" si="38"/>
        <v>8217</v>
      </c>
      <c r="C1697" s="4" t="s">
        <v>3490</v>
      </c>
      <c r="D1697" s="4" t="s">
        <v>3491</v>
      </c>
      <c r="E1697" s="2">
        <f>VALUE("2019")</f>
        <v>2019</v>
      </c>
      <c r="F1697" t="s">
        <v>207</v>
      </c>
    </row>
    <row r="1698" spans="1:7" x14ac:dyDescent="0.25">
      <c r="A1698" s="4" t="s">
        <v>731</v>
      </c>
      <c r="B1698" s="2">
        <f t="shared" si="38"/>
        <v>8217</v>
      </c>
      <c r="C1698" s="4" t="s">
        <v>3503</v>
      </c>
      <c r="D1698" s="4" t="s">
        <v>3504</v>
      </c>
      <c r="E1698" s="2">
        <f>VALUE("2022")</f>
        <v>2022</v>
      </c>
      <c r="F1698" t="s">
        <v>731</v>
      </c>
      <c r="G1698" s="8" t="s">
        <v>3505</v>
      </c>
    </row>
    <row r="1699" spans="1:7" x14ac:dyDescent="0.25">
      <c r="A1699" s="4" t="s">
        <v>731</v>
      </c>
      <c r="B1699" s="2">
        <f t="shared" si="38"/>
        <v>8217</v>
      </c>
      <c r="C1699" s="4" t="s">
        <v>3494</v>
      </c>
      <c r="D1699" s="4" t="s">
        <v>3495</v>
      </c>
      <c r="E1699" s="2">
        <f>VALUE("2021")</f>
        <v>2021</v>
      </c>
      <c r="F1699" t="s">
        <v>974</v>
      </c>
    </row>
    <row r="1700" spans="1:7" x14ac:dyDescent="0.25">
      <c r="A1700" s="4" t="s">
        <v>731</v>
      </c>
      <c r="B1700" s="2">
        <f t="shared" si="38"/>
        <v>8217</v>
      </c>
      <c r="C1700" s="4" t="s">
        <v>3496</v>
      </c>
      <c r="D1700" s="4" t="s">
        <v>3497</v>
      </c>
      <c r="E1700" s="2">
        <f>VALUE("2021")</f>
        <v>2021</v>
      </c>
      <c r="F1700" t="s">
        <v>974</v>
      </c>
    </row>
    <row r="1701" spans="1:7" x14ac:dyDescent="0.25">
      <c r="A1701" s="4" t="s">
        <v>731</v>
      </c>
      <c r="B1701" s="2">
        <f t="shared" si="38"/>
        <v>8217</v>
      </c>
      <c r="C1701" s="4" t="s">
        <v>3498</v>
      </c>
      <c r="D1701" s="4" t="s">
        <v>3499</v>
      </c>
      <c r="E1701" s="2">
        <f>VALUE("2021")</f>
        <v>2021</v>
      </c>
      <c r="F1701" t="s">
        <v>974</v>
      </c>
    </row>
    <row r="1702" spans="1:7" x14ac:dyDescent="0.25">
      <c r="A1702" s="4" t="s">
        <v>731</v>
      </c>
      <c r="B1702" s="2">
        <f t="shared" si="38"/>
        <v>8217</v>
      </c>
      <c r="C1702" s="4" t="s">
        <v>3488</v>
      </c>
      <c r="D1702" s="4" t="s">
        <v>3489</v>
      </c>
      <c r="E1702" s="2">
        <f>VALUE("2019")</f>
        <v>2019</v>
      </c>
      <c r="F1702" t="s">
        <v>207</v>
      </c>
    </row>
    <row r="1703" spans="1:7" x14ac:dyDescent="0.25">
      <c r="A1703" s="4" t="s">
        <v>731</v>
      </c>
      <c r="B1703" s="2">
        <f>VALUE("8523")</f>
        <v>8523</v>
      </c>
      <c r="C1703" s="4" t="s">
        <v>4167</v>
      </c>
      <c r="D1703" s="4" t="s">
        <v>4165</v>
      </c>
      <c r="E1703" s="2">
        <f>VALUE("2023")</f>
        <v>2023</v>
      </c>
      <c r="F1703" t="s">
        <v>974</v>
      </c>
      <c r="G1703" s="8" t="s">
        <v>4168</v>
      </c>
    </row>
    <row r="1704" spans="1:7" x14ac:dyDescent="0.25">
      <c r="A1704" s="4" t="s">
        <v>731</v>
      </c>
      <c r="B1704" s="2">
        <f>VALUE("8523")</f>
        <v>8523</v>
      </c>
      <c r="C1704" s="4" t="s">
        <v>4164</v>
      </c>
      <c r="D1704" s="4" t="s">
        <v>4165</v>
      </c>
      <c r="E1704" s="2">
        <f>VALUE("2021")</f>
        <v>2021</v>
      </c>
      <c r="F1704" t="s">
        <v>731</v>
      </c>
      <c r="G1704" s="8" t="s">
        <v>4166</v>
      </c>
    </row>
    <row r="1705" spans="1:7" x14ac:dyDescent="0.25">
      <c r="A1705" s="4" t="s">
        <v>180</v>
      </c>
      <c r="B1705" s="2">
        <f>VALUE("6040")</f>
        <v>6040</v>
      </c>
      <c r="C1705" s="4" t="s">
        <v>177</v>
      </c>
      <c r="D1705" s="4" t="s">
        <v>178</v>
      </c>
      <c r="E1705" s="2">
        <f>VALUE("2014")</f>
        <v>2014</v>
      </c>
      <c r="F1705" t="s">
        <v>179</v>
      </c>
    </row>
    <row r="1706" spans="1:7" x14ac:dyDescent="0.25">
      <c r="A1706" s="4" t="s">
        <v>180</v>
      </c>
      <c r="B1706" s="2">
        <f>VALUE("6152")</f>
        <v>6152</v>
      </c>
      <c r="C1706" s="4" t="s">
        <v>461</v>
      </c>
      <c r="D1706" s="4" t="s">
        <v>462</v>
      </c>
      <c r="E1706" s="2">
        <f>VALUE("2013")</f>
        <v>2013</v>
      </c>
      <c r="F1706" t="s">
        <v>463</v>
      </c>
      <c r="G1706" s="8" t="s">
        <v>464</v>
      </c>
    </row>
    <row r="1707" spans="1:7" x14ac:dyDescent="0.25">
      <c r="A1707" s="4" t="s">
        <v>180</v>
      </c>
      <c r="B1707" s="2">
        <f>VALUE("6152")</f>
        <v>6152</v>
      </c>
      <c r="C1707" s="4" t="s">
        <v>465</v>
      </c>
      <c r="D1707" s="4" t="s">
        <v>466</v>
      </c>
      <c r="E1707" s="2">
        <f>VALUE("2011")</f>
        <v>2011</v>
      </c>
      <c r="F1707" t="s">
        <v>467</v>
      </c>
      <c r="G1707" s="8" t="s">
        <v>468</v>
      </c>
    </row>
    <row r="1708" spans="1:7" x14ac:dyDescent="0.25">
      <c r="A1708" s="4" t="s">
        <v>180</v>
      </c>
      <c r="B1708" s="2">
        <f>VALUE("7068")</f>
        <v>7068</v>
      </c>
      <c r="C1708" s="4" t="s">
        <v>699</v>
      </c>
      <c r="D1708" s="4" t="s">
        <v>700</v>
      </c>
      <c r="E1708" s="2">
        <f>VALUE("2014")</f>
        <v>2014</v>
      </c>
      <c r="F1708" t="s">
        <v>701</v>
      </c>
    </row>
    <row r="1709" spans="1:7" x14ac:dyDescent="0.25">
      <c r="A1709" s="4" t="s">
        <v>180</v>
      </c>
      <c r="B1709" s="2">
        <f>VALUE("7413")</f>
        <v>7413</v>
      </c>
      <c r="C1709" s="4" t="s">
        <v>1647</v>
      </c>
      <c r="D1709" s="4" t="s">
        <v>1648</v>
      </c>
      <c r="E1709" s="2">
        <f>VALUE("2017")</f>
        <v>2017</v>
      </c>
      <c r="F1709" t="s">
        <v>1649</v>
      </c>
    </row>
    <row r="1710" spans="1:7" x14ac:dyDescent="0.25">
      <c r="A1710" s="4" t="s">
        <v>180</v>
      </c>
      <c r="B1710" s="2">
        <f>VALUE("7413")</f>
        <v>7413</v>
      </c>
      <c r="C1710" s="4" t="s">
        <v>1644</v>
      </c>
      <c r="D1710" s="4" t="s">
        <v>1645</v>
      </c>
      <c r="E1710" s="2">
        <f>VALUE("2017")</f>
        <v>2017</v>
      </c>
      <c r="F1710" t="s">
        <v>1646</v>
      </c>
    </row>
    <row r="1711" spans="1:7" x14ac:dyDescent="0.25">
      <c r="A1711" s="4" t="s">
        <v>180</v>
      </c>
      <c r="B1711" s="2">
        <f>VALUE("7413")</f>
        <v>7413</v>
      </c>
      <c r="C1711" s="4" t="s">
        <v>1650</v>
      </c>
      <c r="D1711" s="4" t="s">
        <v>1651</v>
      </c>
      <c r="E1711" s="2">
        <f>VALUE("2017")</f>
        <v>2017</v>
      </c>
      <c r="F1711" t="s">
        <v>1652</v>
      </c>
    </row>
    <row r="1712" spans="1:7" x14ac:dyDescent="0.25">
      <c r="A1712" s="4" t="s">
        <v>180</v>
      </c>
      <c r="B1712" s="2">
        <f>VALUE("7672")</f>
        <v>7672</v>
      </c>
      <c r="C1712" s="4" t="s">
        <v>2287</v>
      </c>
      <c r="D1712" s="4" t="s">
        <v>2288</v>
      </c>
      <c r="E1712" s="2">
        <f>VALUE("2018")</f>
        <v>2018</v>
      </c>
      <c r="F1712" t="s">
        <v>2289</v>
      </c>
      <c r="G1712" s="8" t="s">
        <v>2290</v>
      </c>
    </row>
    <row r="1713" spans="1:7" x14ac:dyDescent="0.25">
      <c r="A1713" s="4" t="s">
        <v>180</v>
      </c>
      <c r="B1713" s="2">
        <f>VALUE("7672")</f>
        <v>7672</v>
      </c>
      <c r="C1713" s="4" t="s">
        <v>2291</v>
      </c>
      <c r="D1713" s="4" t="s">
        <v>2292</v>
      </c>
      <c r="E1713" s="2">
        <f>VALUE("2019")</f>
        <v>2019</v>
      </c>
      <c r="F1713" t="s">
        <v>2293</v>
      </c>
      <c r="G1713" s="8" t="s">
        <v>2294</v>
      </c>
    </row>
    <row r="1714" spans="1:7" x14ac:dyDescent="0.25">
      <c r="A1714" s="4" t="s">
        <v>180</v>
      </c>
      <c r="B1714" s="2">
        <f>VALUE("7700")</f>
        <v>7700</v>
      </c>
      <c r="C1714" s="4" t="s">
        <v>2391</v>
      </c>
      <c r="D1714" s="4" t="s">
        <v>2392</v>
      </c>
      <c r="E1714" s="2">
        <f>VALUE("2017")</f>
        <v>2017</v>
      </c>
      <c r="F1714" t="s">
        <v>149</v>
      </c>
      <c r="G1714" s="8" t="s">
        <v>2393</v>
      </c>
    </row>
    <row r="1715" spans="1:7" x14ac:dyDescent="0.25">
      <c r="A1715" s="4" t="s">
        <v>180</v>
      </c>
      <c r="B1715" s="2">
        <f>VALUE("7700")</f>
        <v>7700</v>
      </c>
      <c r="C1715" s="4" t="s">
        <v>2396</v>
      </c>
      <c r="D1715" s="4" t="s">
        <v>2397</v>
      </c>
      <c r="E1715" s="2">
        <f>VALUE("2021")</f>
        <v>2021</v>
      </c>
      <c r="F1715" t="s">
        <v>1646</v>
      </c>
      <c r="G1715" s="8" t="s">
        <v>2398</v>
      </c>
    </row>
    <row r="1716" spans="1:7" x14ac:dyDescent="0.25">
      <c r="A1716" s="4" t="s">
        <v>180</v>
      </c>
      <c r="B1716" s="2">
        <f>VALUE("7700")</f>
        <v>7700</v>
      </c>
      <c r="C1716" s="4" t="s">
        <v>2394</v>
      </c>
      <c r="D1716" s="4" t="s">
        <v>2392</v>
      </c>
      <c r="E1716" s="2">
        <f>VALUE("2017")</f>
        <v>2017</v>
      </c>
      <c r="F1716" t="s">
        <v>149</v>
      </c>
      <c r="G1716" s="8" t="s">
        <v>2395</v>
      </c>
    </row>
    <row r="1717" spans="1:7" x14ac:dyDescent="0.25">
      <c r="A1717" s="4" t="s">
        <v>180</v>
      </c>
      <c r="B1717" s="2">
        <f>VALUE("8777")</f>
        <v>8777</v>
      </c>
      <c r="C1717" s="4" t="s">
        <v>4683</v>
      </c>
      <c r="D1717" s="4" t="s">
        <v>4684</v>
      </c>
      <c r="E1717" s="2">
        <f>VALUE("2021")</f>
        <v>2021</v>
      </c>
      <c r="F1717" t="s">
        <v>204</v>
      </c>
      <c r="G1717" s="8" t="s">
        <v>4685</v>
      </c>
    </row>
    <row r="1718" spans="1:7" x14ac:dyDescent="0.25">
      <c r="A1718" s="4" t="s">
        <v>498</v>
      </c>
      <c r="B1718" s="2">
        <f>VALUE("6191")</f>
        <v>6191</v>
      </c>
      <c r="C1718" s="4" t="s">
        <v>495</v>
      </c>
      <c r="D1718" s="4" t="s">
        <v>496</v>
      </c>
      <c r="E1718" s="2">
        <f>VALUE("2014")</f>
        <v>2014</v>
      </c>
      <c r="F1718" t="s">
        <v>497</v>
      </c>
    </row>
    <row r="1719" spans="1:7" x14ac:dyDescent="0.25">
      <c r="A1719" s="4" t="s">
        <v>498</v>
      </c>
      <c r="B1719" s="2">
        <f>VALUE("6191")</f>
        <v>6191</v>
      </c>
      <c r="C1719" s="4" t="s">
        <v>499</v>
      </c>
      <c r="D1719" s="4" t="s">
        <v>500</v>
      </c>
      <c r="E1719" s="2">
        <f>VALUE("2014")</f>
        <v>2014</v>
      </c>
      <c r="F1719" t="s">
        <v>501</v>
      </c>
    </row>
    <row r="1720" spans="1:7" x14ac:dyDescent="0.25">
      <c r="A1720" s="4" t="s">
        <v>498</v>
      </c>
      <c r="B1720" s="2">
        <f>VALUE("6191")</f>
        <v>6191</v>
      </c>
      <c r="C1720" s="4" t="s">
        <v>502</v>
      </c>
      <c r="D1720" s="4" t="s">
        <v>503</v>
      </c>
      <c r="E1720" s="2">
        <f>VALUE("2014")</f>
        <v>2014</v>
      </c>
      <c r="F1720" t="s">
        <v>504</v>
      </c>
    </row>
    <row r="1721" spans="1:7" x14ac:dyDescent="0.25">
      <c r="A1721" s="4" t="s">
        <v>498</v>
      </c>
      <c r="B1721" s="2">
        <f>VALUE("6191")</f>
        <v>6191</v>
      </c>
      <c r="C1721" s="4" t="s">
        <v>505</v>
      </c>
      <c r="D1721" s="4" t="s">
        <v>506</v>
      </c>
      <c r="E1721" s="2">
        <f>VALUE("2014")</f>
        <v>2014</v>
      </c>
      <c r="F1721" t="s">
        <v>507</v>
      </c>
    </row>
    <row r="1722" spans="1:7" x14ac:dyDescent="0.25">
      <c r="A1722" s="4" t="s">
        <v>498</v>
      </c>
      <c r="B1722" s="2">
        <f>VALUE("6191")</f>
        <v>6191</v>
      </c>
      <c r="C1722" s="4" t="s">
        <v>508</v>
      </c>
      <c r="D1722" s="4" t="s">
        <v>496</v>
      </c>
      <c r="E1722" s="2">
        <f>VALUE("2014")</f>
        <v>2014</v>
      </c>
      <c r="F1722" t="s">
        <v>509</v>
      </c>
    </row>
    <row r="1723" spans="1:7" x14ac:dyDescent="0.25">
      <c r="A1723" s="4" t="s">
        <v>498</v>
      </c>
      <c r="B1723" s="2">
        <f t="shared" ref="B1723:B1735" si="39">VALUE("7118")</f>
        <v>7118</v>
      </c>
      <c r="C1723" s="4" t="s">
        <v>858</v>
      </c>
      <c r="D1723" s="4" t="s">
        <v>859</v>
      </c>
      <c r="E1723" s="2">
        <f>VALUE("2011")</f>
        <v>2011</v>
      </c>
      <c r="F1723" t="s">
        <v>30</v>
      </c>
    </row>
    <row r="1724" spans="1:7" x14ac:dyDescent="0.25">
      <c r="A1724" s="4" t="s">
        <v>498</v>
      </c>
      <c r="B1724" s="2">
        <f t="shared" si="39"/>
        <v>7118</v>
      </c>
      <c r="C1724" s="4" t="s">
        <v>863</v>
      </c>
      <c r="D1724" s="4" t="s">
        <v>864</v>
      </c>
      <c r="E1724" s="2">
        <f>VALUE("2008")</f>
        <v>2008</v>
      </c>
      <c r="F1724" t="s">
        <v>865</v>
      </c>
    </row>
    <row r="1725" spans="1:7" x14ac:dyDescent="0.25">
      <c r="A1725" s="4" t="s">
        <v>498</v>
      </c>
      <c r="B1725" s="2">
        <f t="shared" si="39"/>
        <v>7118</v>
      </c>
      <c r="C1725" s="4" t="s">
        <v>860</v>
      </c>
      <c r="D1725" s="4" t="s">
        <v>861</v>
      </c>
      <c r="E1725" s="2">
        <f>VALUE("2012")</f>
        <v>2012</v>
      </c>
      <c r="F1725" t="s">
        <v>862</v>
      </c>
    </row>
    <row r="1726" spans="1:7" x14ac:dyDescent="0.25">
      <c r="A1726" s="4" t="s">
        <v>498</v>
      </c>
      <c r="B1726" s="2">
        <f t="shared" si="39"/>
        <v>7118</v>
      </c>
      <c r="C1726" s="4" t="s">
        <v>866</v>
      </c>
      <c r="D1726" s="4" t="s">
        <v>867</v>
      </c>
      <c r="E1726" s="2">
        <f>VALUE("2011")</f>
        <v>2011</v>
      </c>
      <c r="F1726" t="s">
        <v>868</v>
      </c>
    </row>
    <row r="1727" spans="1:7" x14ac:dyDescent="0.25">
      <c r="A1727" s="4" t="s">
        <v>498</v>
      </c>
      <c r="B1727" s="2">
        <f t="shared" si="39"/>
        <v>7118</v>
      </c>
      <c r="C1727" s="4" t="s">
        <v>869</v>
      </c>
      <c r="D1727" s="4" t="s">
        <v>867</v>
      </c>
      <c r="E1727" s="2">
        <f>VALUE("2013")</f>
        <v>2013</v>
      </c>
      <c r="F1727" t="s">
        <v>870</v>
      </c>
    </row>
    <row r="1728" spans="1:7" x14ac:dyDescent="0.25">
      <c r="A1728" s="4" t="s">
        <v>498</v>
      </c>
      <c r="B1728" s="2">
        <f t="shared" si="39"/>
        <v>7118</v>
      </c>
      <c r="C1728" s="4" t="s">
        <v>871</v>
      </c>
      <c r="D1728" s="4" t="s">
        <v>867</v>
      </c>
      <c r="E1728" s="2">
        <f>VALUE("2012")</f>
        <v>2012</v>
      </c>
      <c r="F1728" t="s">
        <v>872</v>
      </c>
    </row>
    <row r="1729" spans="1:7" x14ac:dyDescent="0.25">
      <c r="A1729" s="4" t="s">
        <v>498</v>
      </c>
      <c r="B1729" s="2">
        <f t="shared" si="39"/>
        <v>7118</v>
      </c>
      <c r="C1729" s="4" t="s">
        <v>871</v>
      </c>
      <c r="D1729" s="4" t="s">
        <v>867</v>
      </c>
      <c r="E1729" s="2">
        <f>VALUE("2011")</f>
        <v>2011</v>
      </c>
      <c r="F1729" t="s">
        <v>873</v>
      </c>
    </row>
    <row r="1730" spans="1:7" x14ac:dyDescent="0.25">
      <c r="A1730" s="4" t="s">
        <v>498</v>
      </c>
      <c r="B1730" s="2">
        <f t="shared" si="39"/>
        <v>7118</v>
      </c>
      <c r="C1730" s="4" t="s">
        <v>874</v>
      </c>
      <c r="D1730" s="4" t="s">
        <v>875</v>
      </c>
      <c r="E1730" s="2">
        <f>VALUE("2008")</f>
        <v>2008</v>
      </c>
      <c r="F1730" t="s">
        <v>876</v>
      </c>
      <c r="G1730" s="8" t="s">
        <v>877</v>
      </c>
    </row>
    <row r="1731" spans="1:7" x14ac:dyDescent="0.25">
      <c r="A1731" s="4" t="s">
        <v>498</v>
      </c>
      <c r="B1731" s="2">
        <f t="shared" si="39"/>
        <v>7118</v>
      </c>
      <c r="C1731" s="4" t="s">
        <v>878</v>
      </c>
      <c r="D1731" s="4" t="s">
        <v>867</v>
      </c>
      <c r="E1731" s="2">
        <f>VALUE("2011")</f>
        <v>2011</v>
      </c>
      <c r="F1731" t="s">
        <v>879</v>
      </c>
    </row>
    <row r="1732" spans="1:7" x14ac:dyDescent="0.25">
      <c r="A1732" s="4" t="s">
        <v>498</v>
      </c>
      <c r="B1732" s="2">
        <f t="shared" si="39"/>
        <v>7118</v>
      </c>
      <c r="C1732" s="4" t="s">
        <v>880</v>
      </c>
      <c r="D1732" s="4" t="s">
        <v>867</v>
      </c>
      <c r="E1732" s="2">
        <f>VALUE("2013")</f>
        <v>2013</v>
      </c>
      <c r="F1732" t="s">
        <v>881</v>
      </c>
    </row>
    <row r="1733" spans="1:7" x14ac:dyDescent="0.25">
      <c r="A1733" s="4" t="s">
        <v>498</v>
      </c>
      <c r="B1733" s="2">
        <f t="shared" si="39"/>
        <v>7118</v>
      </c>
      <c r="C1733" s="4" t="s">
        <v>882</v>
      </c>
      <c r="D1733" s="4" t="s">
        <v>867</v>
      </c>
      <c r="E1733" s="2">
        <f>VALUE("2010")</f>
        <v>2010</v>
      </c>
      <c r="F1733" t="s">
        <v>30</v>
      </c>
    </row>
    <row r="1734" spans="1:7" x14ac:dyDescent="0.25">
      <c r="A1734" s="4" t="s">
        <v>498</v>
      </c>
      <c r="B1734" s="2">
        <f t="shared" si="39"/>
        <v>7118</v>
      </c>
      <c r="C1734" s="4" t="s">
        <v>883</v>
      </c>
      <c r="D1734" s="4" t="s">
        <v>867</v>
      </c>
      <c r="E1734" s="2">
        <f>VALUE("2007")</f>
        <v>2007</v>
      </c>
      <c r="F1734" t="s">
        <v>498</v>
      </c>
    </row>
    <row r="1735" spans="1:7" x14ac:dyDescent="0.25">
      <c r="A1735" s="4" t="s">
        <v>498</v>
      </c>
      <c r="B1735" s="2">
        <f t="shared" si="39"/>
        <v>7118</v>
      </c>
      <c r="C1735" s="4" t="s">
        <v>884</v>
      </c>
      <c r="D1735" s="4" t="s">
        <v>885</v>
      </c>
      <c r="E1735" s="2">
        <f>VALUE("2008")</f>
        <v>2008</v>
      </c>
      <c r="F1735" t="s">
        <v>30</v>
      </c>
    </row>
    <row r="1736" spans="1:7" x14ac:dyDescent="0.25">
      <c r="A1736" s="4" t="s">
        <v>2605</v>
      </c>
      <c r="B1736" s="2">
        <f>VALUE("7810")</f>
        <v>7810</v>
      </c>
      <c r="C1736" s="4" t="s">
        <v>2602</v>
      </c>
      <c r="D1736" s="4" t="s">
        <v>2603</v>
      </c>
      <c r="E1736" s="2">
        <f>VALUE("2016")</f>
        <v>2016</v>
      </c>
      <c r="F1736" t="s">
        <v>2604</v>
      </c>
    </row>
    <row r="1737" spans="1:7" x14ac:dyDescent="0.25">
      <c r="A1737" s="4" t="s">
        <v>2605</v>
      </c>
      <c r="B1737" s="2">
        <f>VALUE("8290")</f>
        <v>8290</v>
      </c>
      <c r="C1737" s="4" t="s">
        <v>3679</v>
      </c>
      <c r="D1737" s="4" t="s">
        <v>3680</v>
      </c>
      <c r="E1737" s="2">
        <f>VALUE("2021")</f>
        <v>2021</v>
      </c>
      <c r="F1737" t="s">
        <v>2605</v>
      </c>
      <c r="G1737" s="8" t="s">
        <v>3678</v>
      </c>
    </row>
    <row r="1738" spans="1:7" x14ac:dyDescent="0.25">
      <c r="A1738" s="4" t="s">
        <v>2605</v>
      </c>
      <c r="B1738" s="2">
        <f>VALUE("8290")</f>
        <v>8290</v>
      </c>
      <c r="C1738" s="4" t="s">
        <v>3676</v>
      </c>
      <c r="D1738" s="4" t="s">
        <v>3677</v>
      </c>
      <c r="E1738" s="2">
        <f>VALUE("2021")</f>
        <v>2021</v>
      </c>
      <c r="F1738" t="s">
        <v>2605</v>
      </c>
      <c r="G1738" s="8" t="s">
        <v>3678</v>
      </c>
    </row>
    <row r="1739" spans="1:7" x14ac:dyDescent="0.25">
      <c r="A1739" s="4" t="s">
        <v>2605</v>
      </c>
      <c r="B1739" s="2">
        <f>VALUE("8451")</f>
        <v>8451</v>
      </c>
      <c r="C1739" s="4" t="s">
        <v>3959</v>
      </c>
      <c r="D1739" s="4" t="s">
        <v>3960</v>
      </c>
      <c r="E1739" s="2">
        <f>VALUE("2020")</f>
        <v>2020</v>
      </c>
      <c r="F1739" t="s">
        <v>2605</v>
      </c>
    </row>
    <row r="1740" spans="1:7" x14ac:dyDescent="0.25">
      <c r="A1740" s="4" t="s">
        <v>2091</v>
      </c>
      <c r="B1740" s="2">
        <f>VALUE("7614")</f>
        <v>7614</v>
      </c>
      <c r="C1740" s="4" t="s">
        <v>2088</v>
      </c>
      <c r="D1740" s="4" t="s">
        <v>2089</v>
      </c>
      <c r="E1740" s="2">
        <f>VALUE("2022")</f>
        <v>2022</v>
      </c>
      <c r="F1740" t="s">
        <v>2090</v>
      </c>
      <c r="G1740" s="8" t="s">
        <v>2092</v>
      </c>
    </row>
    <row r="1741" spans="1:7" x14ac:dyDescent="0.25">
      <c r="A1741" s="4" t="s">
        <v>1489</v>
      </c>
      <c r="B1741" s="2">
        <f>VALUE("7327")</f>
        <v>7327</v>
      </c>
      <c r="C1741" s="4" t="s">
        <v>1486</v>
      </c>
      <c r="D1741" s="4" t="s">
        <v>1487</v>
      </c>
      <c r="E1741" s="2">
        <f>VALUE("2014")</f>
        <v>2014</v>
      </c>
      <c r="F1741" t="s">
        <v>1488</v>
      </c>
      <c r="G1741" s="8" t="s">
        <v>1490</v>
      </c>
    </row>
    <row r="1742" spans="1:7" x14ac:dyDescent="0.25">
      <c r="A1742" s="4" t="s">
        <v>1489</v>
      </c>
      <c r="B1742" s="2">
        <f>VALUE("7327")</f>
        <v>7327</v>
      </c>
      <c r="C1742" s="4" t="s">
        <v>1491</v>
      </c>
      <c r="D1742" s="4" t="s">
        <v>1492</v>
      </c>
      <c r="E1742" s="2">
        <f>VALUE("2014")</f>
        <v>2014</v>
      </c>
      <c r="F1742" t="s">
        <v>1493</v>
      </c>
      <c r="G1742" s="8" t="s">
        <v>1494</v>
      </c>
    </row>
    <row r="1743" spans="1:7" x14ac:dyDescent="0.25">
      <c r="A1743" s="4" t="s">
        <v>1489</v>
      </c>
      <c r="B1743" s="2">
        <f>VALUE("8505")</f>
        <v>8505</v>
      </c>
      <c r="C1743" s="4" t="s">
        <v>4106</v>
      </c>
      <c r="D1743" s="4" t="s">
        <v>4107</v>
      </c>
      <c r="E1743" s="2">
        <f>VALUE("2022")</f>
        <v>2022</v>
      </c>
      <c r="F1743" t="s">
        <v>8</v>
      </c>
      <c r="G1743" s="8" t="s">
        <v>4108</v>
      </c>
    </row>
    <row r="1744" spans="1:7" x14ac:dyDescent="0.25">
      <c r="A1744" s="4" t="s">
        <v>1489</v>
      </c>
      <c r="B1744" s="2">
        <f>VALUE("8505")</f>
        <v>8505</v>
      </c>
      <c r="C1744" s="4" t="s">
        <v>4104</v>
      </c>
      <c r="D1744" s="4" t="s">
        <v>4102</v>
      </c>
      <c r="E1744" s="2">
        <f>VALUE("2020")</f>
        <v>2020</v>
      </c>
      <c r="F1744" t="s">
        <v>201</v>
      </c>
      <c r="G1744" s="8" t="s">
        <v>4105</v>
      </c>
    </row>
    <row r="1745" spans="1:7" x14ac:dyDescent="0.25">
      <c r="A1745" s="4" t="s">
        <v>1489</v>
      </c>
      <c r="B1745" s="2">
        <f>VALUE("8505")</f>
        <v>8505</v>
      </c>
      <c r="C1745" s="4" t="s">
        <v>4101</v>
      </c>
      <c r="D1745" s="4" t="s">
        <v>4102</v>
      </c>
      <c r="E1745" s="2">
        <f>VALUE("2022")</f>
        <v>2022</v>
      </c>
      <c r="F1745" t="s">
        <v>201</v>
      </c>
      <c r="G1745" s="8" t="s">
        <v>4103</v>
      </c>
    </row>
    <row r="1746" spans="1:7" x14ac:dyDescent="0.25">
      <c r="A1746" s="4" t="s">
        <v>1751</v>
      </c>
      <c r="B1746" s="2">
        <f>VALUE("7456")</f>
        <v>7456</v>
      </c>
      <c r="C1746" s="4" t="s">
        <v>1748</v>
      </c>
      <c r="D1746" s="4" t="s">
        <v>1749</v>
      </c>
      <c r="E1746" s="2">
        <f>VALUE("2017")</f>
        <v>2017</v>
      </c>
      <c r="F1746" t="s">
        <v>1750</v>
      </c>
    </row>
    <row r="1747" spans="1:7" x14ac:dyDescent="0.25">
      <c r="A1747" s="4" t="s">
        <v>1751</v>
      </c>
      <c r="B1747" s="2">
        <f>VALUE("7568")</f>
        <v>7568</v>
      </c>
      <c r="C1747" s="4" t="s">
        <v>1961</v>
      </c>
      <c r="D1747" s="4" t="s">
        <v>1962</v>
      </c>
      <c r="E1747" s="2">
        <f>VALUE("2014")</f>
        <v>2014</v>
      </c>
      <c r="F1747" t="s">
        <v>1963</v>
      </c>
    </row>
    <row r="1748" spans="1:7" x14ac:dyDescent="0.25">
      <c r="A1748" s="4" t="s">
        <v>1751</v>
      </c>
      <c r="B1748" s="2">
        <f>VALUE("8243")</f>
        <v>8243</v>
      </c>
      <c r="C1748" s="4" t="s">
        <v>3548</v>
      </c>
      <c r="D1748" s="4" t="s">
        <v>3549</v>
      </c>
      <c r="E1748" s="2">
        <f>VALUE("2022")</f>
        <v>2022</v>
      </c>
      <c r="F1748" t="s">
        <v>3550</v>
      </c>
      <c r="G1748" s="8" t="s">
        <v>3551</v>
      </c>
    </row>
    <row r="1749" spans="1:7" x14ac:dyDescent="0.25">
      <c r="A1749" s="4" t="s">
        <v>1751</v>
      </c>
      <c r="B1749" s="2">
        <f>VALUE("8787")</f>
        <v>8787</v>
      </c>
      <c r="C1749" s="4" t="s">
        <v>4700</v>
      </c>
      <c r="D1749" s="4" t="s">
        <v>4701</v>
      </c>
      <c r="E1749" s="2">
        <f>VALUE("2021")</f>
        <v>2021</v>
      </c>
      <c r="F1749" t="s">
        <v>4702</v>
      </c>
    </row>
    <row r="1750" spans="1:7" x14ac:dyDescent="0.25">
      <c r="A1750" s="4" t="s">
        <v>3920</v>
      </c>
      <c r="B1750" s="2">
        <f>VALUE("8428")</f>
        <v>8428</v>
      </c>
      <c r="C1750" s="4" t="s">
        <v>3917</v>
      </c>
      <c r="D1750" s="4" t="s">
        <v>3918</v>
      </c>
      <c r="E1750" s="2">
        <f>VALUE("2021")</f>
        <v>2021</v>
      </c>
      <c r="F1750" t="s">
        <v>3919</v>
      </c>
    </row>
    <row r="1751" spans="1:7" x14ac:dyDescent="0.25">
      <c r="A1751" s="4" t="s">
        <v>2597</v>
      </c>
      <c r="B1751" s="2">
        <f>VALUE("7807")</f>
        <v>7807</v>
      </c>
      <c r="C1751" s="4" t="s">
        <v>2594</v>
      </c>
      <c r="D1751" s="4" t="s">
        <v>2595</v>
      </c>
      <c r="E1751" s="2">
        <f>VALUE("2017")</f>
        <v>2017</v>
      </c>
      <c r="F1751" t="s">
        <v>2596</v>
      </c>
    </row>
    <row r="1752" spans="1:7" x14ac:dyDescent="0.25">
      <c r="A1752" s="4" t="s">
        <v>2597</v>
      </c>
      <c r="B1752" s="2">
        <f>VALUE("7988")</f>
        <v>7988</v>
      </c>
      <c r="C1752" s="4" t="s">
        <v>2991</v>
      </c>
      <c r="D1752" s="4" t="s">
        <v>2992</v>
      </c>
      <c r="E1752" s="2">
        <f>VALUE("2017")</f>
        <v>2017</v>
      </c>
      <c r="F1752" t="s">
        <v>2993</v>
      </c>
      <c r="G1752" s="8" t="s">
        <v>2994</v>
      </c>
    </row>
    <row r="1753" spans="1:7" x14ac:dyDescent="0.25">
      <c r="A1753" s="4" t="s">
        <v>2597</v>
      </c>
      <c r="B1753" s="2">
        <f>VALUE("8124")</f>
        <v>8124</v>
      </c>
      <c r="C1753" s="4" t="s">
        <v>3254</v>
      </c>
      <c r="D1753" s="4" t="s">
        <v>3255</v>
      </c>
      <c r="E1753" s="2">
        <f>VALUE("2022")</f>
        <v>2022</v>
      </c>
      <c r="F1753" t="s">
        <v>2341</v>
      </c>
      <c r="G1753" s="8" t="s">
        <v>3256</v>
      </c>
    </row>
    <row r="1754" spans="1:7" x14ac:dyDescent="0.25">
      <c r="A1754" s="4" t="s">
        <v>1659</v>
      </c>
      <c r="B1754" s="2">
        <f>VALUE("7415")</f>
        <v>7415</v>
      </c>
      <c r="C1754" s="4" t="s">
        <v>1657</v>
      </c>
      <c r="D1754" s="4" t="s">
        <v>293</v>
      </c>
      <c r="E1754" s="2">
        <f>VALUE("2013")</f>
        <v>2013</v>
      </c>
      <c r="F1754" t="s">
        <v>1658</v>
      </c>
    </row>
    <row r="1755" spans="1:7" x14ac:dyDescent="0.25">
      <c r="A1755" s="4" t="s">
        <v>1659</v>
      </c>
      <c r="B1755" s="2">
        <f>VALUE("7415")</f>
        <v>7415</v>
      </c>
      <c r="C1755" s="4" t="s">
        <v>1660</v>
      </c>
      <c r="D1755" s="4" t="s">
        <v>293</v>
      </c>
      <c r="E1755" s="2">
        <f>VALUE("2013")</f>
        <v>2013</v>
      </c>
      <c r="F1755" t="s">
        <v>1658</v>
      </c>
    </row>
    <row r="1756" spans="1:7" x14ac:dyDescent="0.25">
      <c r="A1756" s="4" t="s">
        <v>1659</v>
      </c>
      <c r="B1756" s="2">
        <f>VALUE("7415")</f>
        <v>7415</v>
      </c>
      <c r="C1756" s="4" t="s">
        <v>1661</v>
      </c>
      <c r="D1756" s="4" t="s">
        <v>293</v>
      </c>
      <c r="E1756" s="2">
        <f>VALUE("2013")</f>
        <v>2013</v>
      </c>
      <c r="F1756" t="s">
        <v>1658</v>
      </c>
    </row>
    <row r="1757" spans="1:7" x14ac:dyDescent="0.25">
      <c r="A1757" s="4" t="s">
        <v>1659</v>
      </c>
      <c r="B1757" s="2">
        <f>VALUE("7438")</f>
        <v>7438</v>
      </c>
      <c r="C1757" s="4" t="s">
        <v>1706</v>
      </c>
      <c r="D1757" s="4" t="s">
        <v>1707</v>
      </c>
      <c r="E1757" s="2">
        <f>VALUE("2013")</f>
        <v>2013</v>
      </c>
      <c r="F1757" t="s">
        <v>1056</v>
      </c>
    </row>
    <row r="1758" spans="1:7" x14ac:dyDescent="0.25">
      <c r="A1758" s="4" t="s">
        <v>3317</v>
      </c>
      <c r="B1758" s="2">
        <f>VALUE("8142")</f>
        <v>8142</v>
      </c>
      <c r="C1758" s="4" t="s">
        <v>3314</v>
      </c>
      <c r="D1758" s="4" t="s">
        <v>3315</v>
      </c>
      <c r="E1758" s="2">
        <f>VALUE("2019")</f>
        <v>2019</v>
      </c>
      <c r="F1758" t="s">
        <v>3316</v>
      </c>
      <c r="G1758" s="8" t="s">
        <v>3318</v>
      </c>
    </row>
    <row r="1759" spans="1:7" x14ac:dyDescent="0.25">
      <c r="A1759" s="4" t="s">
        <v>1093</v>
      </c>
      <c r="B1759" s="2">
        <f>VALUE("7218")</f>
        <v>7218</v>
      </c>
      <c r="C1759" s="4" t="s">
        <v>1090</v>
      </c>
      <c r="D1759" s="4" t="s">
        <v>1091</v>
      </c>
      <c r="E1759" s="2">
        <f>VALUE("2015")</f>
        <v>2015</v>
      </c>
      <c r="F1759" t="s">
        <v>1092</v>
      </c>
    </row>
    <row r="1760" spans="1:7" x14ac:dyDescent="0.25">
      <c r="A1760" s="4" t="s">
        <v>1093</v>
      </c>
      <c r="B1760" s="2">
        <f>VALUE("9362")</f>
        <v>9362</v>
      </c>
      <c r="C1760" s="4" t="s">
        <v>5185</v>
      </c>
      <c r="D1760" s="4" t="s">
        <v>293</v>
      </c>
      <c r="E1760" s="2">
        <f>VALUE("2023")</f>
        <v>2023</v>
      </c>
      <c r="F1760" t="s">
        <v>5186</v>
      </c>
      <c r="G1760" s="8" t="s">
        <v>5187</v>
      </c>
    </row>
    <row r="1761" spans="1:7" x14ac:dyDescent="0.25">
      <c r="A1761" s="4" t="s">
        <v>4592</v>
      </c>
      <c r="B1761" s="2">
        <f>VALUE("8722")</f>
        <v>8722</v>
      </c>
      <c r="C1761" s="4" t="s">
        <v>4590</v>
      </c>
      <c r="D1761" s="4" t="s">
        <v>4591</v>
      </c>
      <c r="E1761" s="2">
        <f>VALUE("2020")</f>
        <v>2020</v>
      </c>
      <c r="F1761" t="s">
        <v>4592</v>
      </c>
      <c r="G1761" s="8" t="s">
        <v>4593</v>
      </c>
    </row>
    <row r="1762" spans="1:7" x14ac:dyDescent="0.25">
      <c r="A1762" s="4" t="s">
        <v>4592</v>
      </c>
      <c r="B1762" s="2">
        <f>VALUE("8722")</f>
        <v>8722</v>
      </c>
      <c r="C1762" s="4" t="s">
        <v>4590</v>
      </c>
      <c r="D1762" s="4" t="s">
        <v>4603</v>
      </c>
      <c r="E1762" s="2">
        <f>VALUE("2020")</f>
        <v>2020</v>
      </c>
      <c r="F1762" t="s">
        <v>4592</v>
      </c>
      <c r="G1762" s="8" t="s">
        <v>4593</v>
      </c>
    </row>
    <row r="1763" spans="1:7" x14ac:dyDescent="0.25">
      <c r="A1763" s="4" t="s">
        <v>4592</v>
      </c>
      <c r="B1763" s="2">
        <f>VALUE("8722")</f>
        <v>8722</v>
      </c>
      <c r="C1763" s="4" t="s">
        <v>4600</v>
      </c>
      <c r="D1763" s="4" t="s">
        <v>4601</v>
      </c>
      <c r="E1763" s="2">
        <f>VALUE("2020")</f>
        <v>2020</v>
      </c>
      <c r="F1763" t="s">
        <v>4592</v>
      </c>
      <c r="G1763" s="8" t="s">
        <v>4602</v>
      </c>
    </row>
    <row r="1764" spans="1:7" x14ac:dyDescent="0.25">
      <c r="A1764" s="4" t="s">
        <v>4592</v>
      </c>
      <c r="B1764" s="2">
        <f>VALUE("8722")</f>
        <v>8722</v>
      </c>
      <c r="C1764" s="4" t="s">
        <v>4594</v>
      </c>
      <c r="D1764" s="4" t="s">
        <v>4595</v>
      </c>
      <c r="E1764" s="2">
        <f>VALUE("2021")</f>
        <v>2021</v>
      </c>
      <c r="F1764" t="s">
        <v>4592</v>
      </c>
      <c r="G1764" s="8" t="s">
        <v>4596</v>
      </c>
    </row>
    <row r="1765" spans="1:7" x14ac:dyDescent="0.25">
      <c r="A1765" s="4" t="s">
        <v>4592</v>
      </c>
      <c r="B1765" s="2">
        <f>VALUE("8722")</f>
        <v>8722</v>
      </c>
      <c r="C1765" s="4" t="s">
        <v>4597</v>
      </c>
      <c r="D1765" s="4" t="s">
        <v>4598</v>
      </c>
      <c r="E1765" s="2">
        <f>VALUE("2021")</f>
        <v>2021</v>
      </c>
      <c r="F1765" t="s">
        <v>4592</v>
      </c>
      <c r="G1765" s="8" t="s">
        <v>4599</v>
      </c>
    </row>
    <row r="1766" spans="1:7" x14ac:dyDescent="0.25">
      <c r="A1766" s="4" t="s">
        <v>615</v>
      </c>
      <c r="B1766" s="2">
        <f>VALUE("7035")</f>
        <v>7035</v>
      </c>
      <c r="C1766" s="4" t="s">
        <v>616</v>
      </c>
      <c r="D1766" s="4" t="s">
        <v>617</v>
      </c>
      <c r="E1766" s="2">
        <f>VALUE("2015")</f>
        <v>2015</v>
      </c>
      <c r="F1766" t="s">
        <v>618</v>
      </c>
    </row>
    <row r="1767" spans="1:7" x14ac:dyDescent="0.25">
      <c r="A1767" s="4" t="s">
        <v>615</v>
      </c>
      <c r="B1767" s="2">
        <f>VALUE("7035")</f>
        <v>7035</v>
      </c>
      <c r="C1767" s="4" t="s">
        <v>612</v>
      </c>
      <c r="D1767" s="4" t="s">
        <v>613</v>
      </c>
      <c r="E1767" s="2">
        <f>VALUE("2015")</f>
        <v>2015</v>
      </c>
      <c r="F1767" t="s">
        <v>614</v>
      </c>
    </row>
    <row r="1768" spans="1:7" x14ac:dyDescent="0.25">
      <c r="A1768" s="4" t="s">
        <v>3136</v>
      </c>
      <c r="B1768" s="2">
        <f>VALUE("8073")</f>
        <v>8073</v>
      </c>
      <c r="C1768" s="4" t="s">
        <v>3134</v>
      </c>
      <c r="D1768" s="4" t="s">
        <v>3135</v>
      </c>
      <c r="E1768" s="2">
        <f>VALUE("2021")</f>
        <v>2021</v>
      </c>
      <c r="F1768" t="s">
        <v>1093</v>
      </c>
      <c r="G1768" s="8" t="s">
        <v>3137</v>
      </c>
    </row>
    <row r="1769" spans="1:7" x14ac:dyDescent="0.25">
      <c r="A1769" s="4" t="s">
        <v>3136</v>
      </c>
      <c r="B1769" s="2">
        <f>VALUE("8086")</f>
        <v>8086</v>
      </c>
      <c r="C1769" s="4" t="s">
        <v>3167</v>
      </c>
      <c r="D1769" s="4" t="s">
        <v>3168</v>
      </c>
      <c r="E1769" s="2">
        <f>VALUE("2020")</f>
        <v>2020</v>
      </c>
      <c r="F1769" t="s">
        <v>3169</v>
      </c>
      <c r="G1769" s="8" t="s">
        <v>3170</v>
      </c>
    </row>
    <row r="1770" spans="1:7" x14ac:dyDescent="0.25">
      <c r="A1770" s="4" t="s">
        <v>3136</v>
      </c>
      <c r="B1770" s="2">
        <f>VALUE("8086")</f>
        <v>8086</v>
      </c>
      <c r="C1770" s="4" t="s">
        <v>3173</v>
      </c>
      <c r="D1770" s="4" t="s">
        <v>3174</v>
      </c>
      <c r="E1770" s="2">
        <f>VALUE("2020")</f>
        <v>2020</v>
      </c>
      <c r="F1770" t="s">
        <v>3169</v>
      </c>
    </row>
    <row r="1771" spans="1:7" x14ac:dyDescent="0.25">
      <c r="A1771" s="4" t="s">
        <v>3136</v>
      </c>
      <c r="B1771" s="2">
        <f>VALUE("8086")</f>
        <v>8086</v>
      </c>
      <c r="C1771" s="4" t="s">
        <v>3171</v>
      </c>
      <c r="D1771" s="4" t="s">
        <v>3172</v>
      </c>
      <c r="E1771" s="2">
        <f>VALUE("2020")</f>
        <v>2020</v>
      </c>
      <c r="F1771" t="s">
        <v>3169</v>
      </c>
    </row>
    <row r="1772" spans="1:7" x14ac:dyDescent="0.25">
      <c r="A1772" s="4" t="s">
        <v>43</v>
      </c>
      <c r="B1772" s="2">
        <f>VALUE("1033")</f>
        <v>1033</v>
      </c>
      <c r="C1772" s="4" t="s">
        <v>45</v>
      </c>
      <c r="D1772" s="4" t="s">
        <v>46</v>
      </c>
      <c r="E1772" s="2">
        <f>VALUE("2015")</f>
        <v>2015</v>
      </c>
      <c r="F1772" t="s">
        <v>47</v>
      </c>
      <c r="G1772" s="8" t="s">
        <v>48</v>
      </c>
    </row>
    <row r="1773" spans="1:7" x14ac:dyDescent="0.25">
      <c r="A1773" s="4" t="s">
        <v>43</v>
      </c>
      <c r="B1773" s="2">
        <f>VALUE("1033")</f>
        <v>1033</v>
      </c>
      <c r="C1773" s="4" t="s">
        <v>52</v>
      </c>
      <c r="D1773" s="4" t="s">
        <v>53</v>
      </c>
      <c r="E1773" s="2">
        <f>VALUE("2017")</f>
        <v>2017</v>
      </c>
      <c r="F1773" t="s">
        <v>54</v>
      </c>
    </row>
    <row r="1774" spans="1:7" x14ac:dyDescent="0.25">
      <c r="A1774" s="4" t="s">
        <v>43</v>
      </c>
      <c r="B1774" s="2">
        <f>VALUE("1033")</f>
        <v>1033</v>
      </c>
      <c r="C1774" s="4" t="s">
        <v>49</v>
      </c>
      <c r="D1774" s="4" t="s">
        <v>50</v>
      </c>
      <c r="E1774" s="2">
        <f>VALUE("2017")</f>
        <v>2017</v>
      </c>
      <c r="F1774" t="s">
        <v>51</v>
      </c>
    </row>
    <row r="1775" spans="1:7" x14ac:dyDescent="0.25">
      <c r="A1775" s="4" t="s">
        <v>43</v>
      </c>
      <c r="B1775" s="2">
        <f>VALUE("1033")</f>
        <v>1033</v>
      </c>
      <c r="C1775" s="4" t="s">
        <v>40</v>
      </c>
      <c r="D1775" s="4" t="s">
        <v>41</v>
      </c>
      <c r="E1775" s="2">
        <f>VALUE("2014")</f>
        <v>2014</v>
      </c>
      <c r="F1775" t="s">
        <v>42</v>
      </c>
      <c r="G1775" s="8" t="s">
        <v>44</v>
      </c>
    </row>
    <row r="1776" spans="1:7" x14ac:dyDescent="0.25">
      <c r="A1776" s="4" t="s">
        <v>43</v>
      </c>
      <c r="B1776" s="2">
        <f>VALUE("7020")</f>
        <v>7020</v>
      </c>
      <c r="C1776" s="4" t="s">
        <v>551</v>
      </c>
      <c r="D1776" s="4" t="s">
        <v>552</v>
      </c>
      <c r="E1776" s="2">
        <f>VALUE("2015")</f>
        <v>2015</v>
      </c>
      <c r="F1776" t="s">
        <v>553</v>
      </c>
    </row>
    <row r="1777" spans="1:7" x14ac:dyDescent="0.25">
      <c r="A1777" s="4" t="s">
        <v>43</v>
      </c>
      <c r="B1777" s="2">
        <f>VALUE("7062")</f>
        <v>7062</v>
      </c>
      <c r="C1777" s="4" t="s">
        <v>673</v>
      </c>
      <c r="D1777" s="4" t="s">
        <v>674</v>
      </c>
      <c r="E1777" s="2">
        <f>VALUE("2013")</f>
        <v>2013</v>
      </c>
      <c r="F1777" t="s">
        <v>11</v>
      </c>
      <c r="G1777" s="8" t="s">
        <v>675</v>
      </c>
    </row>
    <row r="1778" spans="1:7" x14ac:dyDescent="0.25">
      <c r="A1778" s="4" t="s">
        <v>43</v>
      </c>
      <c r="B1778" s="2">
        <f>VALUE("7136")</f>
        <v>7136</v>
      </c>
      <c r="C1778" s="4" t="s">
        <v>946</v>
      </c>
      <c r="D1778" s="4" t="s">
        <v>947</v>
      </c>
      <c r="E1778" s="2">
        <f>VALUE("2013")</f>
        <v>2013</v>
      </c>
      <c r="F1778" t="s">
        <v>948</v>
      </c>
      <c r="G1778" s="8" t="s">
        <v>949</v>
      </c>
    </row>
    <row r="1779" spans="1:7" x14ac:dyDescent="0.25">
      <c r="A1779" s="4" t="s">
        <v>43</v>
      </c>
      <c r="B1779" s="2">
        <f>VALUE("7136")</f>
        <v>7136</v>
      </c>
      <c r="C1779" s="4" t="s">
        <v>953</v>
      </c>
      <c r="D1779" s="4" t="s">
        <v>954</v>
      </c>
      <c r="E1779" s="2">
        <f>VALUE("2018")</f>
        <v>2018</v>
      </c>
      <c r="F1779" t="s">
        <v>955</v>
      </c>
    </row>
    <row r="1780" spans="1:7" x14ac:dyDescent="0.25">
      <c r="A1780" s="4" t="s">
        <v>43</v>
      </c>
      <c r="B1780" s="2">
        <f>VALUE("7136")</f>
        <v>7136</v>
      </c>
      <c r="C1780" s="4" t="s">
        <v>950</v>
      </c>
      <c r="D1780" s="4" t="s">
        <v>951</v>
      </c>
      <c r="E1780" s="2">
        <f>VALUE("2013")</f>
        <v>2013</v>
      </c>
      <c r="F1780" t="s">
        <v>952</v>
      </c>
    </row>
    <row r="1781" spans="1:7" x14ac:dyDescent="0.25">
      <c r="A1781" s="4" t="s">
        <v>43</v>
      </c>
      <c r="B1781" s="2">
        <f>VALUE("7157")</f>
        <v>7157</v>
      </c>
      <c r="C1781" s="4" t="s">
        <v>985</v>
      </c>
      <c r="D1781" s="4" t="s">
        <v>986</v>
      </c>
      <c r="E1781" s="2">
        <f>VALUE("2021")</f>
        <v>2021</v>
      </c>
      <c r="F1781" t="s">
        <v>974</v>
      </c>
    </row>
    <row r="1782" spans="1:7" x14ac:dyDescent="0.25">
      <c r="A1782" s="4" t="s">
        <v>43</v>
      </c>
      <c r="B1782" s="2">
        <f>VALUE("7171")</f>
        <v>7171</v>
      </c>
      <c r="C1782" s="4" t="s">
        <v>1008</v>
      </c>
      <c r="D1782" s="4" t="s">
        <v>1009</v>
      </c>
      <c r="E1782" s="2">
        <f>VALUE("2013")</f>
        <v>2013</v>
      </c>
      <c r="F1782" t="s">
        <v>1012</v>
      </c>
    </row>
    <row r="1783" spans="1:7" x14ac:dyDescent="0.25">
      <c r="A1783" s="4" t="s">
        <v>43</v>
      </c>
      <c r="B1783" s="2">
        <f>VALUE("7172")</f>
        <v>7172</v>
      </c>
      <c r="C1783" s="4" t="s">
        <v>1016</v>
      </c>
      <c r="D1783" s="4" t="s">
        <v>1017</v>
      </c>
      <c r="E1783" s="2">
        <f>VALUE("2010")</f>
        <v>2010</v>
      </c>
      <c r="F1783" t="s">
        <v>1018</v>
      </c>
      <c r="G1783" s="8" t="s">
        <v>1019</v>
      </c>
    </row>
    <row r="1784" spans="1:7" x14ac:dyDescent="0.25">
      <c r="A1784" s="4" t="s">
        <v>43</v>
      </c>
      <c r="B1784" s="2">
        <f>VALUE("7238")</f>
        <v>7238</v>
      </c>
      <c r="C1784" s="4" t="s">
        <v>1130</v>
      </c>
      <c r="D1784" s="4" t="s">
        <v>1131</v>
      </c>
      <c r="E1784" s="2">
        <f>VALUE("2014")</f>
        <v>2014</v>
      </c>
      <c r="F1784" t="s">
        <v>1132</v>
      </c>
    </row>
    <row r="1785" spans="1:7" x14ac:dyDescent="0.25">
      <c r="A1785" s="4" t="s">
        <v>43</v>
      </c>
      <c r="B1785" s="2">
        <f>VALUE("7238")</f>
        <v>7238</v>
      </c>
      <c r="C1785" s="4" t="s">
        <v>1133</v>
      </c>
      <c r="D1785" s="4" t="s">
        <v>1134</v>
      </c>
      <c r="E1785" s="2">
        <f>VALUE("2014")</f>
        <v>2014</v>
      </c>
      <c r="F1785" t="s">
        <v>1135</v>
      </c>
    </row>
    <row r="1786" spans="1:7" x14ac:dyDescent="0.25">
      <c r="A1786" s="4" t="s">
        <v>43</v>
      </c>
      <c r="B1786" s="2">
        <f t="shared" ref="B1786:B1791" si="40">VALUE("7473")</f>
        <v>7473</v>
      </c>
      <c r="C1786" s="4" t="s">
        <v>1776</v>
      </c>
      <c r="D1786" s="4" t="s">
        <v>1774</v>
      </c>
      <c r="E1786" s="2">
        <f>VALUE("2018")</f>
        <v>2018</v>
      </c>
      <c r="F1786" t="s">
        <v>43</v>
      </c>
    </row>
    <row r="1787" spans="1:7" x14ac:dyDescent="0.25">
      <c r="A1787" s="4" t="s">
        <v>43</v>
      </c>
      <c r="B1787" s="2">
        <f t="shared" si="40"/>
        <v>7473</v>
      </c>
      <c r="C1787" s="4" t="s">
        <v>1773</v>
      </c>
      <c r="D1787" s="4" t="s">
        <v>1774</v>
      </c>
      <c r="E1787" s="2">
        <f>VALUE("2016")</f>
        <v>2016</v>
      </c>
      <c r="F1787" t="s">
        <v>43</v>
      </c>
    </row>
    <row r="1788" spans="1:7" x14ac:dyDescent="0.25">
      <c r="A1788" s="4" t="s">
        <v>43</v>
      </c>
      <c r="B1788" s="2">
        <f t="shared" si="40"/>
        <v>7473</v>
      </c>
      <c r="C1788" s="4" t="s">
        <v>1778</v>
      </c>
      <c r="D1788" s="4" t="s">
        <v>1774</v>
      </c>
      <c r="E1788" s="2">
        <f>VALUE("2014")</f>
        <v>2014</v>
      </c>
      <c r="F1788" t="s">
        <v>43</v>
      </c>
    </row>
    <row r="1789" spans="1:7" x14ac:dyDescent="0.25">
      <c r="A1789" s="4" t="s">
        <v>43</v>
      </c>
      <c r="B1789" s="2">
        <f t="shared" si="40"/>
        <v>7473</v>
      </c>
      <c r="C1789" s="4" t="s">
        <v>1777</v>
      </c>
      <c r="D1789" s="4" t="s">
        <v>1774</v>
      </c>
      <c r="E1789" s="2">
        <f>VALUE("2019")</f>
        <v>2019</v>
      </c>
      <c r="F1789" t="s">
        <v>43</v>
      </c>
    </row>
    <row r="1790" spans="1:7" x14ac:dyDescent="0.25">
      <c r="A1790" s="4" t="s">
        <v>43</v>
      </c>
      <c r="B1790" s="2">
        <f t="shared" si="40"/>
        <v>7473</v>
      </c>
      <c r="C1790" s="4" t="s">
        <v>1779</v>
      </c>
      <c r="D1790" s="4" t="s">
        <v>1774</v>
      </c>
      <c r="E1790" s="2">
        <f>VALUE("2015")</f>
        <v>2015</v>
      </c>
      <c r="F1790" t="s">
        <v>43</v>
      </c>
    </row>
    <row r="1791" spans="1:7" x14ac:dyDescent="0.25">
      <c r="A1791" s="4" t="s">
        <v>43</v>
      </c>
      <c r="B1791" s="2">
        <f t="shared" si="40"/>
        <v>7473</v>
      </c>
      <c r="C1791" s="4" t="s">
        <v>1775</v>
      </c>
      <c r="D1791" s="4" t="s">
        <v>1774</v>
      </c>
      <c r="E1791" s="2">
        <f>VALUE("2017")</f>
        <v>2017</v>
      </c>
      <c r="F1791" t="s">
        <v>43</v>
      </c>
    </row>
    <row r="1792" spans="1:7" x14ac:dyDescent="0.25">
      <c r="A1792" s="4" t="s">
        <v>43</v>
      </c>
      <c r="B1792" s="2">
        <f>VALUE("7485")</f>
        <v>7485</v>
      </c>
      <c r="C1792" s="4" t="s">
        <v>1801</v>
      </c>
      <c r="D1792" s="4" t="s">
        <v>1802</v>
      </c>
      <c r="E1792" s="2">
        <f>VALUE("2016")</f>
        <v>2016</v>
      </c>
      <c r="F1792" t="s">
        <v>43</v>
      </c>
      <c r="G1792" s="8" t="s">
        <v>1803</v>
      </c>
    </row>
    <row r="1793" spans="1:7" x14ac:dyDescent="0.25">
      <c r="A1793" s="4" t="s">
        <v>43</v>
      </c>
      <c r="B1793" s="2">
        <f>VALUE("7485")</f>
        <v>7485</v>
      </c>
      <c r="C1793" s="4" t="s">
        <v>1804</v>
      </c>
      <c r="D1793" s="4" t="s">
        <v>1805</v>
      </c>
      <c r="E1793" s="2">
        <f>VALUE("2020")</f>
        <v>2020</v>
      </c>
      <c r="F1793" t="s">
        <v>43</v>
      </c>
      <c r="G1793" s="8" t="s">
        <v>1806</v>
      </c>
    </row>
    <row r="1794" spans="1:7" x14ac:dyDescent="0.25">
      <c r="A1794" s="4" t="s">
        <v>43</v>
      </c>
      <c r="B1794" s="2">
        <f>VALUE("7485")</f>
        <v>7485</v>
      </c>
      <c r="C1794" s="4" t="s">
        <v>1807</v>
      </c>
      <c r="D1794" s="4" t="s">
        <v>1805</v>
      </c>
      <c r="E1794" s="2">
        <f>VALUE("2013")</f>
        <v>2013</v>
      </c>
      <c r="F1794" t="s">
        <v>43</v>
      </c>
      <c r="G1794" s="8" t="s">
        <v>1808</v>
      </c>
    </row>
    <row r="1795" spans="1:7" x14ac:dyDescent="0.25">
      <c r="A1795" s="4" t="s">
        <v>43</v>
      </c>
      <c r="B1795" s="2">
        <f>VALUE("7485")</f>
        <v>7485</v>
      </c>
      <c r="C1795" s="4" t="s">
        <v>1798</v>
      </c>
      <c r="D1795" s="4" t="s">
        <v>1799</v>
      </c>
      <c r="E1795" s="2">
        <f>VALUE("2016")</f>
        <v>2016</v>
      </c>
      <c r="F1795" t="s">
        <v>43</v>
      </c>
      <c r="G1795" s="8" t="s">
        <v>1800</v>
      </c>
    </row>
    <row r="1796" spans="1:7" x14ac:dyDescent="0.25">
      <c r="A1796" s="4" t="s">
        <v>43</v>
      </c>
      <c r="B1796" s="2">
        <f>VALUE("7530")</f>
        <v>7530</v>
      </c>
      <c r="C1796" s="4" t="s">
        <v>1912</v>
      </c>
      <c r="D1796" s="4" t="s">
        <v>1913</v>
      </c>
      <c r="E1796" s="2">
        <f>VALUE("2022")</f>
        <v>2022</v>
      </c>
      <c r="F1796" t="s">
        <v>43</v>
      </c>
      <c r="G1796" s="8" t="s">
        <v>1914</v>
      </c>
    </row>
    <row r="1797" spans="1:7" x14ac:dyDescent="0.25">
      <c r="A1797" s="4" t="s">
        <v>43</v>
      </c>
      <c r="B1797" s="2">
        <f>VALUE("7530")</f>
        <v>7530</v>
      </c>
      <c r="C1797" s="4" t="s">
        <v>1910</v>
      </c>
      <c r="D1797" s="4" t="s">
        <v>1911</v>
      </c>
      <c r="E1797" s="2">
        <f>VALUE("2016")</f>
        <v>2016</v>
      </c>
      <c r="F1797" t="s">
        <v>974</v>
      </c>
    </row>
    <row r="1798" spans="1:7" x14ac:dyDescent="0.25">
      <c r="A1798" s="4" t="s">
        <v>43</v>
      </c>
      <c r="B1798" s="2">
        <f>VALUE("7587")</f>
        <v>7587</v>
      </c>
      <c r="C1798" s="4" t="s">
        <v>2009</v>
      </c>
      <c r="D1798" s="4" t="s">
        <v>2010</v>
      </c>
      <c r="E1798" s="2">
        <f>VALUE("2014")</f>
        <v>2014</v>
      </c>
      <c r="F1798" t="s">
        <v>153</v>
      </c>
    </row>
    <row r="1799" spans="1:7" x14ac:dyDescent="0.25">
      <c r="A1799" s="4" t="s">
        <v>43</v>
      </c>
      <c r="B1799" s="2">
        <f>VALUE("8087")</f>
        <v>8087</v>
      </c>
      <c r="C1799" s="4" t="s">
        <v>3175</v>
      </c>
      <c r="D1799" s="4" t="s">
        <v>3176</v>
      </c>
      <c r="E1799" s="2">
        <f>VALUE("2020")</f>
        <v>2020</v>
      </c>
      <c r="F1799" t="s">
        <v>43</v>
      </c>
    </row>
    <row r="1800" spans="1:7" x14ac:dyDescent="0.25">
      <c r="A1800" s="4" t="s">
        <v>43</v>
      </c>
      <c r="B1800" s="2">
        <f>VALUE("8275")</f>
        <v>8275</v>
      </c>
      <c r="C1800" s="4" t="s">
        <v>3646</v>
      </c>
      <c r="D1800" s="4" t="s">
        <v>3647</v>
      </c>
      <c r="E1800" s="2">
        <f>VALUE("2020")</f>
        <v>2020</v>
      </c>
      <c r="F1800" t="s">
        <v>43</v>
      </c>
      <c r="G1800" s="8" t="s">
        <v>3648</v>
      </c>
    </row>
    <row r="1801" spans="1:7" x14ac:dyDescent="0.25">
      <c r="A1801" s="4" t="s">
        <v>43</v>
      </c>
      <c r="B1801" s="2">
        <f>VALUE("8275")</f>
        <v>8275</v>
      </c>
      <c r="C1801" s="4" t="s">
        <v>3649</v>
      </c>
      <c r="D1801" s="4" t="s">
        <v>3650</v>
      </c>
      <c r="E1801" s="2">
        <f>VALUE("2020")</f>
        <v>2020</v>
      </c>
      <c r="F1801" t="s">
        <v>43</v>
      </c>
      <c r="G1801" s="8" t="s">
        <v>3651</v>
      </c>
    </row>
    <row r="1802" spans="1:7" x14ac:dyDescent="0.25">
      <c r="A1802" s="4" t="s">
        <v>43</v>
      </c>
      <c r="B1802" s="2">
        <f>VALUE("8447")</f>
        <v>8447</v>
      </c>
      <c r="C1802" s="4" t="s">
        <v>3952</v>
      </c>
      <c r="D1802" s="4" t="s">
        <v>3953</v>
      </c>
      <c r="E1802" s="2">
        <f>VALUE("2022")</f>
        <v>2022</v>
      </c>
      <c r="F1802" t="s">
        <v>974</v>
      </c>
      <c r="G1802" s="8" t="s">
        <v>3954</v>
      </c>
    </row>
    <row r="1803" spans="1:7" x14ac:dyDescent="0.25">
      <c r="A1803" s="4" t="s">
        <v>43</v>
      </c>
      <c r="B1803" s="2" t="s">
        <v>5271</v>
      </c>
      <c r="C1803" s="4" t="s">
        <v>1013</v>
      </c>
      <c r="D1803" s="4" t="s">
        <v>1014</v>
      </c>
      <c r="E1803" s="2">
        <f>VALUE("2014")</f>
        <v>2014</v>
      </c>
      <c r="F1803" t="s">
        <v>1015</v>
      </c>
    </row>
    <row r="1804" spans="1:7" x14ac:dyDescent="0.25">
      <c r="A1804" s="4" t="s">
        <v>1011</v>
      </c>
      <c r="B1804" s="2" t="s">
        <v>5272</v>
      </c>
      <c r="C1804" s="4" t="s">
        <v>1008</v>
      </c>
      <c r="D1804" s="4" t="s">
        <v>1009</v>
      </c>
      <c r="E1804" s="2">
        <f>VALUE("2013")</f>
        <v>2013</v>
      </c>
      <c r="F1804" t="s">
        <v>1010</v>
      </c>
    </row>
    <row r="1805" spans="1:7" x14ac:dyDescent="0.25">
      <c r="A1805" s="4" t="s">
        <v>344</v>
      </c>
      <c r="B1805" s="2">
        <f>VALUE("6115")</f>
        <v>6115</v>
      </c>
      <c r="C1805" s="4" t="s">
        <v>341</v>
      </c>
      <c r="D1805" s="4" t="s">
        <v>342</v>
      </c>
      <c r="E1805" s="2">
        <f>VALUE("2013")</f>
        <v>2013</v>
      </c>
      <c r="F1805" t="s">
        <v>343</v>
      </c>
      <c r="G1805" s="8" t="s">
        <v>345</v>
      </c>
    </row>
    <row r="1806" spans="1:7" x14ac:dyDescent="0.25">
      <c r="A1806" s="4" t="s">
        <v>344</v>
      </c>
      <c r="B1806" s="2">
        <f>VALUE("7633")</f>
        <v>7633</v>
      </c>
      <c r="C1806" s="4" t="s">
        <v>2135</v>
      </c>
      <c r="D1806" s="4" t="s">
        <v>2136</v>
      </c>
      <c r="E1806" s="2">
        <f>VALUE("2014")</f>
        <v>2014</v>
      </c>
      <c r="F1806" t="s">
        <v>2137</v>
      </c>
    </row>
    <row r="1807" spans="1:7" x14ac:dyDescent="0.25">
      <c r="A1807" s="4" t="s">
        <v>3888</v>
      </c>
      <c r="B1807" s="2">
        <f>VALUE("8403")</f>
        <v>8403</v>
      </c>
      <c r="C1807" s="4" t="s">
        <v>3886</v>
      </c>
      <c r="D1807" s="4" t="s">
        <v>3887</v>
      </c>
      <c r="E1807" s="2">
        <f>VALUE("2022")</f>
        <v>2022</v>
      </c>
      <c r="F1807" t="s">
        <v>43</v>
      </c>
      <c r="G1807" s="8" t="s">
        <v>3889</v>
      </c>
    </row>
    <row r="1808" spans="1:7" x14ac:dyDescent="0.25">
      <c r="A1808" s="4" t="s">
        <v>3957</v>
      </c>
      <c r="B1808" s="2">
        <f>VALUE("8450")</f>
        <v>8450</v>
      </c>
      <c r="C1808" s="4" t="s">
        <v>3955</v>
      </c>
      <c r="D1808" s="4" t="s">
        <v>3956</v>
      </c>
      <c r="E1808" s="2">
        <f>VALUE("2019")</f>
        <v>2019</v>
      </c>
      <c r="F1808" t="s">
        <v>3726</v>
      </c>
      <c r="G1808" s="8" t="s">
        <v>3958</v>
      </c>
    </row>
    <row r="1809" spans="1:7" x14ac:dyDescent="0.25">
      <c r="A1809" s="4" t="s">
        <v>3957</v>
      </c>
      <c r="B1809" s="2">
        <f>VALUE("9159")</f>
        <v>9159</v>
      </c>
      <c r="C1809" s="4" t="s">
        <v>5071</v>
      </c>
      <c r="D1809" s="4" t="s">
        <v>5072</v>
      </c>
      <c r="E1809" s="2">
        <f>VALUE("2022")</f>
        <v>2022</v>
      </c>
      <c r="F1809" t="s">
        <v>3957</v>
      </c>
      <c r="G1809" s="8" t="s">
        <v>5073</v>
      </c>
    </row>
    <row r="1810" spans="1:7" x14ac:dyDescent="0.25">
      <c r="A1810" s="4" t="s">
        <v>3957</v>
      </c>
      <c r="B1810" s="2">
        <f>VALUE("9173")</f>
        <v>9173</v>
      </c>
      <c r="C1810" s="4" t="s">
        <v>5091</v>
      </c>
      <c r="D1810" s="4" t="s">
        <v>5092</v>
      </c>
      <c r="E1810" s="2">
        <f>VALUE("2022")</f>
        <v>2022</v>
      </c>
      <c r="F1810" t="s">
        <v>5093</v>
      </c>
      <c r="G1810" s="8" t="s">
        <v>5094</v>
      </c>
    </row>
    <row r="1811" spans="1:7" x14ac:dyDescent="0.25">
      <c r="A1811" s="4" t="s">
        <v>3815</v>
      </c>
      <c r="B1811" s="2">
        <f>VALUE("8360")</f>
        <v>8360</v>
      </c>
      <c r="C1811" s="4" t="s">
        <v>3812</v>
      </c>
      <c r="D1811" s="4" t="s">
        <v>3813</v>
      </c>
      <c r="E1811" s="2">
        <f>VALUE("2019")</f>
        <v>2019</v>
      </c>
      <c r="F1811" t="s">
        <v>3814</v>
      </c>
      <c r="G1811" s="8" t="s">
        <v>3816</v>
      </c>
    </row>
    <row r="1812" spans="1:7" x14ac:dyDescent="0.25">
      <c r="A1812" s="4" t="s">
        <v>1321</v>
      </c>
      <c r="B1812" s="2">
        <f>VALUE("7274")</f>
        <v>7274</v>
      </c>
      <c r="C1812" s="4" t="s">
        <v>1319</v>
      </c>
      <c r="D1812" s="4" t="s">
        <v>1320</v>
      </c>
      <c r="E1812" s="2">
        <f>VALUE("2016")</f>
        <v>2016</v>
      </c>
      <c r="F1812" t="s">
        <v>1321</v>
      </c>
    </row>
    <row r="1813" spans="1:7" x14ac:dyDescent="0.25">
      <c r="A1813" s="4" t="s">
        <v>1321</v>
      </c>
      <c r="B1813" s="2">
        <f>VALUE("7418")</f>
        <v>7418</v>
      </c>
      <c r="C1813" s="4" t="s">
        <v>1664</v>
      </c>
      <c r="D1813" s="4" t="s">
        <v>1665</v>
      </c>
      <c r="E1813" s="2">
        <f>VALUE("2013")</f>
        <v>2013</v>
      </c>
      <c r="F1813" t="s">
        <v>1321</v>
      </c>
    </row>
    <row r="1814" spans="1:7" x14ac:dyDescent="0.25">
      <c r="A1814" s="4" t="s">
        <v>1321</v>
      </c>
      <c r="B1814" s="2">
        <f>VALUE("7431")</f>
        <v>7431</v>
      </c>
      <c r="C1814" s="4" t="s">
        <v>1689</v>
      </c>
      <c r="D1814" s="4" t="s">
        <v>1690</v>
      </c>
      <c r="E1814" s="2">
        <f>VALUE("2014")</f>
        <v>2014</v>
      </c>
      <c r="F1814" t="s">
        <v>1691</v>
      </c>
    </row>
    <row r="1815" spans="1:7" x14ac:dyDescent="0.25">
      <c r="A1815" s="4" t="s">
        <v>1321</v>
      </c>
      <c r="B1815" s="2">
        <f>VALUE("7446")</f>
        <v>7446</v>
      </c>
      <c r="C1815" s="4" t="s">
        <v>1724</v>
      </c>
      <c r="D1815" s="4" t="s">
        <v>1725</v>
      </c>
      <c r="E1815" s="2">
        <f>VALUE("2013")</f>
        <v>2013</v>
      </c>
      <c r="F1815" t="s">
        <v>1321</v>
      </c>
    </row>
    <row r="1816" spans="1:7" x14ac:dyDescent="0.25">
      <c r="A1816" s="4" t="s">
        <v>1321</v>
      </c>
      <c r="B1816" s="2">
        <f>VALUE("7450")</f>
        <v>7450</v>
      </c>
      <c r="C1816" s="4" t="s">
        <v>1738</v>
      </c>
      <c r="D1816" s="4" t="s">
        <v>1739</v>
      </c>
      <c r="E1816" s="2">
        <f>VALUE("2014")</f>
        <v>2014</v>
      </c>
      <c r="F1816" t="s">
        <v>1740</v>
      </c>
    </row>
    <row r="1817" spans="1:7" x14ac:dyDescent="0.25">
      <c r="A1817" s="4" t="s">
        <v>1321</v>
      </c>
      <c r="B1817" s="2">
        <f>VALUE("7470")</f>
        <v>7470</v>
      </c>
      <c r="C1817" s="4" t="s">
        <v>1766</v>
      </c>
      <c r="D1817" s="4" t="s">
        <v>1767</v>
      </c>
      <c r="E1817" s="2">
        <f>VALUE("2014")</f>
        <v>2014</v>
      </c>
      <c r="F1817" t="s">
        <v>1768</v>
      </c>
      <c r="G1817" s="8" t="s">
        <v>1769</v>
      </c>
    </row>
    <row r="1818" spans="1:7" x14ac:dyDescent="0.25">
      <c r="A1818" s="4" t="s">
        <v>1321</v>
      </c>
      <c r="B1818" s="2">
        <f>VALUE("7582")</f>
        <v>7582</v>
      </c>
      <c r="C1818" s="4" t="s">
        <v>1992</v>
      </c>
      <c r="D1818" s="4" t="s">
        <v>1993</v>
      </c>
      <c r="E1818" s="2">
        <f>VALUE("2016")</f>
        <v>2016</v>
      </c>
      <c r="F1818" t="s">
        <v>1994</v>
      </c>
      <c r="G1818" s="8" t="s">
        <v>1995</v>
      </c>
    </row>
    <row r="1819" spans="1:7" x14ac:dyDescent="0.25">
      <c r="A1819" s="4" t="s">
        <v>1321</v>
      </c>
      <c r="B1819" s="2">
        <f>VALUE("7630")</f>
        <v>7630</v>
      </c>
      <c r="C1819" s="4" t="s">
        <v>2129</v>
      </c>
      <c r="D1819" s="4" t="s">
        <v>2130</v>
      </c>
      <c r="E1819" s="2">
        <f>VALUE("2014")</f>
        <v>2014</v>
      </c>
      <c r="F1819" t="s">
        <v>2131</v>
      </c>
      <c r="G1819" s="8" t="s">
        <v>2132</v>
      </c>
    </row>
    <row r="1820" spans="1:7" x14ac:dyDescent="0.25">
      <c r="A1820" s="4" t="s">
        <v>1321</v>
      </c>
      <c r="B1820" s="2">
        <f>VALUE("7641")</f>
        <v>7641</v>
      </c>
      <c r="C1820" s="4" t="s">
        <v>2166</v>
      </c>
      <c r="D1820" s="4" t="s">
        <v>2167</v>
      </c>
      <c r="E1820" s="2">
        <f>VALUE("2017")</f>
        <v>2017</v>
      </c>
      <c r="F1820" t="s">
        <v>1321</v>
      </c>
    </row>
    <row r="1821" spans="1:7" x14ac:dyDescent="0.25">
      <c r="A1821" s="4" t="s">
        <v>1321</v>
      </c>
      <c r="B1821" s="2">
        <f>VALUE("7641")</f>
        <v>7641</v>
      </c>
      <c r="C1821" s="4" t="s">
        <v>2160</v>
      </c>
      <c r="D1821" s="4" t="s">
        <v>2161</v>
      </c>
      <c r="E1821" s="2">
        <f>VALUE("2016")</f>
        <v>2016</v>
      </c>
      <c r="F1821" t="s">
        <v>1321</v>
      </c>
      <c r="G1821" s="8" t="s">
        <v>2162</v>
      </c>
    </row>
    <row r="1822" spans="1:7" x14ac:dyDescent="0.25">
      <c r="A1822" s="4" t="s">
        <v>1321</v>
      </c>
      <c r="B1822" s="2">
        <f>VALUE("7641")</f>
        <v>7641</v>
      </c>
      <c r="C1822" s="4" t="s">
        <v>2163</v>
      </c>
      <c r="D1822" s="4" t="s">
        <v>2164</v>
      </c>
      <c r="E1822" s="2">
        <f>VALUE("2015")</f>
        <v>2015</v>
      </c>
      <c r="F1822" t="s">
        <v>1321</v>
      </c>
      <c r="G1822" s="8" t="s">
        <v>2165</v>
      </c>
    </row>
    <row r="1823" spans="1:7" x14ac:dyDescent="0.25">
      <c r="A1823" s="4" t="s">
        <v>1321</v>
      </c>
      <c r="B1823" s="2">
        <f t="shared" ref="B1823:B1830" si="41">VALUE("7730")</f>
        <v>7730</v>
      </c>
      <c r="C1823" s="4" t="s">
        <v>2478</v>
      </c>
      <c r="D1823" s="4" t="s">
        <v>2479</v>
      </c>
      <c r="E1823" s="2">
        <f>VALUE("2021")</f>
        <v>2021</v>
      </c>
      <c r="F1823" t="s">
        <v>1321</v>
      </c>
    </row>
    <row r="1824" spans="1:7" x14ac:dyDescent="0.25">
      <c r="A1824" s="4" t="s">
        <v>1321</v>
      </c>
      <c r="B1824" s="2">
        <f t="shared" si="41"/>
        <v>7730</v>
      </c>
      <c r="C1824" s="4" t="s">
        <v>2460</v>
      </c>
      <c r="D1824" s="4" t="s">
        <v>2461</v>
      </c>
      <c r="E1824" s="2">
        <f>VALUE("2018")</f>
        <v>2018</v>
      </c>
      <c r="F1824" t="s">
        <v>1321</v>
      </c>
      <c r="G1824" s="8" t="s">
        <v>2462</v>
      </c>
    </row>
    <row r="1825" spans="1:7" x14ac:dyDescent="0.25">
      <c r="A1825" s="4" t="s">
        <v>1321</v>
      </c>
      <c r="B1825" s="2">
        <f t="shared" si="41"/>
        <v>7730</v>
      </c>
      <c r="C1825" s="4" t="s">
        <v>2472</v>
      </c>
      <c r="D1825" s="4" t="s">
        <v>2473</v>
      </c>
      <c r="E1825" s="2">
        <f>VALUE("2020")</f>
        <v>2020</v>
      </c>
      <c r="F1825" t="s">
        <v>1321</v>
      </c>
      <c r="G1825" s="8" t="s">
        <v>2474</v>
      </c>
    </row>
    <row r="1826" spans="1:7" x14ac:dyDescent="0.25">
      <c r="A1826" s="4" t="s">
        <v>1321</v>
      </c>
      <c r="B1826" s="2">
        <f t="shared" si="41"/>
        <v>7730</v>
      </c>
      <c r="C1826" s="4" t="s">
        <v>2466</v>
      </c>
      <c r="D1826" s="4" t="s">
        <v>2467</v>
      </c>
      <c r="E1826" s="2">
        <f>VALUE("2021")</f>
        <v>2021</v>
      </c>
      <c r="F1826" t="s">
        <v>1321</v>
      </c>
      <c r="G1826" s="8" t="s">
        <v>2468</v>
      </c>
    </row>
    <row r="1827" spans="1:7" x14ac:dyDescent="0.25">
      <c r="A1827" s="4" t="s">
        <v>1321</v>
      </c>
      <c r="B1827" s="2">
        <f t="shared" si="41"/>
        <v>7730</v>
      </c>
      <c r="C1827" s="4" t="s">
        <v>2475</v>
      </c>
      <c r="D1827" s="4" t="s">
        <v>2476</v>
      </c>
      <c r="E1827" s="2">
        <f>VALUE("2022")</f>
        <v>2022</v>
      </c>
      <c r="F1827" t="s">
        <v>1321</v>
      </c>
      <c r="G1827" s="8" t="s">
        <v>2477</v>
      </c>
    </row>
    <row r="1828" spans="1:7" x14ac:dyDescent="0.25">
      <c r="A1828" s="4" t="s">
        <v>1321</v>
      </c>
      <c r="B1828" s="2">
        <f t="shared" si="41"/>
        <v>7730</v>
      </c>
      <c r="C1828" s="4" t="s">
        <v>2463</v>
      </c>
      <c r="D1828" s="4" t="s">
        <v>2464</v>
      </c>
      <c r="E1828" s="2">
        <f>VALUE("2022")</f>
        <v>2022</v>
      </c>
      <c r="F1828" t="s">
        <v>1321</v>
      </c>
      <c r="G1828" s="8" t="s">
        <v>2465</v>
      </c>
    </row>
    <row r="1829" spans="1:7" x14ac:dyDescent="0.25">
      <c r="A1829" s="4" t="s">
        <v>1321</v>
      </c>
      <c r="B1829" s="2">
        <f t="shared" si="41"/>
        <v>7730</v>
      </c>
      <c r="C1829" s="4" t="s">
        <v>2457</v>
      </c>
      <c r="D1829" s="4" t="s">
        <v>2458</v>
      </c>
      <c r="E1829" s="2">
        <f>VALUE("2015")</f>
        <v>2015</v>
      </c>
      <c r="F1829" t="s">
        <v>2459</v>
      </c>
    </row>
    <row r="1830" spans="1:7" x14ac:dyDescent="0.25">
      <c r="A1830" s="4" t="s">
        <v>1321</v>
      </c>
      <c r="B1830" s="2">
        <f t="shared" si="41"/>
        <v>7730</v>
      </c>
      <c r="C1830" s="4" t="s">
        <v>2469</v>
      </c>
      <c r="D1830" s="4" t="s">
        <v>2470</v>
      </c>
      <c r="E1830" s="2">
        <f>VALUE("2021")</f>
        <v>2021</v>
      </c>
      <c r="F1830" t="s">
        <v>1321</v>
      </c>
      <c r="G1830" s="8" t="s">
        <v>2471</v>
      </c>
    </row>
    <row r="1831" spans="1:7" x14ac:dyDescent="0.25">
      <c r="A1831" s="4" t="s">
        <v>1321</v>
      </c>
      <c r="B1831" s="2">
        <f>VALUE("7893")</f>
        <v>7893</v>
      </c>
      <c r="C1831" s="4" t="s">
        <v>2825</v>
      </c>
      <c r="D1831" s="4" t="s">
        <v>2826</v>
      </c>
      <c r="E1831" s="2">
        <f>VALUE("2018")</f>
        <v>2018</v>
      </c>
      <c r="F1831" t="s">
        <v>1321</v>
      </c>
    </row>
    <row r="1832" spans="1:7" x14ac:dyDescent="0.25">
      <c r="A1832" s="4" t="s">
        <v>1321</v>
      </c>
      <c r="B1832" s="2">
        <f>VALUE("7893")</f>
        <v>7893</v>
      </c>
      <c r="C1832" s="4" t="s">
        <v>2827</v>
      </c>
      <c r="D1832" s="4" t="s">
        <v>2826</v>
      </c>
      <c r="E1832" s="2">
        <f>VALUE("2018")</f>
        <v>2018</v>
      </c>
      <c r="F1832" t="s">
        <v>1321</v>
      </c>
    </row>
    <row r="1833" spans="1:7" x14ac:dyDescent="0.25">
      <c r="A1833" s="4" t="s">
        <v>1321</v>
      </c>
      <c r="B1833" s="2">
        <f>VALUE("8271")</f>
        <v>8271</v>
      </c>
      <c r="C1833" s="4" t="s">
        <v>3644</v>
      </c>
      <c r="D1833" s="4" t="s">
        <v>3645</v>
      </c>
      <c r="E1833" s="2">
        <f>VALUE("2019")</f>
        <v>2019</v>
      </c>
      <c r="F1833" t="s">
        <v>1321</v>
      </c>
    </row>
    <row r="1834" spans="1:7" x14ac:dyDescent="0.25">
      <c r="A1834" s="4" t="s">
        <v>1321</v>
      </c>
      <c r="B1834" s="2">
        <f>VALUE("8376")</f>
        <v>8376</v>
      </c>
      <c r="C1834" s="4" t="s">
        <v>3830</v>
      </c>
      <c r="D1834" s="4" t="s">
        <v>3831</v>
      </c>
      <c r="E1834" s="2">
        <f>VALUE("2019")</f>
        <v>2019</v>
      </c>
      <c r="F1834" t="s">
        <v>1321</v>
      </c>
      <c r="G1834" s="8" t="s">
        <v>3832</v>
      </c>
    </row>
    <row r="1835" spans="1:7" x14ac:dyDescent="0.25">
      <c r="A1835" s="4" t="s">
        <v>1321</v>
      </c>
      <c r="B1835" s="2">
        <f>VALUE("8663")</f>
        <v>8663</v>
      </c>
      <c r="C1835" s="4" t="s">
        <v>4479</v>
      </c>
      <c r="D1835" s="4" t="s">
        <v>4480</v>
      </c>
      <c r="E1835" s="2">
        <f>VALUE("2020")</f>
        <v>2020</v>
      </c>
      <c r="F1835" t="s">
        <v>1321</v>
      </c>
    </row>
    <row r="1836" spans="1:7" x14ac:dyDescent="0.25">
      <c r="A1836" s="4" t="s">
        <v>1321</v>
      </c>
      <c r="B1836" s="2">
        <f>VALUE("8663")</f>
        <v>8663</v>
      </c>
      <c r="C1836" s="4" t="s">
        <v>4478</v>
      </c>
      <c r="D1836" s="4" t="s">
        <v>293</v>
      </c>
      <c r="E1836" s="2">
        <f>VALUE("2020")</f>
        <v>2020</v>
      </c>
      <c r="F1836" t="s">
        <v>1321</v>
      </c>
    </row>
    <row r="1837" spans="1:7" x14ac:dyDescent="0.25">
      <c r="A1837" s="4" t="s">
        <v>3991</v>
      </c>
      <c r="B1837" s="2">
        <f t="shared" ref="B1837:B1848" si="42">VALUE("8475")</f>
        <v>8475</v>
      </c>
      <c r="C1837" s="4" t="s">
        <v>3995</v>
      </c>
      <c r="D1837" s="4" t="s">
        <v>3996</v>
      </c>
      <c r="E1837" s="2">
        <f>VALUE("2020")</f>
        <v>2020</v>
      </c>
      <c r="F1837" t="s">
        <v>3997</v>
      </c>
      <c r="G1837" s="8" t="s">
        <v>3998</v>
      </c>
    </row>
    <row r="1838" spans="1:7" x14ac:dyDescent="0.25">
      <c r="A1838" s="4" t="s">
        <v>3991</v>
      </c>
      <c r="B1838" s="2">
        <f t="shared" si="42"/>
        <v>8475</v>
      </c>
      <c r="C1838" s="4" t="s">
        <v>4015</v>
      </c>
      <c r="D1838" s="4" t="s">
        <v>4016</v>
      </c>
      <c r="E1838" s="2">
        <f>VALUE("2018")</f>
        <v>2018</v>
      </c>
      <c r="F1838" t="s">
        <v>3991</v>
      </c>
      <c r="G1838" s="8" t="s">
        <v>4017</v>
      </c>
    </row>
    <row r="1839" spans="1:7" x14ac:dyDescent="0.25">
      <c r="A1839" s="4" t="s">
        <v>3991</v>
      </c>
      <c r="B1839" s="2">
        <f t="shared" si="42"/>
        <v>8475</v>
      </c>
      <c r="C1839" s="4" t="s">
        <v>4021</v>
      </c>
      <c r="D1839" s="4" t="s">
        <v>4022</v>
      </c>
      <c r="E1839" s="2">
        <f>VALUE("2018")</f>
        <v>2018</v>
      </c>
      <c r="F1839" t="s">
        <v>3991</v>
      </c>
      <c r="G1839" s="8" t="s">
        <v>4020</v>
      </c>
    </row>
    <row r="1840" spans="1:7" x14ac:dyDescent="0.25">
      <c r="A1840" s="4" t="s">
        <v>3991</v>
      </c>
      <c r="B1840" s="2">
        <f t="shared" si="42"/>
        <v>8475</v>
      </c>
      <c r="C1840" s="4" t="s">
        <v>3988</v>
      </c>
      <c r="D1840" s="4" t="s">
        <v>3989</v>
      </c>
      <c r="E1840" s="2">
        <f>VALUE("2021")</f>
        <v>2021</v>
      </c>
      <c r="F1840" t="s">
        <v>3990</v>
      </c>
      <c r="G1840" s="8" t="s">
        <v>3992</v>
      </c>
    </row>
    <row r="1841" spans="1:7" x14ac:dyDescent="0.25">
      <c r="A1841" s="4" t="s">
        <v>3991</v>
      </c>
      <c r="B1841" s="2">
        <f t="shared" si="42"/>
        <v>8475</v>
      </c>
      <c r="C1841" s="4" t="s">
        <v>4011</v>
      </c>
      <c r="D1841" s="4" t="s">
        <v>4012</v>
      </c>
      <c r="E1841" s="2">
        <f>VALUE("2018")</f>
        <v>2018</v>
      </c>
      <c r="F1841" t="s">
        <v>4013</v>
      </c>
      <c r="G1841" s="8" t="s">
        <v>4014</v>
      </c>
    </row>
    <row r="1842" spans="1:7" x14ac:dyDescent="0.25">
      <c r="A1842" s="4" t="s">
        <v>3991</v>
      </c>
      <c r="B1842" s="2">
        <f t="shared" si="42"/>
        <v>8475</v>
      </c>
      <c r="C1842" s="4" t="s">
        <v>4007</v>
      </c>
      <c r="D1842" s="4" t="s">
        <v>4008</v>
      </c>
      <c r="E1842" s="2">
        <f>VALUE("2019")</f>
        <v>2019</v>
      </c>
      <c r="F1842" t="s">
        <v>4009</v>
      </c>
      <c r="G1842" s="8" t="s">
        <v>4010</v>
      </c>
    </row>
    <row r="1843" spans="1:7" x14ac:dyDescent="0.25">
      <c r="A1843" s="4" t="s">
        <v>3991</v>
      </c>
      <c r="B1843" s="2">
        <f t="shared" si="42"/>
        <v>8475</v>
      </c>
      <c r="C1843" s="4" t="s">
        <v>4025</v>
      </c>
      <c r="D1843" s="4" t="s">
        <v>4026</v>
      </c>
      <c r="E1843" s="2">
        <f>VALUE("2015")</f>
        <v>2015</v>
      </c>
      <c r="F1843" t="s">
        <v>3991</v>
      </c>
      <c r="G1843" s="8" t="s">
        <v>4020</v>
      </c>
    </row>
    <row r="1844" spans="1:7" x14ac:dyDescent="0.25">
      <c r="A1844" s="4" t="s">
        <v>3991</v>
      </c>
      <c r="B1844" s="2">
        <f t="shared" si="42"/>
        <v>8475</v>
      </c>
      <c r="C1844" s="4" t="s">
        <v>3993</v>
      </c>
      <c r="D1844" s="4" t="s">
        <v>293</v>
      </c>
      <c r="E1844" s="2">
        <f>VALUE("2020")</f>
        <v>2020</v>
      </c>
      <c r="F1844" t="s">
        <v>3991</v>
      </c>
      <c r="G1844" s="8" t="s">
        <v>3994</v>
      </c>
    </row>
    <row r="1845" spans="1:7" x14ac:dyDescent="0.25">
      <c r="A1845" s="4" t="s">
        <v>3991</v>
      </c>
      <c r="B1845" s="2">
        <f t="shared" si="42"/>
        <v>8475</v>
      </c>
      <c r="C1845" s="4" t="s">
        <v>4003</v>
      </c>
      <c r="D1845" s="4" t="s">
        <v>4004</v>
      </c>
      <c r="E1845" s="2">
        <f>VALUE("2020")</f>
        <v>2020</v>
      </c>
      <c r="F1845" t="s">
        <v>4005</v>
      </c>
      <c r="G1845" s="8" t="s">
        <v>4006</v>
      </c>
    </row>
    <row r="1846" spans="1:7" x14ac:dyDescent="0.25">
      <c r="A1846" s="4" t="s">
        <v>3991</v>
      </c>
      <c r="B1846" s="2">
        <f t="shared" si="42"/>
        <v>8475</v>
      </c>
      <c r="C1846" s="4" t="s">
        <v>3999</v>
      </c>
      <c r="D1846" s="4" t="s">
        <v>4000</v>
      </c>
      <c r="E1846" s="2">
        <f>VALUE("2019")</f>
        <v>2019</v>
      </c>
      <c r="F1846" t="s">
        <v>4001</v>
      </c>
      <c r="G1846" s="8" t="s">
        <v>4002</v>
      </c>
    </row>
    <row r="1847" spans="1:7" x14ac:dyDescent="0.25">
      <c r="A1847" s="4" t="s">
        <v>3991</v>
      </c>
      <c r="B1847" s="2">
        <f t="shared" si="42"/>
        <v>8475</v>
      </c>
      <c r="C1847" s="4" t="s">
        <v>4018</v>
      </c>
      <c r="D1847" s="4" t="s">
        <v>4019</v>
      </c>
      <c r="E1847" s="2">
        <f>VALUE("2018")</f>
        <v>2018</v>
      </c>
      <c r="F1847" t="s">
        <v>3991</v>
      </c>
      <c r="G1847" s="8" t="s">
        <v>4020</v>
      </c>
    </row>
    <row r="1848" spans="1:7" x14ac:dyDescent="0.25">
      <c r="A1848" s="4" t="s">
        <v>3991</v>
      </c>
      <c r="B1848" s="2">
        <f t="shared" si="42"/>
        <v>8475</v>
      </c>
      <c r="C1848" s="4" t="s">
        <v>4023</v>
      </c>
      <c r="D1848" s="4" t="s">
        <v>4024</v>
      </c>
      <c r="E1848" s="2">
        <f>VALUE("2016")</f>
        <v>2016</v>
      </c>
      <c r="F1848" t="s">
        <v>3991</v>
      </c>
      <c r="G1848" s="8" t="s">
        <v>4020</v>
      </c>
    </row>
    <row r="1849" spans="1:7" x14ac:dyDescent="0.25">
      <c r="A1849" s="4" t="s">
        <v>103</v>
      </c>
      <c r="B1849" s="2">
        <f>VALUE("1110")</f>
        <v>1110</v>
      </c>
      <c r="C1849" s="4" t="s">
        <v>100</v>
      </c>
      <c r="D1849" s="4" t="s">
        <v>101</v>
      </c>
      <c r="E1849" s="2">
        <f>VALUE("2014")</f>
        <v>2014</v>
      </c>
      <c r="F1849" t="s">
        <v>102</v>
      </c>
      <c r="G1849" s="8" t="s">
        <v>104</v>
      </c>
    </row>
    <row r="1850" spans="1:7" x14ac:dyDescent="0.25">
      <c r="A1850" s="4" t="s">
        <v>103</v>
      </c>
      <c r="B1850" s="2">
        <f>VALUE("7561")</f>
        <v>7561</v>
      </c>
      <c r="C1850" s="4" t="s">
        <v>1955</v>
      </c>
      <c r="D1850" s="4" t="s">
        <v>1956</v>
      </c>
      <c r="E1850" s="2">
        <f>VALUE("2014")</f>
        <v>2014</v>
      </c>
      <c r="F1850" t="s">
        <v>1957</v>
      </c>
    </row>
    <row r="1851" spans="1:7" x14ac:dyDescent="0.25">
      <c r="A1851" s="4" t="s">
        <v>16</v>
      </c>
      <c r="B1851" s="2">
        <f>VALUE("0434")</f>
        <v>434</v>
      </c>
      <c r="C1851" s="4" t="s">
        <v>13</v>
      </c>
      <c r="D1851" s="4" t="s">
        <v>14</v>
      </c>
      <c r="E1851" s="2">
        <f>VALUE("2006")</f>
        <v>2006</v>
      </c>
      <c r="F1851" t="s">
        <v>15</v>
      </c>
    </row>
    <row r="1852" spans="1:7" x14ac:dyDescent="0.25">
      <c r="A1852" s="4" t="s">
        <v>16</v>
      </c>
      <c r="B1852" s="2">
        <f>VALUE("0434")</f>
        <v>434</v>
      </c>
      <c r="C1852" s="4" t="s">
        <v>17</v>
      </c>
      <c r="D1852" s="4" t="s">
        <v>18</v>
      </c>
      <c r="E1852" s="2">
        <f>VALUE("2006")</f>
        <v>2006</v>
      </c>
      <c r="F1852" t="s">
        <v>15</v>
      </c>
    </row>
    <row r="1853" spans="1:7" x14ac:dyDescent="0.25">
      <c r="A1853" s="4" t="s">
        <v>16</v>
      </c>
      <c r="B1853" s="2">
        <f>VALUE("7562")</f>
        <v>7562</v>
      </c>
      <c r="C1853" s="4" t="s">
        <v>1958</v>
      </c>
      <c r="D1853" s="4" t="s">
        <v>1959</v>
      </c>
      <c r="E1853" s="2">
        <f>VALUE("2014")</f>
        <v>2014</v>
      </c>
      <c r="F1853" t="s">
        <v>1960</v>
      </c>
    </row>
    <row r="1854" spans="1:7" x14ac:dyDescent="0.25">
      <c r="A1854" s="4" t="s">
        <v>16</v>
      </c>
      <c r="B1854" s="2">
        <f>VALUE("7809")</f>
        <v>7809</v>
      </c>
      <c r="C1854" s="4" t="s">
        <v>2600</v>
      </c>
      <c r="D1854" s="4" t="s">
        <v>2601</v>
      </c>
      <c r="E1854" s="2">
        <f>VALUE("2015")</f>
        <v>2015</v>
      </c>
      <c r="F1854" t="s">
        <v>15</v>
      </c>
    </row>
    <row r="1855" spans="1:7" x14ac:dyDescent="0.25">
      <c r="A1855" s="4" t="s">
        <v>4605</v>
      </c>
      <c r="B1855" s="2">
        <f>VALUE("8723")</f>
        <v>8723</v>
      </c>
      <c r="C1855" s="4" t="s">
        <v>4604</v>
      </c>
      <c r="D1855" s="4" t="s">
        <v>293</v>
      </c>
      <c r="E1855" s="2">
        <f>VALUE("2021")</f>
        <v>2021</v>
      </c>
      <c r="F1855" t="s">
        <v>245</v>
      </c>
      <c r="G1855" s="8" t="s">
        <v>4606</v>
      </c>
    </row>
    <row r="1856" spans="1:7" x14ac:dyDescent="0.25">
      <c r="A1856" s="4" t="s">
        <v>4605</v>
      </c>
      <c r="B1856" s="2">
        <f>VALUE("9029")</f>
        <v>9029</v>
      </c>
      <c r="C1856" s="4" t="s">
        <v>4967</v>
      </c>
      <c r="D1856" s="4" t="s">
        <v>4968</v>
      </c>
      <c r="E1856" s="2">
        <f>VALUE("2022")</f>
        <v>2022</v>
      </c>
      <c r="F1856" t="s">
        <v>4605</v>
      </c>
      <c r="G1856" s="8" t="s">
        <v>4969</v>
      </c>
    </row>
  </sheetData>
  <sortState ref="A2:G1856">
    <sortCondition ref="A2:A1856"/>
    <sortCondition ref="B2:B1856"/>
    <sortCondition ref="C2:C1856"/>
    <sortCondition ref="D2:D1856"/>
    <sortCondition descending="1" ref="E2:E1856"/>
    <sortCondition ref="F2:F1856"/>
  </sortState>
  <hyperlinks>
    <hyperlink ref="G3" r:id="rId1"/>
    <hyperlink ref="G4" r:id="rId2"/>
    <hyperlink ref="G5" r:id="rId3"/>
    <hyperlink ref="G7" r:id="rId4"/>
    <hyperlink ref="G6" r:id="rId5"/>
    <hyperlink ref="G8" r:id="rId6"/>
    <hyperlink ref="G10" r:id="rId7"/>
    <hyperlink ref="G11" r:id="rId8"/>
    <hyperlink ref="G12" r:id="rId9"/>
    <hyperlink ref="G13" r:id="rId10"/>
    <hyperlink ref="G14" r:id="rId11"/>
    <hyperlink ref="G15" r:id="rId12"/>
    <hyperlink ref="G16" r:id="rId13"/>
    <hyperlink ref="G17" r:id="rId14"/>
    <hyperlink ref="G18" r:id="rId15"/>
    <hyperlink ref="G19" r:id="rId16"/>
    <hyperlink ref="G20" r:id="rId17"/>
    <hyperlink ref="G21" r:id="rId18"/>
    <hyperlink ref="G22" r:id="rId19"/>
    <hyperlink ref="G23" r:id="rId20"/>
    <hyperlink ref="G24" r:id="rId21"/>
    <hyperlink ref="G25" r:id="rId22"/>
    <hyperlink ref="G26" r:id="rId23"/>
    <hyperlink ref="G27" r:id="rId24"/>
    <hyperlink ref="G30" r:id="rId25"/>
    <hyperlink ref="G31" r:id="rId26"/>
    <hyperlink ref="G33" r:id="rId27"/>
    <hyperlink ref="G34" r:id="rId28"/>
    <hyperlink ref="G35" r:id="rId29"/>
    <hyperlink ref="G36" r:id="rId30"/>
    <hyperlink ref="G37" r:id="rId31"/>
    <hyperlink ref="G38" r:id="rId32"/>
    <hyperlink ref="G39" r:id="rId33"/>
    <hyperlink ref="G40" r:id="rId34"/>
    <hyperlink ref="G41" r:id="rId35"/>
    <hyperlink ref="G42" r:id="rId36"/>
    <hyperlink ref="G43" r:id="rId37"/>
    <hyperlink ref="G45" r:id="rId38"/>
    <hyperlink ref="G47" r:id="rId39"/>
    <hyperlink ref="G48" r:id="rId40"/>
    <hyperlink ref="G49" r:id="rId41"/>
    <hyperlink ref="G50" r:id="rId42"/>
    <hyperlink ref="G51" r:id="rId43"/>
    <hyperlink ref="G52" r:id="rId44"/>
    <hyperlink ref="G53" r:id="rId45"/>
    <hyperlink ref="G54" r:id="rId46"/>
    <hyperlink ref="G55" r:id="rId47"/>
    <hyperlink ref="G56" r:id="rId48"/>
    <hyperlink ref="G57" r:id="rId49"/>
    <hyperlink ref="G58" r:id="rId50"/>
    <hyperlink ref="G60" r:id="rId51"/>
    <hyperlink ref="G61" r:id="rId52"/>
    <hyperlink ref="G62" r:id="rId53"/>
    <hyperlink ref="G63" r:id="rId54"/>
    <hyperlink ref="G64" r:id="rId55"/>
    <hyperlink ref="G65" r:id="rId56"/>
    <hyperlink ref="G66" r:id="rId57"/>
    <hyperlink ref="G67" r:id="rId58"/>
    <hyperlink ref="G68" r:id="rId59"/>
    <hyperlink ref="G69" r:id="rId60"/>
    <hyperlink ref="G70" r:id="rId61"/>
    <hyperlink ref="G76" r:id="rId62"/>
    <hyperlink ref="G77" r:id="rId63"/>
    <hyperlink ref="G79" r:id="rId64"/>
    <hyperlink ref="G80" r:id="rId65"/>
    <hyperlink ref="G82" r:id="rId66"/>
    <hyperlink ref="G83" r:id="rId67"/>
    <hyperlink ref="G84" r:id="rId68"/>
    <hyperlink ref="G85" r:id="rId69"/>
    <hyperlink ref="G86" r:id="rId70"/>
    <hyperlink ref="G87" r:id="rId71"/>
    <hyperlink ref="G88" r:id="rId72"/>
    <hyperlink ref="G89" r:id="rId73"/>
    <hyperlink ref="G91" r:id="rId74"/>
    <hyperlink ref="G92" r:id="rId75"/>
    <hyperlink ref="G93" r:id="rId76"/>
    <hyperlink ref="G95" r:id="rId77"/>
    <hyperlink ref="G96" r:id="rId78"/>
    <hyperlink ref="G97" r:id="rId79"/>
    <hyperlink ref="G90" r:id="rId80"/>
    <hyperlink ref="G94" r:id="rId81"/>
    <hyperlink ref="G100" r:id="rId82"/>
    <hyperlink ref="G101" r:id="rId83"/>
    <hyperlink ref="G103" r:id="rId84"/>
    <hyperlink ref="G104" r:id="rId85"/>
    <hyperlink ref="G2" r:id="rId86"/>
    <hyperlink ref="G106" r:id="rId87"/>
    <hyperlink ref="G107" r:id="rId88"/>
    <hyperlink ref="G109" r:id="rId89"/>
    <hyperlink ref="G110" r:id="rId90"/>
    <hyperlink ref="G111" r:id="rId91"/>
    <hyperlink ref="G112" r:id="rId92"/>
    <hyperlink ref="G113" display="https://www.google.com/url?sa=t&amp;rct=j&amp;q=&amp;esrc=s&amp;source=web&amp;cd=&amp;ved=2ahUKEwitjayM-5_tAhWhsaQKHaDWBD0QFjAAegQIAxAC&amp;url=https%3A%2F%2Fwww.rijksoverheid.nl%2Fbinaries%2Frijksoverheid%2Fdocumenten%2Fpublicaties%2F2020%2F11%2F06%2Fbijlage-1-bij-kabinetsreactie-"/>
    <hyperlink ref="G114" r:id="rId93"/>
    <hyperlink ref="G115" r:id="rId94"/>
    <hyperlink ref="G116" r:id="rId95"/>
    <hyperlink ref="G117" r:id="rId96"/>
    <hyperlink ref="G118" r:id="rId97"/>
    <hyperlink ref="G122" r:id="rId98"/>
    <hyperlink ref="G123" r:id="rId99"/>
    <hyperlink ref="G124" r:id="rId100"/>
    <hyperlink ref="G125" r:id="rId101"/>
    <hyperlink ref="G127" r:id="rId102"/>
    <hyperlink ref="G128" r:id="rId103"/>
    <hyperlink ref="G129" r:id="rId104"/>
    <hyperlink ref="G130" r:id="rId105"/>
    <hyperlink ref="G131" r:id="rId106"/>
    <hyperlink ref="G133" r:id="rId107"/>
    <hyperlink ref="G134" r:id="rId108"/>
    <hyperlink ref="G136" r:id="rId109"/>
    <hyperlink ref="G138" r:id="rId110"/>
    <hyperlink ref="G139" r:id="rId111"/>
    <hyperlink ref="G141" r:id="rId112"/>
    <hyperlink ref="G142" r:id="rId113"/>
    <hyperlink ref="G145" r:id="rId114"/>
    <hyperlink ref="G146" r:id="rId115"/>
    <hyperlink ref="G147" r:id="rId116"/>
    <hyperlink ref="G149" r:id="rId117"/>
    <hyperlink ref="G150" r:id="rId118"/>
    <hyperlink ref="G151" r:id="rId119"/>
    <hyperlink ref="G152" r:id="rId120"/>
    <hyperlink ref="G153" r:id="rId121"/>
    <hyperlink ref="G154" r:id="rId122"/>
    <hyperlink ref="G155" r:id="rId123"/>
    <hyperlink ref="G156" r:id="rId124"/>
    <hyperlink ref="G157" r:id="rId125"/>
    <hyperlink ref="G158" r:id="rId126"/>
    <hyperlink ref="G159" r:id="rId127"/>
    <hyperlink ref="G160" r:id="rId128"/>
    <hyperlink ref="G161" r:id="rId129"/>
    <hyperlink ref="G162" r:id="rId130"/>
    <hyperlink ref="G163" r:id="rId131"/>
    <hyperlink ref="G164" r:id="rId132"/>
    <hyperlink ref="G165" r:id="rId133"/>
    <hyperlink ref="G166" r:id="rId134"/>
    <hyperlink ref="G167" r:id="rId135"/>
    <hyperlink ref="G170" r:id="rId136"/>
    <hyperlink ref="G171" r:id="rId137"/>
    <hyperlink ref="G175" r:id="rId138"/>
    <hyperlink ref="G176" r:id="rId139"/>
    <hyperlink ref="G182" r:id="rId140"/>
    <hyperlink ref="G183" r:id="rId141"/>
    <hyperlink ref="G184" r:id="rId142"/>
    <hyperlink ref="G185" r:id="rId143"/>
    <hyperlink ref="G186" r:id="rId144"/>
    <hyperlink ref="G187" r:id="rId145"/>
    <hyperlink ref="G188" r:id="rId146"/>
    <hyperlink ref="G189" r:id="rId147"/>
    <hyperlink ref="G190" r:id="rId148"/>
    <hyperlink ref="G191" r:id="rId149"/>
    <hyperlink ref="G192" r:id="rId150"/>
    <hyperlink ref="G193" r:id="rId151"/>
    <hyperlink ref="G194" r:id="rId152" location="Bijlage"/>
    <hyperlink ref="G195" r:id="rId153"/>
    <hyperlink ref="G196" r:id="rId154"/>
    <hyperlink ref="G197" r:id="rId155"/>
    <hyperlink ref="G198" r:id="rId156"/>
    <hyperlink ref="G200" r:id="rId157"/>
    <hyperlink ref="G201" r:id="rId158"/>
    <hyperlink ref="G204" r:id="rId159"/>
    <hyperlink ref="G205" r:id="rId160"/>
    <hyperlink ref="G206" r:id="rId161"/>
    <hyperlink ref="G207" r:id="rId162"/>
    <hyperlink ref="G208" r:id="rId163"/>
    <hyperlink ref="G217" r:id="rId164"/>
    <hyperlink ref="G218" r:id="rId165"/>
    <hyperlink ref="G220" r:id="rId166"/>
    <hyperlink ref="G221" r:id="rId167"/>
    <hyperlink ref="G223" r:id="rId168"/>
    <hyperlink ref="G227" r:id="rId169"/>
    <hyperlink ref="G229" r:id="rId170"/>
    <hyperlink ref="G230" r:id="rId171"/>
    <hyperlink ref="G235" r:id="rId172"/>
    <hyperlink ref="G237" r:id="rId173"/>
    <hyperlink ref="G238" r:id="rId174"/>
    <hyperlink ref="G240" r:id="rId175"/>
    <hyperlink ref="G242" r:id="rId176"/>
    <hyperlink ref="G243" r:id="rId177"/>
    <hyperlink ref="G245" r:id="rId178"/>
    <hyperlink ref="G247" r:id="rId179"/>
    <hyperlink ref="G254" r:id="rId180"/>
    <hyperlink ref="G255" r:id="rId181"/>
    <hyperlink ref="G256" r:id="rId182"/>
    <hyperlink ref="G258" r:id="rId183"/>
    <hyperlink ref="G259" r:id="rId184"/>
    <hyperlink ref="G260" r:id="rId185"/>
    <hyperlink ref="G262" r:id="rId186"/>
    <hyperlink ref="G264" r:id="rId187"/>
    <hyperlink ref="G265" r:id="rId188"/>
    <hyperlink ref="G266" r:id="rId189"/>
    <hyperlink ref="G267" r:id="rId190"/>
    <hyperlink ref="G268" r:id="rId191"/>
    <hyperlink ref="G269" r:id="rId192"/>
    <hyperlink ref="G270" r:id="rId193"/>
    <hyperlink ref="G271" r:id="rId194"/>
    <hyperlink ref="G272" r:id="rId195"/>
    <hyperlink ref="G273" r:id="rId196"/>
    <hyperlink ref="G275" r:id="rId197"/>
    <hyperlink ref="G277" r:id="rId198" location="docid-159508"/>
    <hyperlink ref="G279" r:id="rId199"/>
    <hyperlink ref="G281" r:id="rId200"/>
    <hyperlink ref="G288" r:id="rId201"/>
    <hyperlink ref="G289" r:id="rId202"/>
    <hyperlink ref="G290" r:id="rId203"/>
    <hyperlink ref="G291" r:id="rId204"/>
    <hyperlink ref="G292" r:id="rId205"/>
    <hyperlink ref="G280" r:id="rId206"/>
    <hyperlink ref="G293" r:id="rId207"/>
    <hyperlink ref="G294" r:id="rId208"/>
    <hyperlink ref="G295" r:id="rId209"/>
    <hyperlink ref="G296" r:id="rId210"/>
    <hyperlink ref="G297" r:id="rId211"/>
    <hyperlink ref="G298" r:id="rId212"/>
    <hyperlink ref="G299" r:id="rId213"/>
    <hyperlink ref="G300" r:id="rId214"/>
    <hyperlink ref="G301" r:id="rId215"/>
    <hyperlink ref="G303" r:id="rId216"/>
    <hyperlink ref="G304" r:id="rId217"/>
    <hyperlink ref="G305" r:id="rId218"/>
    <hyperlink ref="G308" r:id="rId219"/>
    <hyperlink ref="G309" r:id="rId220"/>
    <hyperlink ref="G310" r:id="rId221"/>
    <hyperlink ref="G311" r:id="rId222"/>
    <hyperlink ref="G312" r:id="rId223"/>
    <hyperlink ref="G313" r:id="rId224" location="docid-160222"/>
    <hyperlink ref="G314" r:id="rId225"/>
    <hyperlink ref="G316" r:id="rId226"/>
    <hyperlink ref="G318" r:id="rId227"/>
    <hyperlink ref="G319" r:id="rId228"/>
    <hyperlink ref="G320" r:id="rId229"/>
    <hyperlink ref="G321" r:id="rId230"/>
    <hyperlink ref="G322" r:id="rId231"/>
    <hyperlink ref="G324" r:id="rId232"/>
    <hyperlink ref="G328" r:id="rId233"/>
    <hyperlink ref="G329" r:id="rId234"/>
    <hyperlink ref="G330" r:id="rId235"/>
    <hyperlink ref="G331" r:id="rId236"/>
    <hyperlink ref="G332" r:id="rId237"/>
    <hyperlink ref="G333" r:id="rId238"/>
    <hyperlink ref="G334" r:id="rId239"/>
    <hyperlink ref="G335" r:id="rId240"/>
    <hyperlink ref="G336" r:id="rId241"/>
    <hyperlink ref="G338" r:id="rId242"/>
    <hyperlink ref="G339" r:id="rId243"/>
    <hyperlink ref="G340" r:id="rId244"/>
    <hyperlink ref="G341" r:id="rId245"/>
    <hyperlink ref="G342" r:id="rId246"/>
    <hyperlink ref="G345" r:id="rId247"/>
    <hyperlink ref="G347" r:id="rId248"/>
    <hyperlink ref="G348" r:id="rId249"/>
    <hyperlink ref="G349" r:id="rId250"/>
    <hyperlink ref="G352" r:id="rId251"/>
    <hyperlink ref="G353" r:id="rId252"/>
    <hyperlink ref="G354" r:id="rId253"/>
    <hyperlink ref="G355" r:id="rId254"/>
    <hyperlink ref="G356" r:id="rId255"/>
    <hyperlink ref="G357" r:id="rId256"/>
    <hyperlink ref="G358" r:id="rId257"/>
    <hyperlink ref="G359" r:id="rId258"/>
    <hyperlink ref="G360" r:id="rId259"/>
    <hyperlink ref="G361" r:id="rId260"/>
    <hyperlink ref="G363" r:id="rId261"/>
    <hyperlink ref="G364" r:id="rId262"/>
    <hyperlink ref="G365" r:id="rId263"/>
    <hyperlink ref="G366" r:id="rId264"/>
    <hyperlink ref="G367" r:id="rId265"/>
    <hyperlink ref="G371" r:id="rId266"/>
    <hyperlink ref="G374" r:id="rId267"/>
    <hyperlink ref="G375" r:id="rId268"/>
    <hyperlink ref="G376" r:id="rId269"/>
    <hyperlink ref="G377" r:id="rId270"/>
    <hyperlink ref="G378" r:id="rId271"/>
    <hyperlink ref="G379" r:id="rId272"/>
    <hyperlink ref="G380" r:id="rId273"/>
    <hyperlink ref="G381" r:id="rId274"/>
    <hyperlink ref="G382" r:id="rId275"/>
    <hyperlink ref="G383" r:id="rId276"/>
    <hyperlink ref="G385" r:id="rId277"/>
    <hyperlink ref="G386" r:id="rId278"/>
    <hyperlink ref="G387" r:id="rId279"/>
    <hyperlink ref="G388" r:id="rId280"/>
    <hyperlink ref="G389" r:id="rId281"/>
    <hyperlink ref="G390" r:id="rId282"/>
    <hyperlink ref="G391" r:id="rId283"/>
    <hyperlink ref="G394" r:id="rId284"/>
    <hyperlink ref="G395" r:id="rId285"/>
    <hyperlink ref="G396" r:id="rId286"/>
    <hyperlink ref="G397" r:id="rId287"/>
    <hyperlink ref="G400" r:id="rId288"/>
    <hyperlink ref="G401" r:id="rId289"/>
    <hyperlink ref="G403" r:id="rId290"/>
    <hyperlink ref="G402" r:id="rId291" display="\\cbsp.nl\HomeDirectory\Productie\PROS\Downloads\woononderzoek_midden-limburg_2018-2030_1-.pdf"/>
    <hyperlink ref="G415" r:id="rId292"/>
    <hyperlink ref="G416" r:id="rId293" location=":~:text=Supported%20housing%20eligibility%20reduces%20the,increases%20in%20the%20long-run"/>
    <hyperlink ref="G421" r:id="rId294"/>
    <hyperlink ref="G422" r:id="rId295"/>
    <hyperlink ref="G424" r:id="rId296"/>
    <hyperlink ref="G425" r:id="rId297"/>
    <hyperlink ref="G427" r:id="rId298"/>
    <hyperlink ref="G428" r:id="rId299"/>
    <hyperlink ref="G431" r:id="rId300"/>
    <hyperlink ref="G433" r:id="rId301"/>
    <hyperlink ref="G434" r:id="rId302"/>
    <hyperlink ref="G435" r:id="rId303"/>
    <hyperlink ref="G436" r:id="rId304"/>
    <hyperlink ref="G443" r:id="rId305"/>
    <hyperlink ref="G445" r:id="rId306"/>
    <hyperlink ref="G446" r:id="rId307"/>
    <hyperlink ref="G449" r:id="rId308"/>
    <hyperlink ref="G451" r:id="rId309"/>
    <hyperlink ref="G452" r:id="rId310"/>
    <hyperlink ref="G453" r:id="rId311"/>
    <hyperlink ref="G454" r:id="rId312"/>
    <hyperlink ref="G455" r:id="rId313"/>
    <hyperlink ref="G456" r:id="rId314"/>
    <hyperlink ref="G457" r:id="rId315"/>
    <hyperlink ref="G458" r:id="rId316"/>
    <hyperlink ref="G462" r:id="rId317"/>
    <hyperlink ref="G464" r:id="rId318"/>
    <hyperlink ref="G465" r:id="rId319"/>
    <hyperlink ref="G466" r:id="rId320"/>
    <hyperlink ref="G467" r:id="rId321"/>
    <hyperlink ref="G468" r:id="rId322"/>
    <hyperlink ref="G469" r:id="rId323" location="tab_50160"/>
    <hyperlink ref="G475" r:id="rId324"/>
    <hyperlink ref="G476" r:id="rId325"/>
    <hyperlink ref="G477" r:id="rId326"/>
    <hyperlink ref="G478" r:id="rId327"/>
    <hyperlink ref="G479" r:id="rId328"/>
    <hyperlink ref="G480" r:id="rId329"/>
    <hyperlink ref="G481" r:id="rId330"/>
    <hyperlink ref="G482" r:id="rId331"/>
    <hyperlink ref="G483" r:id="rId332"/>
    <hyperlink ref="G484" r:id="rId333"/>
    <hyperlink ref="G485" r:id="rId334"/>
    <hyperlink ref="G486" r:id="rId335"/>
    <hyperlink ref="G487" r:id="rId336"/>
    <hyperlink ref="G489" r:id="rId337"/>
    <hyperlink ref="G494" r:id="rId338"/>
    <hyperlink ref="G498" r:id="rId339"/>
    <hyperlink ref="G499" r:id="rId340"/>
    <hyperlink ref="G500" r:id="rId341"/>
    <hyperlink ref="G501" r:id="rId342"/>
    <hyperlink ref="G508" r:id="rId343"/>
    <hyperlink ref="G510" r:id="rId344"/>
    <hyperlink ref="G511" r:id="rId345"/>
    <hyperlink ref="G514" r:id="rId346"/>
    <hyperlink ref="G517" r:id="rId347"/>
    <hyperlink ref="G519" r:id="rId348"/>
    <hyperlink ref="G522" r:id="rId349"/>
    <hyperlink ref="G523" r:id="rId350"/>
    <hyperlink ref="G524" r:id="rId351"/>
    <hyperlink ref="G525" r:id="rId352"/>
    <hyperlink ref="G526" r:id="rId353"/>
    <hyperlink ref="G527" r:id="rId354"/>
    <hyperlink ref="G528" r:id="rId355"/>
    <hyperlink ref="G538" r:id="rId356"/>
    <hyperlink ref="G541" r:id="rId357"/>
    <hyperlink ref="G542" r:id="rId358"/>
    <hyperlink ref="G543" r:id="rId359"/>
    <hyperlink ref="G544" r:id="rId360"/>
    <hyperlink ref="G546" r:id="rId361"/>
    <hyperlink ref="G547" r:id="rId362"/>
    <hyperlink ref="G548" r:id="rId363"/>
    <hyperlink ref="G549" r:id="rId364"/>
    <hyperlink ref="G551" r:id="rId365"/>
    <hyperlink ref="G554" r:id="rId366"/>
    <hyperlink ref="G559" r:id="rId367"/>
    <hyperlink ref="G560" r:id="rId368"/>
    <hyperlink ref="G563" r:id="rId369"/>
    <hyperlink ref="G566" r:id="rId370"/>
    <hyperlink ref="G567" r:id="rId371"/>
    <hyperlink ref="G568" r:id="rId372"/>
    <hyperlink ref="G570" r:id="rId373"/>
    <hyperlink ref="G571" r:id="rId374"/>
    <hyperlink ref="G572" r:id="rId375"/>
    <hyperlink ref="G573" r:id="rId376"/>
    <hyperlink ref="G574" r:id="rId377"/>
    <hyperlink ref="G575" r:id="rId378"/>
    <hyperlink ref="G576" r:id="rId379"/>
    <hyperlink ref="G577" r:id="rId380"/>
    <hyperlink ref="G578" r:id="rId381"/>
    <hyperlink ref="G579" r:id="rId382"/>
    <hyperlink ref="G582" r:id="rId383"/>
    <hyperlink ref="G588" r:id="rId384"/>
    <hyperlink ref="G589" r:id="rId385"/>
    <hyperlink ref="G590" r:id="rId386"/>
    <hyperlink ref="G591" r:id="rId387"/>
    <hyperlink ref="G593" r:id="rId388"/>
    <hyperlink ref="G595" r:id="rId389"/>
    <hyperlink ref="G596" r:id="rId390"/>
    <hyperlink ref="G598" r:id="rId391"/>
    <hyperlink ref="G599" r:id="rId392"/>
    <hyperlink ref="G608" r:id="rId393"/>
    <hyperlink ref="G610" r:id="rId394"/>
    <hyperlink ref="G613" r:id="rId395"/>
    <hyperlink ref="G614" r:id="rId396"/>
    <hyperlink ref="G615" r:id="rId397"/>
    <hyperlink ref="G621" r:id="rId398"/>
    <hyperlink ref="G622" r:id="rId399"/>
    <hyperlink ref="G623" r:id="rId400"/>
    <hyperlink ref="G624" r:id="rId401"/>
    <hyperlink ref="G625" r:id="rId402"/>
    <hyperlink ref="G626" r:id="rId403"/>
    <hyperlink ref="G627" r:id="rId404"/>
    <hyperlink ref="G628" r:id="rId405"/>
    <hyperlink ref="G630" r:id="rId406"/>
    <hyperlink ref="G631" r:id="rId407"/>
    <hyperlink ref="G632" r:id="rId408"/>
    <hyperlink ref="G633" r:id="rId409"/>
    <hyperlink ref="G634" r:id="rId410"/>
    <hyperlink ref="G635" r:id="rId411"/>
    <hyperlink ref="G636" r:id="rId412"/>
    <hyperlink ref="G642" r:id="rId413"/>
    <hyperlink ref="G643" r:id="rId414"/>
    <hyperlink ref="G644" r:id="rId415"/>
    <hyperlink ref="G645" r:id="rId416"/>
    <hyperlink ref="G648" r:id="rId417"/>
    <hyperlink ref="G652" r:id="rId418"/>
    <hyperlink ref="G653" r:id="rId419"/>
    <hyperlink ref="G654" r:id="rId420"/>
    <hyperlink ref="G659" r:id="rId421"/>
    <hyperlink ref="G660" r:id="rId422"/>
    <hyperlink ref="G661" r:id="rId423"/>
    <hyperlink ref="G662" r:id="rId424"/>
    <hyperlink ref="G663" r:id="rId425"/>
    <hyperlink ref="G664" r:id="rId426"/>
    <hyperlink ref="G665" r:id="rId427"/>
    <hyperlink ref="G666" r:id="rId428"/>
    <hyperlink ref="G667" r:id="rId429"/>
    <hyperlink ref="G668" r:id="rId430"/>
    <hyperlink ref="G669" r:id="rId431"/>
    <hyperlink ref="G670" r:id="rId432"/>
    <hyperlink ref="G671" r:id="rId433"/>
    <hyperlink ref="G680" r:id="rId434"/>
    <hyperlink ref="G681" r:id="rId435"/>
    <hyperlink ref="G682" r:id="rId436"/>
    <hyperlink ref="G689" r:id="rId437"/>
    <hyperlink ref="G690" r:id="rId438"/>
    <hyperlink ref="G693" r:id="rId439"/>
    <hyperlink ref="G697" r:id="rId440"/>
    <hyperlink ref="G699" r:id="rId441"/>
    <hyperlink ref="G706" r:id="rId442"/>
    <hyperlink ref="G707" r:id="rId443"/>
    <hyperlink ref="G708" r:id="rId444"/>
    <hyperlink ref="G710" r:id="rId445"/>
    <hyperlink ref="G712" r:id="rId446"/>
    <hyperlink ref="G714" r:id="rId447"/>
    <hyperlink ref="G716" r:id="rId448"/>
    <hyperlink ref="G717" r:id="rId449"/>
    <hyperlink ref="G720" r:id="rId450"/>
    <hyperlink ref="G721" r:id="rId451"/>
    <hyperlink ref="G722" r:id="rId452"/>
    <hyperlink ref="G723" r:id="rId453"/>
    <hyperlink ref="G724" r:id="rId454"/>
    <hyperlink ref="G725" r:id="rId455"/>
    <hyperlink ref="G726" r:id="rId456"/>
    <hyperlink ref="G727" r:id="rId457"/>
    <hyperlink ref="G728" r:id="rId458"/>
    <hyperlink ref="G729" r:id="rId459"/>
    <hyperlink ref="G730" r:id="rId460"/>
    <hyperlink ref="G731" r:id="rId461"/>
    <hyperlink ref="G732" r:id="rId462"/>
    <hyperlink ref="G733" r:id="rId463"/>
    <hyperlink ref="G734" r:id="rId464"/>
    <hyperlink ref="G735" r:id="rId465"/>
    <hyperlink ref="G736" r:id="rId466"/>
    <hyperlink ref="G737" r:id="rId467"/>
    <hyperlink ref="G741" r:id="rId468"/>
    <hyperlink ref="G742" r:id="rId469"/>
    <hyperlink ref="G746" r:id="rId470"/>
    <hyperlink ref="G752" r:id="rId471"/>
    <hyperlink ref="G753" r:id="rId472"/>
    <hyperlink ref="G754" r:id="rId473"/>
    <hyperlink ref="G755" r:id="rId474"/>
    <hyperlink ref="G756" r:id="rId475"/>
    <hyperlink ref="G757" r:id="rId476"/>
    <hyperlink ref="G758" r:id="rId477"/>
    <hyperlink ref="G759" r:id="rId478"/>
    <hyperlink ref="G760" r:id="rId479"/>
    <hyperlink ref="G761" r:id="rId480"/>
    <hyperlink ref="G762" r:id="rId481"/>
    <hyperlink ref="G763" r:id="rId482"/>
    <hyperlink ref="G764" r:id="rId483"/>
    <hyperlink ref="G766" r:id="rId484"/>
    <hyperlink ref="G770" r:id="rId485"/>
    <hyperlink ref="G771" r:id="rId486"/>
    <hyperlink ref="G773" r:id="rId487"/>
    <hyperlink ref="G774" r:id="rId488"/>
    <hyperlink ref="G776" r:id="rId489"/>
    <hyperlink ref="G777" r:id="rId490"/>
    <hyperlink ref="G778" r:id="rId491"/>
    <hyperlink ref="G780" r:id="rId492"/>
    <hyperlink ref="G784" r:id="rId493"/>
    <hyperlink ref="G785" r:id="rId494"/>
    <hyperlink ref="G786" r:id="rId495"/>
    <hyperlink ref="G787" r:id="rId496"/>
    <hyperlink ref="G788" r:id="rId497"/>
    <hyperlink ref="G789" display="https://www.google.nl/url?sa=t&amp;rct=j&amp;q=&amp;esrc=s&amp;source=web&amp;cd=4&amp;ved=0ahUKEwiT05LYxpDWAhXKLMAKHY30DksQFgg-MAM&amp;url=https%3A%2F%2Fwww.rijksoverheid.nl%2Fbinaries%2Frijksoverheid%2Fdocumenten%2Frapporten%2F2016%2F02%2F12%2Fbedrijfsfinanciering-tijdens-en-na-de"/>
    <hyperlink ref="G790" r:id="rId498"/>
    <hyperlink ref="G791" r:id="rId499"/>
    <hyperlink ref="G792" r:id="rId500"/>
    <hyperlink ref="G793" r:id="rId501"/>
    <hyperlink ref="G794" r:id="rId502"/>
    <hyperlink ref="G795" r:id="rId503"/>
    <hyperlink ref="G799" r:id="rId504"/>
    <hyperlink ref="G800" r:id="rId505"/>
    <hyperlink ref="G801" r:id="rId506"/>
    <hyperlink ref="G802" r:id="rId507"/>
    <hyperlink ref="G803" r:id="rId508"/>
    <hyperlink ref="G805" r:id="rId509"/>
    <hyperlink ref="G806" r:id="rId510"/>
    <hyperlink ref="G808" r:id="rId511"/>
    <hyperlink ref="G809" r:id="rId512"/>
    <hyperlink ref="G810" r:id="rId513"/>
    <hyperlink ref="G811" r:id="rId514"/>
    <hyperlink ref="G812" r:id="rId515"/>
    <hyperlink ref="G813" r:id="rId516"/>
    <hyperlink ref="G814" r:id="rId517"/>
    <hyperlink ref="G816" r:id="rId518"/>
    <hyperlink ref="G817" r:id="rId519"/>
    <hyperlink ref="G818" r:id="rId520"/>
    <hyperlink ref="G819" r:id="rId521"/>
    <hyperlink ref="G820" r:id="rId522"/>
    <hyperlink ref="G823" r:id="rId523"/>
    <hyperlink ref="G831" r:id="rId524"/>
    <hyperlink ref="G832" r:id="rId525"/>
    <hyperlink ref="G833" r:id="rId526"/>
    <hyperlink ref="G835" r:id="rId527"/>
    <hyperlink ref="G836" r:id="rId528"/>
    <hyperlink ref="G837" r:id="rId529"/>
    <hyperlink ref="G838" r:id="rId530"/>
    <hyperlink ref="G839" r:id="rId531"/>
    <hyperlink ref="G840" r:id="rId532"/>
    <hyperlink ref="G841" r:id="rId533"/>
    <hyperlink ref="G842" r:id="rId534"/>
    <hyperlink ref="G844" r:id="rId535"/>
    <hyperlink ref="G834" r:id="rId536" display="https://academic.oup.com/joeg/article-abstract/15/4/723/2412444?redirectedFrom=fulltext"/>
    <hyperlink ref="G843" r:id="rId537"/>
    <hyperlink ref="G846" r:id="rId538"/>
    <hyperlink ref="G850" r:id="rId539"/>
    <hyperlink ref="G851" r:id="rId540"/>
    <hyperlink ref="G854" r:id="rId541"/>
    <hyperlink ref="G855" r:id="rId542"/>
    <hyperlink ref="G857" r:id="rId543"/>
    <hyperlink ref="G858" r:id="rId544"/>
    <hyperlink ref="G859" r:id="rId545"/>
    <hyperlink ref="G861" r:id="rId546"/>
    <hyperlink ref="G863" r:id="rId547"/>
    <hyperlink ref="G864" r:id="rId548"/>
    <hyperlink ref="G865" r:id="rId549"/>
    <hyperlink ref="G867" r:id="rId550"/>
    <hyperlink ref="G868" r:id="rId551"/>
    <hyperlink ref="G870" r:id="rId552"/>
    <hyperlink ref="G871" display="https://www.rijksoverheid.nl/binaries/rijksoverheid/documenten/publicaties/2021/11/17/onderzoek-pilots-programma-verdere-integratie-op-de-arbeidsmarkt-via/Onderzoeksrapport+Onderzoek+naar+de+effecten+en+succesfactoren+van+Project+JA+voor+uitkeringsgerecht"/>
    <hyperlink ref="G876" r:id="rId553"/>
    <hyperlink ref="G877" r:id="rId554"/>
    <hyperlink ref="G878" r:id="rId555"/>
    <hyperlink ref="G879" r:id="rId556"/>
    <hyperlink ref="G880" r:id="rId557"/>
    <hyperlink ref="G881" r:id="rId558"/>
    <hyperlink ref="G882" r:id="rId559"/>
    <hyperlink ref="G883" r:id="rId560"/>
    <hyperlink ref="G885" r:id="rId561"/>
    <hyperlink ref="G887" r:id="rId562"/>
    <hyperlink ref="G893" r:id="rId563"/>
    <hyperlink ref="G897" r:id="rId564"/>
    <hyperlink ref="G899" r:id="rId565"/>
    <hyperlink ref="G900" r:id="rId566"/>
    <hyperlink ref="G901" r:id="rId567"/>
    <hyperlink ref="G902" r:id="rId568"/>
    <hyperlink ref="G903" r:id="rId569"/>
    <hyperlink ref="G904" r:id="rId570"/>
    <hyperlink ref="G905" r:id="rId571"/>
    <hyperlink ref="G906" r:id="rId572"/>
    <hyperlink ref="G907" r:id="rId573"/>
    <hyperlink ref="G908" r:id="rId574"/>
    <hyperlink ref="G909" r:id="rId575"/>
    <hyperlink ref="G910" r:id="rId576"/>
    <hyperlink ref="G911" r:id="rId577"/>
    <hyperlink ref="G884" r:id="rId578"/>
    <hyperlink ref="G919" r:id="rId579"/>
    <hyperlink ref="G921" r:id="rId580"/>
    <hyperlink ref="G922" r:id="rId581"/>
    <hyperlink ref="G926" r:id="rId582"/>
    <hyperlink ref="G929" r:id="rId583"/>
    <hyperlink ref="G934" r:id="rId584"/>
    <hyperlink ref="G935" r:id="rId585"/>
    <hyperlink ref="G936" r:id="rId586"/>
    <hyperlink ref="G943" r:id="rId587"/>
    <hyperlink ref="G947" r:id="rId588"/>
    <hyperlink ref="G949" r:id="rId589"/>
    <hyperlink ref="G950" r:id="rId590"/>
    <hyperlink ref="G951" r:id="rId591"/>
    <hyperlink ref="G952" r:id="rId592"/>
    <hyperlink ref="G953" r:id="rId593"/>
    <hyperlink ref="G958" r:id="rId594"/>
    <hyperlink ref="G960" r:id="rId595"/>
    <hyperlink ref="G961" r:id="rId596"/>
    <hyperlink ref="G962" r:id="rId597"/>
    <hyperlink ref="G964" r:id="rId598"/>
    <hyperlink ref="G967" r:id="rId599"/>
    <hyperlink ref="G968" r:id="rId600"/>
    <hyperlink ref="G970" r:id="rId601"/>
    <hyperlink ref="G972" r:id="rId602"/>
    <hyperlink ref="G973" r:id="rId603"/>
    <hyperlink ref="G974" r:id="rId604"/>
    <hyperlink ref="G975" r:id="rId605"/>
    <hyperlink ref="G977" r:id="rId606"/>
    <hyperlink ref="G978" r:id="rId607"/>
    <hyperlink ref="G980" r:id="rId608"/>
    <hyperlink ref="G985" r:id="rId609"/>
    <hyperlink ref="G989" r:id="rId610"/>
    <hyperlink ref="G990" r:id="rId611"/>
    <hyperlink ref="G991" r:id="rId612"/>
    <hyperlink ref="G992" r:id="rId613"/>
    <hyperlink ref="G994" r:id="rId614"/>
    <hyperlink ref="G995" r:id="rId615"/>
    <hyperlink ref="G996" r:id="rId616"/>
    <hyperlink ref="G997" r:id="rId617"/>
    <hyperlink ref="G998" r:id="rId618"/>
    <hyperlink ref="G999" r:id="rId619"/>
    <hyperlink ref="G1000" r:id="rId620"/>
    <hyperlink ref="G1001" r:id="rId621"/>
    <hyperlink ref="G1002" r:id="rId622"/>
    <hyperlink ref="G1003" r:id="rId623"/>
    <hyperlink ref="G1004" r:id="rId624"/>
    <hyperlink ref="G1005" r:id="rId625"/>
    <hyperlink ref="G1006" r:id="rId626"/>
    <hyperlink ref="G1012" r:id="rId627"/>
    <hyperlink ref="G1016" r:id="rId628"/>
    <hyperlink ref="G1017" r:id="rId629"/>
    <hyperlink ref="G1023" r:id="rId630"/>
    <hyperlink ref="G1027" r:id="rId631"/>
    <hyperlink ref="G1028" r:id="rId632"/>
    <hyperlink ref="G1031" r:id="rId633"/>
    <hyperlink ref="G1033" r:id="rId634"/>
    <hyperlink ref="G1036" r:id="rId635"/>
    <hyperlink ref="G1038" r:id="rId636"/>
    <hyperlink ref="G1041" r:id="rId637"/>
    <hyperlink ref="G1042" r:id="rId638"/>
    <hyperlink ref="G1043" r:id="rId639"/>
    <hyperlink ref="G1044" r:id="rId640"/>
    <hyperlink ref="G1045" r:id="rId641"/>
    <hyperlink ref="G1046" r:id="rId642"/>
    <hyperlink ref="G1047" r:id="rId643"/>
    <hyperlink ref="G1058" r:id="rId644"/>
    <hyperlink ref="G1061" r:id="rId645"/>
    <hyperlink ref="G1063" r:id="rId646"/>
    <hyperlink ref="G1066" r:id="rId647"/>
    <hyperlink ref="G1067" r:id="rId648"/>
    <hyperlink ref="G1070" r:id="rId649"/>
    <hyperlink ref="G1072" r:id="rId650"/>
    <hyperlink ref="G1073" r:id="rId651"/>
    <hyperlink ref="G1074" r:id="rId652"/>
    <hyperlink ref="G1077" r:id="rId653"/>
    <hyperlink ref="G1078" r:id="rId654"/>
    <hyperlink ref="G1081" r:id="rId655"/>
    <hyperlink ref="G1087" r:id="rId656"/>
    <hyperlink ref="G1088" r:id="rId657"/>
    <hyperlink ref="G1089" r:id="rId658"/>
    <hyperlink ref="G1090" r:id="rId659"/>
    <hyperlink ref="G1091" r:id="rId660"/>
    <hyperlink ref="G1092" r:id="rId661"/>
    <hyperlink ref="G1093" r:id="rId662"/>
    <hyperlink ref="G1097" r:id="rId663"/>
    <hyperlink ref="G1098" r:id="rId664"/>
    <hyperlink ref="G1099" r:id="rId665"/>
    <hyperlink ref="G1100" r:id="rId666"/>
    <hyperlink ref="G1103" r:id="rId667"/>
    <hyperlink ref="G1108" r:id="rId668"/>
    <hyperlink ref="G1112" r:id="rId669"/>
    <hyperlink ref="G1113" r:id="rId670"/>
    <hyperlink ref="G1123" r:id="rId671"/>
    <hyperlink ref="G1128" r:id="rId672"/>
    <hyperlink ref="G1129" r:id="rId673"/>
    <hyperlink ref="G1137" r:id="rId674"/>
    <hyperlink ref="G1138" r:id="rId675"/>
    <hyperlink ref="G1147" r:id="rId676"/>
    <hyperlink ref="G1148" r:id="rId677"/>
    <hyperlink ref="G1149" r:id="rId678"/>
    <hyperlink ref="G1158" r:id="rId679"/>
    <hyperlink ref="G1159" r:id="rId680"/>
    <hyperlink ref="G1160" r:id="rId681"/>
    <hyperlink ref="G1161" r:id="rId682"/>
    <hyperlink ref="G1162" r:id="rId683"/>
    <hyperlink ref="G1165" r:id="rId684"/>
    <hyperlink ref="G1166" r:id="rId685"/>
    <hyperlink ref="G1167" r:id="rId686"/>
    <hyperlink ref="G1168" r:id="rId687"/>
    <hyperlink ref="G1169" r:id="rId688"/>
    <hyperlink ref="G1171" r:id="rId689"/>
    <hyperlink ref="G1172" r:id="rId690"/>
    <hyperlink ref="G1173" r:id="rId691"/>
    <hyperlink ref="G1174" r:id="rId692"/>
    <hyperlink ref="G1175" r:id="rId693"/>
    <hyperlink ref="G1177" r:id="rId694"/>
    <hyperlink ref="G1179" r:id="rId695"/>
    <hyperlink ref="G1180" r:id="rId696"/>
    <hyperlink ref="G1181" r:id="rId697"/>
    <hyperlink ref="G1185" r:id="rId698"/>
    <hyperlink ref="G1190" r:id="rId699"/>
    <hyperlink ref="G1191" r:id="rId700"/>
    <hyperlink ref="G1192" r:id="rId701"/>
    <hyperlink ref="G1193" r:id="rId702"/>
    <hyperlink ref="G1197" r:id="rId703"/>
    <hyperlink ref="G1199" r:id="rId704"/>
    <hyperlink ref="G1200" r:id="rId705"/>
    <hyperlink ref="G1201" r:id="rId706"/>
    <hyperlink ref="G1202" r:id="rId707"/>
    <hyperlink ref="G1203" r:id="rId708"/>
    <hyperlink ref="G1204" r:id="rId709"/>
    <hyperlink ref="G1206" r:id="rId710"/>
    <hyperlink ref="G1207" r:id="rId711"/>
    <hyperlink ref="G1209" r:id="rId712"/>
    <hyperlink ref="G1210" r:id="rId713"/>
    <hyperlink ref="G1211" r:id="rId714"/>
    <hyperlink ref="G1212" r:id="rId715"/>
    <hyperlink ref="G1213" r:id="rId716"/>
    <hyperlink ref="G1214" r:id="rId717"/>
    <hyperlink ref="G1215" r:id="rId718"/>
    <hyperlink ref="G1216" r:id="rId719"/>
    <hyperlink ref="G1217" r:id="rId720"/>
    <hyperlink ref="G1218" r:id="rId721"/>
    <hyperlink ref="G1219" r:id="rId722"/>
    <hyperlink ref="G1220" r:id="rId723"/>
    <hyperlink ref="G1221" r:id="rId724"/>
    <hyperlink ref="G1222" r:id="rId725"/>
    <hyperlink ref="G1223" r:id="rId726"/>
    <hyperlink ref="G1230" r:id="rId727"/>
    <hyperlink ref="G1232" r:id="rId728"/>
    <hyperlink ref="G1233" r:id="rId729"/>
    <hyperlink ref="G1234" r:id="rId730"/>
    <hyperlink ref="G1236" r:id="rId731"/>
    <hyperlink ref="G1237" r:id="rId732"/>
    <hyperlink ref="G1238" r:id="rId733"/>
    <hyperlink ref="G1239" r:id="rId734"/>
    <hyperlink ref="G1240" r:id="rId735"/>
    <hyperlink ref="G1241" r:id="rId736"/>
    <hyperlink ref="G1242" r:id="rId737"/>
    <hyperlink ref="G1243" r:id="rId738"/>
    <hyperlink ref="G1244" r:id="rId739"/>
    <hyperlink ref="G1246" r:id="rId740"/>
    <hyperlink ref="G1247" r:id="rId741"/>
    <hyperlink ref="G1248" r:id="rId742"/>
    <hyperlink ref="G1249" r:id="rId743"/>
    <hyperlink ref="G1250" r:id="rId744"/>
    <hyperlink ref="G1251" r:id="rId745"/>
    <hyperlink ref="G1252" r:id="rId746"/>
    <hyperlink ref="G1253" r:id="rId747"/>
    <hyperlink ref="G1254" r:id="rId748"/>
    <hyperlink ref="G1255" r:id="rId749"/>
    <hyperlink ref="G1257" r:id="rId750"/>
    <hyperlink ref="G1259" r:id="rId751"/>
    <hyperlink ref="G1260" r:id="rId752"/>
    <hyperlink ref="G1261" r:id="rId753"/>
    <hyperlink ref="G1262" r:id="rId754"/>
    <hyperlink ref="G1265" r:id="rId755"/>
    <hyperlink ref="G1270" r:id="rId756"/>
    <hyperlink ref="G1271" r:id="rId757"/>
    <hyperlink ref="G1273" r:id="rId758"/>
    <hyperlink ref="G1274" r:id="rId759"/>
    <hyperlink ref="G1275" r:id="rId760"/>
    <hyperlink ref="G1276" r:id="rId761"/>
    <hyperlink ref="G1277" r:id="rId762"/>
    <hyperlink ref="G1279" r:id="rId763"/>
    <hyperlink ref="G1282" r:id="rId764"/>
    <hyperlink ref="G1287" r:id="rId765"/>
    <hyperlink ref="G1294" r:id="rId766"/>
    <hyperlink ref="G1295" r:id="rId767"/>
    <hyperlink ref="G1296" r:id="rId768"/>
    <hyperlink ref="G1297" r:id="rId769"/>
    <hyperlink ref="G1300" r:id="rId770"/>
    <hyperlink ref="G1301" r:id="rId771"/>
    <hyperlink ref="G1302" r:id="rId772"/>
    <hyperlink ref="G1303" r:id="rId773"/>
    <hyperlink ref="G1304" r:id="rId774"/>
    <hyperlink ref="G1305" r:id="rId775"/>
    <hyperlink ref="G1306" r:id="rId776"/>
    <hyperlink ref="G1307" r:id="rId777"/>
    <hyperlink ref="G1308" r:id="rId778"/>
    <hyperlink ref="G1309" r:id="rId779"/>
    <hyperlink ref="G1310" r:id="rId780"/>
    <hyperlink ref="G1311" r:id="rId781"/>
    <hyperlink ref="G1313" r:id="rId782"/>
    <hyperlink ref="G1317" r:id="rId783"/>
    <hyperlink ref="G1318" r:id="rId784"/>
    <hyperlink ref="G1319" r:id="rId785"/>
    <hyperlink ref="G1320" r:id="rId786"/>
    <hyperlink ref="G1321" r:id="rId787"/>
    <hyperlink ref="G1322" r:id="rId788"/>
    <hyperlink ref="G1323" r:id="rId789"/>
    <hyperlink ref="G1324" r:id="rId790"/>
    <hyperlink ref="G1325" r:id="rId791"/>
    <hyperlink ref="G1326" r:id="rId792"/>
    <hyperlink ref="G1327" r:id="rId793"/>
    <hyperlink ref="G1328" r:id="rId794"/>
    <hyperlink ref="G1330" r:id="rId795"/>
    <hyperlink ref="G1331" r:id="rId796"/>
    <hyperlink ref="G1332" r:id="rId797"/>
    <hyperlink ref="G1340" r:id="rId798"/>
    <hyperlink ref="G1343" r:id="rId799"/>
    <hyperlink ref="G1344" r:id="rId800"/>
    <hyperlink ref="G1345" r:id="rId801"/>
    <hyperlink ref="G1346" r:id="rId802"/>
    <hyperlink ref="G1348" r:id="rId803"/>
    <hyperlink ref="G1349" r:id="rId804"/>
    <hyperlink ref="G1351" r:id="rId805"/>
    <hyperlink ref="G1352" r:id="rId806"/>
    <hyperlink ref="G1354" r:id="rId807"/>
    <hyperlink ref="G1355" r:id="rId808"/>
    <hyperlink ref="G1356" r:id="rId809"/>
    <hyperlink ref="G1357" r:id="rId810"/>
    <hyperlink ref="G1359" r:id="rId811"/>
    <hyperlink ref="G1360" r:id="rId812"/>
    <hyperlink ref="G1361" r:id="rId813"/>
    <hyperlink ref="G1364" r:id="rId814"/>
    <hyperlink ref="G1365" r:id="rId815"/>
    <hyperlink ref="G1368" r:id="rId816"/>
    <hyperlink ref="G1370" r:id="rId817"/>
    <hyperlink ref="G1373" r:id="rId818"/>
    <hyperlink ref="G1374" r:id="rId819"/>
    <hyperlink ref="G1375" r:id="rId820"/>
    <hyperlink ref="G1376" r:id="rId821"/>
    <hyperlink ref="G1378" r:id="rId822"/>
    <hyperlink ref="G1379" r:id="rId823"/>
    <hyperlink ref="G1380" r:id="rId824" location=":~:text=The%20Incidence%20Rate%20Ratios%20(IRRs,after%2010%20or%20more%20years."/>
    <hyperlink ref="G1381" r:id="rId825"/>
    <hyperlink ref="G1391" r:id="rId826"/>
    <hyperlink ref="G1392" r:id="rId827"/>
    <hyperlink ref="G1393" r:id="rId828"/>
    <hyperlink ref="G1395" r:id="rId829"/>
    <hyperlink ref="G1396" r:id="rId830"/>
    <hyperlink ref="G1397" r:id="rId831"/>
    <hyperlink ref="G1398" r:id="rId832"/>
    <hyperlink ref="G1404" r:id="rId833"/>
    <hyperlink ref="G1406" r:id="rId834"/>
    <hyperlink ref="G1407" r:id="rId835"/>
    <hyperlink ref="G1408" r:id="rId836"/>
    <hyperlink ref="G1409" r:id="rId837"/>
    <hyperlink ref="G1418" r:id="rId838"/>
    <hyperlink ref="G1419" r:id="rId839"/>
    <hyperlink ref="G1420" r:id="rId840"/>
    <hyperlink ref="G1429" r:id="rId841"/>
    <hyperlink ref="G1432" r:id="rId842"/>
    <hyperlink ref="G1435" r:id="rId843"/>
    <hyperlink ref="G1437" r:id="rId844"/>
    <hyperlink ref="G1441" r:id="rId845"/>
    <hyperlink ref="G1442" r:id="rId846"/>
    <hyperlink ref="G1443" r:id="rId847"/>
    <hyperlink ref="G1444" r:id="rId848"/>
    <hyperlink ref="G1445" r:id="rId849" location="affiliation-5"/>
    <hyperlink ref="G1446" r:id="rId850" location="affiliation-5"/>
    <hyperlink ref="G1447" r:id="rId851"/>
    <hyperlink ref="G1448" r:id="rId852"/>
    <hyperlink ref="G1449" r:id="rId853"/>
    <hyperlink ref="G1450" r:id="rId854"/>
    <hyperlink ref="G1451" r:id="rId855"/>
    <hyperlink ref="G1452" r:id="rId856"/>
    <hyperlink ref="G1453" r:id="rId857"/>
    <hyperlink ref="G1455" r:id="rId858" display="https://pubmed.ncbi.nlm.nih.gov/27878703/"/>
    <hyperlink ref="G1462" r:id="rId859"/>
    <hyperlink ref="G1481" r:id="rId860"/>
    <hyperlink ref="G1484" r:id="rId861"/>
    <hyperlink ref="G1486" r:id="rId862"/>
    <hyperlink ref="G1502" r:id="rId863"/>
    <hyperlink ref="G1504" r:id="rId864"/>
    <hyperlink ref="G1510" r:id="rId865"/>
    <hyperlink ref="G1511" r:id="rId866"/>
    <hyperlink ref="G1512" r:id="rId867"/>
    <hyperlink ref="G1513" r:id="rId868"/>
    <hyperlink ref="G1514" r:id="rId869"/>
    <hyperlink ref="G1515" r:id="rId870"/>
    <hyperlink ref="G1516" r:id="rId871"/>
    <hyperlink ref="G1517" r:id="rId872"/>
    <hyperlink ref="G1518" r:id="rId873"/>
    <hyperlink ref="G1519" r:id="rId874"/>
    <hyperlink ref="G1520" r:id="rId875"/>
    <hyperlink ref="G1521" r:id="rId876"/>
    <hyperlink ref="G1522" r:id="rId877"/>
    <hyperlink ref="G1524" r:id="rId878"/>
    <hyperlink ref="G1527" r:id="rId879"/>
    <hyperlink ref="G1528" r:id="rId880"/>
    <hyperlink ref="G1534" r:id="rId881"/>
    <hyperlink ref="G1535" r:id="rId882"/>
    <hyperlink ref="G1536" r:id="rId883" location=":~:text=Overall%2C%20children%20with%20rare%20CAs,out%20of%2031%20rare%20CAs."/>
    <hyperlink ref="G1537" r:id="rId884"/>
    <hyperlink ref="G1538" r:id="rId885"/>
    <hyperlink ref="G1541" r:id="rId886"/>
    <hyperlink ref="G1542" r:id="rId887"/>
    <hyperlink ref="G1544" r:id="rId888"/>
    <hyperlink ref="G1545" r:id="rId889"/>
    <hyperlink ref="G1548" r:id="rId890"/>
    <hyperlink ref="G1549" r:id="rId891"/>
    <hyperlink ref="G1551" r:id="rId892"/>
    <hyperlink ref="G1552" r:id="rId893"/>
    <hyperlink ref="G1553" r:id="rId894"/>
    <hyperlink ref="G1554" r:id="rId895"/>
    <hyperlink ref="G1555" r:id="rId896"/>
    <hyperlink ref="G1556" r:id="rId897"/>
    <hyperlink ref="G1557" r:id="rId898"/>
    <hyperlink ref="G1558" r:id="rId899"/>
    <hyperlink ref="G1560" r:id="rId900"/>
    <hyperlink ref="G1561" r:id="rId901"/>
    <hyperlink ref="G1564" r:id="rId902"/>
    <hyperlink ref="G1565" r:id="rId903"/>
    <hyperlink ref="G1566" r:id="rId904"/>
    <hyperlink ref="G1568" r:id="rId905"/>
    <hyperlink ref="G1569" r:id="rId906" location=":~:text=Results%3A%20In%2Dhospital%20mortality%20was,%25%20(n%20%3D%202052)"/>
    <hyperlink ref="G1571" r:id="rId907"/>
    <hyperlink ref="G1572" r:id="rId908"/>
    <hyperlink ref="G1573" r:id="rId909"/>
    <hyperlink ref="G1574" r:id="rId910"/>
    <hyperlink ref="G1575" r:id="rId911"/>
    <hyperlink ref="G1576" r:id="rId912"/>
    <hyperlink ref="G1578" r:id="rId913"/>
    <hyperlink ref="G1580" r:id="rId914"/>
    <hyperlink ref="G1582" r:id="rId915"/>
    <hyperlink ref="G1588" r:id="rId916"/>
    <hyperlink ref="G1613" r:id="rId917"/>
    <hyperlink ref="G1614" r:id="rId918"/>
    <hyperlink ref="G1616" r:id="rId919"/>
    <hyperlink ref="G1617" r:id="rId920"/>
    <hyperlink ref="G1618" r:id="rId921"/>
    <hyperlink ref="G1621" r:id="rId922"/>
    <hyperlink ref="G1622" r:id="rId923"/>
    <hyperlink ref="G1623" r:id="rId924"/>
    <hyperlink ref="G1624" r:id="rId925"/>
    <hyperlink ref="G1626" r:id="rId926"/>
    <hyperlink ref="G1627" r:id="rId927"/>
    <hyperlink ref="G1628" r:id="rId928"/>
    <hyperlink ref="G1637" r:id="rId929"/>
    <hyperlink ref="G1638" r:id="rId930"/>
    <hyperlink ref="G1646" r:id="rId931"/>
    <hyperlink ref="G1650" r:id="rId932"/>
    <hyperlink ref="G1651" r:id="rId933"/>
    <hyperlink ref="G1654" r:id="rId934"/>
    <hyperlink ref="G1657" r:id="rId935"/>
    <hyperlink ref="G1658" r:id="rId936"/>
    <hyperlink ref="G1661" r:id="rId937"/>
    <hyperlink ref="G1662" r:id="rId938"/>
    <hyperlink ref="G1663" r:id="rId939"/>
    <hyperlink ref="G1667" r:id="rId940"/>
    <hyperlink ref="G1673" r:id="rId941"/>
    <hyperlink ref="G1674" r:id="rId942"/>
    <hyperlink ref="G1678" r:id="rId943"/>
    <hyperlink ref="G1680" r:id="rId944"/>
    <hyperlink ref="G1681" r:id="rId945"/>
    <hyperlink ref="G1682" r:id="rId946"/>
    <hyperlink ref="G1683" r:id="rId947"/>
    <hyperlink ref="G1684" r:id="rId948"/>
    <hyperlink ref="G1685" r:id="rId949" location=":~:text=Door%20bijvoorbeeld%20regionale%20verschillen%20in,om%20een%20uitkering%20te%20ontvangen"/>
    <hyperlink ref="G1686" r:id="rId950"/>
    <hyperlink ref="G1688" r:id="rId951"/>
    <hyperlink ref="G1689" r:id="rId952"/>
    <hyperlink ref="G1690" r:id="rId953"/>
    <hyperlink ref="G1691" r:id="rId954"/>
    <hyperlink ref="G1693" r:id="rId955"/>
    <hyperlink ref="G1694" r:id="rId956"/>
    <hyperlink ref="G1695" r:id="rId957"/>
    <hyperlink ref="G1698" r:id="rId958"/>
    <hyperlink ref="G1703" r:id="rId959"/>
    <hyperlink ref="G1704" r:id="rId960"/>
    <hyperlink ref="G1706" r:id="rId961"/>
    <hyperlink ref="G1707" r:id="rId962"/>
    <hyperlink ref="G1712" r:id="rId963"/>
    <hyperlink ref="G1713" r:id="rId964"/>
    <hyperlink ref="G1714" r:id="rId965"/>
    <hyperlink ref="G1715" r:id="rId966"/>
    <hyperlink ref="G1716" r:id="rId967"/>
    <hyperlink ref="G1717" r:id="rId968"/>
    <hyperlink ref="G1730" r:id="rId969"/>
    <hyperlink ref="G1737" r:id="rId970"/>
    <hyperlink ref="G1738" r:id="rId971"/>
    <hyperlink ref="G1740" r:id="rId972"/>
    <hyperlink ref="G1741" r:id="rId973"/>
    <hyperlink ref="G1742" r:id="rId974"/>
    <hyperlink ref="G1743" r:id="rId975"/>
    <hyperlink ref="G1744" r:id="rId976"/>
    <hyperlink ref="G1745" r:id="rId977"/>
    <hyperlink ref="G1748" r:id="rId978"/>
    <hyperlink ref="G1752" r:id="rId979"/>
    <hyperlink ref="G1753" r:id="rId980"/>
    <hyperlink ref="G1758" r:id="rId981"/>
    <hyperlink ref="G1760" r:id="rId982"/>
    <hyperlink ref="G1761" r:id="rId983"/>
    <hyperlink ref="G1762" r:id="rId984"/>
    <hyperlink ref="G1763" r:id="rId985"/>
    <hyperlink ref="G1764" r:id="rId986"/>
    <hyperlink ref="G1765" r:id="rId987"/>
    <hyperlink ref="G1768" r:id="rId988"/>
    <hyperlink ref="G1769" r:id="rId989"/>
    <hyperlink ref="G1772" r:id="rId990"/>
    <hyperlink ref="G1775" r:id="rId991"/>
    <hyperlink ref="G1777" r:id="rId992"/>
    <hyperlink ref="G1778" r:id="rId993"/>
    <hyperlink ref="G1783" r:id="rId994"/>
    <hyperlink ref="G1792" r:id="rId995"/>
    <hyperlink ref="G1793" r:id="rId996"/>
    <hyperlink ref="G1794" r:id="rId997"/>
    <hyperlink ref="G1795" r:id="rId998"/>
    <hyperlink ref="G1796" r:id="rId999"/>
    <hyperlink ref="G1800" r:id="rId1000"/>
    <hyperlink ref="G1801" r:id="rId1001"/>
    <hyperlink ref="G1802" r:id="rId1002"/>
    <hyperlink ref="G1805" r:id="rId1003"/>
    <hyperlink ref="G1807" r:id="rId1004"/>
    <hyperlink ref="G1808" r:id="rId1005"/>
    <hyperlink ref="G1809" r:id="rId1006"/>
    <hyperlink ref="G1810" r:id="rId1007"/>
    <hyperlink ref="G1811" r:id="rId1008"/>
    <hyperlink ref="G1817" r:id="rId1009"/>
    <hyperlink ref="G1818" r:id="rId1010"/>
    <hyperlink ref="G1819" r:id="rId1011"/>
    <hyperlink ref="G1821" r:id="rId1012"/>
    <hyperlink ref="G1822" r:id="rId1013"/>
    <hyperlink ref="G1824" r:id="rId1014"/>
    <hyperlink ref="G1825" r:id="rId1015"/>
    <hyperlink ref="G1826" r:id="rId1016"/>
    <hyperlink ref="G1827" r:id="rId1017"/>
    <hyperlink ref="G1828" r:id="rId1018"/>
    <hyperlink ref="G1830" r:id="rId1019"/>
    <hyperlink ref="G1834" r:id="rId1020"/>
    <hyperlink ref="G1837" r:id="rId1021"/>
    <hyperlink ref="G1838" r:id="rId1022"/>
    <hyperlink ref="G1839" r:id="rId1023"/>
    <hyperlink ref="G1840" r:id="rId1024"/>
    <hyperlink ref="G1841" r:id="rId1025"/>
    <hyperlink ref="G1842" r:id="rId1026"/>
    <hyperlink ref="G1843" r:id="rId1027"/>
    <hyperlink ref="G1844" r:id="rId1028"/>
    <hyperlink ref="G1845" r:id="rId1029" location="metadata_info_tab_contents"/>
    <hyperlink ref="G1846" r:id="rId1030"/>
    <hyperlink ref="G1847" r:id="rId1031"/>
    <hyperlink ref="G1848" r:id="rId1032"/>
    <hyperlink ref="G1849" display="http://stecf.jrc.ec.europa.eu/reports/economic?p_p_id=101_INSTANCE_d7Ie&amp;p_p_lifecycle=0&amp;p_p_state=normal&amp;p_p_mode=view&amp;p_p_col_id=column-2&amp;p_p_col_pos=1&amp;p_p_col_count=2&amp;_101_INSTANCE_d7Ie_delta=20&amp;_101_INSTANCE_d7Ie_keywords=&amp;_101_INSTANCE_d7Ie_advancedSe"/>
    <hyperlink ref="G1855" r:id="rId1033"/>
    <hyperlink ref="G1856" r:id="rId1034" location="Publications"/>
    <hyperlink ref="G924" r:id="rId1035"/>
    <hyperlink ref="G234" r:id="rId1036"/>
    <hyperlink ref="G236" r:id="rId1037"/>
    <hyperlink ref="G239" r:id="rId1038"/>
    <hyperlink ref="G241" r:id="rId1039"/>
    <hyperlink ref="G244" r:id="rId1040"/>
    <hyperlink ref="G246" r:id="rId1041"/>
    <hyperlink ref="G248" r:id="rId1042"/>
    <hyperlink ref="G1069" r:id="rId1043"/>
    <hyperlink ref="G276" r:id="rId1044"/>
    <hyperlink ref="G284" r:id="rId1045"/>
    <hyperlink ref="G327" r:id="rId1046"/>
    <hyperlink ref="G399" r:id="rId1047"/>
    <hyperlink ref="G326" r:id="rId1048" location="docid-160990"/>
    <hyperlink ref="G617" r:id="rId1049"/>
    <hyperlink ref="G618" r:id="rId1050"/>
    <hyperlink ref="G323" r:id="rId1051"/>
    <hyperlink ref="G29" r:id="rId1052" display="https://www.staten-generaal.nl/9370000/1/j4nvgs5kjg27kof_j9vvkfvj6b325az/vjf5p44qk0zg"/>
    <hyperlink ref="G1687" r:id="rId1053"/>
    <hyperlink ref="G362" r:id="rId1054" display="https://www.dji.nl/documenten/rapporten/2021/02/04/ontwikkeling-van-de-leefsituatie-van-volwassen-ex-justitiabelen"/>
    <hyperlink ref="G616" r:id="rId1055"/>
    <hyperlink ref="G1085" r:id="rId1056" location=":~:text=Armoede%20in%20Kaart%202018%20is,vaakst%20met%20armoede%20te%20maken%3F"/>
    <hyperlink ref="G1086" r:id="rId1057" display="https://digitaal.scp.nl/armoedeinkaart2019/"/>
    <hyperlink ref="G1235" r:id="rId1058" display="https://www.uia-initiative.eu/sites/default/files/2020-03/Rotterdam_BRIDGE_ Journal 5.pdf"/>
    <hyperlink ref="G1533" r:id="rId1059" display="https://link.springer.com/article/10.1007/s10654-023-00971-z"/>
    <hyperlink ref="G715" r:id="rId1060"/>
    <hyperlink ref="G1032" r:id="rId1061" display="https://www.s-bb.nl/"/>
  </hyperlinks>
  <pageMargins left="0.7" right="0.7" top="0.75" bottom="0.75" header="0.3" footer="0.3"/>
  <pageSetup paperSize="9" orientation="portrait" r:id="rId1062"/>
  <ignoredErrors>
    <ignoredError sqref="E5 E10 E18 E22 E31 E39 E43 E58 E61 E65:E66 E72 E87:E88 E97 E105 E112:E113 E130 E140 E155:E156 E157 E168 E165 E181 E201:E202 E204 E211:E212 E216 E222 E233 E239 E260:E261 E263 E274 E295 E305:E306 E308:E309 E327 E331 E345 E351 E378 E439 E466 E469:E470 E471 E505 E522 E525 E542 E550 E567 E572 E575 E578 E625:E626 E627 E632:E633 E634 E647:E648 E651 E664:E665 E680 E696 E709 E717 E719 E721 E728 E762 E766 E797 E800 E805 E807 E830:E831 E833 E837:E838 E850:E851 E892:E893 E896 E898:E899 E901:E902 E905 E919 E924 E933 E980:E981 E982 E985 E1003 E1029 E1040:E1041 E1043 E1051 E1098 E1107 E1118 E1120:E1121 E1125 E1136 E1139 E1141 E1166 E1170 E1187 E1189 E1191 E1207:E1208 E1237 E1293 E1296 E1301 E1307 E1330 E1337 E1339 E1348 E1352 E1354 E1399:E1400 E1416:E1417 E1443:E1444 E1456 E1464 E1466 E1469 E1484 E1490 E1496 E1506:E1507 E1511:E1512 E1513 E1524:E1525 E1549 E1553 E1590 E1594 E1607 E1609 E1614 E1630 E1622 E1645 E1651 E1674 E1682 E1715 E1730 E1744 E1779 E1781 E1796 E1808 E1814 E1818 E1840"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augustus 2023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Slingerland-Roos, P. (Petra)</dc:creator>
  <cp:lastModifiedBy>Slingerland-Roos, P. (Petra)</cp:lastModifiedBy>
  <dcterms:created xsi:type="dcterms:W3CDTF">2023-08-09T08:37:54Z</dcterms:created>
  <dcterms:modified xsi:type="dcterms:W3CDTF">2023-08-10T11:32:09Z</dcterms:modified>
</cp:coreProperties>
</file>