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bsp.nl\Productie\Primair\MDS\Werk\Werkmappen\Midas\Liesbeth Steenhof\overzichten\publicaties\2020\"/>
    </mc:Choice>
  </mc:AlternateContent>
  <bookViews>
    <workbookView xWindow="0" yWindow="0" windowWidth="21570" windowHeight="11565"/>
  </bookViews>
  <sheets>
    <sheet name="februari 2020" sheetId="2"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140" i="2" l="1"/>
  <c r="C1140" i="2"/>
  <c r="E1139" i="2"/>
  <c r="C1139" i="2"/>
  <c r="E1138" i="2"/>
  <c r="C1138" i="2"/>
  <c r="E1137" i="2"/>
  <c r="C1137" i="2"/>
  <c r="E1135" i="2"/>
  <c r="C1135" i="2"/>
  <c r="E1134" i="2"/>
  <c r="C1134" i="2"/>
  <c r="E1136" i="2"/>
  <c r="C1136" i="2"/>
  <c r="E1133" i="2"/>
  <c r="C1133" i="2"/>
  <c r="E1132" i="2"/>
  <c r="C1132" i="2"/>
  <c r="E1131" i="2"/>
  <c r="E1130" i="2"/>
  <c r="C1130" i="2"/>
  <c r="E1129" i="2"/>
  <c r="C1129" i="2"/>
  <c r="E1128" i="2"/>
  <c r="C1128" i="2"/>
  <c r="E1127" i="2"/>
  <c r="C1127" i="2"/>
  <c r="E1126" i="2"/>
  <c r="E1125" i="2"/>
  <c r="C1125" i="2"/>
  <c r="E1124" i="2"/>
  <c r="C1124" i="2"/>
  <c r="E1123" i="2"/>
  <c r="C1123" i="2"/>
  <c r="E1122" i="2"/>
  <c r="C1122" i="2"/>
  <c r="E1121" i="2"/>
  <c r="C1121" i="2"/>
  <c r="E1120" i="2"/>
  <c r="C1120" i="2"/>
  <c r="E1119" i="2"/>
  <c r="C1119" i="2"/>
  <c r="E1118" i="2"/>
  <c r="C1118" i="2"/>
  <c r="E1117" i="2"/>
  <c r="C1117" i="2"/>
  <c r="E1116" i="2"/>
  <c r="C1116" i="2"/>
  <c r="E1115" i="2"/>
  <c r="C1115" i="2"/>
  <c r="E1114" i="2"/>
  <c r="C1114" i="2"/>
  <c r="E1112" i="2"/>
  <c r="C1112" i="2"/>
  <c r="E1113" i="2"/>
  <c r="C1113" i="2"/>
  <c r="E1111" i="2"/>
  <c r="C1111" i="2"/>
  <c r="E1110" i="2"/>
  <c r="C1110" i="2"/>
  <c r="E1108" i="2"/>
  <c r="C1108" i="2"/>
  <c r="E1109" i="2"/>
  <c r="C1109" i="2"/>
  <c r="E1107" i="2"/>
  <c r="C1107" i="2"/>
  <c r="E1106" i="2"/>
  <c r="C1106" i="2"/>
  <c r="E1105" i="2"/>
  <c r="C1105" i="2"/>
  <c r="E1103" i="2"/>
  <c r="C1103" i="2"/>
  <c r="E1104" i="2"/>
  <c r="C1104" i="2"/>
  <c r="E1102" i="2"/>
  <c r="C1102" i="2"/>
  <c r="E1101" i="2"/>
  <c r="C1101" i="2"/>
  <c r="E1100" i="2"/>
  <c r="E1098" i="2"/>
  <c r="C1098" i="2"/>
  <c r="E1099" i="2"/>
  <c r="C1099" i="2"/>
  <c r="E1097" i="2"/>
  <c r="C1097" i="2"/>
  <c r="E1096" i="2"/>
  <c r="C1096" i="2"/>
  <c r="E1095" i="2"/>
  <c r="E1094" i="2"/>
  <c r="C1094" i="2"/>
  <c r="E1093" i="2"/>
  <c r="C1093" i="2"/>
  <c r="E1092" i="2"/>
  <c r="E1091" i="2"/>
  <c r="C1091" i="2"/>
  <c r="E1090" i="2"/>
  <c r="C1090" i="2"/>
  <c r="E1089" i="2"/>
  <c r="C1089" i="2"/>
  <c r="E1088" i="2"/>
  <c r="C1088" i="2"/>
  <c r="E1087" i="2"/>
  <c r="E1085" i="2"/>
  <c r="C1085" i="2"/>
  <c r="E1084" i="2"/>
  <c r="E1086" i="2"/>
  <c r="C1086" i="2"/>
  <c r="E1083" i="2"/>
  <c r="C1083" i="2"/>
  <c r="E1082" i="2"/>
  <c r="C1082" i="2"/>
  <c r="E1081" i="2"/>
  <c r="C1081" i="2"/>
  <c r="E1080" i="2"/>
  <c r="C1080" i="2"/>
  <c r="E1079" i="2"/>
  <c r="E1077" i="2"/>
  <c r="C1077" i="2"/>
  <c r="E1078" i="2"/>
  <c r="C1078" i="2"/>
  <c r="E1076" i="2"/>
  <c r="C1076" i="2"/>
  <c r="E1075" i="2"/>
  <c r="C1075" i="2"/>
  <c r="E1074" i="2"/>
  <c r="E1071" i="2"/>
  <c r="C1071" i="2"/>
  <c r="E1073" i="2"/>
  <c r="C1073" i="2"/>
  <c r="E1072" i="2"/>
  <c r="C1072" i="2"/>
  <c r="E1070" i="2"/>
  <c r="C1070" i="2"/>
  <c r="E1069" i="2"/>
  <c r="C1069" i="2"/>
  <c r="E1067" i="2"/>
  <c r="C1067" i="2"/>
  <c r="E1068" i="2"/>
  <c r="C1068" i="2"/>
  <c r="E1066" i="2"/>
  <c r="C1066" i="2"/>
  <c r="E1065" i="2"/>
  <c r="C1065" i="2"/>
  <c r="E1064" i="2"/>
  <c r="C1064" i="2"/>
  <c r="E1063" i="2"/>
  <c r="C1063" i="2"/>
  <c r="E1062" i="2"/>
  <c r="C1062" i="2"/>
  <c r="E1060" i="2"/>
  <c r="C1060" i="2"/>
  <c r="E1061" i="2"/>
  <c r="C1061" i="2"/>
  <c r="E1059" i="2"/>
  <c r="C1059" i="2"/>
  <c r="E1058" i="2"/>
  <c r="C1058" i="2"/>
  <c r="E1057" i="2"/>
  <c r="C1057" i="2"/>
  <c r="E1056" i="2"/>
  <c r="C1056" i="2"/>
  <c r="E1055" i="2"/>
  <c r="C1055" i="2"/>
  <c r="E1053" i="2"/>
  <c r="C1053" i="2"/>
  <c r="E1054" i="2"/>
  <c r="C1054" i="2"/>
  <c r="E1052" i="2"/>
  <c r="C1052" i="2"/>
  <c r="E1051" i="2"/>
  <c r="C1051" i="2"/>
  <c r="E1049" i="2"/>
  <c r="C1049" i="2"/>
  <c r="E1050" i="2"/>
  <c r="C1050" i="2"/>
  <c r="E1048" i="2"/>
  <c r="C1048" i="2"/>
  <c r="E1047" i="2"/>
  <c r="C1047" i="2"/>
  <c r="E1046" i="2"/>
  <c r="E1044" i="2"/>
  <c r="C1044" i="2"/>
  <c r="E1043" i="2"/>
  <c r="C1043" i="2"/>
  <c r="E1045" i="2"/>
  <c r="C1045" i="2"/>
  <c r="E1042" i="2"/>
  <c r="C1042" i="2"/>
  <c r="E1041" i="2"/>
  <c r="E1040" i="2"/>
  <c r="C1040" i="2"/>
  <c r="E1039" i="2"/>
  <c r="C1039" i="2"/>
  <c r="E1038" i="2"/>
  <c r="C1038" i="2"/>
  <c r="E1036" i="2"/>
  <c r="E1037" i="2"/>
  <c r="C1037" i="2"/>
  <c r="E1035" i="2"/>
  <c r="C1035" i="2"/>
  <c r="E1034" i="2"/>
  <c r="C1034" i="2"/>
  <c r="E1033" i="2"/>
  <c r="C1033" i="2"/>
  <c r="E1032" i="2"/>
  <c r="C1032" i="2"/>
  <c r="E1031" i="2"/>
  <c r="C1031" i="2"/>
  <c r="E1030" i="2"/>
  <c r="C1030" i="2"/>
  <c r="E1029" i="2"/>
  <c r="C1029" i="2"/>
  <c r="E1028" i="2"/>
  <c r="C1028" i="2"/>
  <c r="E1027" i="2"/>
  <c r="C1027" i="2"/>
  <c r="E1026" i="2"/>
  <c r="C1026" i="2"/>
  <c r="E1025" i="2"/>
  <c r="C1025" i="2"/>
  <c r="E1024" i="2"/>
  <c r="C1024" i="2"/>
  <c r="E1023" i="2"/>
  <c r="C1023" i="2"/>
  <c r="E1022" i="2"/>
  <c r="C1022" i="2"/>
  <c r="E1021" i="2"/>
  <c r="C1021" i="2"/>
  <c r="E1020" i="2"/>
  <c r="C1020" i="2"/>
  <c r="E1018" i="2"/>
  <c r="E1019" i="2"/>
  <c r="C1019" i="2"/>
  <c r="E1017" i="2"/>
  <c r="C1017" i="2"/>
  <c r="E1016" i="2"/>
  <c r="C1016" i="2"/>
  <c r="E1015" i="2"/>
  <c r="C1015" i="2"/>
  <c r="E1014" i="2"/>
  <c r="C1014" i="2"/>
  <c r="E1013" i="2"/>
  <c r="C1013" i="2"/>
  <c r="E1012" i="2"/>
  <c r="C1012" i="2"/>
  <c r="E1011" i="2"/>
  <c r="C1011" i="2"/>
  <c r="E1010" i="2"/>
  <c r="C1010" i="2"/>
  <c r="E1008" i="2"/>
  <c r="C1008" i="2"/>
  <c r="E1009" i="2"/>
  <c r="C1009" i="2"/>
  <c r="E1007" i="2"/>
  <c r="C1007" i="2"/>
  <c r="E1006" i="2"/>
  <c r="C1006" i="2"/>
  <c r="E1004" i="2"/>
  <c r="C1004" i="2"/>
  <c r="E1005" i="2"/>
  <c r="C1005" i="2"/>
  <c r="E1003" i="2"/>
  <c r="C1003" i="2"/>
  <c r="E1002" i="2"/>
  <c r="C1002" i="2"/>
  <c r="E1001" i="2"/>
  <c r="C1001" i="2"/>
  <c r="E1000" i="2"/>
  <c r="E999" i="2"/>
  <c r="C999" i="2"/>
  <c r="E998" i="2"/>
  <c r="C998" i="2"/>
  <c r="E997" i="2"/>
  <c r="C997" i="2"/>
  <c r="E996" i="2"/>
  <c r="C996" i="2"/>
  <c r="E995" i="2"/>
  <c r="C995" i="2"/>
  <c r="E994" i="2"/>
  <c r="C994" i="2"/>
  <c r="E993" i="2"/>
  <c r="C993" i="2"/>
  <c r="E992" i="2"/>
  <c r="C992" i="2"/>
  <c r="E991" i="2"/>
  <c r="C991" i="2"/>
  <c r="E990" i="2"/>
  <c r="C990" i="2"/>
  <c r="E989" i="2"/>
  <c r="C989" i="2"/>
  <c r="E988" i="2"/>
  <c r="C988" i="2"/>
  <c r="E987" i="2"/>
  <c r="C987" i="2"/>
  <c r="E986" i="2"/>
  <c r="C986" i="2"/>
  <c r="E985" i="2"/>
  <c r="C985" i="2"/>
  <c r="E984" i="2"/>
  <c r="C984" i="2"/>
  <c r="E983" i="2"/>
  <c r="C983" i="2"/>
  <c r="E982" i="2"/>
  <c r="C982" i="2"/>
  <c r="E981" i="2"/>
  <c r="C981" i="2"/>
  <c r="E979" i="2"/>
  <c r="C979" i="2"/>
  <c r="E980" i="2"/>
  <c r="C980" i="2"/>
  <c r="E978" i="2"/>
  <c r="C978" i="2"/>
  <c r="E977" i="2"/>
  <c r="C977" i="2"/>
  <c r="E975" i="2"/>
  <c r="C975" i="2"/>
  <c r="E976" i="2"/>
  <c r="C976" i="2"/>
  <c r="E973" i="2"/>
  <c r="C973" i="2"/>
  <c r="E974" i="2"/>
  <c r="C974" i="2"/>
  <c r="E972" i="2"/>
  <c r="C972" i="2"/>
  <c r="E971" i="2"/>
  <c r="C971" i="2"/>
  <c r="E970" i="2"/>
  <c r="C970" i="2"/>
  <c r="E969" i="2"/>
  <c r="C969" i="2"/>
  <c r="E968" i="2"/>
  <c r="C968" i="2"/>
  <c r="E967" i="2"/>
  <c r="C967" i="2"/>
  <c r="E966" i="2"/>
  <c r="C966" i="2"/>
  <c r="E965" i="2"/>
  <c r="C965" i="2"/>
  <c r="E964" i="2"/>
  <c r="C964" i="2"/>
  <c r="E963" i="2"/>
  <c r="C963" i="2"/>
  <c r="E962" i="2"/>
  <c r="C962" i="2"/>
  <c r="E961" i="2"/>
  <c r="C961" i="2"/>
  <c r="E960" i="2"/>
  <c r="C960" i="2"/>
  <c r="E959" i="2"/>
  <c r="C959" i="2"/>
  <c r="E958" i="2"/>
  <c r="C958" i="2"/>
  <c r="E957" i="2"/>
  <c r="C957" i="2"/>
  <c r="E956" i="2"/>
  <c r="E955" i="2"/>
  <c r="C955" i="2"/>
  <c r="E954" i="2"/>
  <c r="C954" i="2"/>
  <c r="E953" i="2"/>
  <c r="C953" i="2"/>
  <c r="E952" i="2"/>
  <c r="C952" i="2"/>
  <c r="E951" i="2"/>
  <c r="C951" i="2"/>
  <c r="E950" i="2"/>
  <c r="C950" i="2"/>
  <c r="E949" i="2"/>
  <c r="C949" i="2"/>
  <c r="E948" i="2"/>
  <c r="C948" i="2"/>
  <c r="E947" i="2"/>
  <c r="C947" i="2"/>
  <c r="E946" i="2"/>
  <c r="C946" i="2"/>
  <c r="E945" i="2"/>
  <c r="E944" i="2"/>
  <c r="C944" i="2"/>
  <c r="E943" i="2"/>
  <c r="C943" i="2"/>
  <c r="E942" i="2"/>
  <c r="C942" i="2"/>
  <c r="E941" i="2"/>
  <c r="C941" i="2"/>
  <c r="E940" i="2"/>
  <c r="C940" i="2"/>
  <c r="E939" i="2"/>
  <c r="C939" i="2"/>
  <c r="E938" i="2"/>
  <c r="C938" i="2"/>
  <c r="E937" i="2"/>
  <c r="E936" i="2"/>
  <c r="C936" i="2"/>
  <c r="E935" i="2"/>
  <c r="E934" i="2"/>
  <c r="C934" i="2"/>
  <c r="E933" i="2"/>
  <c r="C933" i="2"/>
  <c r="E932" i="2"/>
  <c r="E931" i="2"/>
  <c r="C931" i="2"/>
  <c r="E929" i="2"/>
  <c r="C929" i="2"/>
  <c r="E930" i="2"/>
  <c r="E928" i="2"/>
  <c r="E927" i="2"/>
  <c r="C927" i="2"/>
  <c r="E926" i="2"/>
  <c r="C926" i="2"/>
  <c r="E925" i="2"/>
  <c r="C925" i="2"/>
  <c r="E924" i="2"/>
  <c r="C924" i="2"/>
  <c r="E921" i="2"/>
  <c r="C921" i="2"/>
  <c r="E923" i="2"/>
  <c r="C923" i="2"/>
  <c r="E922" i="2"/>
  <c r="C922" i="2"/>
  <c r="E919" i="2"/>
  <c r="C919" i="2"/>
  <c r="E920" i="2"/>
  <c r="C920" i="2"/>
  <c r="E918" i="2"/>
  <c r="C918" i="2"/>
  <c r="E917" i="2"/>
  <c r="C917" i="2"/>
  <c r="E916" i="2"/>
  <c r="C916" i="2"/>
  <c r="E915" i="2"/>
  <c r="C915" i="2"/>
  <c r="E913" i="2"/>
  <c r="C913" i="2"/>
  <c r="E914" i="2"/>
  <c r="E912" i="2"/>
  <c r="C912" i="2"/>
  <c r="E911" i="2"/>
  <c r="C911" i="2"/>
  <c r="E910" i="2"/>
  <c r="C910" i="2"/>
  <c r="E909" i="2"/>
  <c r="C909" i="2"/>
  <c r="E908" i="2"/>
  <c r="C908" i="2"/>
  <c r="E906" i="2"/>
  <c r="C906" i="2"/>
  <c r="E905" i="2"/>
  <c r="C905" i="2"/>
  <c r="E907" i="2"/>
  <c r="C907" i="2"/>
  <c r="E904" i="2"/>
  <c r="C904" i="2"/>
  <c r="E903" i="2"/>
  <c r="C903" i="2"/>
  <c r="E902" i="2"/>
  <c r="C902" i="2"/>
  <c r="E898" i="2"/>
  <c r="C898" i="2"/>
  <c r="E900" i="2"/>
  <c r="C900" i="2"/>
  <c r="E901" i="2"/>
  <c r="C901" i="2"/>
  <c r="E896" i="2"/>
  <c r="C896" i="2"/>
  <c r="E899" i="2"/>
  <c r="E897" i="2"/>
  <c r="C897" i="2"/>
  <c r="E895" i="2"/>
  <c r="C895" i="2"/>
  <c r="E894" i="2"/>
  <c r="C894" i="2"/>
  <c r="E893" i="2"/>
  <c r="C893" i="2"/>
  <c r="E892" i="2"/>
  <c r="E891" i="2"/>
  <c r="C891" i="2"/>
  <c r="E890" i="2"/>
  <c r="C890" i="2"/>
  <c r="E889" i="2"/>
  <c r="C889" i="2"/>
  <c r="E888" i="2"/>
  <c r="C888" i="2"/>
  <c r="E887" i="2"/>
  <c r="C887" i="2"/>
  <c r="E886" i="2"/>
  <c r="C886" i="2"/>
  <c r="E885" i="2"/>
  <c r="C885" i="2"/>
  <c r="E884" i="2"/>
  <c r="C884" i="2"/>
  <c r="E883" i="2"/>
  <c r="C883" i="2"/>
  <c r="E882" i="2"/>
  <c r="C882" i="2"/>
  <c r="E881" i="2"/>
  <c r="C881" i="2"/>
  <c r="E880" i="2"/>
  <c r="C880" i="2"/>
  <c r="E879" i="2"/>
  <c r="C879" i="2"/>
  <c r="E878" i="2"/>
  <c r="C878" i="2"/>
  <c r="E877" i="2"/>
  <c r="C877" i="2"/>
  <c r="E876" i="2"/>
  <c r="C876" i="2"/>
  <c r="E875" i="2"/>
  <c r="C875" i="2"/>
  <c r="E874" i="2"/>
  <c r="C874" i="2"/>
  <c r="E873" i="2"/>
  <c r="C873" i="2"/>
  <c r="E872" i="2"/>
  <c r="C872" i="2"/>
  <c r="E871" i="2"/>
  <c r="C871" i="2"/>
  <c r="E870" i="2"/>
  <c r="E869" i="2"/>
  <c r="C869" i="2"/>
  <c r="E868" i="2"/>
  <c r="C868" i="2"/>
  <c r="E867" i="2"/>
  <c r="E865" i="2"/>
  <c r="C865" i="2"/>
  <c r="E866" i="2"/>
  <c r="E864" i="2"/>
  <c r="C864" i="2"/>
  <c r="E862" i="2"/>
  <c r="C862" i="2"/>
  <c r="E863" i="2"/>
  <c r="C863" i="2"/>
  <c r="E861" i="2"/>
  <c r="C861" i="2"/>
  <c r="E860" i="2"/>
  <c r="C860" i="2"/>
  <c r="E859" i="2"/>
  <c r="C859" i="2"/>
  <c r="E858" i="2"/>
  <c r="C858" i="2"/>
  <c r="E857" i="2"/>
  <c r="C857" i="2"/>
  <c r="E856" i="2"/>
  <c r="C856" i="2"/>
  <c r="E855" i="2"/>
  <c r="E854" i="2"/>
  <c r="C854" i="2"/>
  <c r="E853" i="2"/>
  <c r="C853" i="2"/>
  <c r="E852" i="2"/>
  <c r="C852" i="2"/>
  <c r="E851" i="2"/>
  <c r="C851" i="2"/>
  <c r="E850" i="2"/>
  <c r="C850" i="2"/>
  <c r="E849" i="2"/>
  <c r="E848" i="2"/>
  <c r="C848" i="2"/>
  <c r="E847" i="2"/>
  <c r="C847" i="2"/>
  <c r="E846" i="2"/>
  <c r="C846" i="2"/>
  <c r="E845" i="2"/>
  <c r="C845" i="2"/>
  <c r="E843" i="2"/>
  <c r="C843" i="2"/>
  <c r="E844" i="2"/>
  <c r="C844" i="2"/>
  <c r="E839" i="2"/>
  <c r="E842" i="2"/>
  <c r="C842" i="2"/>
  <c r="E840" i="2"/>
  <c r="C840" i="2"/>
  <c r="E841" i="2"/>
  <c r="C841" i="2"/>
  <c r="E838" i="2"/>
  <c r="C838" i="2"/>
  <c r="E837" i="2"/>
  <c r="C837" i="2"/>
  <c r="E836" i="2"/>
  <c r="C836" i="2"/>
  <c r="E835" i="2"/>
  <c r="C835" i="2"/>
  <c r="E834" i="2"/>
  <c r="C834" i="2"/>
  <c r="E833" i="2"/>
  <c r="C833" i="2"/>
  <c r="E832" i="2"/>
  <c r="C832" i="2"/>
  <c r="E827" i="2"/>
  <c r="C827" i="2"/>
  <c r="E830" i="2"/>
  <c r="C830" i="2"/>
  <c r="E831" i="2"/>
  <c r="C831" i="2"/>
  <c r="E826" i="2"/>
  <c r="C826" i="2"/>
  <c r="E829" i="2"/>
  <c r="C829" i="2"/>
  <c r="E828" i="2"/>
  <c r="C828" i="2"/>
  <c r="E825" i="2"/>
  <c r="C825" i="2"/>
  <c r="E824" i="2"/>
  <c r="C824" i="2"/>
  <c r="E823" i="2"/>
  <c r="C823" i="2"/>
  <c r="E822" i="2"/>
  <c r="C822" i="2"/>
  <c r="E821" i="2"/>
  <c r="C821" i="2"/>
  <c r="E820" i="2"/>
  <c r="C820" i="2"/>
  <c r="E819" i="2"/>
  <c r="C819" i="2"/>
  <c r="E818" i="2"/>
  <c r="C818" i="2"/>
  <c r="E817" i="2"/>
  <c r="E816" i="2"/>
  <c r="C816" i="2"/>
  <c r="E814" i="2"/>
  <c r="C814" i="2"/>
  <c r="E815" i="2"/>
  <c r="E813" i="2"/>
  <c r="E812" i="2"/>
  <c r="C812" i="2"/>
  <c r="E810" i="2"/>
  <c r="C810" i="2"/>
  <c r="E811" i="2"/>
  <c r="C811" i="2"/>
  <c r="E808" i="2"/>
  <c r="E809" i="2"/>
  <c r="C809" i="2"/>
  <c r="E807" i="2"/>
  <c r="C807" i="2"/>
  <c r="E806" i="2"/>
  <c r="E805" i="2"/>
  <c r="C805" i="2"/>
  <c r="E804" i="2"/>
  <c r="C804" i="2"/>
  <c r="E803" i="2"/>
  <c r="C803" i="2"/>
  <c r="E802" i="2"/>
  <c r="C802" i="2"/>
  <c r="E801" i="2"/>
  <c r="E800" i="2"/>
  <c r="C800" i="2"/>
  <c r="E799" i="2"/>
  <c r="C799" i="2"/>
  <c r="E798" i="2"/>
  <c r="C798" i="2"/>
  <c r="E797" i="2"/>
  <c r="C797" i="2"/>
  <c r="E796" i="2"/>
  <c r="C796" i="2"/>
  <c r="E795" i="2"/>
  <c r="C795" i="2"/>
  <c r="E794" i="2"/>
  <c r="C794" i="2"/>
  <c r="E793" i="2"/>
  <c r="C793" i="2"/>
  <c r="E792" i="2"/>
  <c r="C792" i="2"/>
  <c r="E791" i="2"/>
  <c r="C791" i="2"/>
  <c r="E790" i="2"/>
  <c r="C790" i="2"/>
  <c r="E789" i="2"/>
  <c r="E788" i="2"/>
  <c r="C788" i="2"/>
  <c r="E787" i="2"/>
  <c r="C787" i="2"/>
  <c r="E786" i="2"/>
  <c r="C786" i="2"/>
  <c r="E785" i="2"/>
  <c r="C785" i="2"/>
  <c r="E784" i="2"/>
  <c r="C784" i="2"/>
  <c r="E783" i="2"/>
  <c r="C783" i="2"/>
  <c r="E782" i="2"/>
  <c r="C782" i="2"/>
  <c r="E781" i="2"/>
  <c r="C781" i="2"/>
  <c r="E780" i="2"/>
  <c r="C780" i="2"/>
  <c r="E779" i="2"/>
  <c r="C779" i="2"/>
  <c r="E777" i="2"/>
  <c r="E778" i="2"/>
  <c r="C778" i="2"/>
  <c r="E776" i="2"/>
  <c r="C776" i="2"/>
  <c r="E775" i="2"/>
  <c r="C775" i="2"/>
  <c r="E774" i="2"/>
  <c r="E773" i="2"/>
  <c r="C773" i="2"/>
  <c r="E772" i="2"/>
  <c r="C772" i="2"/>
  <c r="E771" i="2"/>
  <c r="C771" i="2"/>
  <c r="E770" i="2"/>
  <c r="C770" i="2"/>
  <c r="E769" i="2"/>
  <c r="C769" i="2"/>
  <c r="E768" i="2"/>
  <c r="C768" i="2"/>
  <c r="E767" i="2"/>
  <c r="C767" i="2"/>
  <c r="E766" i="2"/>
  <c r="C766" i="2"/>
  <c r="E765" i="2"/>
  <c r="E764" i="2"/>
  <c r="C764" i="2"/>
  <c r="E763" i="2"/>
  <c r="E762" i="2"/>
  <c r="C762" i="2"/>
  <c r="E760" i="2"/>
  <c r="C760" i="2"/>
  <c r="E761" i="2"/>
  <c r="C761" i="2"/>
  <c r="E755" i="2"/>
  <c r="E757" i="2"/>
  <c r="C757" i="2"/>
  <c r="E758" i="2"/>
  <c r="C758" i="2"/>
  <c r="E759" i="2"/>
  <c r="C759" i="2"/>
  <c r="E756" i="2"/>
  <c r="C756" i="2"/>
  <c r="E754" i="2"/>
  <c r="C754" i="2"/>
  <c r="E753" i="2"/>
  <c r="C753" i="2"/>
  <c r="E752" i="2"/>
  <c r="C752" i="2"/>
  <c r="E751" i="2"/>
  <c r="C751" i="2"/>
  <c r="E749" i="2"/>
  <c r="C749" i="2"/>
  <c r="E750" i="2"/>
  <c r="E748" i="2"/>
  <c r="C748" i="2"/>
  <c r="E747" i="2"/>
  <c r="C747" i="2"/>
  <c r="E746" i="2"/>
  <c r="C746" i="2"/>
  <c r="E745" i="2"/>
  <c r="C745" i="2"/>
  <c r="E744" i="2"/>
  <c r="E741" i="2"/>
  <c r="C741" i="2"/>
  <c r="E743" i="2"/>
  <c r="E740" i="2"/>
  <c r="C740" i="2"/>
  <c r="E742" i="2"/>
  <c r="C742" i="2"/>
  <c r="E739" i="2"/>
  <c r="E738" i="2"/>
  <c r="C738" i="2"/>
  <c r="E737" i="2"/>
  <c r="C737" i="2"/>
  <c r="E734" i="2"/>
  <c r="C734" i="2"/>
  <c r="E736" i="2"/>
  <c r="C736" i="2"/>
  <c r="E735" i="2"/>
  <c r="C735" i="2"/>
  <c r="E733" i="2"/>
  <c r="C733" i="2"/>
  <c r="E732" i="2"/>
  <c r="C732" i="2"/>
  <c r="E731" i="2"/>
  <c r="C731" i="2"/>
  <c r="E730" i="2"/>
  <c r="C730" i="2"/>
  <c r="E729" i="2"/>
  <c r="C729" i="2"/>
  <c r="E728" i="2"/>
  <c r="C728" i="2"/>
  <c r="E727" i="2"/>
  <c r="C727" i="2"/>
  <c r="E726" i="2"/>
  <c r="C726" i="2"/>
  <c r="E725" i="2"/>
  <c r="C725" i="2"/>
  <c r="E724" i="2"/>
  <c r="C724" i="2"/>
  <c r="E722" i="2"/>
  <c r="E723" i="2"/>
  <c r="C723" i="2"/>
  <c r="E721" i="2"/>
  <c r="C721" i="2"/>
  <c r="E720" i="2"/>
  <c r="C720" i="2"/>
  <c r="E719" i="2"/>
  <c r="C719" i="2"/>
  <c r="E718" i="2"/>
  <c r="C718" i="2"/>
  <c r="E717" i="2"/>
  <c r="C717" i="2"/>
  <c r="E716" i="2"/>
  <c r="C716" i="2"/>
  <c r="E715" i="2"/>
  <c r="C715" i="2"/>
  <c r="E714" i="2"/>
  <c r="C714" i="2"/>
  <c r="E713" i="2"/>
  <c r="C713" i="2"/>
  <c r="E711" i="2"/>
  <c r="C711" i="2"/>
  <c r="E712" i="2"/>
  <c r="E710" i="2"/>
  <c r="C710" i="2"/>
  <c r="E709" i="2"/>
  <c r="C709" i="2"/>
  <c r="E708" i="2"/>
  <c r="C708" i="2"/>
  <c r="E707" i="2"/>
  <c r="E706" i="2"/>
  <c r="C706" i="2"/>
  <c r="E705" i="2"/>
  <c r="C705" i="2"/>
  <c r="E704" i="2"/>
  <c r="C704" i="2"/>
  <c r="E703" i="2"/>
  <c r="C703" i="2"/>
  <c r="E702" i="2"/>
  <c r="C702" i="2"/>
  <c r="E701" i="2"/>
  <c r="E700" i="2"/>
  <c r="C700" i="2"/>
  <c r="E699" i="2"/>
  <c r="E698" i="2"/>
  <c r="C698" i="2"/>
  <c r="E697" i="2"/>
  <c r="C697" i="2"/>
  <c r="E696" i="2"/>
  <c r="C696" i="2"/>
  <c r="E695" i="2"/>
  <c r="C695" i="2"/>
  <c r="E694" i="2"/>
  <c r="C694" i="2"/>
  <c r="E692" i="2"/>
  <c r="C692" i="2"/>
  <c r="E693" i="2"/>
  <c r="C693" i="2"/>
  <c r="E691" i="2"/>
  <c r="C691" i="2"/>
  <c r="E690" i="2"/>
  <c r="C690" i="2"/>
  <c r="E689" i="2"/>
  <c r="E687" i="2"/>
  <c r="C687" i="2"/>
  <c r="E688" i="2"/>
  <c r="E686" i="2"/>
  <c r="C686" i="2"/>
  <c r="E685" i="2"/>
  <c r="C685" i="2"/>
  <c r="E684" i="2"/>
  <c r="C684" i="2"/>
  <c r="E683" i="2"/>
  <c r="C683" i="2"/>
  <c r="E682" i="2"/>
  <c r="C682" i="2"/>
  <c r="E681" i="2"/>
  <c r="C681" i="2"/>
  <c r="E680" i="2"/>
  <c r="C680" i="2"/>
  <c r="E679" i="2"/>
  <c r="C679" i="2"/>
  <c r="E678" i="2"/>
  <c r="C678" i="2"/>
  <c r="E677" i="2"/>
  <c r="C677" i="2"/>
  <c r="E676" i="2"/>
  <c r="C676" i="2"/>
  <c r="E675" i="2"/>
  <c r="C675" i="2"/>
  <c r="E674" i="2"/>
  <c r="C674" i="2"/>
  <c r="E673" i="2"/>
  <c r="E672" i="2"/>
  <c r="C672" i="2"/>
  <c r="E671" i="2"/>
  <c r="C671" i="2"/>
  <c r="E670" i="2"/>
  <c r="C670" i="2"/>
  <c r="E669" i="2"/>
  <c r="C669" i="2"/>
  <c r="E668" i="2"/>
  <c r="C668" i="2"/>
  <c r="E667" i="2"/>
  <c r="C667" i="2"/>
  <c r="E666" i="2"/>
  <c r="C666" i="2"/>
  <c r="E665" i="2"/>
  <c r="C665" i="2"/>
  <c r="E664" i="2"/>
  <c r="C664" i="2"/>
  <c r="E663" i="2"/>
  <c r="C663" i="2"/>
  <c r="E662" i="2"/>
  <c r="C662" i="2"/>
  <c r="E661" i="2"/>
  <c r="C661" i="2"/>
  <c r="E660" i="2"/>
  <c r="C660" i="2"/>
  <c r="E659" i="2"/>
  <c r="C659" i="2"/>
  <c r="E658" i="2"/>
  <c r="C658" i="2"/>
  <c r="E657" i="2"/>
  <c r="C657" i="2"/>
  <c r="E656" i="2"/>
  <c r="C656" i="2"/>
  <c r="E655" i="2"/>
  <c r="C655" i="2"/>
  <c r="E654" i="2"/>
  <c r="C654" i="2"/>
  <c r="E653" i="2"/>
  <c r="C653" i="2"/>
  <c r="E652" i="2"/>
  <c r="E651" i="2"/>
  <c r="C651" i="2"/>
  <c r="E650" i="2"/>
  <c r="E649" i="2"/>
  <c r="C649" i="2"/>
  <c r="E648" i="2"/>
  <c r="C648" i="2"/>
  <c r="E647" i="2"/>
  <c r="C647" i="2"/>
  <c r="E646" i="2"/>
  <c r="C646" i="2"/>
  <c r="E645" i="2"/>
  <c r="C645" i="2"/>
  <c r="E644" i="2"/>
  <c r="C644" i="2"/>
  <c r="E643" i="2"/>
  <c r="C643" i="2"/>
  <c r="E642" i="2"/>
  <c r="C642" i="2"/>
  <c r="E641" i="2"/>
  <c r="C641" i="2"/>
  <c r="E640" i="2"/>
  <c r="C640" i="2"/>
  <c r="E639" i="2"/>
  <c r="C639" i="2"/>
  <c r="E638" i="2"/>
  <c r="C638" i="2"/>
  <c r="E637" i="2"/>
  <c r="C637" i="2"/>
  <c r="E636" i="2"/>
  <c r="C636" i="2"/>
  <c r="E635" i="2"/>
  <c r="C635" i="2"/>
  <c r="E634" i="2"/>
  <c r="C634" i="2"/>
  <c r="E633" i="2"/>
  <c r="C633" i="2"/>
  <c r="E632" i="2"/>
  <c r="C632" i="2"/>
  <c r="E631" i="2"/>
  <c r="C631" i="2"/>
  <c r="E627" i="2"/>
  <c r="C627" i="2"/>
  <c r="E629" i="2"/>
  <c r="C629" i="2"/>
  <c r="E630" i="2"/>
  <c r="C630" i="2"/>
  <c r="E628" i="2"/>
  <c r="C628" i="2"/>
  <c r="E626" i="2"/>
  <c r="C626" i="2"/>
  <c r="E623" i="2"/>
  <c r="E625" i="2"/>
  <c r="C625" i="2"/>
  <c r="E624" i="2"/>
  <c r="C624" i="2"/>
  <c r="E621" i="2"/>
  <c r="C621" i="2"/>
  <c r="E622" i="2"/>
  <c r="C622" i="2"/>
  <c r="E620" i="2"/>
  <c r="E619" i="2"/>
  <c r="C619" i="2"/>
  <c r="E618" i="2"/>
  <c r="C618" i="2"/>
  <c r="E617" i="2"/>
  <c r="C617" i="2"/>
  <c r="E616" i="2"/>
  <c r="C616" i="2"/>
  <c r="E615" i="2"/>
  <c r="E614" i="2"/>
  <c r="C614" i="2"/>
  <c r="E613" i="2"/>
  <c r="C613" i="2"/>
  <c r="E612" i="2"/>
  <c r="C612" i="2"/>
  <c r="E611" i="2"/>
  <c r="C611" i="2"/>
  <c r="E610" i="2"/>
  <c r="C610" i="2"/>
  <c r="E609" i="2"/>
  <c r="C609" i="2"/>
  <c r="E608" i="2"/>
  <c r="C608" i="2"/>
  <c r="E607" i="2"/>
  <c r="C607" i="2"/>
  <c r="E606" i="2"/>
  <c r="C606" i="2"/>
  <c r="E605" i="2"/>
  <c r="C605" i="2"/>
  <c r="E599" i="2"/>
  <c r="C599" i="2"/>
  <c r="E604" i="2"/>
  <c r="E601" i="2"/>
  <c r="C601" i="2"/>
  <c r="E603" i="2"/>
  <c r="C603" i="2"/>
  <c r="E600" i="2"/>
  <c r="E602" i="2"/>
  <c r="C602" i="2"/>
  <c r="E598" i="2"/>
  <c r="E597" i="2"/>
  <c r="C597" i="2"/>
  <c r="E596" i="2"/>
  <c r="E595" i="2"/>
  <c r="C595" i="2"/>
  <c r="E592" i="2"/>
  <c r="C592" i="2"/>
  <c r="E591" i="2"/>
  <c r="C591" i="2"/>
  <c r="E594" i="2"/>
  <c r="C594" i="2"/>
  <c r="E593" i="2"/>
  <c r="C593" i="2"/>
  <c r="E590" i="2"/>
  <c r="C590" i="2"/>
  <c r="E587" i="2"/>
  <c r="C587" i="2"/>
  <c r="E589" i="2"/>
  <c r="C589" i="2"/>
  <c r="E588" i="2"/>
  <c r="C588" i="2"/>
  <c r="E586" i="2"/>
  <c r="C586" i="2"/>
  <c r="E583" i="2"/>
  <c r="C583" i="2"/>
  <c r="E585" i="2"/>
  <c r="C585" i="2"/>
  <c r="E584" i="2"/>
  <c r="C584" i="2"/>
  <c r="E582" i="2"/>
  <c r="C582" i="2"/>
  <c r="E581" i="2"/>
  <c r="C581" i="2"/>
  <c r="E580" i="2"/>
  <c r="C580" i="2"/>
  <c r="E571" i="2"/>
  <c r="C571" i="2"/>
  <c r="E560" i="2"/>
  <c r="C560" i="2"/>
  <c r="E568" i="2"/>
  <c r="C568" i="2"/>
  <c r="E565" i="2"/>
  <c r="C565" i="2"/>
  <c r="E566" i="2"/>
  <c r="C566" i="2"/>
  <c r="E575" i="2"/>
  <c r="C575" i="2"/>
  <c r="E576" i="2"/>
  <c r="C576" i="2"/>
  <c r="E569" i="2"/>
  <c r="E573" i="2"/>
  <c r="C573" i="2"/>
  <c r="E578" i="2"/>
  <c r="C578" i="2"/>
  <c r="E577" i="2"/>
  <c r="C577" i="2"/>
  <c r="E563" i="2"/>
  <c r="C563" i="2"/>
  <c r="E562" i="2"/>
  <c r="C562" i="2"/>
  <c r="E579" i="2"/>
  <c r="C579" i="2"/>
  <c r="E572" i="2"/>
  <c r="C572" i="2"/>
  <c r="E567" i="2"/>
  <c r="C567" i="2"/>
  <c r="E561" i="2"/>
  <c r="C561" i="2"/>
  <c r="E574" i="2"/>
  <c r="E564" i="2"/>
  <c r="C564" i="2"/>
  <c r="E570" i="2"/>
  <c r="C570" i="2"/>
  <c r="E559" i="2"/>
  <c r="C559" i="2"/>
  <c r="E557" i="2"/>
  <c r="C557" i="2"/>
  <c r="E556" i="2"/>
  <c r="C556" i="2"/>
  <c r="E555" i="2"/>
  <c r="C555" i="2"/>
  <c r="E554" i="2"/>
  <c r="C554" i="2"/>
  <c r="E558" i="2"/>
  <c r="C558" i="2"/>
  <c r="E553" i="2"/>
  <c r="C553" i="2"/>
  <c r="E552" i="2"/>
  <c r="C552" i="2"/>
  <c r="E551" i="2"/>
  <c r="C551" i="2"/>
  <c r="E550" i="2"/>
  <c r="C550" i="2"/>
  <c r="E549" i="2"/>
  <c r="C549" i="2"/>
  <c r="E548" i="2"/>
  <c r="C548" i="2"/>
  <c r="E547" i="2"/>
  <c r="E546" i="2"/>
  <c r="C546" i="2"/>
  <c r="E545" i="2"/>
  <c r="C545" i="2"/>
  <c r="E544" i="2"/>
  <c r="C544" i="2"/>
  <c r="E543" i="2"/>
  <c r="C543" i="2"/>
  <c r="E542" i="2"/>
  <c r="C542" i="2"/>
  <c r="E541" i="2"/>
  <c r="C541" i="2"/>
  <c r="E540" i="2"/>
  <c r="C540" i="2"/>
  <c r="E539" i="2"/>
  <c r="C539" i="2"/>
  <c r="E538" i="2"/>
  <c r="C538" i="2"/>
  <c r="E537" i="2"/>
  <c r="C537" i="2"/>
  <c r="E536" i="2"/>
  <c r="C536" i="2"/>
  <c r="E535" i="2"/>
  <c r="C535" i="2"/>
  <c r="E534" i="2"/>
  <c r="C534" i="2"/>
  <c r="E533" i="2"/>
  <c r="C533" i="2"/>
  <c r="E532" i="2"/>
  <c r="C532" i="2"/>
  <c r="E531" i="2"/>
  <c r="C531" i="2"/>
  <c r="E530" i="2"/>
  <c r="C530" i="2"/>
  <c r="E529" i="2"/>
  <c r="C529" i="2"/>
  <c r="E528" i="2"/>
  <c r="E527" i="2"/>
  <c r="C527" i="2"/>
  <c r="E525" i="2"/>
  <c r="E526" i="2"/>
  <c r="C526" i="2"/>
  <c r="E524" i="2"/>
  <c r="C524" i="2"/>
  <c r="E523" i="2"/>
  <c r="C523" i="2"/>
  <c r="E522" i="2"/>
  <c r="C522" i="2"/>
  <c r="E521" i="2"/>
  <c r="C521" i="2"/>
  <c r="E520" i="2"/>
  <c r="C520" i="2"/>
  <c r="E519" i="2"/>
  <c r="C519" i="2"/>
  <c r="E518" i="2"/>
  <c r="C518" i="2"/>
  <c r="E517" i="2"/>
  <c r="C517" i="2"/>
  <c r="E516" i="2"/>
  <c r="C516" i="2"/>
  <c r="E514" i="2"/>
  <c r="C514" i="2"/>
  <c r="E513" i="2"/>
  <c r="C513" i="2"/>
  <c r="E512" i="2"/>
  <c r="C512" i="2"/>
  <c r="E511" i="2"/>
  <c r="C511" i="2"/>
  <c r="E510" i="2"/>
  <c r="C510" i="2"/>
  <c r="E508" i="2"/>
  <c r="C508" i="2"/>
  <c r="E509" i="2"/>
  <c r="C509" i="2"/>
  <c r="E505" i="2"/>
  <c r="C505" i="2"/>
  <c r="E507" i="2"/>
  <c r="C507" i="2"/>
  <c r="E506" i="2"/>
  <c r="C506" i="2"/>
  <c r="E504" i="2"/>
  <c r="E503" i="2"/>
  <c r="C503" i="2"/>
  <c r="E502" i="2"/>
  <c r="C502" i="2"/>
  <c r="E501" i="2"/>
  <c r="C501" i="2"/>
  <c r="E500" i="2"/>
  <c r="C500" i="2"/>
  <c r="E499" i="2"/>
  <c r="C499" i="2"/>
  <c r="E498" i="2"/>
  <c r="C498" i="2"/>
  <c r="E497" i="2"/>
  <c r="C497" i="2"/>
  <c r="E495" i="2"/>
  <c r="E494" i="2"/>
  <c r="C494" i="2"/>
  <c r="E493" i="2"/>
  <c r="C493" i="2"/>
  <c r="E492" i="2"/>
  <c r="C492" i="2"/>
  <c r="E491" i="2"/>
  <c r="C491" i="2"/>
  <c r="E490" i="2"/>
  <c r="C490" i="2"/>
  <c r="E489" i="2"/>
  <c r="C489" i="2"/>
  <c r="E487" i="2"/>
  <c r="C487" i="2"/>
  <c r="E488" i="2"/>
  <c r="C488" i="2"/>
  <c r="E486" i="2"/>
  <c r="C486" i="2"/>
  <c r="E485" i="2"/>
  <c r="C485" i="2"/>
  <c r="E484" i="2"/>
  <c r="E483" i="2"/>
  <c r="C483" i="2"/>
  <c r="E481" i="2"/>
  <c r="C481" i="2"/>
  <c r="E482" i="2"/>
  <c r="E480" i="2"/>
  <c r="C480" i="2"/>
  <c r="E478" i="2"/>
  <c r="C478" i="2"/>
  <c r="E479" i="2"/>
  <c r="C479" i="2"/>
  <c r="E477" i="2"/>
  <c r="C477" i="2"/>
  <c r="E476" i="2"/>
  <c r="C476" i="2"/>
  <c r="E474" i="2"/>
  <c r="E473" i="2"/>
  <c r="C473" i="2"/>
  <c r="E472" i="2"/>
  <c r="C472" i="2"/>
  <c r="E470" i="2"/>
  <c r="C470" i="2"/>
  <c r="E471" i="2"/>
  <c r="C471" i="2"/>
  <c r="E469" i="2"/>
  <c r="E466" i="2"/>
  <c r="C466" i="2"/>
  <c r="E465" i="2"/>
  <c r="C465" i="2"/>
  <c r="E468" i="2"/>
  <c r="C468" i="2"/>
  <c r="E467" i="2"/>
  <c r="C467" i="2"/>
  <c r="E464" i="2"/>
  <c r="C464" i="2"/>
  <c r="E461" i="2"/>
  <c r="C461" i="2"/>
  <c r="E462" i="2"/>
  <c r="C462" i="2"/>
  <c r="E463" i="2"/>
  <c r="C463" i="2"/>
  <c r="E460" i="2"/>
  <c r="C460" i="2"/>
  <c r="E459" i="2"/>
  <c r="C459" i="2"/>
  <c r="E456" i="2"/>
  <c r="C456" i="2"/>
  <c r="E454" i="2"/>
  <c r="E455" i="2"/>
  <c r="C455" i="2"/>
  <c r="E453" i="2"/>
  <c r="C453" i="2"/>
  <c r="E452" i="2"/>
  <c r="C452" i="2"/>
  <c r="E451" i="2"/>
  <c r="C451" i="2"/>
  <c r="E450" i="2"/>
  <c r="C450" i="2"/>
  <c r="E449" i="2"/>
  <c r="E439" i="2"/>
  <c r="C439" i="2"/>
  <c r="E436" i="2"/>
  <c r="C436" i="2"/>
  <c r="E440" i="2"/>
  <c r="C440" i="2"/>
  <c r="E448" i="2"/>
  <c r="C448" i="2"/>
  <c r="E444" i="2"/>
  <c r="C444" i="2"/>
  <c r="E438" i="2"/>
  <c r="E443" i="2"/>
  <c r="C443" i="2"/>
  <c r="E446" i="2"/>
  <c r="C446" i="2"/>
  <c r="E447" i="2"/>
  <c r="C447" i="2"/>
  <c r="E442" i="2"/>
  <c r="C442" i="2"/>
  <c r="E437" i="2"/>
  <c r="C437" i="2"/>
  <c r="E445" i="2"/>
  <c r="C445" i="2"/>
  <c r="E441" i="2"/>
  <c r="C441" i="2"/>
  <c r="E433" i="2"/>
  <c r="C433" i="2"/>
  <c r="E434" i="2"/>
  <c r="C434" i="2"/>
  <c r="E435" i="2"/>
  <c r="C435" i="2"/>
  <c r="E431" i="2"/>
  <c r="C431" i="2"/>
  <c r="E432" i="2"/>
  <c r="C432" i="2"/>
  <c r="E430" i="2"/>
  <c r="C430" i="2"/>
  <c r="E426" i="2"/>
  <c r="C426" i="2"/>
  <c r="E428" i="2"/>
  <c r="C428" i="2"/>
  <c r="E415" i="2"/>
  <c r="E427" i="2"/>
  <c r="C427" i="2"/>
  <c r="E413" i="2"/>
  <c r="E425" i="2"/>
  <c r="C425" i="2"/>
  <c r="E429" i="2"/>
  <c r="C429" i="2"/>
  <c r="E424" i="2"/>
  <c r="C424" i="2"/>
  <c r="E421" i="2"/>
  <c r="C421" i="2"/>
  <c r="E420" i="2"/>
  <c r="C420" i="2"/>
  <c r="E418" i="2"/>
  <c r="C418" i="2"/>
  <c r="E416" i="2"/>
  <c r="C416" i="2"/>
  <c r="E419" i="2"/>
  <c r="C419" i="2"/>
  <c r="E417" i="2"/>
  <c r="C417" i="2"/>
  <c r="E423" i="2"/>
  <c r="C423" i="2"/>
  <c r="E422" i="2"/>
  <c r="C422" i="2"/>
  <c r="E414" i="2"/>
  <c r="C414" i="2"/>
  <c r="E412" i="2"/>
  <c r="C412" i="2"/>
  <c r="E409" i="2"/>
  <c r="C409" i="2"/>
  <c r="E408" i="2"/>
  <c r="C408" i="2"/>
  <c r="E410" i="2"/>
  <c r="C410" i="2"/>
  <c r="E411" i="2"/>
  <c r="C411" i="2"/>
  <c r="E406" i="2"/>
  <c r="C406" i="2"/>
  <c r="E407" i="2"/>
  <c r="C407" i="2"/>
  <c r="E405" i="2"/>
  <c r="E400" i="2"/>
  <c r="C400" i="2"/>
  <c r="E404" i="2"/>
  <c r="C404" i="2"/>
  <c r="E403" i="2"/>
  <c r="C403" i="2"/>
  <c r="E402" i="2"/>
  <c r="C402" i="2"/>
  <c r="E401" i="2"/>
  <c r="C401" i="2"/>
  <c r="E399" i="2"/>
  <c r="C399" i="2"/>
  <c r="E398" i="2"/>
  <c r="C398" i="2"/>
  <c r="E397" i="2"/>
  <c r="C397" i="2"/>
  <c r="E396" i="2"/>
  <c r="C396" i="2"/>
  <c r="E395" i="2"/>
  <c r="C395" i="2"/>
  <c r="E394" i="2"/>
  <c r="C394" i="2"/>
  <c r="E392" i="2"/>
  <c r="C392" i="2"/>
  <c r="E391" i="2"/>
  <c r="E388" i="2"/>
  <c r="C388" i="2"/>
  <c r="E387" i="2"/>
  <c r="C387" i="2"/>
  <c r="E389" i="2"/>
  <c r="E386" i="2"/>
  <c r="C386" i="2"/>
  <c r="E390" i="2"/>
  <c r="C390" i="2"/>
  <c r="E385" i="2"/>
  <c r="C385" i="2"/>
  <c r="E384" i="2"/>
  <c r="C384" i="2"/>
  <c r="E381" i="2"/>
  <c r="C381" i="2"/>
  <c r="E383" i="2"/>
  <c r="C383" i="2"/>
  <c r="E382" i="2"/>
  <c r="C382" i="2"/>
  <c r="E380" i="2"/>
  <c r="C380" i="2"/>
  <c r="E379" i="2"/>
  <c r="C379" i="2"/>
  <c r="E377" i="2"/>
  <c r="E378" i="2"/>
  <c r="C378" i="2"/>
  <c r="E375" i="2"/>
  <c r="C375" i="2"/>
  <c r="E374" i="2"/>
  <c r="C374" i="2"/>
  <c r="E373" i="2"/>
  <c r="C373" i="2"/>
  <c r="E372" i="2"/>
  <c r="C372" i="2"/>
  <c r="E370" i="2"/>
  <c r="C370" i="2"/>
  <c r="E371" i="2"/>
  <c r="C371" i="2"/>
  <c r="E369" i="2"/>
  <c r="C369" i="2"/>
  <c r="E368" i="2"/>
  <c r="C368" i="2"/>
  <c r="E367" i="2"/>
  <c r="C367" i="2"/>
  <c r="E365" i="2"/>
  <c r="E364" i="2"/>
  <c r="C364" i="2"/>
  <c r="E358" i="2"/>
  <c r="C358" i="2"/>
  <c r="E354" i="2"/>
  <c r="E357" i="2"/>
  <c r="C357" i="2"/>
  <c r="E356" i="2"/>
  <c r="C356" i="2"/>
  <c r="E355" i="2"/>
  <c r="C355" i="2"/>
  <c r="E352" i="2"/>
  <c r="C352" i="2"/>
  <c r="E346" i="2"/>
  <c r="C346" i="2"/>
  <c r="E345" i="2"/>
  <c r="E342" i="2"/>
  <c r="C342" i="2"/>
  <c r="E341" i="2"/>
  <c r="C341" i="2"/>
  <c r="E340" i="2"/>
  <c r="C340" i="2"/>
  <c r="E339" i="2"/>
  <c r="C339" i="2"/>
  <c r="E338" i="2"/>
  <c r="C338" i="2"/>
  <c r="E337" i="2"/>
  <c r="C337" i="2"/>
  <c r="E336" i="2"/>
  <c r="C336" i="2"/>
  <c r="E334" i="2"/>
  <c r="C334" i="2"/>
  <c r="E335" i="2"/>
  <c r="C335" i="2"/>
  <c r="E332" i="2"/>
  <c r="C332" i="2"/>
  <c r="E330" i="2"/>
  <c r="C330" i="2"/>
  <c r="E328" i="2"/>
  <c r="E329" i="2"/>
  <c r="C329" i="2"/>
  <c r="E331" i="2"/>
  <c r="C331" i="2"/>
  <c r="E327" i="2"/>
  <c r="C327" i="2"/>
  <c r="E322" i="2"/>
  <c r="C322" i="2"/>
  <c r="E324" i="2"/>
  <c r="C324" i="2"/>
  <c r="E326" i="2"/>
  <c r="C326" i="2"/>
  <c r="E323" i="2"/>
  <c r="E325" i="2"/>
  <c r="C325" i="2"/>
  <c r="E317" i="2"/>
  <c r="E320" i="2"/>
  <c r="C320" i="2"/>
  <c r="E321" i="2"/>
  <c r="C321" i="2"/>
  <c r="E318" i="2"/>
  <c r="C318" i="2"/>
  <c r="E319" i="2"/>
  <c r="C319" i="2"/>
  <c r="E316" i="2"/>
  <c r="C316" i="2"/>
  <c r="E313" i="2"/>
  <c r="C313" i="2"/>
  <c r="E312" i="2"/>
  <c r="C312" i="2"/>
  <c r="E314" i="2"/>
  <c r="C314" i="2"/>
  <c r="E311" i="2"/>
  <c r="C311" i="2"/>
  <c r="E310" i="2"/>
  <c r="C310" i="2"/>
  <c r="E309" i="2"/>
  <c r="C309" i="2"/>
  <c r="E308" i="2"/>
  <c r="C308" i="2"/>
  <c r="E307" i="2"/>
  <c r="C307" i="2"/>
  <c r="E306" i="2"/>
  <c r="C306" i="2"/>
  <c r="E305" i="2"/>
  <c r="C305" i="2"/>
  <c r="E303" i="2"/>
  <c r="C303" i="2"/>
  <c r="E304" i="2"/>
  <c r="E302" i="2"/>
  <c r="C302" i="2"/>
  <c r="E301" i="2"/>
  <c r="C301" i="2"/>
  <c r="E298" i="2"/>
  <c r="C298" i="2"/>
  <c r="E297" i="2"/>
  <c r="C297" i="2"/>
  <c r="E296" i="2"/>
  <c r="C296" i="2"/>
  <c r="E295" i="2"/>
  <c r="C295" i="2"/>
  <c r="E294" i="2"/>
  <c r="C294" i="2"/>
  <c r="E290" i="2"/>
  <c r="C290" i="2"/>
  <c r="E289" i="2"/>
  <c r="C289" i="2"/>
  <c r="E291" i="2"/>
  <c r="E288" i="2"/>
  <c r="C288" i="2"/>
  <c r="E287" i="2"/>
  <c r="C287" i="2"/>
  <c r="E282" i="2"/>
  <c r="C282" i="2"/>
  <c r="E281" i="2"/>
  <c r="C281" i="2"/>
  <c r="E277" i="2"/>
  <c r="C277" i="2"/>
  <c r="E275" i="2"/>
  <c r="E276" i="2"/>
  <c r="C276" i="2"/>
  <c r="E272" i="2"/>
  <c r="C272" i="2"/>
  <c r="E265" i="2"/>
  <c r="C265" i="2"/>
  <c r="E264" i="2"/>
  <c r="C264" i="2"/>
  <c r="E263" i="2"/>
  <c r="C263" i="2"/>
  <c r="E262" i="2"/>
  <c r="C262" i="2"/>
  <c r="E259" i="2"/>
  <c r="C259" i="2"/>
  <c r="E261" i="2"/>
  <c r="C261" i="2"/>
  <c r="E260" i="2"/>
  <c r="C260" i="2"/>
  <c r="E258" i="2"/>
  <c r="C258" i="2"/>
  <c r="E257" i="2"/>
  <c r="C257" i="2"/>
  <c r="E256" i="2"/>
  <c r="C256" i="2"/>
  <c r="E255" i="2"/>
  <c r="C255" i="2"/>
  <c r="E254" i="2"/>
  <c r="C254" i="2"/>
  <c r="E252" i="2"/>
  <c r="C252" i="2"/>
  <c r="E251" i="2"/>
  <c r="C251" i="2"/>
  <c r="E253" i="2"/>
  <c r="E250" i="2"/>
  <c r="C250" i="2"/>
  <c r="E247" i="2"/>
  <c r="C247" i="2"/>
  <c r="E246" i="2"/>
  <c r="C246" i="2"/>
  <c r="E248" i="2"/>
  <c r="C248" i="2"/>
  <c r="E245" i="2"/>
  <c r="C245" i="2"/>
  <c r="E238" i="2"/>
  <c r="C238" i="2"/>
  <c r="E241" i="2"/>
  <c r="C241" i="2"/>
  <c r="E240" i="2"/>
  <c r="C240" i="2"/>
  <c r="E236" i="2"/>
  <c r="E239" i="2"/>
  <c r="C239" i="2"/>
  <c r="E237" i="2"/>
  <c r="C237" i="2"/>
  <c r="E243" i="2"/>
  <c r="C243" i="2"/>
  <c r="E242" i="2"/>
  <c r="C242" i="2"/>
  <c r="E244" i="2"/>
  <c r="C244" i="2"/>
  <c r="E233" i="2"/>
  <c r="C233" i="2"/>
  <c r="E235" i="2"/>
  <c r="C235" i="2"/>
  <c r="E234" i="2"/>
  <c r="C234" i="2"/>
  <c r="E228" i="2"/>
  <c r="C228" i="2"/>
  <c r="E230" i="2"/>
  <c r="C230" i="2"/>
  <c r="E229" i="2"/>
  <c r="C229" i="2"/>
  <c r="E227" i="2"/>
  <c r="C227" i="2"/>
  <c r="E232" i="2"/>
  <c r="C232" i="2"/>
  <c r="E226" i="2"/>
  <c r="E231" i="2"/>
  <c r="C231" i="2"/>
  <c r="E225" i="2"/>
  <c r="C225" i="2"/>
  <c r="E224" i="2"/>
  <c r="C224" i="2"/>
  <c r="E223" i="2"/>
  <c r="C223" i="2"/>
  <c r="E222" i="2"/>
  <c r="C222" i="2"/>
  <c r="E211" i="2"/>
  <c r="C211" i="2"/>
  <c r="E212" i="2"/>
  <c r="E210" i="2"/>
  <c r="C210" i="2"/>
  <c r="E209" i="2"/>
  <c r="C209" i="2"/>
  <c r="E216" i="2"/>
  <c r="C216" i="2"/>
  <c r="E207" i="2"/>
  <c r="E215" i="2"/>
  <c r="C215" i="2"/>
  <c r="E208" i="2"/>
  <c r="C208" i="2"/>
  <c r="E213" i="2"/>
  <c r="C213" i="2"/>
  <c r="E214" i="2"/>
  <c r="C214" i="2"/>
  <c r="E206" i="2"/>
  <c r="C206" i="2"/>
  <c r="E204" i="2"/>
  <c r="C204" i="2"/>
  <c r="E203" i="2"/>
  <c r="C203" i="2"/>
  <c r="E205" i="2"/>
  <c r="C205" i="2"/>
  <c r="E202" i="2"/>
  <c r="E196" i="2"/>
  <c r="C196" i="2"/>
  <c r="E195" i="2"/>
  <c r="C195" i="2"/>
  <c r="E194" i="2"/>
  <c r="C194" i="2"/>
  <c r="E191" i="2"/>
  <c r="C191" i="2"/>
  <c r="E193" i="2"/>
  <c r="E190" i="2"/>
  <c r="C190" i="2"/>
  <c r="E189" i="2"/>
  <c r="C189" i="2"/>
  <c r="E188" i="2"/>
  <c r="C188" i="2"/>
  <c r="E187" i="2"/>
  <c r="C187" i="2"/>
  <c r="E186" i="2"/>
  <c r="C186" i="2"/>
  <c r="E192" i="2"/>
  <c r="C192" i="2"/>
  <c r="E183" i="2"/>
  <c r="C183" i="2"/>
  <c r="E181" i="2"/>
  <c r="C181" i="2"/>
  <c r="E180" i="2"/>
  <c r="C180" i="2"/>
  <c r="E179" i="2"/>
  <c r="C179" i="2"/>
  <c r="E178" i="2"/>
  <c r="C178" i="2"/>
  <c r="E177" i="2"/>
  <c r="E176" i="2"/>
  <c r="C176" i="2"/>
  <c r="E171" i="2"/>
  <c r="C171" i="2"/>
  <c r="E170" i="2"/>
  <c r="C170" i="2"/>
  <c r="E173" i="2"/>
  <c r="C173" i="2"/>
  <c r="E172" i="2"/>
  <c r="E167" i="2"/>
  <c r="C167" i="2"/>
  <c r="E168" i="2"/>
  <c r="C168" i="2"/>
  <c r="E169" i="2"/>
  <c r="C169" i="2"/>
  <c r="E165" i="2"/>
  <c r="C165" i="2"/>
  <c r="E164" i="2"/>
  <c r="C164" i="2"/>
  <c r="E163" i="2"/>
  <c r="C163" i="2"/>
  <c r="E162" i="2"/>
  <c r="C162" i="2"/>
  <c r="E161" i="2"/>
  <c r="C161" i="2"/>
  <c r="E156" i="2"/>
  <c r="C156" i="2"/>
  <c r="E155" i="2"/>
  <c r="C155" i="2"/>
  <c r="E154" i="2"/>
  <c r="C154" i="2"/>
  <c r="E153" i="2"/>
  <c r="C153" i="2"/>
  <c r="E150" i="2"/>
  <c r="C150" i="2"/>
  <c r="E151" i="2"/>
  <c r="C151" i="2"/>
  <c r="E148" i="2"/>
  <c r="C148" i="2"/>
  <c r="E152" i="2"/>
  <c r="C152" i="2"/>
  <c r="E149" i="2"/>
  <c r="E146" i="2"/>
  <c r="C146" i="2"/>
  <c r="E137" i="2"/>
  <c r="C137" i="2"/>
  <c r="E133" i="2"/>
  <c r="C133" i="2"/>
  <c r="E132" i="2"/>
  <c r="C132" i="2"/>
  <c r="E131" i="2"/>
  <c r="C131" i="2"/>
  <c r="E130" i="2"/>
  <c r="C130" i="2"/>
  <c r="E129" i="2"/>
  <c r="C129" i="2"/>
  <c r="E121" i="2"/>
  <c r="C121" i="2"/>
  <c r="E120" i="2"/>
  <c r="C120" i="2"/>
  <c r="E119" i="2"/>
  <c r="C119" i="2"/>
  <c r="E112" i="2"/>
  <c r="C112" i="2"/>
  <c r="E111" i="2"/>
  <c r="C111" i="2"/>
  <c r="E113" i="2"/>
  <c r="E110" i="2"/>
  <c r="C110" i="2"/>
  <c r="E108" i="2"/>
  <c r="C108" i="2"/>
  <c r="E107" i="2"/>
  <c r="C107" i="2"/>
  <c r="E106" i="2"/>
  <c r="C106" i="2"/>
  <c r="E105" i="2"/>
  <c r="C105" i="2"/>
  <c r="E103" i="2"/>
  <c r="C103" i="2"/>
  <c r="E104" i="2"/>
  <c r="E102" i="2"/>
  <c r="C102" i="2"/>
  <c r="E101" i="2"/>
  <c r="C101" i="2"/>
  <c r="E97" i="2"/>
  <c r="E99" i="2"/>
  <c r="C99" i="2"/>
  <c r="E98" i="2"/>
  <c r="C98" i="2"/>
  <c r="E95" i="2"/>
  <c r="C95" i="2"/>
  <c r="E96" i="2"/>
  <c r="E94" i="2"/>
  <c r="C94" i="2"/>
  <c r="E89" i="2"/>
  <c r="C89" i="2"/>
  <c r="E91" i="2"/>
  <c r="C91" i="2"/>
  <c r="E90" i="2"/>
  <c r="C90" i="2"/>
  <c r="E87" i="2"/>
  <c r="C87" i="2"/>
  <c r="E85" i="2"/>
  <c r="C85" i="2"/>
  <c r="E82" i="2"/>
  <c r="C82" i="2"/>
  <c r="E81" i="2"/>
  <c r="C81" i="2"/>
  <c r="E78" i="2"/>
  <c r="C78" i="2"/>
  <c r="E79" i="2"/>
  <c r="C79" i="2"/>
  <c r="E77" i="2"/>
  <c r="C77" i="2"/>
  <c r="E76" i="2"/>
  <c r="C76" i="2"/>
  <c r="E75" i="2"/>
  <c r="C75" i="2"/>
  <c r="E65" i="2"/>
  <c r="C65" i="2"/>
  <c r="E64" i="2"/>
  <c r="C64" i="2"/>
  <c r="E63" i="2"/>
  <c r="C63" i="2"/>
  <c r="E16" i="2"/>
  <c r="C16" i="2"/>
  <c r="E15" i="2"/>
  <c r="C15" i="2"/>
  <c r="E14" i="2"/>
  <c r="C14" i="2"/>
  <c r="E13" i="2"/>
  <c r="C13" i="2"/>
  <c r="E12" i="2"/>
  <c r="C12" i="2"/>
</calcChain>
</file>

<file path=xl/sharedStrings.xml><?xml version="1.0" encoding="utf-8"?>
<sst xmlns="http://schemas.openxmlformats.org/spreadsheetml/2006/main" count="3310" uniqueCount="2689">
  <si>
    <t>Factors explaining the innovative output of firms in the Dutch agrifood industry</t>
  </si>
  <si>
    <t>Batterink, Maarten &amp; Emiel Wubben, Onno Omato</t>
  </si>
  <si>
    <t>Universiteit Wageningen</t>
  </si>
  <si>
    <t>Factors related to innovative output in the Dutch agrifood industry</t>
  </si>
  <si>
    <t>Batterink, M.H. &amp; E.F.M. Wubben, S.W.F. Omta (WUR)</t>
  </si>
  <si>
    <t>Competition and innovation: Together a tricky rollercoaster for productivity</t>
  </si>
  <si>
    <t>Wiel, H.P. van der</t>
  </si>
  <si>
    <t>Universiteit Tilburg:CentER</t>
  </si>
  <si>
    <t>Competition law and profits: A dynamic panel data analysis for Dutch manufacturing firms</t>
  </si>
  <si>
    <t>Brouwer, E. &amp; Ozbugday, F.C.</t>
  </si>
  <si>
    <t>Applied Economics Letters, 19(12), 1203-1206</t>
  </si>
  <si>
    <t>Competition Law, Networks and Innovation</t>
  </si>
  <si>
    <t>Applied Economics Letters, 19(8), 775-778</t>
  </si>
  <si>
    <t>Beers, Cees van &amp; Fardad Zand</t>
  </si>
  <si>
    <t>CBS</t>
  </si>
  <si>
    <t>Beers, Cees van</t>
  </si>
  <si>
    <t>TUD</t>
  </si>
  <si>
    <t>Beers, Cees van, Fardad Zand</t>
  </si>
  <si>
    <t>Mammography Screening and Risk of Breast Cancer Death: A Population-Based Case -Control Study</t>
  </si>
  <si>
    <t>Otto, Suzie J., Jacques Fracheboud, André L.M. Verbeek, et al.</t>
  </si>
  <si>
    <t>Cancer Epidemiology, biomarkers &amp; prevention</t>
  </si>
  <si>
    <t>Smit, M. J., Abreu, M., &amp; de Groot, H. L. F.</t>
  </si>
  <si>
    <t>Papers in Regional Science</t>
  </si>
  <si>
    <t>DE VAART DER VOLKEREN Buitenlandse bedrijven en hun werknemers in Amsterdam en de rest van Nederland</t>
  </si>
  <si>
    <t>Smit Martijn J., Jan Möhlmann, Otto Raspe &amp; Henri L.F. de Groot</t>
  </si>
  <si>
    <t>Planbureau voor de Leefomgeving</t>
  </si>
  <si>
    <t>Innovation through new blood</t>
  </si>
  <si>
    <t>Smit, J. Martijn</t>
  </si>
  <si>
    <t>The Annals of Regional Science</t>
  </si>
  <si>
    <t>Following Your Job</t>
  </si>
  <si>
    <t>Smit, Martijn</t>
  </si>
  <si>
    <t>Papers in Evolutionary Economic Geography</t>
  </si>
  <si>
    <t>The relationship between competition and innovation: measuring innovation and causality</t>
  </si>
  <si>
    <t>Lamoen, Ryan van</t>
  </si>
  <si>
    <t>Ridderprint, Ridderkerk</t>
  </si>
  <si>
    <t>Producing Innovations: Determinants of Innovativity and Efficiency</t>
  </si>
  <si>
    <t xml:space="preserve">Bos, J.W.B. &amp;  R.C.R. van Lamoen </t>
  </si>
  <si>
    <t>University Maastricht</t>
  </si>
  <si>
    <t>Atlas voor Gemeenten</t>
  </si>
  <si>
    <t>Woerkens, Clemens van</t>
  </si>
  <si>
    <t>VOC-uitgevers</t>
  </si>
  <si>
    <t>Peeters, T. &amp; Martin X.</t>
  </si>
  <si>
    <t>Breast cancer screening effectiveness and the case-referent design: a well matched pair</t>
  </si>
  <si>
    <t>Paap, Ellen</t>
  </si>
  <si>
    <t>UMC_RUN</t>
  </si>
  <si>
    <t>Breast cancer screening halves the risk of breast cancer death: A case-referent study</t>
  </si>
  <si>
    <t>Paap, E. et al.</t>
  </si>
  <si>
    <t>The Breast</t>
  </si>
  <si>
    <t>Minor influence of self-selection bias on the effectiveness of breast cancer screening in case-control studies in the Netherlands</t>
  </si>
  <si>
    <t>Paap, Ellen &amp; Andre Verbeek, Donella Puliti, Mireille Broeders and Eugenio Paci</t>
  </si>
  <si>
    <t>Journal of Medical Screening, Vol. 18</t>
  </si>
  <si>
    <t>Energiebesparing in Nederland 2000-2010</t>
  </si>
  <si>
    <t>Gerdes, J. &amp; P. Boonekamp</t>
  </si>
  <si>
    <t>ECN-E--12-061</t>
  </si>
  <si>
    <t>Figarska SM, Vonk JM, van Diemen CC, Postma DS, Boezen HM</t>
  </si>
  <si>
    <t>Figarska SM, Boezen HM, Vonk JM</t>
  </si>
  <si>
    <t>NFE2L2 polymorphisms, mortality, and metabolism in the general population</t>
  </si>
  <si>
    <t>Figarska SM, Vonk JM, Boezen HM</t>
  </si>
  <si>
    <t>Physiol Genomics 15;46(12):411-7</t>
  </si>
  <si>
    <t>Serum uric acid levels and cancer mortality risk among males in a large general population-based cohort study</t>
  </si>
  <si>
    <t>Taghizadeh, N. , J. M. Vonk &amp; H. M. Boezen</t>
  </si>
  <si>
    <t>Cancer Causes Control 25:1075-1080. DOI 10.1007/s10552-014-0408-0</t>
  </si>
  <si>
    <t>SIRT1 polymorphism, long-term survival and glucose tolerance in the general population</t>
  </si>
  <si>
    <t>PLoS One;8(3):e58636</t>
  </si>
  <si>
    <t>The Economic Performance Report on the EU Fish Processing (STECF-14-21)</t>
  </si>
  <si>
    <t>Scientific, Technical and Economic Committee for Fisheries (STECF)</t>
  </si>
  <si>
    <t>Publications Office of the European Union, EUR 27029 EN, JRC 93340, 355pp.</t>
  </si>
  <si>
    <t>Immigrant entrepreneurship on the move: a longitudinal analysis of first and second generation immigrant entrepreneurship in the Netherlands</t>
  </si>
  <si>
    <t>Beckers, Pascal &amp; Boris F. Blumberg</t>
  </si>
  <si>
    <t>UNU-MERIT</t>
  </si>
  <si>
    <t>Immigrant entrepreneurship on the move: a longitudinal analysis of first-and second-generation immigrant entrepreneurship in the Netherlands</t>
  </si>
  <si>
    <t>Entrepreneurship &amp; Regional Development</t>
  </si>
  <si>
    <t>Segregation in neighbourhoods and labour market outcomes of immigrants: Evidence from random assignment in the Netherlands</t>
  </si>
  <si>
    <t>Beckers, Pascal &amp; Lex Borghans</t>
  </si>
  <si>
    <t>UNU_MERIT</t>
  </si>
  <si>
    <t>Fouarge, Didier &amp; Merve Özer</t>
  </si>
  <si>
    <t>Methodiek arbeidsmarktprognoses en -indicatoren 2013-2018</t>
  </si>
  <si>
    <t>Clerx,R., F. Cörvers, S. Dijksman, D. Fouarge &amp; A. Künn-Nelen</t>
  </si>
  <si>
    <t>ROA-TR-2014/3</t>
  </si>
  <si>
    <t>Regionale arbeidsmarktprognoses 2013-2018, methodiek en resultaten</t>
  </si>
  <si>
    <t>Clerx, Rick, Frank Cörvers &amp; Didier Fouarge</t>
  </si>
  <si>
    <t>Hoogopgeleiden eerder met pensioen dan laagopgeleiden: 'Is dit wel rechtvaardig?</t>
  </si>
  <si>
    <t xml:space="preserve">Montizaan, Raymond </t>
  </si>
  <si>
    <t>de Volkskrant</t>
  </si>
  <si>
    <t>How Social Background Affects Educational Attainment over Time in the Netherlands. In: Determined to Succeed? Performance versus Choice in Educational Attainment, pp. 89-115</t>
  </si>
  <si>
    <t>Büchner, Charlotte &amp; Rolf van der Velden</t>
  </si>
  <si>
    <t>Stanford CA: Stanford University Press</t>
  </si>
  <si>
    <t>Personality and Field of Study Choice</t>
  </si>
  <si>
    <t>Humburg, Martin</t>
  </si>
  <si>
    <t>ROA Research Memorandum 1</t>
  </si>
  <si>
    <t>Social background, educational attainment and labor market integration: an exploration of underlying processes and dynamics</t>
  </si>
  <si>
    <t>Büchner, Charlotte</t>
  </si>
  <si>
    <t>ROA, Maastricht University</t>
  </si>
  <si>
    <t>Social Background's Effect on Educational Attainment: Does Method Matter?</t>
  </si>
  <si>
    <t>Büchner, Charlotte, Rolf van der Velden &amp; Maarten Wolbers</t>
  </si>
  <si>
    <t>ROA-Research Memorandum, No. 2013/1</t>
  </si>
  <si>
    <t>The Effect oof Venture Capital Innovation Stratgies</t>
  </si>
  <si>
    <t>Rin, Marco Da &amp; María Fabiana Penas</t>
  </si>
  <si>
    <t>CenTer</t>
  </si>
  <si>
    <t>Inkomenspositie bij buitenechtelijke geboorte</t>
  </si>
  <si>
    <t>Kalmijn, M.; Monden, Christiaan; de Vries, J.</t>
  </si>
  <si>
    <t>ESB</t>
  </si>
  <si>
    <t>Home production and the allocation of time and consumption over the life cycle</t>
  </si>
  <si>
    <t>Ree, Joppe de, Rob Alessie</t>
  </si>
  <si>
    <t>Netspar</t>
  </si>
  <si>
    <t>Schram-Bijkerk, D. and R. P. Bogers</t>
  </si>
  <si>
    <t>RIVM rapport 630450001</t>
  </si>
  <si>
    <t>Bogers, R. P., F. E. van Leeuwen, L. Grievink, L. J. Schouten, L. A. Kiemeney and D. Schram-Bijkerk</t>
  </si>
  <si>
    <t>Cancer Epidemiol</t>
  </si>
  <si>
    <t>Gender-specific spatial interactions on Dutch regional labour markets and the gender employment gap</t>
  </si>
  <si>
    <t>Noback, Inge, Lourens Broersma &amp; Jouke van Dijk</t>
  </si>
  <si>
    <t>MICRO-DYN Working Paper no. 25/10</t>
  </si>
  <si>
    <t>Hiring by skill in innovative and non-innovative firms. An explorative comparison using German and Dutch matched employer-employee data bases.</t>
  </si>
  <si>
    <t>Broersma, Lourens, Andreas Koch &amp; Bas Rekveldt</t>
  </si>
  <si>
    <t>MICRO-DYN Working Paper no. 05/10</t>
  </si>
  <si>
    <t>New technologies, new challenges, what policies? The impact of innovation on European labour markets and corresponding policy implications. In: The competitiveness of firms, regions and industriesin the knowledge-based_x000D_
economy. A Summary of Policy Conclusions</t>
  </si>
  <si>
    <t>Broersma, Lourens</t>
  </si>
  <si>
    <t>Micro-Dyn newsletter No. 5</t>
  </si>
  <si>
    <t>Regieli, Jakub J.</t>
  </si>
  <si>
    <t>Analyses of Sickness Absence</t>
  </si>
  <si>
    <t>Heijnen, Suzanne M.M.</t>
  </si>
  <si>
    <t>UU USE</t>
  </si>
  <si>
    <t>Circumstances of death in adult congenital heart disease</t>
  </si>
  <si>
    <t>Zomer AC, Vaartjes I, Uiterwaal CSPM, van der Velde ET, van den Merkhof LFM, Baur LHB, Ansink TJM, Cozijnsen L, Pieper PG, Meijboom FJ, Grobbee DE &amp; Mulder BJM</t>
  </si>
  <si>
    <t>Int J Cardiol.;154:168-172</t>
  </si>
  <si>
    <t>Congenital heart disease may hurt men more than women in job participation</t>
  </si>
  <si>
    <t>Sluman MA, Zomer AC, Vaartjes I, Bouma BJ &amp; Mulder BJM</t>
  </si>
  <si>
    <t>Int J Cardiol.;172:230-232</t>
  </si>
  <si>
    <t>Mortality in adult congenital heart disease: Are national registries reliable for cause of death?</t>
  </si>
  <si>
    <t>Zomer AC, Uiterwaal CSPM, der Velde ET van, Tijssen JGP, Mariman ECM, Verheugt CL, Vaartjes I, Pieper PG, Meijboom FJ, Grobbee DE &amp; Mulder BJM</t>
  </si>
  <si>
    <t>Int J Cardiol. 2011;152:212-217</t>
  </si>
  <si>
    <t>Sex Differences in Hospital Mortality in Adults With Congenital Heart Disease: The Impact of Reproductive Health</t>
  </si>
  <si>
    <t>Zomer AC, Ionescu-Ittu R, Vaartjes I, Pilote L, Mackie AS, Therrien J, Langemeijer MM, Grobbee DE, Mulder BJM &amp; Marelli AJ.</t>
  </si>
  <si>
    <t xml:space="preserve"> J Am Coll Cardiol.;62:58-67</t>
  </si>
  <si>
    <t>Social Burden and Lifestyle in Adults With Congenital Heart Disease</t>
  </si>
  <si>
    <t>Zomer AC, Vaartjes I, Uiterwaal CSP, van der Velde ET, Sieswerda G-JT, Wajon EMC, Plomp K, van Bergen PFM, Verheugt CL, Krivka E, de Vries CJ, Lok DJA, Grobbee DE &amp;  Mulder BJM</t>
  </si>
  <si>
    <t>Am J Cardiol.;109:1657-1663</t>
  </si>
  <si>
    <t>Kwanttitatief effect WWB</t>
  </si>
  <si>
    <t>Tempelman, Caren</t>
  </si>
  <si>
    <t>Do Incentives for Municipalities Reduce the Welfare Caseload? Evaluation of aWelfare Reform in the Netherlands</t>
  </si>
  <si>
    <t>Kok Lucy, Caren Tempelman, Pierre Koning, Lennart Kroon &amp; Caroline Berden</t>
  </si>
  <si>
    <t>Springer</t>
  </si>
  <si>
    <t>Modelling blood safety</t>
  </si>
  <si>
    <t>Janssen, M.P.</t>
  </si>
  <si>
    <t>Universiteit Utrecht</t>
  </si>
  <si>
    <t>The PROTON study; Profiles of transfusion recipients in the Netherlands</t>
  </si>
  <si>
    <t>Borkent-Raven, Barbara</t>
  </si>
  <si>
    <t>Exportavonturen Nederlandse ondernemingen vaak van korte duur</t>
  </si>
  <si>
    <t>Lejour, A.M.</t>
  </si>
  <si>
    <t>Me Judice, jaargang 6</t>
  </si>
  <si>
    <t>Market Entry and Economic Diplomacy</t>
  </si>
  <si>
    <t>Creusen, H. &amp; A.M. Lejour</t>
  </si>
  <si>
    <t>Applied Economic Letters 20(5), 504-507</t>
  </si>
  <si>
    <t>CPB Discussion Paper 258</t>
  </si>
  <si>
    <t>The duration of Dutch export relations: decomposing firm country and product characteristics</t>
  </si>
  <si>
    <t>De Economist 163(2),  155-176.</t>
  </si>
  <si>
    <t>Using Stepping Stones to Enter Distant Export Markets</t>
  </si>
  <si>
    <t>Global Economy Journal 15(1),  107-132</t>
  </si>
  <si>
    <t>Regional wage differences in the Netherlands: micro evidence on agglomeration externalities</t>
  </si>
  <si>
    <t>Groot, S.P.T., H.L.F. de Groot en M.J.M. Smit</t>
  </si>
  <si>
    <t>Journal of Regional Science (accepted for publication and available online)</t>
  </si>
  <si>
    <t>The educational bias in commuting patterns</t>
  </si>
  <si>
    <t>Groot, S.P.T., H.L.F. de Groot en P. Veneri</t>
  </si>
  <si>
    <t>TI Discussion Paper 2012-080/3</t>
  </si>
  <si>
    <t>Wage inequality in the Netherlands: evidence, trends and explanations</t>
  </si>
  <si>
    <t>Groot, S.P.T. en H.L.F. de Groot</t>
  </si>
  <si>
    <t>CPB Discussion Paper 186</t>
  </si>
  <si>
    <t>A simple correction to remove the Bias of Gini</t>
  </si>
  <si>
    <t>Kippersluis, Hans van &amp; Tom van Ourti</t>
  </si>
  <si>
    <t>Erasmus Universiteit Rotterdam</t>
  </si>
  <si>
    <t>Langer leren om langer te leven</t>
  </si>
  <si>
    <t>Kippersluis, Hans van &amp; Eddy van Doorslaer</t>
  </si>
  <si>
    <t>Socioeconomic Difference in Heath over the Life Cycle: Evidence and Explanations</t>
  </si>
  <si>
    <t>Doorslaer, Eddy van &amp; Hans van Kippersluis, Owen O'Donnell, Tom van Ourti</t>
  </si>
  <si>
    <t>The Bias of the Gini Coefficient Due to Grouping: Revisiting first order Corrections</t>
  </si>
  <si>
    <t>Ourti, Tom van &amp; Philip Clarke</t>
  </si>
  <si>
    <t>EUR_FEW</t>
  </si>
  <si>
    <t>Social support substitution and the earnings rebound: Evidence from a regression discontinuity in disability insurance reform</t>
  </si>
  <si>
    <t>Borghans, Lex, Anne Gielen &amp; Erzo Luttmer</t>
  </si>
  <si>
    <t>American Economic Journal: Economic Policy, 6(4), pp. 34-70</t>
  </si>
  <si>
    <t>Quality of care. In: Health at a glance 2013. OECD indicators.</t>
  </si>
  <si>
    <t>OECD</t>
  </si>
  <si>
    <t>OECD Publishing</t>
  </si>
  <si>
    <t>Berg, MJ van den, D de Boer, R Gijsen, R Heijink, LCM Limburg &amp; SLN Zwakhals</t>
  </si>
  <si>
    <t>RIVM</t>
  </si>
  <si>
    <t>Tuit, S. and J.C. van Ours.</t>
  </si>
  <si>
    <t>Economics Letters , 109, 105-107.</t>
  </si>
  <si>
    <t>CentER discussion paper No 10-07</t>
  </si>
  <si>
    <t xml:space="preserve">Hullegie, P. and J.C. van Ours_x000D_
</t>
  </si>
  <si>
    <t>CentER discussion paper No 13-28</t>
  </si>
  <si>
    <t>Wage structure and labor mobility in the Netherlands 1999-2003, the structure of wages an intenational comparison</t>
  </si>
  <si>
    <t>Kriechel, Ben</t>
  </si>
  <si>
    <t>Actieve ouderen en de arbeidsmarkt: de beloning. In: Bevolkingsvraagstukken in Nederland anno 2012. Actief ouder worden in Nederland. Werkverband Periodieke Rapportage Bevolkingsvraagstukken (WPRB)</t>
  </si>
  <si>
    <t>Deelen, A. ,R.W. Euwals en D.J. van Vuuren</t>
  </si>
  <si>
    <t>NIDI-boek nr. 86</t>
  </si>
  <si>
    <t>Is Part-time Employment Here To Stay? Evidence from the Dutch Labour Force Survey 1992-2005</t>
  </si>
  <si>
    <t>Bosch, N. , A. Deelen &amp; R. Euwals</t>
  </si>
  <si>
    <t>CPB Discussion Paper 100, Den Haag</t>
  </si>
  <si>
    <t>Is Part-time Employment Here to Stay? Working Hours of Dutch Women over Successive Generations</t>
  </si>
  <si>
    <t>Labour, Vol. 24, no. 1</t>
  </si>
  <si>
    <t>Loongebouw overheid en mobiliteit</t>
  </si>
  <si>
    <t>Deelen A.P. en R.W. Euwals</t>
  </si>
  <si>
    <t>CPB</t>
  </si>
  <si>
    <t>Migrant Women on the Labour Market: On the Role of Home and Host-Country Participation</t>
  </si>
  <si>
    <t>Kok, S., N. Bosch, A. Deelen &amp; R. Euwals</t>
  </si>
  <si>
    <t>IZA Discussion Paper 5817, Bonn</t>
  </si>
  <si>
    <t>Success of self-employment, in: Labour market flexibility in the Netherlands  - the role of contracts and self-employment</t>
  </si>
  <si>
    <t>Bosch, N.</t>
  </si>
  <si>
    <t>ROA Special Publication</t>
  </si>
  <si>
    <t>Wage-tenure profiles and mobility</t>
  </si>
  <si>
    <t>Deelen, A.P</t>
  </si>
  <si>
    <t>De Economist, 160(2), 141-155</t>
  </si>
  <si>
    <t>Wage-tenure profiles and mobility. In: Labour market flexibility in the Netherlands - the role of contracts and self-employment (Chapter 3)</t>
  </si>
  <si>
    <t>Deelen, A.P.</t>
  </si>
  <si>
    <t>Monitor Wsnp</t>
  </si>
  <si>
    <t>Bergh, Marijke von &amp; Rudolf Timmermans, Reinout Vriesendorp, Willem Keukens</t>
  </si>
  <si>
    <t>UvT_IVA</t>
  </si>
  <si>
    <t>Opleidingsmonitor Flexbranche</t>
  </si>
  <si>
    <t>Vermeulen, Hedwig</t>
  </si>
  <si>
    <t>RUN_ITS</t>
  </si>
  <si>
    <t>Tillaart, Harry van den, Sanne Elfering, Hedwig Vermeulen, Carolien van Rens, John Warmerdam, Wouter de Wit, Ellen van de Wetering &amp; Evelien Sombekke</t>
  </si>
  <si>
    <t>ITS, Radboud Universiteit Nijmegen</t>
  </si>
  <si>
    <t>Mobility and Migration</t>
  </si>
  <si>
    <t>Vetter-Kronenberg, K.</t>
  </si>
  <si>
    <t>Universitaire Pers Maastricht</t>
  </si>
  <si>
    <t>Locational choices and the costs of distance: Empirical evidence for Dutch graduates</t>
  </si>
  <si>
    <t xml:space="preserve">Spatial Economic Analysis </t>
  </si>
  <si>
    <t>On the Move: Determinants of Job and Residential Mobility in Different Sectors</t>
  </si>
  <si>
    <t>Urban Studies</t>
  </si>
  <si>
    <t>Firm relocations in the Netherlands: Why do firms move, and where do they go?</t>
  </si>
  <si>
    <t>Gondrie MJ, Mali WP, Jacobs PC, Oen AL, van der Graaf Y (PROVIDI Study Group)</t>
  </si>
  <si>
    <t>Radiology 257(2):549-59.</t>
  </si>
  <si>
    <t>Jairam PM, Gondrie MJ, Grobbee DE, Th M Mali WP, Jacobs PC, van der Graaf Y</t>
  </si>
  <si>
    <t>Radiology 27:132211</t>
  </si>
  <si>
    <t>Intra and interobserver reliability and agreement of semiquantitative vertebral fracture assessment on chest computed tomography</t>
  </si>
  <si>
    <t>Buckens CF, de Jong PA, Mol C, Bakker E, Stallman HP, Mali WP, van der Graaf Y, Verkooijen HM</t>
  </si>
  <si>
    <t>PLoS One 5;8(8)</t>
  </si>
  <si>
    <t>de Jong PA, Gondrie MJ, Buckens CF, Jacobs PC, Mali WP, van der Graaf Y</t>
  </si>
  <si>
    <t>PROVIDI study group. PLoS One. 6(10):e26036.</t>
  </si>
  <si>
    <t>Prevalent vertebral fractures on chest CT: higher risk for future hip fracture</t>
  </si>
  <si>
    <t>Buckens CF, de Jong PA, Mali WP, Verhaar HJ, van der Graaf Y, Verkooijen HM.</t>
  </si>
  <si>
    <t>J Bone Miner Res. 2014 Feb;29(2):392-8</t>
  </si>
  <si>
    <t>Gondrie MJ, Mali WP, Buckens CF, Jacobs PC, Grobbee DE, van der Graaf Y.</t>
  </si>
  <si>
    <t>Eur J Epidemiol 25(10):751-8</t>
  </si>
  <si>
    <t>Jairam PM, de Jong PA, Mali WP, Gondrie MJ, Jacobs PC, van der Graaf Y</t>
  </si>
  <si>
    <t>Atherosclerosis 235(2):546-53</t>
  </si>
  <si>
    <t>The association of incidentally detected heart valve calcification with future cardiovascular events</t>
  </si>
  <si>
    <t>Gondrie MJ, van der Graaf Y, Jacobs PC, Oen AL, Mali WP</t>
  </si>
  <si>
    <t>Eur Radiol 21(5):963-73</t>
  </si>
  <si>
    <t>Gondrie MJ, van der Graaf Y, Jacobs PC, Buckens SC, Mali WP (PROVIDI Study Groep)</t>
  </si>
  <si>
    <t>J Comput Assist Tomogr 35(6):734-41</t>
  </si>
  <si>
    <t>Unrequested findings on cardiac computed tomography: looking beyond the heart</t>
  </si>
  <si>
    <t>Buckens CF, Verkooijen HM, Gondrie MJ, Jairam P, Mali WP, van der Graaf Y.</t>
  </si>
  <si>
    <t>PLoS One 7(4):e32184</t>
  </si>
  <si>
    <t>Unrequested information from routine diagnostic chest CT predicts future cardiovascular events</t>
  </si>
  <si>
    <t>Jacobs PC, Gondrie MJ, Mali WP, Oen AL, Prokop M, Grobbee DE, van der Graaf Y.</t>
  </si>
  <si>
    <t>Eur Radiol 21(8):1577-85</t>
  </si>
  <si>
    <t>Ethnic variations in unplanned readmissions and excess length of hospital stay: a nationwide record-linked cohort study</t>
  </si>
  <si>
    <t>Bruijne, Martine C. de, Floor van Rosse, Ellen Uiters, Mariël Droomers, Jeanine Suurmond, Karien Stronks &amp; Marie-Louise Essink-Bot</t>
  </si>
  <si>
    <t>European Journal of Public Health, Vol. 23, No. 6, 964–971</t>
  </si>
  <si>
    <t>Kampioen deeltijd. Meer uren werken om de vergrijzing op te vangen?</t>
  </si>
  <si>
    <t>Noback, I.</t>
  </si>
  <si>
    <t>Demos, 28 (2): p. 5-7</t>
  </si>
  <si>
    <t>Regional labour market dynamics and the gender employment gap</t>
  </si>
  <si>
    <t>Noback, Inge</t>
  </si>
  <si>
    <t>University of Groningen</t>
  </si>
  <si>
    <t>Lammers M., H. Bloemen &amp; S. Hochguertel</t>
  </si>
  <si>
    <t>European Economic Review Volume 58, February 2013, Pages 31-57.</t>
  </si>
  <si>
    <t>Can universal access and competition in long-term care insurance be combined?</t>
  </si>
  <si>
    <t>Bakx P, Schut F, van Doorslaer E. Forthcoming. Can universal access and competition in long-term care insurance be combined? International Journal of Health Economics and Management. DOI: 10.1007/s10754-015-9163-3.</t>
  </si>
  <si>
    <t>International Journal of Health Economics and Management</t>
  </si>
  <si>
    <t>Determinants of long-term care spending: age, time to death or disability?</t>
  </si>
  <si>
    <t>De Meijer C, Koopmanschap M, Bago d' Uva T, van Doorslaer E.</t>
  </si>
  <si>
    <t>Journal of Health Economics 30 (2): 425-438.</t>
  </si>
  <si>
    <t>Financial Incentives in Long-Term Care</t>
  </si>
  <si>
    <t>Bakx P.</t>
  </si>
  <si>
    <t>Erasmus University: Rotterdam.</t>
  </si>
  <si>
    <t>Forecasting lifetime and aggregate long-term care spending- accounting for changing disability patterns</t>
  </si>
  <si>
    <t>De Meijer C, Majer I, Koopmanschap M &amp; van Baal P</t>
  </si>
  <si>
    <t>Medical Care 50 (8): 722-729</t>
  </si>
  <si>
    <t>Health expenditure growth: looking beyond the average through decomposition of the full distribution</t>
  </si>
  <si>
    <t>De Meijer C, O'Donnell O, Koopmanschap M &amp; Van Doorslaer E</t>
  </si>
  <si>
    <t>Journal of Health Economics: 88-105</t>
  </si>
  <si>
    <t>Risicoverevening voor de Ouderenzorg</t>
  </si>
  <si>
    <t>Bakx P, Schut F, van &amp; Doorslaer E.</t>
  </si>
  <si>
    <t>Economisch Statistische Berichten 98 (4651): 20-23</t>
  </si>
  <si>
    <t>Studies of Health and Long-Term Care Expenditure Growth in Aging Populations</t>
  </si>
  <si>
    <t>De Meijer C.</t>
  </si>
  <si>
    <t>Erasmus University: Rotterdam</t>
  </si>
  <si>
    <t>Klijs, B.</t>
  </si>
  <si>
    <t>Erasmus University Rotterdam</t>
  </si>
  <si>
    <t>Nationwide individual record linkage study showed poor agreement of causes of death and hospital diagnoses at individual level but reasonable agreement at population level</t>
  </si>
  <si>
    <t>Klijs B, Nusselder WJ, Mackenbach JP.</t>
  </si>
  <si>
    <t>J Clin Epidemiol;67(2):160-8. doi: 10.1016/j.jclinepi.2013.07.017.</t>
  </si>
  <si>
    <t>Klijs B, Mackenbach JP, Kunst AE.</t>
  </si>
  <si>
    <t>BMC Public Health. 24;11:378. doi: 10.1186/1471-2458-11-378.</t>
  </si>
  <si>
    <t>Economische verkenning Rotterdam</t>
  </si>
  <si>
    <t>Diverse</t>
  </si>
  <si>
    <t>Gemeente Rotterdam</t>
  </si>
  <si>
    <t>Next Economy next City</t>
  </si>
  <si>
    <t>Stad in verandering</t>
  </si>
  <si>
    <t>Economische verkenning Rotterdam magazine</t>
  </si>
  <si>
    <t>Gemeete Rotterdam</t>
  </si>
  <si>
    <t>Economische verkening Rotterdam: Mozaïek van de nieuwe economie</t>
  </si>
  <si>
    <t xml:space="preserve">Economische verkenning Rotterdam </t>
  </si>
  <si>
    <t>Feitenkaart: Inkomensgegevens Rotterdam en regio 2012</t>
  </si>
  <si>
    <t>Graaf, Paul de</t>
  </si>
  <si>
    <t>Gemeente Roterdam</t>
  </si>
  <si>
    <t>Feitenkaart: Inkomensgegevens Rotterdam en regio 2013</t>
  </si>
  <si>
    <t xml:space="preserve">Graaf, Paul de </t>
  </si>
  <si>
    <t>Feitenkaart: Inkomensgegevens Rotterdam en regio 2014</t>
  </si>
  <si>
    <t>Feitenkaart: Inkomensgegevens Rotterdam en regio 2015</t>
  </si>
  <si>
    <t>Economic Consequences of Healthy Aging. PhD Thesis.</t>
  </si>
  <si>
    <t>Wouterse, B.</t>
  </si>
  <si>
    <t>Tilburg  University</t>
  </si>
  <si>
    <t>The  relationship between baseline health and longitudinal costs of hospital use</t>
  </si>
  <si>
    <t>Wouterse, B., Meijboom, B.  R.,  Polder, J. J.</t>
  </si>
  <si>
    <t>Health Economics, 20(7), 355-362.</t>
  </si>
  <si>
    <t>Polder, J.J., Wong, A., &amp; Wouterse, B. (2012). Vergrijzing: Kosten en baten. In J.H.M. Donders &amp; C.A. de Kam (Eds.), Zorg verzekerd? Naar houdbare financiering voor de gezondheidszorg (pp. 101-123). Den Haag: Sdu.</t>
  </si>
  <si>
    <t>Sdu</t>
  </si>
  <si>
    <t>Feitenkaart participatie en burgerschap</t>
  </si>
  <si>
    <t>Roode, A.L.</t>
  </si>
  <si>
    <t>Centrum voor Onderzoek en Statistiek</t>
  </si>
  <si>
    <t>Rotterdam in cijfers</t>
  </si>
  <si>
    <t>O&amp;BI</t>
  </si>
  <si>
    <t>Staat van emancipatie Rotterdam</t>
  </si>
  <si>
    <t>Dijk, D. van &amp; S. Jagmohansingh</t>
  </si>
  <si>
    <t>Onderzoek en Business Intelligence</t>
  </si>
  <si>
    <t>Staat van Rotterdam</t>
  </si>
  <si>
    <t>Rhee, M. van &amp; A.L. Roode</t>
  </si>
  <si>
    <t>An incidence study of diagnosed autism-spectrum disorders among immigrants to the Netherlands</t>
  </si>
  <si>
    <t>Van der Ven E, Termorshuizen F, Laan W, van Os J &amp; Selten JP</t>
  </si>
  <si>
    <t>Acta Psychiatr Scand 128: 54-60.</t>
  </si>
  <si>
    <t>Cancer mortality in patients with psychiatric diagnoses: a higher hazard does not lead to a higher cumulative risk of death</t>
  </si>
  <si>
    <t>Guan NC, Termorshuizen F, Laan W, Smeets H, Zainal NZ, Kahn RS, de Wit NJ &amp; Boks MPM.</t>
  </si>
  <si>
    <t>Soc Psychiatry Psychiatr Epidemiol 48: 1289-95.</t>
  </si>
  <si>
    <t>Cause-specific mortality among patients with psychosis: disentangling the effects of age and duration since diagnosis</t>
  </si>
  <si>
    <t>Termorshuizen F, Wierdsma A, Smeets HM, Visser E, Drukker M, Nijman H &amp; Sytema S</t>
  </si>
  <si>
    <t>Psychosomatics 54: 536-545.</t>
  </si>
  <si>
    <t>Mortality and psychiatric disorders among Public Mental Health care clients in Utrecht: a register-based cohort study</t>
  </si>
  <si>
    <t>Termorshuizen F, van Bergen APL, Smit RBJ, Smeets HM &amp; van Ameijden EJC</t>
  </si>
  <si>
    <t>Int J Soc Psychiatry 60: 426-435.</t>
  </si>
  <si>
    <t>Neighborhood ethnic density and psychotic disorders among ethnic minority groups in Utrecht city</t>
  </si>
  <si>
    <t>Termorshuizen F, Smeets HM, Braam AW &amp; Veling W</t>
  </si>
  <si>
    <t>Soc Psychiatry Psychiatr Epidemiol 49: 1093-1102.</t>
  </si>
  <si>
    <t>Neighborhood ethnic density and suicide risk  among different migrant groups in the four big cities in the Netherlands</t>
  </si>
  <si>
    <t>Termorshuizen F, Braam AW &amp; van Ameijden EJC</t>
  </si>
  <si>
    <t>Soc Psychiatry Psychiatr Epidemiol (in press)</t>
  </si>
  <si>
    <t>Suicide Behavior Before and After the Start with Antidepressants: A High Persistent Risk in the First Month of Treatment Among the Young</t>
  </si>
  <si>
    <t>Termorshuizen, Fabian, Saskia JM Palmen &amp;  Eibert R Heerdink</t>
  </si>
  <si>
    <t>International Journal of Neuropsychopharmacology Advance Access published</t>
  </si>
  <si>
    <t>Comparing episodes of antidepressants use with intermittent episodes of no use: A higher relative risk of suicide attempts but not of suicide at young age</t>
  </si>
  <si>
    <t>Termorshuizen Fabian, Hugo M Smeets, Marco PM Boks &amp; Eibert R Heerdink</t>
  </si>
  <si>
    <t>Journal of Psychopharmacology</t>
  </si>
  <si>
    <t>Educational achievement in psychiatric patients and their siblings: a register-based study in 30 000 individuals in The Netherlands</t>
  </si>
  <si>
    <t>Tempelaar, W. M., F. Termorshuizen, J. H. MacCabe, M. P. M. Boks &amp; R. S. Kahn</t>
  </si>
  <si>
    <t>Psychological Medicine</t>
  </si>
  <si>
    <t>Impact of cardiovascular calcifications on the detrimental effect of continued smoking on cardiovascular risk in male lung cancer screening participants</t>
  </si>
  <si>
    <t>Jairam PM, de Jong PA, Mali WP, Isgum I, de Koning HJ, van der Aalst C, Oudkerk M, Vliegenthart R, van der Graaf Y</t>
  </si>
  <si>
    <t>PLoS One. 20;8(6):e66484</t>
  </si>
  <si>
    <t>Lung cancer screening CT-based prediction of cardiovascular events</t>
  </si>
  <si>
    <t>Mets OM, Vliegenthart R, Gondrie MJ, Viergever MA, Oudkerk M, de Koning HJ, Mali WP, Prokop M, van Klaveren RJ, van der Graaf Y, Buckens CF, Zanen P, Lammers JW, Groen HJ, Isgum I, de Jong PA.</t>
  </si>
  <si>
    <t>JACC Cardiovasc Imaging; 6(8):899-907</t>
  </si>
  <si>
    <t>Regional and temporal variation in hysterectomy rates and surgical routes for benign diseases in the Netherlands</t>
  </si>
  <si>
    <t>Hanstede MM &amp; Burger MJ, Timmermans A, Burger MP</t>
  </si>
  <si>
    <t>Acta Obstetricia et Gynecologica Scandinavica</t>
  </si>
  <si>
    <t>Armoede signalement 2014</t>
  </si>
  <si>
    <t xml:space="preserve">Vrooman, Cok, Stella Hoff, Ferdy Otten, Wim Bos e.a._x000D_
</t>
  </si>
  <si>
    <t>SCP | CBS</t>
  </si>
  <si>
    <t xml:space="preserve">House price risk and the hedging benefits of home ownership_x000D_
</t>
  </si>
  <si>
    <t>Dröes, M.I., Hassink, W.H.J.</t>
  </si>
  <si>
    <t>Journal of Housing Economics 22, 92-99.</t>
  </si>
  <si>
    <t xml:space="preserve">House Price Uncertainty in the Dutch Owner-Occupied Housing Market_x000D_
</t>
  </si>
  <si>
    <t>Dröes, M.I.</t>
  </si>
  <si>
    <t>TKI Dissertation Series 004, Utrecht University School of Economics</t>
  </si>
  <si>
    <t>Dick, Johannes, Katrin Hussinger, Boris F. Blumberg &amp; John Hagedoorn</t>
  </si>
  <si>
    <t>Small Business Economics 40, 911-931</t>
  </si>
  <si>
    <t>Annuity Market Imperfections</t>
  </si>
  <si>
    <t xml:space="preserve">Sanders, Lisanne </t>
  </si>
  <si>
    <t>Netspar Thesis</t>
  </si>
  <si>
    <t>Irreconcilable differences? Ethnic intermarriage and divorce in the Netherlands, 1995-2008</t>
  </si>
  <si>
    <t>Smith, Sanne, Ineke Maas &amp; Frank van Tubergen</t>
  </si>
  <si>
    <t>Social Science Research 41 1126-1137</t>
  </si>
  <si>
    <t>Nieuwe meetsystematiek. In: Aanval op schooluitval (bijlage bij een brief aan de Tweede Kamer)</t>
  </si>
  <si>
    <t>OCW_DUO</t>
  </si>
  <si>
    <t>Association of Coexisting Diabetes and Depression With Mortality After Myocardial Infarction</t>
  </si>
  <si>
    <t xml:space="preserve">Bot, Mariska &amp; MSC, Francois Pouwer, PHD, Marij Zuidersma, PHD, Joost P. van Melle, MD, PHD, Peter de Jonge, PHD_x000D_
</t>
  </si>
  <si>
    <t>DIABETES CARE</t>
  </si>
  <si>
    <t>Depression treatment after myocardial infarction and long-term risk of subsequent cardiovascular events and mortality: A randomized controlled trial</t>
  </si>
  <si>
    <t>Zuidersma, Marij &amp; Henk Jan Conradi, Joost P. van Melle, Johan Ormel, Peter de Jonge</t>
  </si>
  <si>
    <t>Journal of Psychosomatic Research 74 25-30</t>
  </si>
  <si>
    <t>Myocardial infarction and generalised anxiety disorder: 10-year follow-up</t>
  </si>
  <si>
    <t>Roest, Annelieke M. &amp; Marij Zuidersma and Peter de Jonge</t>
  </si>
  <si>
    <t>The British Journal of Psychiatry</t>
  </si>
  <si>
    <t>Self-reported depressive symptoms, diagnosed clinical depression and cardiac_x000D_
morbidity and mortality after myocardial infarction</t>
  </si>
  <si>
    <t>International Journal of Cardiology</t>
  </si>
  <si>
    <t>Teernstra, A.B.</t>
  </si>
  <si>
    <t>Amsterdam: University of Amsterdam</t>
  </si>
  <si>
    <t>Dynamics of Gentrification: a Critical Reappraisal</t>
  </si>
  <si>
    <t>Hochstenbach, Cody, Sako Musterd &amp; Annalies Teernstra</t>
  </si>
  <si>
    <t>Population Space and Place. DOI: 10.1002/psp.1854</t>
  </si>
  <si>
    <t>Gentrification in Amsterdam: Assessing the Importance of Context</t>
  </si>
  <si>
    <t>Hochstenbach, C., Musterd, S. &amp; Teernstra, A.B.</t>
  </si>
  <si>
    <t xml:space="preserve"> Population, Space and Place (Online First. DOI: 10.1002/psp.1854)</t>
  </si>
  <si>
    <t>Housing Liberalization and Gentrification; the Social Effects of Tenure Conversions in Amsterdam</t>
  </si>
  <si>
    <t>Boterman, W.R. &amp; W.P.C. van Gent</t>
  </si>
  <si>
    <t>Tijdschrift voor Economische en Sociale Geografie, 105 (2), 140-160.</t>
  </si>
  <si>
    <t>Neighbourhood change, mobility and incumbent processes: exploring income developments of in-migrants, out-migrants and non-migrants of neighbourhoods</t>
  </si>
  <si>
    <t xml:space="preserve"> Urban Studies, 51(5), 978-999.</t>
  </si>
  <si>
    <t>Cardiovascular Morbidity and Mortality After Treatment for Ductal Carcinoma In Situ of the Breast</t>
  </si>
  <si>
    <t>Boekel, Naomi B., Michael Schaapveld, Jourik A. Gietema, Emiel J. T. Rutgers, Michel I. M. Versteegh, Otto Visser, Berthe M. P. Aleman &amp; Flora E. van Leeuwen</t>
  </si>
  <si>
    <t>NKI</t>
  </si>
  <si>
    <t>Cardiovascular Disease Risk in a Large, Population-Based Cohort of Breast Cancer Survivors</t>
  </si>
  <si>
    <t>Boekel, Naomi B., Michael Schaapveld, Jourik A. Gietema, Nicola S. Russell, Philip Poortmans, Jacqueline C.M. Theuws, Dominic A.X. Schinagl, Derek H.F. Rietveld, _x000D_
Michel I.M. Versteegh, Otto Visser, Emiel J.T. Rutgers, Berthe M.P. Aleman &amp;Flora E. van Leeuwen</t>
  </si>
  <si>
    <t>Cause-specific Mortality in a Population-based Cohort of 9799 Women Treated for Ductal Carcinoma In Situ</t>
  </si>
  <si>
    <t>Elshof, Lotte E. Marjanka K. Schmidt, Emiel J.Th. Rutgers, Flora E. van Leeuwen, Jelle Wesseling &amp; Michael Schaapveld</t>
  </si>
  <si>
    <t>Boekel NB, Schaapveld M, van Leeuwen FE</t>
  </si>
  <si>
    <t>biolink</t>
  </si>
  <si>
    <t>Independent and additive association of prenatal famine exposure and intermediary life conditions with adult mortality age 18-63 years</t>
  </si>
  <si>
    <t>Ekamper, Van Poppel, Stein &amp; Lumey</t>
  </si>
  <si>
    <t>Social Science and Medicine 119: 232-239</t>
  </si>
  <si>
    <t>Prenatal famine exposure and adult mortality through age 63 years from cancer, cardiovascular disease and other causes.</t>
  </si>
  <si>
    <t>Ekamper, Van Poppel, Stein, Bijwaard &amp; Lumey</t>
  </si>
  <si>
    <t>American Journal of Epidemiology</t>
  </si>
  <si>
    <t>War-related excess mortality in The Netherlands, 1944–45: New estimates of famine- and non-famine-related deaths from national death records</t>
  </si>
  <si>
    <t xml:space="preserve">Ekamper, P., Bijwaard, G.E., Poppel, F.W.A. van &amp; Lumey, L.H. </t>
  </si>
  <si>
    <t>Historical Methods</t>
  </si>
  <si>
    <t>Innovation Failure: Which Capabilities Prevent It?</t>
  </si>
  <si>
    <t>Faria, Pedro de &amp; Wilfred Dolfsma</t>
  </si>
  <si>
    <t xml:space="preserve">Government support, innovation and productivity in the Haidian (Beijing) District_x000D_
</t>
  </si>
  <si>
    <t xml:space="preserve">Huang, Can, Yilin Wu, Pierre Mohnen &amp; Yanyun Zhao_x000D_
</t>
  </si>
  <si>
    <t xml:space="preserve">Innovation and survival of new firms in Chinese manufacturing, 2000-2006_x000D_
</t>
  </si>
  <si>
    <t xml:space="preserve">Zhang, Mingqian &amp; Pierre Mohnen_x000D_
</t>
  </si>
  <si>
    <t>Wang, Dehua</t>
  </si>
  <si>
    <t>Brounen, Dirk</t>
  </si>
  <si>
    <t xml:space="preserve">On the economics of energy labels in the housing market_x000D_
</t>
  </si>
  <si>
    <t>Brounen, Dirk &amp; Nils Kok</t>
  </si>
  <si>
    <t>Journal of Environmental Economics and Management 62 166-179</t>
  </si>
  <si>
    <t>Brounen, Dirk, Nils Kok &amp; John M.Quigley</t>
  </si>
  <si>
    <t>European Economic Review 56 931-945</t>
  </si>
  <si>
    <t>Homeownership, mortgages, and unemployment</t>
  </si>
  <si>
    <t>Kantor, Y., Möhlmann, J., Nijkamp, P. and J. Rouwendal</t>
  </si>
  <si>
    <t>Letters in Spatial and Resource Science. DOI: 10.1007/s12076-015-0139-1.</t>
  </si>
  <si>
    <t>Suicide mortality among deployed male military personnel compared with men who were not deployed</t>
  </si>
  <si>
    <t>Rijs K &amp; Bogers R</t>
  </si>
  <si>
    <t>Ministerie van Defensie</t>
  </si>
  <si>
    <t>Meer zelfdoding bij militairen die op missie zijn geweest?</t>
  </si>
  <si>
    <t>Bogers, R.P. &amp; Rijs, K.J.</t>
  </si>
  <si>
    <t>Rijksinstituut voor Volksgezondheid en Milieu</t>
  </si>
  <si>
    <t xml:space="preserve">Decreasing Hospital Length of Stay: Effects on Daily Functioning in Older Adults_x000D_
</t>
  </si>
  <si>
    <t xml:space="preserve">Van Vliet M, Huisman M. &amp; Deeg D.J.H. _x000D_
</t>
  </si>
  <si>
    <t>Journal of the American Geriatrics Society</t>
  </si>
  <si>
    <t>Trend study on the association between hospital admissions and the health of Dutch older adults (1995-2009)</t>
  </si>
  <si>
    <t xml:space="preserve">Galenkamp H, Deeg D.J.H., de Jongh R.T., Kardaun J.W.P.F &amp;, Huisman H. </t>
  </si>
  <si>
    <t>BMJ open</t>
  </si>
  <si>
    <t xml:space="preserve">Prina A.M., Deeg D., Brayne C., Beekman A. &amp; Huisman M. </t>
  </si>
  <si>
    <t>PLoS One</t>
  </si>
  <si>
    <t>Ethnic inequalities in cardiovascular disease: incidence, prognosis, and health care use</t>
  </si>
  <si>
    <t>Oeffelen, Louise van</t>
  </si>
  <si>
    <t>Incidence of acute myocardial infarction in first and second generation minority groups: Does the second generation converge towards the majority population?</t>
  </si>
  <si>
    <t>Oeffelen, A.A.M. van, I. Vaartjes, K. Stronks, M.L. Bots &amp; C. Agyemang</t>
  </si>
  <si>
    <t>International Journal of Cardiology 168 (2013) 5422-5429</t>
  </si>
  <si>
    <t>Kans op hartinfarct groter onder Surinamers</t>
  </si>
  <si>
    <t>Oeffelen, Louise van &amp; Ilonca Vaartjes</t>
  </si>
  <si>
    <t>NU.nl</t>
  </si>
  <si>
    <t>Agyemang, C.,  A.A.M. van Oeffelen, M.L. Bots, K. Stronks &amp; I. Vaartjes</t>
  </si>
  <si>
    <t>Heart 2013;0:1-8.</t>
  </si>
  <si>
    <t>Oeffelen, Aloysia A. M. van, Charles Agyemang, Michiel L. Bots, Karien Stronks, Carla Koopman, Lenie van Rossem &amp; Ilonca Vaartjes</t>
  </si>
  <si>
    <t>Eur J Epidemiol (2012) 27:605–613</t>
  </si>
  <si>
    <t>Breast cancer risk in transgender people receiving hormone treatment: nationwide cohort study in the Netherlands</t>
  </si>
  <si>
    <t>Blok, de Christel J.M., Chantal M. Wiepjes, Nienke M. Nota, Klaartje van Engelen, Muriel A. Adank, Koen M.A. Dreijerink, Ellis Barbé, Inge R.H.M. Konings &amp; Martin den Heijer</t>
  </si>
  <si>
    <t>The BMJ</t>
  </si>
  <si>
    <t>Economic Consequences of Healthy Aging</t>
  </si>
  <si>
    <t>Wouterse, B</t>
  </si>
  <si>
    <t>PhD Thesis. Tilburg University</t>
  </si>
  <si>
    <t>Wouterse, B., Huisman, M., Meijboom, B. R., Deeg, D. J., &amp; Polder, J. J.</t>
  </si>
  <si>
    <t>J Health Econ, 32(2), 423-439. doi: 10.1016/j.jhealeco.2012.11.005</t>
  </si>
  <si>
    <t>Health Economics, 20(7), 355-362</t>
  </si>
  <si>
    <t>Polder, J.J., Wong, A., &amp; Wouterse, B.</t>
  </si>
  <si>
    <t>Cito</t>
  </si>
  <si>
    <t>Parental Unemployment: How much and when does it matter for Children's Educational Achievements</t>
  </si>
  <si>
    <t>Bakker, F.M., Irma Mooi-Reci</t>
  </si>
  <si>
    <t>Lifecoursecentr</t>
  </si>
  <si>
    <t>Ontslag ouders, arbeidsethos en opleidingsuitkomsten van de kinderen</t>
  </si>
  <si>
    <t>Bakker, Bart F.M., Gregory Besjes &amp; IrmaMooi-Reci</t>
  </si>
  <si>
    <t>Amsterdam University Press</t>
  </si>
  <si>
    <t xml:space="preserve">Averdijk, M., Elffers, H., &amp; Ruiter, S. </t>
  </si>
  <si>
    <t>Aldershot: Ashgate</t>
  </si>
  <si>
    <t xml:space="preserve">Rokven, J., Ruiter, S., &amp; Tolsma, J. </t>
  </si>
  <si>
    <t>Tijdschrift voor Criminologie</t>
  </si>
  <si>
    <t>Effecten van sociale omgeving en buurt op criminele carrières. Wat beïnvloedt hun gedrag en wat is de rol van justitie?</t>
  </si>
  <si>
    <t>Amsterdam: SWP</t>
  </si>
  <si>
    <t xml:space="preserve">Rokven, J. </t>
  </si>
  <si>
    <t>Radboud University Nijmegen: ICS dissertation Nijmegen</t>
  </si>
  <si>
    <t>Havekes, E., Coenders, M. &amp; Dekker, K.</t>
  </si>
  <si>
    <t>Urban Studies. Online published: DOI: 10.1177/0042098013506049</t>
  </si>
  <si>
    <t>Havekes, E., Coenders, M., Dekker, K. &amp; Lippe, T. van der</t>
  </si>
  <si>
    <t>Journal of Urban Affairs. Online published, DOI: 10.1111/juaf.12</t>
  </si>
  <si>
    <t>Spatial Concentration of Industries and New Firm Exits: Does this Relationship Differ between Exits by Closure and by M&amp;A?</t>
  </si>
  <si>
    <t>Weterings, Anet &amp; Orietta Marsili</t>
  </si>
  <si>
    <t>Regional Studies, DOI:10.1080/00343404.2012.726708</t>
  </si>
  <si>
    <t>Burden of sickness absence due to chronic disease in the Dutch workforce from 2007 to 2011</t>
  </si>
  <si>
    <t>Vroome, E.M.M. de, Uegaki, K., Ploeg, C.P.B. van der, Treutlein, D.B., Steenbeek, R., Weerd, M. de &amp; Bossche, S.N.J. van den</t>
  </si>
  <si>
    <t>Journal of Occupational Rehabilitation, 25. DOI 10.1007/s10926-015-9575-4.</t>
  </si>
  <si>
    <t>Cliëntstromen in de SUWI-keten 2005-2008</t>
  </si>
  <si>
    <t>Tanis, Olivier, Marcel Spijkerman, Daan Ooms en Joep Houtman</t>
  </si>
  <si>
    <t>SEOR</t>
  </si>
  <si>
    <t>Natuurverkenning 2010 (webpublicatie)</t>
  </si>
  <si>
    <t>PBL</t>
  </si>
  <si>
    <t>Kulhánová I, Hoffmann R, Menvielle G, Looman CWN, Eikemo TA, Bopp M, Borrell C, Deboosere P, Leinsalu M, Martikainen P, Rychta?íková J, Wojtyniak B, Judge K, Mackenbach JP</t>
  </si>
  <si>
    <t>Social Science &amp; Medicine, pp. 142-149. doi: 10.1016/j.socscimed.2014.07.02</t>
  </si>
  <si>
    <t>Educational inequalities in mortality by cause of death: first national data for the Netherlands</t>
  </si>
  <si>
    <t>Kulhánová I, Hoffmann R, Eikemo TA, Menvielle G, Mackenbach JP</t>
  </si>
  <si>
    <t>International Journal of Public Health doi:10.1007/s00038-014-0576-4</t>
  </si>
  <si>
    <t>Kulik MC, Mevielle G, Eikemo TA, Bopp M, Jasilionis D, Kulhánová I, Leinsalu M, Martikainen P, Östergren O, Mackenbach JP</t>
  </si>
  <si>
    <t>Nicotine &amp; Tobacco Research,16(5):507-518. doi: 10.1093/ntr/ntt175</t>
  </si>
  <si>
    <t>Smoking and the potential for reduction of inequalities in mortality in Europe</t>
  </si>
  <si>
    <t>Kulik MC, Hoffmann R, Judge K, Looman C, Menvielle G, Kulhánová I, Toch M, Östergren O, Martikainen P, Borrell C, Rodríguez-Sanz M, Bopp M, Leinsalu M, Jasilionis D, Eikemo TA, Mackenbach JP</t>
  </si>
  <si>
    <t>European Journal of Epidemiology,28(12):959-971</t>
  </si>
  <si>
    <t>Variations in the relation between education and cause-specific mortality in 19 European populations: a test of the "fundamental causes" theory of social inequalities in health</t>
  </si>
  <si>
    <t>Mackenbach JP, Kulhánová I, Bopp M, Deboosere P, Eikemo TA, Hoffmann R, Kulik MC, Leinsalu M, Martikainen P, Menvielle G, Regidor E, Wojtyniak B, Östergren O, Lundberg O</t>
  </si>
  <si>
    <t>Social Science &amp; Medicine. doi: 10.1016/j.socscimed.2014.05.021.</t>
  </si>
  <si>
    <t>Circulating total bilirubin and risk of incident cardiovascular disease in the general_x000D_
population</t>
  </si>
  <si>
    <t>Kunutsor SK, Bakker SJ, Gansevoort RT, Chowdhury R &amp; Dullaart RP.</t>
  </si>
  <si>
    <t>Arterioscler Thromb Vasc Biol.; 35(3):716-24</t>
  </si>
  <si>
    <t>Measuring Cultural Diversity and its Impact on Innovation: Longitudinal Evidence from Dutch Firms</t>
  </si>
  <si>
    <t>Ozgen, Ceren, Peter Nijkamp &amp; Jacques Poot</t>
  </si>
  <si>
    <t>IZA</t>
  </si>
  <si>
    <t>What stops dutch households from taking up much needed benefits?</t>
  </si>
  <si>
    <t>Tempelman Caren &amp; Aenneli Houkes-Hommes</t>
  </si>
  <si>
    <t>SEO</t>
  </si>
  <si>
    <t xml:space="preserve">Poelman M, Strak M, Schmitz O, Hoek G, Karssenberg D, Helbich M, Ntarladima_x000D_
AM, Bots M, Brunekreef B, Grobbee R, Dijst M &amp; Vaartjes I. </t>
  </si>
  <si>
    <t xml:space="preserve">Comparison of Bayesian random-effects and traditional life expectancy estimations in small-area applications_x000D_
</t>
  </si>
  <si>
    <t xml:space="preserve">Jonker, M.F., F.J. van Lenthe, P.D. Congdon, B. Donkers, A. Burdorf &amp; J.P. Mackenbach_x000D_
</t>
  </si>
  <si>
    <t>American journal of epidemiology</t>
  </si>
  <si>
    <t>The impact of nursing homes on small-area life expectancies</t>
  </si>
  <si>
    <t xml:space="preserve">Jonker, M.F., F.J. van Lenthe, B. Donkers, P.D. Congdon, A. Burdorf &amp; J.P. Mackenbach_x000D_
</t>
  </si>
  <si>
    <t>Health &amp; Place</t>
  </si>
  <si>
    <t>Small-area health comparisons using health-adjusted life expectancies - A Bayesian random-effects approach</t>
  </si>
  <si>
    <t xml:space="preserve">Jonker, M.F., P.D. Congdon, F.J. van Lenthe, B. Donkers, A. Burdorf &amp; J.P. Mackenbach_x000D_
</t>
  </si>
  <si>
    <t xml:space="preserve">The effect of urban green on small-area (healthy) life expectancy _x000D_
</t>
  </si>
  <si>
    <t>Jonker, M.F., F.J.van Lenthe, B. Donkers, J.P. Mackenbach &amp;  A. Burdorf</t>
  </si>
  <si>
    <t>Journal of Epidemiology</t>
  </si>
  <si>
    <t xml:space="preserve">Estimating the impact of health-related behaviors on geographic variation in_x000D_
cardiovascular mortality; a new approach based on the synthesis of ecological and_x000D_
individual-level data_x000D_
</t>
  </si>
  <si>
    <t>Jonker, M.F., B. Donkers, B. Chaix, F.J. van Lenthe, A. Burdorf &amp; J.P. Mackenbach</t>
  </si>
  <si>
    <t>Epidemiology</t>
  </si>
  <si>
    <t>High resolution exposure modelling of heat and air pollution and the impact on mortality</t>
  </si>
  <si>
    <t xml:space="preserve">Willers, S.M., M.F. Jonker, L. Klok, M. Keuken, J. Odink, W.J. Okkerse, S. van den_x000D_
Elshout, J.P. Mackenbach &amp; A. Burdorf_x000D_
</t>
  </si>
  <si>
    <t xml:space="preserve">Environment International </t>
  </si>
  <si>
    <t>The economics of social housing: Implications for welfare, consumption, and labor market composition</t>
  </si>
  <si>
    <t>Kattenberg, M. A. C.</t>
  </si>
  <si>
    <t>Tjalling C. Koopmans Dissertation Series</t>
  </si>
  <si>
    <t>The risk of growing fast</t>
  </si>
  <si>
    <t>Hartog, C.M. MSc &amp; dr. J.M.P. de Kok &amp; dr. Ir. H. Zhou</t>
  </si>
  <si>
    <t>paper for IECER 2012 conference</t>
  </si>
  <si>
    <t>The risk of growing fast_x000D_
Does fast employment growth have a negative impact on the survival rates of firms?</t>
  </si>
  <si>
    <t>Hartog, C.M. MSc &amp; dr. J.M.P. de Kok, dr. Ir. H. Zhou</t>
  </si>
  <si>
    <t>EIM Research Reports</t>
  </si>
  <si>
    <t>The risk of growing fast: Does fast growth have a negative impact on the survival rates of firms?</t>
  </si>
  <si>
    <t>Kok, Jan de &amp; Haibo Zhou, Chantal Hartog, Peter van der Zwan</t>
  </si>
  <si>
    <t>The risk of growing fast: does fast growth have a negative impact on the survival rates of firms?</t>
  </si>
  <si>
    <t>Zhou, Haibo, Jan de Kok, Chantal Hartog &amp; Peter van der Zwan</t>
  </si>
  <si>
    <t>Frontiers of Entrepreneurship Research: Vol. 32: Iss. 9, Article 1</t>
  </si>
  <si>
    <t>Geographic Proximity of Adult Children and the Well-Being of Older Persons</t>
  </si>
  <si>
    <t>Van der Pers, M., C.H. Mulder &amp; N. Steverink</t>
  </si>
  <si>
    <t>Research on Aging. DOI: 10.1177/0164027514545482</t>
  </si>
  <si>
    <t>Intergenerational Proximity and the Residential Relocation of Older People to Care Institutions and Elsewhere</t>
  </si>
  <si>
    <t>Van der Pers, M., E.U.B. Kibele &amp; C.H. Mulder</t>
  </si>
  <si>
    <t>Aging and Society. DOI: 10.1017/S0144686X14000300</t>
  </si>
  <si>
    <t>The Regional Dimension of Intergenerational Proximity in the Netherlands</t>
  </si>
  <si>
    <t>Van der Pers, M. &amp; C.H. Mulder</t>
  </si>
  <si>
    <t>Population Space and Place, 19(5), pp. 505-52.  DOI: 10.1002/psp.1729</t>
  </si>
  <si>
    <t>Childhood cancer survivors: evidence and care</t>
  </si>
  <si>
    <t>Kampen-Sieswerda, Elske van</t>
  </si>
  <si>
    <t>Optima Grafische Communicatie</t>
  </si>
  <si>
    <t>Individual activity patterns and the meaning of residential environments for inter-ethnic contact</t>
  </si>
  <si>
    <t>Heringa, Aafke, Gideon Bolt, Martin Dijst &amp; Ronald van Kempen</t>
  </si>
  <si>
    <t>Tijdschrift voor Economische en Sociale Geografie</t>
  </si>
  <si>
    <t>Improving the Prediction Model used in Risk Equalization: Cost and Diagnostic Information from Multiple Prior Years</t>
  </si>
  <si>
    <t>Van Veen, S.H.C.M., Kleef, R.C., van, Ven, W.P.M.M. van de, Vliet, R.C.J.A. van</t>
  </si>
  <si>
    <t>European Journal of Health Economics, 16(2): 201-18</t>
  </si>
  <si>
    <t>Risicoverevening 2012: Een analyse van voorspelbare winsten en verliezen op subgroepniveau</t>
  </si>
  <si>
    <t>Kleef, R.C. van, R.C.J.A. van Vliet en W.P.M.M. van de Ven</t>
  </si>
  <si>
    <t>iBMG</t>
  </si>
  <si>
    <t>Risicoverevening 2014 voor somatische zorg Analyse van uitkomsten op subgroepniveau</t>
  </si>
  <si>
    <t>Risicoverevening tussen zorgverzekeraars: Kwantificering modelverbeteringen 1993-2011</t>
  </si>
  <si>
    <t>TSG, 90: 312-326</t>
  </si>
  <si>
    <t>Risk equalization in the Netherlands: An empirical evaluation</t>
  </si>
  <si>
    <t>Kleef, R.C. van, R.C.J.A. van Vliet, and W.P.M.M. van de Ven</t>
  </si>
  <si>
    <t>Expert Review of Pharmacoeconomics &amp; Outcomes Research, 13: 829-839</t>
  </si>
  <si>
    <t>The characteristics of the switching behavior of the chronically ill regarding health insurers in the Netherlands</t>
  </si>
  <si>
    <t xml:space="preserve">Ahmady Fargonda </t>
  </si>
  <si>
    <t>EUR_ESHPM</t>
  </si>
  <si>
    <t>Werkloosheid in de bouw, in- en uitstroom in de WW 2009-2011</t>
  </si>
  <si>
    <t>Afrian, K., Koning, M.A &amp; Vrolijk, M.H.</t>
  </si>
  <si>
    <t>EIB</t>
  </si>
  <si>
    <t>Development of the public-private wage differential in the Netherlands 1979 - 2009</t>
  </si>
  <si>
    <t>Berkhout, Ernest (SEO) en Wiemer Salverda (AIAS)</t>
  </si>
  <si>
    <t>SEO Economisch Onderzoek</t>
  </si>
  <si>
    <t>Werf, Siemen van der &amp; Arjan Heyma</t>
  </si>
  <si>
    <t>Does Growth Hormone Replacement Therapy Reduce Mortality in Adults with Growth Hormone Deficiency? Data from the Dutch National Registry of Growth Hormone Treatment in Adults</t>
  </si>
  <si>
    <t>Bunderen, Christa C. van &amp; I. Caroline van Nieuwpoort, Lucia I. Arwert, Martijn W. Heymans, Anton A. M. Franken, Hans P. F. Koppeschaar, Aart J. van der Lely, and Madeleine L. Drent</t>
  </si>
  <si>
    <t>Journal of  Clinical Endocrinology &amp; Metabolism</t>
  </si>
  <si>
    <t>The effect of same-sex marriage laws on different-sex marriage: Evidence from the Netherlands</t>
  </si>
  <si>
    <t>Trandafir, Mircea</t>
  </si>
  <si>
    <t>Demography 51:1, 317-340</t>
  </si>
  <si>
    <t>Pensioen consumptiebehoeften en ouderenzorg</t>
  </si>
  <si>
    <t>Knoef, Hussem, Soede &amp; De Bresser</t>
  </si>
  <si>
    <t>Netspar design paper 31</t>
  </si>
  <si>
    <t>Veel variatie in de pensioenopbouw van Nederlandse huishoudens</t>
  </si>
  <si>
    <t>Knoef, Goudswaard, Been &amp; Caminada</t>
  </si>
  <si>
    <t>Netspar brief 02</t>
  </si>
  <si>
    <t>Job Strain and Alcohol Intake: A Collaborative Meta-Analysis of Individual-Participant Data from 140 000 Men and Women</t>
  </si>
  <si>
    <t>Heikkila, Katriina et al.</t>
  </si>
  <si>
    <t>PLoS ONE V7, I7,  e40101</t>
  </si>
  <si>
    <t>Job Strain and Tobacco Smoking: An Individual-Participant Data Meta-Analysis of 166 130 Adults in 15 European Studies</t>
  </si>
  <si>
    <t>Heikkilä, Katriina et al.</t>
  </si>
  <si>
    <t>PLoS ONE V7,  I7, e35463</t>
  </si>
  <si>
    <t>Job strain as a risk factor for coronary heart disease: a collaborative meta-analysis of individual participant data</t>
  </si>
  <si>
    <t>Kivimäki, Mika et al.</t>
  </si>
  <si>
    <t>Lancet 380: 1491-97</t>
  </si>
  <si>
    <t>Job Strain as a Risk Factor for Leisure-Time Physical Inactivity: An Individual-Participant Meta-Analysis of Up to 170,000 Men and Women The IPD-Work Consortium</t>
  </si>
  <si>
    <t>Fransson, Eleonor I. et al.</t>
  </si>
  <si>
    <t>Am J Epidemiol. 176(12):1078–1089</t>
  </si>
  <si>
    <t>Job strain in relation to bodymass index: pooled analysis of 160 000 adults from13 cohort studies</t>
  </si>
  <si>
    <t>Nyberg, S.T. et al.</t>
  </si>
  <si>
    <t>Journal of Internal Medicine, doi: 10.1111/j.1365-2796.2011.02482.x</t>
  </si>
  <si>
    <t>Work stress and risk of cancer: meta-analysis of 5700 incident cancer events in 116 000 European men and women</t>
  </si>
  <si>
    <t>BMJ 2013;346:f165 doi: 10.1136/bmj.f165</t>
  </si>
  <si>
    <t>Dynamiek in stadswijken: sociale stijging en verhuizingen</t>
  </si>
  <si>
    <t>Permentier, M., M. Das en K. Wittebrood</t>
  </si>
  <si>
    <t>Bevolkingstrends (59) 4, p. 71-75.</t>
  </si>
  <si>
    <t>Registers over wijken: mogelijkheden en beperkingen van het Sociaal Statistisch Bestand voor het onderzoek 'Sociale dynamiek in de wijk'</t>
  </si>
  <si>
    <t>Permentier, M., K. Wittebrood, M. Das en G. van Daalen</t>
  </si>
  <si>
    <t>Sociaal en Cultureel Planbureau</t>
  </si>
  <si>
    <t xml:space="preserve">Wel positieve gezondheidseffecten maar geen effect op leefbaarheid en veiligheid?_x000D_
</t>
  </si>
  <si>
    <t>Kullberg, Jeanet</t>
  </si>
  <si>
    <t>tsg jaargang 92 / 2014 nummer 5 spectrum - pagina 171</t>
  </si>
  <si>
    <t>Werk aan de wijk. Een quasi-experimentele evaluatie van het krachtwijkenbeleid</t>
  </si>
  <si>
    <t>Permentier, Matthieu, Jeanet Kullberg en Lonneke van Noije</t>
  </si>
  <si>
    <t>SCP</t>
  </si>
  <si>
    <t>Wijkaanpak lijkt aan te slaan</t>
  </si>
  <si>
    <t>Wittebrood, K. en M. Permentier</t>
  </si>
  <si>
    <t>Wonen, wijken &amp; interventies: krachtwijkenbeleid in perspectief</t>
  </si>
  <si>
    <t>Wittebrood, K. en M. Permentier m.m.v. F. Pinkster</t>
  </si>
  <si>
    <t>Sociaal en Cultureel Planbureau.</t>
  </si>
  <si>
    <t>Marchal, Bert</t>
  </si>
  <si>
    <t>ABF</t>
  </si>
  <si>
    <t xml:space="preserve">De overeenkomst tussen Urk en Groningen_x000D_
</t>
  </si>
  <si>
    <t xml:space="preserve">Veel jonge vrouwen aan het werk in kleine gemeenten_x000D_
</t>
  </si>
  <si>
    <t xml:space="preserve">Verschil in arbeidsparticipatie tussen mannen en vrouwen bij 55-plus het grootst_x000D_
</t>
  </si>
  <si>
    <t xml:space="preserve">Groot- en kleinverdieners ver uit elkaar in de zakelijke dienstverlening_x000D_
</t>
  </si>
  <si>
    <t>In gemeenten in Parkstad Limburg en Oost-Groningen heeft 40% van de potentiële beroepsbevolking een uitkering</t>
  </si>
  <si>
    <t xml:space="preserve">Groot aandeel zelfstandigen in landbouw, cultuur en consumentendiensten_x000D_
</t>
  </si>
  <si>
    <t xml:space="preserve">Haren en Oegstgeest onderscheiden zich door een groot aandeel werkende jongeren met een afgeronde hbo-/wo-opleiding_x000D_
</t>
  </si>
  <si>
    <t xml:space="preserve">Infographic arbeidsmarktstromen_x000D_
</t>
  </si>
  <si>
    <t xml:space="preserve">Toenemende baankansen voor bijna alle leeftijden_x000D_
</t>
  </si>
  <si>
    <t xml:space="preserve">Ziekteverzuim bijna 3x hoger in grotere bedrijven_x000D_
</t>
  </si>
  <si>
    <t xml:space="preserve">De Nederlandse beroepsbevolking is groter, slimmer en diverser_x000D_
</t>
  </si>
  <si>
    <t xml:space="preserve">1,9 miljoen werkzame personen erbij in de zakelijke dienstverlening_x000D_
</t>
  </si>
  <si>
    <t xml:space="preserve">ABF Arbeidsmarktrapportage 2017: Nederlandse arbeidsmarktstructuur naar sector en regio_x000D_
</t>
  </si>
  <si>
    <t xml:space="preserve">Marchal, Bert &amp; Mark Grotenhuis_x000D_
</t>
  </si>
  <si>
    <t>ABF arbeidsmarktrapportage 2018: De Nederlandse arbeidsmarkt naar sector en regio</t>
  </si>
  <si>
    <t>Grotenhuis, Mark</t>
  </si>
  <si>
    <t>Diverse publicaties</t>
  </si>
  <si>
    <t>Arbeidsmarktonderzoek 2018</t>
  </si>
  <si>
    <t>Grotenhuis, Mark, René van Hulle &amp; Jeroen de Kort</t>
  </si>
  <si>
    <t>ABF Arbeidsmarktrapportage 2018</t>
  </si>
  <si>
    <t>Onderzoek naar instroom en uitstroom docenten mbo</t>
  </si>
  <si>
    <t>ABF arbeidsmarktrapportage 2019. De Nederlandse arbeidsmarkt naar sector en regio</t>
  </si>
  <si>
    <t>ABF arbeidsmarktrapportage 2019 met aandacht voor flexibele contracten</t>
  </si>
  <si>
    <t>Stayrate van internationale afgestudeerden in Nederland</t>
  </si>
  <si>
    <t>Vlek, Mark de &amp; Coningh Daan Huberts</t>
  </si>
  <si>
    <t xml:space="preserve">Horeca groeit tot 2025 met 100.000 medewerkers </t>
  </si>
  <si>
    <t>Arbeidsmarkt en Opleidingsbehoefte horeca</t>
  </si>
  <si>
    <t>Hooft van Huijsduijnen, Lies &amp; Jeroen de Kort</t>
  </si>
  <si>
    <t>Zorlu, A. en R. van Gaalen</t>
  </si>
  <si>
    <t>Employment assimilation of immigrants in the Netherlands: dip-and-catch-up by source country</t>
  </si>
  <si>
    <t>Zorlu, A. and Hartog, J.</t>
  </si>
  <si>
    <t>International Journal of Population Research, Article ID 634276</t>
  </si>
  <si>
    <t>Employment assimilation of immigrants in the Netherlands: catching up and the irrelevance of education</t>
  </si>
  <si>
    <t>Zorlu, A. &amp; J. Hartog</t>
  </si>
  <si>
    <t>IZA Discussion paper  No. 3534</t>
  </si>
  <si>
    <t>Ethnic Disparities in Degree Performance</t>
  </si>
  <si>
    <t>Zorlu, A.</t>
  </si>
  <si>
    <t>IZA Discussion Paper 6158</t>
  </si>
  <si>
    <t>Ethnic disparities in higher education.</t>
  </si>
  <si>
    <t>The IZA Journal of Migration, 2, 3;  doi:10.1186/2193-9039-2-3</t>
  </si>
  <si>
    <t>Ethnic Disparities in the Graduate Labour Market</t>
  </si>
  <si>
    <t>Economics Research International, Volume 2012, Article ID 836379</t>
  </si>
  <si>
    <t>IZA Discussion Paper 6159</t>
  </si>
  <si>
    <t>Integratie niet beter voor hoger opgeleide immigranten</t>
  </si>
  <si>
    <t>Hartog J. en A. Zorlu</t>
  </si>
  <si>
    <t>Mejudice</t>
  </si>
  <si>
    <t>Occupational Adjustment of Immigrants</t>
  </si>
  <si>
    <t>IZA Discussion Paper 6147</t>
  </si>
  <si>
    <t>Occupational Adjustment of Immigrants in the Netherlands</t>
  </si>
  <si>
    <t>Journal of International Migration and Integration, 14, 4, 711-731</t>
  </si>
  <si>
    <t>Struggling for a proper job</t>
  </si>
  <si>
    <t>AIAS Working Paper WP 64</t>
  </si>
  <si>
    <t>Ooijevaar, J. en A. Zorlu</t>
  </si>
  <si>
    <t>Migratie en inkomensontwikkeling: Longitudinaal onderzoek naar vestigers in Rotterdam</t>
  </si>
  <si>
    <t>Dun, Ludo van en Wim van der Zanden</t>
  </si>
  <si>
    <t>Centrum voor Onderzoek en Statistiek (COS)</t>
  </si>
  <si>
    <t>Testing the Trade-off Theory for Dutch Small and Medium-Sized Enterprises</t>
  </si>
  <si>
    <t>Vrijburg, H.</t>
  </si>
  <si>
    <t>IIPF conference paper, Taormina</t>
  </si>
  <si>
    <t>The Effect of Capital Taxes on Household's Portfolio Composition and Intertemporal Choice: Evidence from the Dutch 2001 Capital Income Tax Reform</t>
  </si>
  <si>
    <t>Zoutman, Floris T</t>
  </si>
  <si>
    <t>NHH Dept. of Business and Management Science Discussion Paper No. 2014/23</t>
  </si>
  <si>
    <t>The Excess Burden of taxing Small and Medium-Sized Enterprises</t>
  </si>
  <si>
    <t>Mimeo, Erasmus University Rotterdam</t>
  </si>
  <si>
    <t>Inkomensongelijkheid neemt hier niet toe</t>
  </si>
  <si>
    <t>Teulings, Coen</t>
  </si>
  <si>
    <t>NRC-Handelsblad</t>
  </si>
  <si>
    <t>Hoffmann R , Borsboom G, Saez M, Mari-Dell'Olmo M, Burström B, Corman D, Costa C, Deboosere P, Domínguez-Berjón MF, Dzúrová D, Gandarillas A Gotsens M, Kovács K, Mackenbach J, Martikainen P, Maynou-Pujolràs L, Morrison J, Palència L, Pérez G, Pikhart H, Rodríguez-Sanz M, Santana P, Saurina C, Tarkiainen L, Borrell C.</t>
  </si>
  <si>
    <t>Int J Health Geogr</t>
  </si>
  <si>
    <t>Gotsens M, Marí-Dell'Olmo M, Pérez K, Palència L, Martinez-Beneito MA, Rodríguez-Sanz M, Burström B, Costa G, Deboosere P, Domínguez-Berjón F, Dzúrová D, Gandarillas A, Hoffmann R, Kovacs K, Marinacci C, Martikainen P, Pikhart H, Rosicova K, Saez M, Santana P, Riegelnig J, Schwierz C, Tarkiainen L, Borrell C.</t>
  </si>
  <si>
    <t>Health Place;24:165-72. doi: 10.1016/</t>
  </si>
  <si>
    <t>Borrell C, Marí-Dell'olmo M, Palència L, Gotsens M, Burström B, Domínguez-Berjón F, Rodríguez-Sanz M, Dzúrová D, Gandarillas A, Hoffmann R, Kovacs K, Marinacci C, Martikainen P, Pikhart H, Corman D, Rosicova K, Saez M, Santana P, Tarkiainen L, Puigpinós R, Morrison J, Pasarín MI, Díez E.</t>
  </si>
  <si>
    <t>Scand J Public Health. 24. PubMed PMID: 24567425.</t>
  </si>
  <si>
    <t>Fettelaar, D. &amp; E. Smeets</t>
  </si>
  <si>
    <t xml:space="preserve">Describing, explaining and predicting health care expenditures with statistical methods _x000D_
_x000D_
</t>
  </si>
  <si>
    <t xml:space="preserve">Wong, A._x000D_
</t>
  </si>
  <si>
    <t>Enschede: Gildeprint</t>
  </si>
  <si>
    <t>Pensioen, consumptiebehoeften en ouderenzorg</t>
  </si>
  <si>
    <t>Knoef M, Hussem A, Soede A &amp; de Bresser J</t>
  </si>
  <si>
    <t>Netspar Design Paper 31</t>
  </si>
  <si>
    <t xml:space="preserve">Ewijk, C. van der Horst, A. &amp; Besseling P._x000D_
</t>
  </si>
  <si>
    <t>CPB Policy Brief.</t>
  </si>
  <si>
    <t>Den Haag: Sdu</t>
  </si>
  <si>
    <t>The Ability to Pay for Long-Term Care in the Netherlands: A Life-cycle Perspective</t>
  </si>
  <si>
    <t>Hussem, Arjen, Casper van Ewijk, Harry ter Rele &amp; Albert Wong</t>
  </si>
  <si>
    <t>De Economist</t>
  </si>
  <si>
    <t>A Hedonic Price Analysis of the Value of Industrial Sites</t>
  </si>
  <si>
    <t>Beekmans, J. and P. Beckers</t>
  </si>
  <si>
    <t>Working Paper 10, PBL</t>
  </si>
  <si>
    <t>A hedonic price analysis of the value of industrial sites</t>
  </si>
  <si>
    <t>Beekmans, J., P. Beckers, E. van der Krabben, &amp; K. Martens</t>
  </si>
  <si>
    <t xml:space="preserve"> Journal of Property Research. DOI: 10.1080/09599916.2013.836556.</t>
  </si>
  <si>
    <t>An indicator for decline of industrial estates</t>
  </si>
  <si>
    <t>Beekmans, J., E. van der Krabben, &amp; K. Martens</t>
  </si>
  <si>
    <t>Journal of European Real Estate Research 5(2).</t>
  </si>
  <si>
    <t>Ploegmakers, H. and P. Beckers</t>
  </si>
  <si>
    <t>Working Paper 8, PBL</t>
  </si>
  <si>
    <t>Evaluating urban regeneration: an assessment of the effectiveness of regeneration policies for run-down industrial sites in the Netherlands (forthcoming)</t>
  </si>
  <si>
    <t>Ploegmakers, H. &amp; Beckers, P.</t>
  </si>
  <si>
    <t>Van der Veer J, Rijken M.</t>
  </si>
  <si>
    <t>NIVEL</t>
  </si>
  <si>
    <t xml:space="preserve">Economic Impacts of Cultural Diversity in The Netherlands: Productivity, Utility, and Sorting_x000D_
_x000D_
</t>
  </si>
  <si>
    <t>Bakens, J., P. Mulder &amp; P. Nijkamp</t>
  </si>
  <si>
    <t>Journal of Regional Science, vol. 53, no. 1, pp. 8-36.</t>
  </si>
  <si>
    <t xml:space="preserve">Möhlmann, J.L._x000D_
_x000D_
</t>
  </si>
  <si>
    <t>Dissertation, VU University Amsterdam, Thela Thesis, Amsterdam.</t>
  </si>
  <si>
    <t>Ethnic drift and white flight: A gravity model of neighborhood formation</t>
  </si>
  <si>
    <t>Bakens, Jessie, Raymond J.G.M. Florax &amp; Peter Mulder</t>
  </si>
  <si>
    <t xml:space="preserve">Journal of Regional Science </t>
  </si>
  <si>
    <t>Estimating the impact of trade, offshoring and multinationals on job loss and job finding</t>
  </si>
  <si>
    <t>Groot, S.P.T., S. Akcomak en H.L.F. de Groot</t>
  </si>
  <si>
    <t>CPB Discussion Paper 252</t>
  </si>
  <si>
    <t>Malmivaara A, et al.</t>
  </si>
  <si>
    <t>European Journal of Neurology 22(2); 284-91</t>
  </si>
  <si>
    <t>How to stimulate single mothers on welfare to find a job: evidence from a policy experiment</t>
  </si>
  <si>
    <t xml:space="preserve">Knoef, M.G. &amp; Ours, J.C. van </t>
  </si>
  <si>
    <t>Leiden University Repository</t>
  </si>
  <si>
    <t xml:space="preserve">Bevordering arbeidsparticipatie bijstandsmoeders </t>
  </si>
  <si>
    <t xml:space="preserve">Knoef, M.G.&amp; Ours, J.C. van </t>
  </si>
  <si>
    <t>Driving factors for service providers to participate in standardization: Insights from the Netherlands</t>
  </si>
  <si>
    <t>Blind, Knut</t>
  </si>
  <si>
    <t>Industry&amp;Innovation</t>
  </si>
  <si>
    <t>More labour market flexibility for more innovation? Evidence fromemployer–employee linked micro data</t>
  </si>
  <si>
    <t>Wachsena, Eva &amp; Knut Blind</t>
  </si>
  <si>
    <t>Elsevier</t>
  </si>
  <si>
    <t>Industry and Innovation</t>
  </si>
  <si>
    <t>Wakke, Paul, Knut Blind &amp; Henk J. De Vries</t>
  </si>
  <si>
    <t>Routledge</t>
  </si>
  <si>
    <t>De veerkracht van regionale arbeidsmarkten</t>
  </si>
  <si>
    <t>Weterings, Anet, Dario Diodato &amp; Martijn van den Berge</t>
  </si>
  <si>
    <t>Turks and Moroccans in the Low Countries around the year 2000: determinants of religiosity, trend in religiosity and determinants of the trend</t>
  </si>
  <si>
    <t>Smit, Fransje</t>
  </si>
  <si>
    <t>De Dorpenmonitor. Ontwikkelingen in de leefsituatie van dorpsbewoners</t>
  </si>
  <si>
    <t>Steenbekkers, Anja en Lotte Vermeij</t>
  </si>
  <si>
    <t>Impact of the post-2008 economic crisis on harmful drinking in the Dutch working-age population</t>
  </si>
  <si>
    <t>Goeija C.M. de,  Bregje van der Wouden, Jan-Willem Bruggink, Ferdy Otten &amp; Anton E. Kunst</t>
  </si>
  <si>
    <t>Nationaal Prevalentie Onderzoek Middelengebruik 2009: De kerncijfers</t>
  </si>
  <si>
    <t>Rooij, Antonius J. van &amp; Tim M. Schoenmakers, Dike van de Mheen</t>
  </si>
  <si>
    <t>IVO</t>
  </si>
  <si>
    <t>Nationaal prevalentie onderzoek middelengebruik 2005</t>
  </si>
  <si>
    <t>Rodenburg, Gerda, Renske Spijkerman, Regina van den Eijnden &amp; Dike van de Mheen</t>
  </si>
  <si>
    <t>Comparison of STI-related consultations among ethnic groups in the Netherlands: an epidemiologic study using electronic records from general practices</t>
  </si>
  <si>
    <t>Woestenberg, Petra J., Aloysia A. M. van Oeffelen, Irina Stirbu-Wagner, Birgit H. B. van Benthem, Jan E. A. M. van Bergen &amp; Ingrid V. F. van den Broek</t>
  </si>
  <si>
    <t>BMC Family Practice 16:70</t>
  </si>
  <si>
    <t>Weltevrede, A.M., J. de Boom, M. van San, T. Tudjman, P. van Wensveen, T. Konrad</t>
  </si>
  <si>
    <t>Risbo</t>
  </si>
  <si>
    <t>De Uitzendmonitor in: 'Flexpocket. Feiten en cijfers over flexibele arbeidsvormen</t>
  </si>
  <si>
    <t>ABU</t>
  </si>
  <si>
    <t>Uitzendmonitor 2014</t>
  </si>
  <si>
    <t>Vermeulen, H., R. Schellingerhout , R. Sijbers &amp; E. van de Wetering</t>
  </si>
  <si>
    <t>Modeling Regional House Prices in the Netherlands</t>
  </si>
  <si>
    <t>Philipsen, W.J.M.</t>
  </si>
  <si>
    <t>ABF Research</t>
  </si>
  <si>
    <t>Cross-country analysis of ICT impact using firm-level data: Micro Moments Database and Research Infrastructure</t>
  </si>
  <si>
    <t>Bartelsman, Eric, Eva Hagsten &amp; Michael Polder</t>
  </si>
  <si>
    <t>Eurostat</t>
  </si>
  <si>
    <t>Bartelsman, Eric J. &amp; Peter N. Gal</t>
  </si>
  <si>
    <t>VU_FEWEB</t>
  </si>
  <si>
    <t>Employment Protection, Technology Choice, and Worker Allocation</t>
  </si>
  <si>
    <t>Bartelsman, E., Gautier, P., &amp; De Wind, J.</t>
  </si>
  <si>
    <t>Institute for the Study of Labor (IZA), IZA Discussion Papers No. 4895</t>
  </si>
  <si>
    <t>Szerencsi, Karolina</t>
  </si>
  <si>
    <t>Printservice</t>
  </si>
  <si>
    <t>Meester, Edith de &amp; Saskia Keuzenkamp</t>
  </si>
  <si>
    <t>Loopbaanmonitor Onderwijs 2011: Onderzoek naar de arbeidsmarktpositie van afgestudeerden van de lerarenopleidingen in 2010</t>
  </si>
  <si>
    <t>Leenen, drs. H. van &amp; drs. F.E.M. Bemsden</t>
  </si>
  <si>
    <t>Regioplan</t>
  </si>
  <si>
    <t>Labour Supply Effects of Winning a Lottery</t>
  </si>
  <si>
    <t xml:space="preserve">Picchio Matteo, Sigrid Suetens &amp; Jan C. van Ours_x000D_
_x000D_
_x000D_
_x000D_
_x000D_
_x000D_
  </t>
  </si>
  <si>
    <t>The Economic Journal</t>
  </si>
  <si>
    <t>Snijders, Biance EP, Wim van der Hoek, Irina Stirbu, Marianne AB van der Sande &amp; Arianne B van Gageldonk-Lafeber</t>
  </si>
  <si>
    <t>Primary Care Respiratory Journal 22(4): 400-405</t>
  </si>
  <si>
    <t>Monitor Inkomens Ondernemers Editie 2013</t>
  </si>
  <si>
    <t>Vendrig, J.P.</t>
  </si>
  <si>
    <t>Panteia</t>
  </si>
  <si>
    <t>Kenmerken van wederuitvoerbedrijven</t>
  </si>
  <si>
    <t>Kuypers, Fred (CPB) &amp; Arjan Lejour (CPB), Oscar Lemmers (CBS), Pascal Ramaekers (CBS)</t>
  </si>
  <si>
    <t>Wederuitvoer op bedrijfsniveau bekeken</t>
  </si>
  <si>
    <t>Kuypers, Fred, , Arjan Lejour, Oscar Lemmers &amp; Pascal Ramaekers</t>
  </si>
  <si>
    <t>TPEdigitaal 7(3) 117-138</t>
  </si>
  <si>
    <t>Preenen, P. T. Y., Vergeer, R. A., Kraan, K. O., &amp; Dhondt, S.</t>
  </si>
  <si>
    <t>Economic and Industrial Democracy 1-23. Doi: 10.1177/0143831X15572836</t>
  </si>
  <si>
    <t>Will ‘structural reforms’ of labour markets reduce productivity growth? A firm-level investigation</t>
  </si>
  <si>
    <t>Vergeer Robert, Steven Dhondt, Alfred Kleinknecht &amp; Karolus Kraan</t>
  </si>
  <si>
    <t>European Journal of Economics and Economic Policies: Intervention</t>
  </si>
  <si>
    <t>Kwaliteit van de arbeid, preventieve arbomaatregelen en productiviteit Koppeling WEA-steekproef aan registratiebestanden</t>
  </si>
  <si>
    <t>Dhondt S.,  R. Vergeer, K.O. Kraan, I.L.D. Houtman, E.M.M. de Vroome &amp; M.H.J. van Zwieten</t>
  </si>
  <si>
    <t>TNO</t>
  </si>
  <si>
    <t>Terecht in de jeugdzorg: Voorspellers van kind- en opvoedproblematiek en jeugdzorggebruik</t>
  </si>
  <si>
    <t xml:space="preserve">Bot, Sander, Simone de Roos, Klarita Sadiraj, Saskia Keuzenkamp, Angela van den Broek &amp; Ellen Kleijnen </t>
  </si>
  <si>
    <t>Groeit de jeugdzorg door? Het beroep op de voorzieningen. Realisatie 2001-2011 en raming 2011-2017</t>
  </si>
  <si>
    <t xml:space="preserve">Sadiraj, Klarita, Michiel Ras, Lisa Putman &amp; Jedid-Jah Jonker </t>
  </si>
  <si>
    <t>Kostenverschillen in de jeugdzorg: Kostenverschillen in de jeugdzorg_web</t>
  </si>
  <si>
    <t xml:space="preserve">Ras, Michiel, Evert Pommer &amp; Klarita Sadiraj  </t>
  </si>
  <si>
    <t>Kinderopvangbeleid en arbeidsparticipatie van vrouwen</t>
  </si>
  <si>
    <t>Voltman, Marloes &amp; Henk-Wim de Boer en Hugo Erken</t>
  </si>
  <si>
    <t>Besparingsgetallen - energiebesparende maatregelen</t>
  </si>
  <si>
    <t>Menkveld, M. (ECN) &amp; K. Leidelmeijer (RIGO), P. Vethman (ECN), E. Cozijnsen (RIGO)</t>
  </si>
  <si>
    <t>ECN</t>
  </si>
  <si>
    <t>Increased risk of CVD after VT is determined by common etiologic factors</t>
  </si>
  <si>
    <t>Roach RE, Lijfering WM, Flinterman LE, Rosendaal FR &amp; Cannegieter SC</t>
  </si>
  <si>
    <t>Blood. Jun 13;121(24):4948-54</t>
  </si>
  <si>
    <t>Distortion of regional old-age mortality due to late-life migration in the Netherlands?</t>
  </si>
  <si>
    <t>Kibele, E., &amp; Janssen, F.</t>
  </si>
  <si>
    <t>Demographic Research, 29, 105-132</t>
  </si>
  <si>
    <t>Mevissen, J., L. Heuts &amp; H. van Leenen</t>
  </si>
  <si>
    <t>Deeltijd-WW: de ultieme flexicurity-tool? In: Dynamiek op de Nederlandse Arbeidsmarkt III</t>
  </si>
  <si>
    <t>Pavlopoulos, Dimitris, Katja Chkalova &amp; Ton van Maanen</t>
  </si>
  <si>
    <t>CBS &amp; TNO</t>
  </si>
  <si>
    <t>Evaluatie WBSO 2006-2010: Effecten, doelgroepbereik en uitvoering</t>
  </si>
  <si>
    <t>Verhoeven,  W.H.J. ,  A.J. van Stel &amp; N.G.L. Timmermans</t>
  </si>
  <si>
    <t>Panteia EIM</t>
  </si>
  <si>
    <t>Vries, Nardo de &amp; Nicole Braams</t>
  </si>
  <si>
    <t>Panteia en CBS</t>
  </si>
  <si>
    <t>The Impact of EUREKA in the Netherlands</t>
  </si>
  <si>
    <t>Damvad</t>
  </si>
  <si>
    <t>De economische impact van arbeidsmigratie: verdringingseffecten 1999-2008</t>
  </si>
  <si>
    <t>Berkhout, Ernest, Arjan Heyma &amp; Siemen van der Werff</t>
  </si>
  <si>
    <t>Beheerplan voor LMS en NRM</t>
  </si>
  <si>
    <t>Rik van Grol</t>
  </si>
  <si>
    <t>Explaining the Flight of Cupid’s Arrow: A Spatial Random Utility Model of Partner Choice</t>
  </si>
  <si>
    <t>Haandrikman, Karen &amp; Leo J. G. van Wissen</t>
  </si>
  <si>
    <t>European Journal of Population</t>
  </si>
  <si>
    <t>Timmermans, A., &amp; Zijsling, D.</t>
  </si>
  <si>
    <t>GION Onderwijs/Onderzoek</t>
  </si>
  <si>
    <t>Geslaagd in de stad</t>
  </si>
  <si>
    <t>Koster, S., &amp; Venhorst, V.</t>
  </si>
  <si>
    <t>Girugten</t>
  </si>
  <si>
    <t>Venhorst, V. A., Koster, S., &amp; Dijk, J. V.</t>
  </si>
  <si>
    <t>Groningen: Faculteit Ruimtelijke Wetenschappen, Rijksuniversiteit Groningen.</t>
  </si>
  <si>
    <t>Spatial Economic Analysis, 9(4), 436-464. 10.1080/17421772.2014.961537</t>
  </si>
  <si>
    <t>Cruz-Cazares, C, AAJ Smits, H Berends, IMMJ Reymen, P Anzola, C Bayona, T Garcia, M Schubert &amp; F Sturm</t>
  </si>
  <si>
    <t>EURIS/BMOI</t>
  </si>
  <si>
    <t>Kourtit, K.,  Möhlmann, J.,  Nijkamp, P.,  and  Rouwendal,  J.</t>
  </si>
  <si>
    <t>International Regional Science Review</t>
  </si>
  <si>
    <t>The  Geography of Creative Industries and Cultural Heritage (forthcoming)</t>
  </si>
  <si>
    <t>Kourtit, K.,  Möhlmann,  J., Nijkamp, P.,  and  Rouwendal,  J.</t>
  </si>
  <si>
    <t>Journal of Cultural and Creative Industries</t>
  </si>
  <si>
    <t>Effect woonsituatie op arbeidsaanbod</t>
  </si>
  <si>
    <t>Siemen van der Werf en Jurriaan Prins</t>
  </si>
  <si>
    <t>Het belang van het innovatieregime voor flexibel werk en innovatie</t>
  </si>
  <si>
    <t>Kleinknecht, A., van Schaik, F &amp; Zhou, H</t>
  </si>
  <si>
    <t>Economisch Statistische Berichten. Jaargang 98(4659), 3 : 276-279.</t>
  </si>
  <si>
    <t>Zijn er inkomsten of niet; ff checken</t>
  </si>
  <si>
    <t>Inspectie Werk en Inkomen, Min SZW</t>
  </si>
  <si>
    <t>Afbouw van het WSW bestand</t>
  </si>
  <si>
    <t>Berden, Caroline &amp; Caren Tempelman</t>
  </si>
  <si>
    <t>Bouwstenen verdeelmodel participatiebudget eindrapport</t>
  </si>
  <si>
    <t>Tempelman, Caren &amp; Caroline Berden, Martin Heekelaar en Lucy Kok</t>
  </si>
  <si>
    <t>Bouwstenen verdeelmodel participatiebudget Technisch eindrapport</t>
  </si>
  <si>
    <t>Bijwaard, Govert, Hans van Kippersluis &amp; Justus Veenman</t>
  </si>
  <si>
    <t>Tinbergen Institute</t>
  </si>
  <si>
    <t>Education and health: The role of cognitive ability</t>
  </si>
  <si>
    <t>Bijwaard, Govert E., Hans van Kippersluis, Justus Veenman</t>
  </si>
  <si>
    <t>Journal of Health Economics 42: 29-43</t>
  </si>
  <si>
    <t>Vink, Rob, Hans Mariën &amp; Astrid Vloet</t>
  </si>
  <si>
    <t>IVA</t>
  </si>
  <si>
    <t>Hamaker, Marije E., Esther Bastiaannet, Dorothea Evers, Water, Willemien van de, Carolien H. Smorenburg, Ed Maartense, Anneke M. Zeilemaker, Gerrit-Jan Liefers, Lydia van der Geest, Sophia E. de Rooij, Barbara C. van Munster &amp; Johanneke E.A. Portielje</t>
  </si>
  <si>
    <t>European Journal of Cancer (2013) 49, 545– 552</t>
  </si>
  <si>
    <t>A closer look at the role of healthcare in the recent mortality decline in the Netherlands: results of a record linkage study</t>
  </si>
  <si>
    <t>Peters, F., Nusselder, W. J., &amp; Mackenbach, J. P.</t>
  </si>
  <si>
    <t>Journal of Epidemiology and Community Health</t>
  </si>
  <si>
    <t>Health inequalities in the Netherlands: trends in quality-adjusted life expectancy (QALE) by educational level</t>
  </si>
  <si>
    <t>Gheorghe M, Wubulihasimu P, Peters F, Nusselder W &amp; Van Baal P.H.</t>
  </si>
  <si>
    <t>European Journal of Public Health</t>
  </si>
  <si>
    <t>Resting Heart Rate Is a Risk Factor for Mortality in Chronic Obstructive Pulmonary Disease, but Not for Exacerbations or Pneumonia</t>
  </si>
  <si>
    <t>Warnier MJ, Rutten FH, de Boer A, Hoes AW, De Bruin ML</t>
  </si>
  <si>
    <t>PLoS One 9(8):e105152.</t>
  </si>
  <si>
    <t>Evaluation of cardiac surgery mortality rates: 30-day mortality or longer follow-up?</t>
  </si>
  <si>
    <t>Siregar, Sabrina, Rolf H.H. Groenwold, Bas A.J.M. de Mol, Ron G.H. Speekenbrink,_x000D_
Michel I.M. Versteegh, George J. Brandon Bravo Bruinsma, Michiel L. Bots, Yolanda van der Graaf and Lex A. van Herwerden</t>
  </si>
  <si>
    <t>European Journal of Cardio-Thoracic Surgery 44 875-883</t>
  </si>
  <si>
    <t>Safety in cardiac surgery</t>
  </si>
  <si>
    <t>Siregar, Sabrina</t>
  </si>
  <si>
    <t>Gildeprint Drukkerijen, Enschede</t>
  </si>
  <si>
    <t>Trends and outcomes of valve surgery: 16-year results of Netherlands Cardiac Surgery National Database</t>
  </si>
  <si>
    <t>Siregar, Sabrina, Frederiek de Heer, Rolf H.H. Groenwold, Michel I.M. Versteegh, Jos A. Bekkers, Emile S. Brinkman, Michiel L. Bots, Yolanda van der Graaf &amp; Lex A. van Herwerden</t>
  </si>
  <si>
    <t>European Journal of Cardio-Thoracic Surgery 46 386-397</t>
  </si>
  <si>
    <t>PrO-loopbanen van zes jaar. Loopbanen in onderwijs en arbeid van leerlingen met een beschikking Praktijkonderwijs, 2005/06 - 2010/11</t>
  </si>
  <si>
    <t>Koopman, P.N.J., Voncken, E.</t>
  </si>
  <si>
    <t>Kohnstamm Instituut</t>
  </si>
  <si>
    <t>Quality of Life and Time to Death: Have the Health Gains of Preventive Interventions Been Underestimated?</t>
  </si>
  <si>
    <t>Gheorghe, Maria, Werner B. F. Brouwer &amp; Pieter H. M. van Baal</t>
  </si>
  <si>
    <t>Med Decis Making Journal</t>
  </si>
  <si>
    <t>Changes in the income distribution of the Dutch elderly between 1989-2020: a dynamic microsimulation</t>
  </si>
  <si>
    <t>Knoef, M.G., R.J.M. Alessie &amp; A.S. Kalwij</t>
  </si>
  <si>
    <t>Review of Income and Wealth, 59(3), pp. 460-485</t>
  </si>
  <si>
    <t>Measuring retirement savings adequacy: a multi-pillar approach in the Netherlands</t>
  </si>
  <si>
    <t>Knoef, M.G., J. Been, R.J.M. Alessie, C.L.J. Caminada, K.P. Goudswaard &amp; A.S. Kalwij</t>
  </si>
  <si>
    <t>Netspar Design Paper 25</t>
  </si>
  <si>
    <t>Pathways to retirement and mortality risk in the Netherlands</t>
  </si>
  <si>
    <t>Kalwij, A., R. Alessie &amp;Marike Knoef</t>
  </si>
  <si>
    <t>Eur J Population 29: 221-238</t>
  </si>
  <si>
    <t>Pensioeninkomens in de toekomst</t>
  </si>
  <si>
    <t>Knoef, M.G., K.P. Goudswaard, K. Caminada &amp; J. Been</t>
  </si>
  <si>
    <t>Economisch Statistische Berichten, pp. 734-737</t>
  </si>
  <si>
    <t>The association between individual income and remaining life expectancy at the age of 65 in the Netherlands</t>
  </si>
  <si>
    <t>Kalwij, Adriaan, S., Rob J.M. Alessie &amp; Marike G. Knoef</t>
  </si>
  <si>
    <t>Demography 50 : 181-206</t>
  </si>
  <si>
    <t>Inkomensmobiliteit in Nederland 2001 - 2014</t>
  </si>
  <si>
    <t>Vriend, Sandra, Marike Knoef (Universiteit Leiden), Marloes Lammers &amp; Bas ter Weel</t>
  </si>
  <si>
    <t>Universiteit Leiden</t>
  </si>
  <si>
    <t>Can the Dutch meet their own retirement expenditure goals?</t>
  </si>
  <si>
    <t>Bresser, Jochem de &amp; Marike Knoef</t>
  </si>
  <si>
    <t>UvT_Netspar</t>
  </si>
  <si>
    <t>The necessity of self-employment towards retirement: Evidence from labor market dynamics and search requirements for unemployment benefits</t>
  </si>
  <si>
    <t>Been, Jim &amp; Marike Knoef</t>
  </si>
  <si>
    <t>Life cycle behavior under uncertainty: Essays on savings, mortgages and health</t>
  </si>
  <si>
    <t>Ooijen, Raun, Rob Alessie &amp; Adriaan Kalwij</t>
  </si>
  <si>
    <t>De toereikendheid van pensioenopbouw na de crisis en pensioenhervormingen</t>
  </si>
  <si>
    <t xml:space="preserve">Knoef, M.G., J. Been, C.L.J. Caminada, K.P. Goudswaard &amp; J. Rhuggenaath </t>
  </si>
  <si>
    <t>Individuals’ Survival Expectations and Actual Mortality</t>
  </si>
  <si>
    <t>Kutlu-Koc, Vesile &amp; Adriaan Kalwij</t>
  </si>
  <si>
    <t>Netspar. DP 05/2013-013</t>
  </si>
  <si>
    <t>Vrouwenemancipatie 2014</t>
  </si>
  <si>
    <t>Lindeman, Ellen &amp; Sanne de Ruiter</t>
  </si>
  <si>
    <t>Bureau Onderzoek en Statistiek, Gemeente Amsterdam</t>
  </si>
  <si>
    <t xml:space="preserve">Monitor EU-migranten 2013_x000D_
</t>
  </si>
  <si>
    <t xml:space="preserve">Booi, H., E. Lindeman &amp; J. Slot_x000D_
</t>
  </si>
  <si>
    <t xml:space="preserve">Dashboard kenrcijfers Amsterdam (jaarlijkse update)_x000D_
</t>
  </si>
  <si>
    <t xml:space="preserve">Bicknese, L._x000D_
</t>
  </si>
  <si>
    <t>Afdeling Onderzoek, Informatie en Statistiek, Gemeente Amsterdam</t>
  </si>
  <si>
    <t>Amsterdamse Armoedemonitor 2013</t>
  </si>
  <si>
    <t>Heijnen, Merijn, Laure Michon, Nienke Nottelman, Clemens Wenneker &amp; Jeroen Slot</t>
  </si>
  <si>
    <t xml:space="preserve">Stadsdeelrapportage Armoedemonitor 2014_x000D_
</t>
  </si>
  <si>
    <t xml:space="preserve">Michon, Laure, Nienke Nottelman, Clemens Wenneker &amp;  Jeroen Slot_x000D_
</t>
  </si>
  <si>
    <t>Gemeente Amsterdam; Onderzoek, Informatie en Statistiek</t>
  </si>
  <si>
    <t xml:space="preserve">Armoedemonitor 2014: Lage inkomens in Amsterdam_x000D_
</t>
  </si>
  <si>
    <t xml:space="preserve">Michon Laure, Nienke Nottelman, Clemens Wenneker &amp; Jeroen Slot_x000D_
</t>
  </si>
  <si>
    <t xml:space="preserve">Stadsdeelrapportage Armoedemonitor 2015_x000D_
</t>
  </si>
  <si>
    <t xml:space="preserve">Michon Laure, Nienke Nottelman, Clemens Wenneker &amp; Jeroen Slot _x000D_
</t>
  </si>
  <si>
    <t xml:space="preserve">Jaarboek Amsterdam in cijfers (jaarlijks), w.o.: Tabellen over beroepsbevolking in hoofdstuk Werk en inkomen, Tabellen over uitkeringen in hoofdstuk Werk en inkomen,_x000D_
Tabellen over hoogst afgerond opleidingsniveau in hoofdstuk Onderwijs, hoofdstuk Vier eden en hoofdstuk Stadsregio Amsterdam_x000D_
-  Tabellen over MBO-leerlingen in hoofdstuk Onderwijs_x000D_
_x000D_
_x000D_
</t>
  </si>
  <si>
    <t xml:space="preserve">Gemeente Amsterdam; Onderzoek, Informatie en Statistiek_x000D_
</t>
  </si>
  <si>
    <t>Jaarboek Stadsdelen in cijfers (jaarlijks), w.o.: Tabellen over uitkeringen en over hoogst afgerond opleidingsniveau</t>
  </si>
  <si>
    <t xml:space="preserve">Monitor Jeugdwerkloosheid Amsterdam over 2014_x000D_
</t>
  </si>
  <si>
    <t xml:space="preserve">Jong, drs. Idske, Anne Huijzer MSc, drs. Carine van Oosteren &amp; drs. Robert Selten_x000D_
</t>
  </si>
  <si>
    <t xml:space="preserve">Staat van de Stad Amsterdam _x000D_
</t>
  </si>
  <si>
    <t xml:space="preserve">Bekendheid en bereik minimaregelingen_x000D_
</t>
  </si>
  <si>
    <t xml:space="preserve">Huijzer Anne, Myrthe Rijswijk, Laure Michon &amp; Willem Bosveld_x000D_
</t>
  </si>
  <si>
    <t xml:space="preserve">Taal en ouderbetrokkenheid van ouders van VVE-kinderen - Een kwantitatieve en kwalitatieve analyse_x000D_
</t>
  </si>
  <si>
    <t xml:space="preserve">Cohen MSc, Lotje,  Anne Huijzer MSc &amp; dr. Esther Jakobs_x000D_
</t>
  </si>
  <si>
    <t>Gemeente Amsterdam, Bureau Onderzoek en Statistiek</t>
  </si>
  <si>
    <t xml:space="preserve">Economische verkenningen metropoolregio Amsterdam 2015 (Hoofdstuk 5)_x000D_
</t>
  </si>
  <si>
    <t xml:space="preserve">Jong, Idske de, Maureen B.M. Lankhuizen, Jan Möhlmann &amp; Carine van Oosteren_x000D_
</t>
  </si>
  <si>
    <t>Gemeente Amsterdam Economie in opdracht van PRES</t>
  </si>
  <si>
    <t xml:space="preserve">Dataset Economisch Domein_x000D_
</t>
  </si>
  <si>
    <t xml:space="preserve">Fedorova, Tanja_x000D_
</t>
  </si>
  <si>
    <t xml:space="preserve">Senioren en Langer zelfstandig wonen - Bouwstenen voor de campagne-strategie_x000D_
</t>
  </si>
  <si>
    <t xml:space="preserve">Booi, Hester &amp; Ellen Lindeman_x000D_
</t>
  </si>
  <si>
    <t xml:space="preserve">Monitor Om het kind - Eenmeting_x000D_
</t>
  </si>
  <si>
    <t xml:space="preserve">Ruiter, Sanne de, Robert Selten &amp; Jeroen Slot_x000D_
</t>
  </si>
  <si>
    <t xml:space="preserve">Stapeling van regelingen in het sociaal domein_x000D_
</t>
  </si>
  <si>
    <t xml:space="preserve">Jong, Idske de, Jolijn Broekhuizen, Anne Huijzer &amp; Jeroen Slot_x000D_
</t>
  </si>
  <si>
    <t xml:space="preserve">Achtergronddocument bij factsheet jeugdwerkloosheid 2014_x000D_
</t>
  </si>
  <si>
    <t xml:space="preserve">Jong, Idske de &amp; Carine van Oosteren_x000D_
</t>
  </si>
  <si>
    <t xml:space="preserve">Wonen in de regio, Stadsregio Amsterdam, gemeente Almere, Zuid-Kennemerland/IJmond: een onderzoek naar woonsituatie, woonwensen en verhuisbewegingen van huishoudens_x000D_
</t>
  </si>
  <si>
    <t xml:space="preserve">Booi, Hester, Dragana Stojmenovska &amp; Jeroen Slot_x000D_
</t>
  </si>
  <si>
    <t>Air pollution and Mortality in 7 Million Adults - The Dutch Environmental Longitudinal Study (DUELS)</t>
  </si>
  <si>
    <t>Fischer, Paul H., Marten Marra, Caroline B. Ameling, Gerard Hoek, Rob Beelen, Kees de Hoogh, Oscar Breugelmans, Hanneke Kruize, Nicole A.H. Janssen, and Danny Houthuijs</t>
  </si>
  <si>
    <t>Environmental Health Perspectives</t>
  </si>
  <si>
    <t>Nederlanders sterven eerder door stikstof</t>
  </si>
  <si>
    <t>Köhler, Wim</t>
  </si>
  <si>
    <t>NRC, 12-3-2015</t>
  </si>
  <si>
    <t>Timmermans, N.G.L. &amp; T. Span, Msc.</t>
  </si>
  <si>
    <t>Panteia_EIM</t>
  </si>
  <si>
    <t>Mortality in patients with rheumatoid arthritis: a 15.year prospective cohort study</t>
  </si>
  <si>
    <t>Hoek J. van den, H. C. Boshuizen, L. D. Roorda, G. J. Tijhuis, M. T. Nurmohamed, G. A., M. van den Bos &amp; J. Dekker</t>
  </si>
  <si>
    <t>Springer Media</t>
  </si>
  <si>
    <t>Trend in and predictors for cardiovascular mortality in patients with rheumatoid arthritis over a period of 15 years: a prospective cohort study</t>
  </si>
  <si>
    <t xml:space="preserve">Hoek J. van den, L.D. Roorda, H.C. Boshuizen, G.J. Tijhuis &amp;  J. Dekker, G.A. van den Bos &amp; M.T. Nurmohamed_x000D_
</t>
  </si>
  <si>
    <t>Clinical and Experimental Rheumatology</t>
  </si>
  <si>
    <t>Association of Somatic Comorbidities and Comorbid Depression With Mortality in Patients With Rheumatoid Arthritis: A 14-Year rospective Cohort Study</t>
  </si>
  <si>
    <t>Hoek J. van den, H. C. Boshuizen, L. D. Roorda, G. J. Tijhuis,  M. T. Nurmohamed, J. Dekker &amp; G. A. M. van den Bos</t>
  </si>
  <si>
    <t>American College of Rheumatology</t>
  </si>
  <si>
    <t>Immigranten op de stedelijke woningmarkt. In: Jaarrapport Integratie 2012</t>
  </si>
  <si>
    <t>Boschman, S &amp; F. van Dam</t>
  </si>
  <si>
    <t>Cardiovascular diseases-related hospital admissions of patients with inflammatory arthritis</t>
  </si>
  <si>
    <t>Ursum, J., Nielen, M.M.J., Twisk, J.W.R., Peters, M.J.L., Schellevis, F.G., Nurmohamed, M.T. &amp; Korevaar, J.C.</t>
  </si>
  <si>
    <t>Journal of Rheumatology: 42(2), 188-192</t>
  </si>
  <si>
    <t>Hopman P, et al.</t>
  </si>
  <si>
    <t>Eur J Intern Med (2015)</t>
  </si>
  <si>
    <t>The association between adolescents’ health and disparities in school career: a longitudinal cohort study</t>
  </si>
  <si>
    <t>Uiters Ellen, Erica Maurits, Mariël Droomers, Marieke Zwaanswijk, Robert A Verheij &amp; Fons van der Lucht</t>
  </si>
  <si>
    <t>BMC Public Health 14:1104</t>
  </si>
  <si>
    <t>De overeenstemming tussen zelfgerappor-teerde jeugdcriminaliteit en bij de politie bekende jeugdige verdachten</t>
  </si>
  <si>
    <t>Weijters, G.,  A.M. van der Laan &amp; R.J. Kessels</t>
  </si>
  <si>
    <t>WODC</t>
  </si>
  <si>
    <t>Maurits, E., Rijken, M., Friele, R.</t>
  </si>
  <si>
    <t>Suijkerbuijk, Anita W.M., G.A. (Ardine) de Wit, Alet H. Wijga, Monique J.W.M. Heijmans, Martine Hoogendoorn, Maureen P.M.H. Rutten-van Mölken, Erica E.M. Maurits, Rudolf T. Hoogenveen en Talitha L. Feenstra</t>
  </si>
  <si>
    <t>Nederlands Tijdschrift voor Geneeskunde, 2013: 157</t>
  </si>
  <si>
    <t>Suijkerbuijk A.W.M., Hoogeveen R.T., Wit G.A. de, Wijga A.H., Hoogendoorn E.J.I., Rutten-van Mölken M.P.M.H., Feenstra T.L.</t>
  </si>
  <si>
    <t>Werken met een chronische longaandoening</t>
  </si>
  <si>
    <t>Maurits, Erica, Monique Heijmans, Irina Stirbu-Wagner &amp; Mieke Rijken</t>
  </si>
  <si>
    <t>Nivel</t>
  </si>
  <si>
    <t>Conditional survival for long-term colorectal cancer survivors in the Netherlands: who do_x000D_
best?</t>
  </si>
  <si>
    <t>Erning, F.N. van, L.N. van Steenbergen, V.E.P.P. Lemmens, H.J.T. Rutten, H. Martijn, D.J. van Spronsen &amp; M.L.G. Janssen-Heijnen</t>
  </si>
  <si>
    <t>European Journal of Cancer 50, 1731-1739</t>
  </si>
  <si>
    <t>Variation in causes of death in patients with non-small cell lung cancer according to stage and time since diagnosis</t>
  </si>
  <si>
    <t>Janssen-Heijnen, M.L.G., F.N. van Erning, D.K. De Ruysscher, J.W.W. Coebergh &amp; H.J.M. Groen</t>
  </si>
  <si>
    <t>Annals of Oncology 00: 1-6</t>
  </si>
  <si>
    <t>Arbeidsmarktanalyse Rijk: een vooruitblik naar 2016 en 2020</t>
  </si>
  <si>
    <t>Ministerie van Binnenlandse Zaken en Koninkrijksrelaties</t>
  </si>
  <si>
    <t>De mobiliteit van oudere ambtenaren</t>
  </si>
  <si>
    <t>Deelen, A., R. Euwals en I. Specker</t>
  </si>
  <si>
    <t>Economische Statistische Berichten, No. 4622, pp. 682-683</t>
  </si>
  <si>
    <t>Do Wages Remain Increasing at Older Age? Evidence on the Wage Cushion in the Netherlands?</t>
  </si>
  <si>
    <t>Deelen, A. en R. Euwals</t>
  </si>
  <si>
    <t xml:space="preserve"> De Economist, Vol. 162(4), pp. 433-460 (ook als CPB DP 282)</t>
  </si>
  <si>
    <t>Flexibilisering over generaties</t>
  </si>
  <si>
    <t>Euwals, R. en R. de Groot</t>
  </si>
  <si>
    <t>Economische Statistische Berichten, No. 4629, pp. 109-111</t>
  </si>
  <si>
    <t>Labour Market Effects of Job Displacement for Prime-Age and Older Workers</t>
  </si>
  <si>
    <t>Deelen, A., M. de Graaf-Zijl en W. van den Berge</t>
  </si>
  <si>
    <t>CPB DP 285</t>
  </si>
  <si>
    <t>Labour-market outcomes of older workers in the Netherlands: Measuring job prospects using the occupational age structure</t>
  </si>
  <si>
    <t>Bosch, N. en B. ter Weel</t>
  </si>
  <si>
    <t>De Economist, vol. 161, no. 2, pp. 199-218 (ook als CPB Discussion Paper 234)</t>
  </si>
  <si>
    <t>Graaf-Zijl, Marloes de, Albert van der Horst &amp; Daniël van Vuuren</t>
  </si>
  <si>
    <t>CPB Policy Brief 11</t>
  </si>
  <si>
    <t>De financiële positie van het MKB in 2014 en 2015</t>
  </si>
  <si>
    <t>Span, Tommy &amp;Wim Verhoeven</t>
  </si>
  <si>
    <t>Dutch patients with dementia don't die in hospitals</t>
  </si>
  <si>
    <t>MacNeil Vroomen J, Bosmans JE, Holman R, van Rijn M, Buurman BM ,van Hout, HPJ &amp; de Rooij, SE.</t>
  </si>
  <si>
    <t>JAGS</t>
  </si>
  <si>
    <t>Blood Donation and Cardiovascular Disease</t>
  </si>
  <si>
    <t>Peffer, Karlijn</t>
  </si>
  <si>
    <t>Timmermans, N.G.L., B. van der Linden &amp; W.H. J. Verhoeven</t>
  </si>
  <si>
    <t>Wel, J.J. van der, L. Mallee, F.A. Rosing &amp; B. van Lierop</t>
  </si>
  <si>
    <t>De sociaaleconomische situatie van langdurig flexibele werknemers</t>
  </si>
  <si>
    <t>Heyma, A. &amp; Werff, S. van der</t>
  </si>
  <si>
    <t>SEO-rapport, 2013-09</t>
  </si>
  <si>
    <t>Heyma, A. &amp; Van der Werff, S.</t>
  </si>
  <si>
    <t>Den Haag/Heerlen: CBS</t>
  </si>
  <si>
    <t>Do treatment quality indicators predict cardiovascular outcomes in patients with diabetes?</t>
  </si>
  <si>
    <t>Sidorenkov G, Voorham J, de Zeeuw D, Haaijer-Ruskamp FM &amp; Denig P</t>
  </si>
  <si>
    <t>PLoS One. 30;8(10):e78821</t>
  </si>
  <si>
    <t>Groot, Nynke de, Rafiq Friperson, Jamie Weda en Philip de Jong</t>
  </si>
  <si>
    <t>APE</t>
  </si>
  <si>
    <t>Prins, Marijn, Peter F.M. Verhaak, Dineke Smit &amp; Robert A. Verheij</t>
  </si>
  <si>
    <t>Scandinavian Journal of Primary Health Care; 32: 117-123</t>
  </si>
  <si>
    <t>Dool, Remko van den &amp; Annet Tiessen-Raaphorst</t>
  </si>
  <si>
    <t>Ageing and entrepreneurship across Dutch regions</t>
  </si>
  <si>
    <t>De Kok, J.M.P en T. Span</t>
  </si>
  <si>
    <t>Panteia_EIM, Research Report H201409</t>
  </si>
  <si>
    <t>Up or out? How individual research grants affect academic careers in The Netherlands</t>
  </si>
  <si>
    <t>Gerritsen, Sander Gerritsen, Erik Plug &amp; Karen van der Wiel</t>
  </si>
  <si>
    <t>The labour market for IT professionals in the Netherlands</t>
  </si>
  <si>
    <t>Benthem, W.J.A. van</t>
  </si>
  <si>
    <t>Tilburg University</t>
  </si>
  <si>
    <t>Een gezonder Nederland. Kernboodschappen van de Volksgezondheid Toekomst Verkenning 2014</t>
  </si>
  <si>
    <t>Hoeymans, N., A.J.M. van Loon, M. van den Berg, M.M. Harbers, H.B.M. Hilderink, J.A.M. van Oers &amp; C.G. Schoemake</t>
  </si>
  <si>
    <t>Estimating disease prevalence from drug utilization data using the Random Forest algorithm</t>
  </si>
  <si>
    <t>Laurentius C.J. Slobbe, Koen Füssenich,_x0002_Albert Wong, Hendriek C. Boshuizen,_x000D_
Markus M.J. Nielen, Johan J. Polder, Talitha L. Feenstra &amp;  Hans A.M. van Oers</t>
  </si>
  <si>
    <t>Schutjens, V., N. de Vries &amp; A. Risselada</t>
  </si>
  <si>
    <t>Trollhattan: University West Reports 2014:2, pp. 695-714.</t>
  </si>
  <si>
    <t>Verklaringen van de overlevingskans van bedrijven, gestart door allochtone ondernemers</t>
  </si>
  <si>
    <t>Bruins, A., V.A.J.M Schutjens, N.E. de Vries &amp; A. Risselada</t>
  </si>
  <si>
    <t>2014_Eindrapport_Terugblikken_in_Hoogvliet</t>
  </si>
  <si>
    <t>Kleinhans, Reinout, Lex Veldboer, Wenda Doff, Sylvia Jansen en Maarten van Ham</t>
  </si>
  <si>
    <t>Veldboer, Lex ,Reinout Kleinhans, Wenda Doff &amp; Maarten van Ham</t>
  </si>
  <si>
    <t>Sociale Vraagstukken</t>
  </si>
  <si>
    <t>Neighbourhood selection of non-western minorities; testing the own group preferences hypothesis using a conditional logit model</t>
  </si>
  <si>
    <t>Boschman, S. &amp; Ham, M. van</t>
  </si>
  <si>
    <t>Terugblikken en vooruitkijken in Hoogvliet.15 jaar stedelijke vernieuwing en de effecten op wonen, leefbaarheid en sociale mobiliteit</t>
  </si>
  <si>
    <t>OTB</t>
  </si>
  <si>
    <t>Ethnic differences in realising desires to leave urban neighbourhoods</t>
  </si>
  <si>
    <t>Boschman, S., Kleinhans, R., &amp; van Ham, M</t>
  </si>
  <si>
    <t>Journal of Housing and the Built Environment,</t>
  </si>
  <si>
    <t>Individual differences in the neighbourhood level determinants of residential satisfaction</t>
  </si>
  <si>
    <t xml:space="preserve">Boschman, S. </t>
  </si>
  <si>
    <t>Housing Studies</t>
  </si>
  <si>
    <t>Incorporating neighborhood choice in a model of neighborhood effects on income</t>
  </si>
  <si>
    <t xml:space="preserve">Van Ham, M., Boschman, S., &amp; Vogel, M. </t>
  </si>
  <si>
    <t>Demography</t>
  </si>
  <si>
    <t>Neighbourhood selection of non-Western ethnic minorities: testing the own-group effects hypothesis using a conditional logit model</t>
  </si>
  <si>
    <t>Boschman, S., &amp; Van Ham, M.</t>
  </si>
  <si>
    <t>Environment and Planning A</t>
  </si>
  <si>
    <t>Prijzengids 2013-2014</t>
  </si>
  <si>
    <t>NIBUD</t>
  </si>
  <si>
    <t>Landelijke effectevaluatie wet tijdelijk huisverbod</t>
  </si>
  <si>
    <t>Vaan, K.B.M. de, G.H.J. Homburg &amp; M. Timmermans</t>
  </si>
  <si>
    <t>Wet tijdelijk huisverbod: procesmatige en juridische knelpunten</t>
  </si>
  <si>
    <t>Vaan, K.B.M. de, G.H.J. Homburg &amp; A. Schreijenberg</t>
  </si>
  <si>
    <t>The self-reinforcing effects of population decline: An analysis of differences in moving behaviour between rural neighbourhoods with declining and stable populations</t>
  </si>
  <si>
    <t>Elshof, Hans, Leo van Wissen &amp; Clara H. Mulder</t>
  </si>
  <si>
    <t>Journal of Rural Studies 36: 285-299</t>
  </si>
  <si>
    <t>Individual perceptions of local crime risk</t>
  </si>
  <si>
    <t>Salm, Martin &amp; Ben Vollaard</t>
  </si>
  <si>
    <t>CentER working paper</t>
  </si>
  <si>
    <t>Leren over het lokale inbraakrisico. Verslag van een onderzoek</t>
  </si>
  <si>
    <t>Centrum voor Criminaliteitspreventie en Veiligheid</t>
  </si>
  <si>
    <t>Berkhout, P.H.G. &amp; M. Damen</t>
  </si>
  <si>
    <t>RIGO Research en Advies</t>
  </si>
  <si>
    <t>Lopen buitenlanders in Nederland meer kans op een bedrijfsongeval?</t>
  </si>
  <si>
    <t>RIGO</t>
  </si>
  <si>
    <t>Safety, Reliability and Risk Analysis: beyond the horizon. Serious occupational accidents of non-Dutch workers in The Netherlands</t>
  </si>
  <si>
    <t>Berkhout, P.H.G., M. Damen, L. Belamy, M. Mud, H.J. Manuel &amp; J. Oh</t>
  </si>
  <si>
    <t>MKB en Ondernemerschap: Actieve ondernemingen en vestigingen (online dataset)</t>
  </si>
  <si>
    <t>Monitor Inkomens Ondernemers. Editie 2011</t>
  </si>
  <si>
    <t>Ruis, Arjan &amp; Sjaak Vendrig</t>
  </si>
  <si>
    <t>Adaptive behaviour in urban space: Residential mobility in response to social distance</t>
  </si>
  <si>
    <t>Musterd, S., Van Gent, W.P.C., Das, M. &amp; Latten, J.J.</t>
  </si>
  <si>
    <t>Urban Studies. DOI: 10.1177/0042098014562344</t>
  </si>
  <si>
    <t>Latten, J.J., M. Das, S. Musterd &amp; W.P.C. van Gent</t>
  </si>
  <si>
    <t>Bevolkingstrends</t>
  </si>
  <si>
    <t>Marchand, Wouter</t>
  </si>
  <si>
    <t>RUG. Proefschrift.</t>
  </si>
  <si>
    <t xml:space="preserve">Vrijenhoek JE, Haitjema S, de Borst GJ, de Vries JP, Vaartjes I, Moll FL, Pasterkamp G &amp;, den Ruijter HM_x000D_
</t>
  </si>
  <si>
    <t>Atherosclerosis; 237(2):521-7.</t>
  </si>
  <si>
    <t xml:space="preserve">Gijsberts CM, Santema BT, Asselbergs FW, de Kleijn DP, Voskuil M, Agostoni P, Cramer MJ, Vaartjes I, Hoefer IE, Pasterkamp G &amp; den Ruijter HM. </t>
  </si>
  <si>
    <t>Arthero express</t>
  </si>
  <si>
    <t>Winst- en verliesgevende verzekerden</t>
  </si>
  <si>
    <t>De economische effecten van internationalisering in het hoger onderwijs</t>
  </si>
  <si>
    <t>Langetermijneffecten van re-integratie</t>
  </si>
  <si>
    <t>Lammers, Marloes, Lucy Kok &amp; Conny Wunsch</t>
  </si>
  <si>
    <t>Langetermijneffecten re-integratie: Verschillen naar migratieachtergrond</t>
  </si>
  <si>
    <t>Kroon, Lennart, Marloes Lammers &amp; William Luiten</t>
  </si>
  <si>
    <t>Loopbaanmonitor Onderwijs 2012</t>
  </si>
  <si>
    <t>Leenen, H. van</t>
  </si>
  <si>
    <t>Micro-level dynamics of social assistance receipt: Evidence from four European countries</t>
  </si>
  <si>
    <t xml:space="preserve">Königs Sebastian_x000D_
_x000D_
_x000D_
_x000D_
_x000D_
_x000D_
_x000D_
_x000D_
_x000D_
_x000D_
_x000D_
_x000D_
_x000D_
_x000D_
_x000D_
  </t>
  </si>
  <si>
    <t>Internationale oriëntatie van bedrijven en baanzekerheid van werknemers, In R. van Gaalen,A. Goudswaard, J. Sanders &amp; W. Smits (red.), Dynamiek op de Nederlandse arbeidsmarkt ( pp 175-184.)</t>
  </si>
  <si>
    <t>Korvorst, M., Ben Kriechel en Wendy Smits</t>
  </si>
  <si>
    <t>CBS/TNO</t>
  </si>
  <si>
    <t>Op achterstand. Discriminatie van niet-westerse migranten op de arbeidsmarkt</t>
  </si>
  <si>
    <t>Andriessen, I. , E. Nievers en J. Dagevos</t>
  </si>
  <si>
    <t>Changes in Health Care Expenditure after the Loss of a Spouse: Data on 6,487 Older_x000D_
Widows and Widowers in the Netherlands</t>
  </si>
  <si>
    <t>Rolden HJA, van Bodegom D &amp; Westendorp RGJ</t>
  </si>
  <si>
    <t>PLoS ONE 9(12): e115478. doi:10.1371/journal.pone.0115478</t>
  </si>
  <si>
    <t>Variation in the costs of dying and the role of different health services, socio-demographic characteristics, and preceding health care expenses</t>
  </si>
  <si>
    <t>Rolden, Herbert J.A., David van Bodegom &amp; Rudi G.J. Westendorp</t>
  </si>
  <si>
    <t>Social Science &amp; Medicine 120 110-117</t>
  </si>
  <si>
    <t>Menkveld, M, J. Sipma, E. Cozijnsen &amp; K. Leidelmeijer</t>
  </si>
  <si>
    <t>ECN/RIGO</t>
  </si>
  <si>
    <t>Re-employment rates of older unemployed workers: decomposing the effect of bith cohorts and policy changes</t>
  </si>
  <si>
    <t>Koning, Pierre &amp; Max Raterink</t>
  </si>
  <si>
    <t>The Economist</t>
  </si>
  <si>
    <t>Werkhervatting door oudere werklozen</t>
  </si>
  <si>
    <t>Raterink, M. &amp; P. Koning</t>
  </si>
  <si>
    <t>De lonen in de Nederlandse publieke sector in internationaal perspectief</t>
  </si>
  <si>
    <t>Koning, Jaap de, Paul de Hek &amp; Jose Gravesteijn</t>
  </si>
  <si>
    <t>Lonen in de Nederlandse publieke sector in internationaal perspectief</t>
  </si>
  <si>
    <t>ESB, 99(4683)</t>
  </si>
  <si>
    <t>Return Migration of Foreign Students</t>
  </si>
  <si>
    <t>Wang, Qi</t>
  </si>
  <si>
    <t>Kerkhof, D., Korlaar, L., &amp; Veens, E.</t>
  </si>
  <si>
    <t>Dialogic</t>
  </si>
  <si>
    <t>Ex post innovation profile of LBO targets: Evidence from CIS data for the Netherlands</t>
  </si>
  <si>
    <t>Nadant, A.L. le &amp; Perdreau, F.</t>
  </si>
  <si>
    <t>Strategic Change 02/2014; 23:93-105. DOI: 10.1002/jsc.1</t>
  </si>
  <si>
    <t>Inflluence of different information sources to innovation performance: evidence from France, Netherlands and Croatia</t>
  </si>
  <si>
    <t>Pejic Bach, Mirjana, Andjelko Lojpur &amp; Sanja Pekovic</t>
  </si>
  <si>
    <t>Paper for ICES 2014 conference</t>
  </si>
  <si>
    <t>Ten-year mortality risk of patients undergoing elective PCI: long-term follow-up of the GENetic Determinants of Restenosis (GENDER) study - No increased mortality risk by restenosis, only by coronary artery disease itself</t>
  </si>
  <si>
    <t>Verschuren, J. J. W., S. Trompet, R. A. Tio, R. J. de Winter, P. A. F. M. Doevendans &amp; J. W. Jukema</t>
  </si>
  <si>
    <t>Neth Heart J 21:101-105</t>
  </si>
  <si>
    <t>VAAM: Vraag Aanbod Analyse Monitor</t>
  </si>
  <si>
    <t>Financieringsmonitor topsectoren 2013-1</t>
  </si>
  <si>
    <t>Braaksma, Rob, Wim Verhoeven, Lia Smit, Tommy Span</t>
  </si>
  <si>
    <t>How immigrants adapt their smoking behaviour: comparative analysis among Turkish immigrants in Germany and the Netherlands</t>
  </si>
  <si>
    <t>Reiss, Katharina, Odile Sauzet, Jürgen Breckenkamp, Jacob Spallek &amp; Oliver Razum</t>
  </si>
  <si>
    <t>BMC Public Health, 14:844</t>
  </si>
  <si>
    <t>Rutten-Jacobs, Loes</t>
  </si>
  <si>
    <t>JAMA</t>
  </si>
  <si>
    <t>Brummelkamp, G.W. &amp; N.G.L. Timmermans</t>
  </si>
  <si>
    <t>Etil</t>
  </si>
  <si>
    <t>Faun, H.M.F.G.M. &amp; J.J.L. Meuwissen</t>
  </si>
  <si>
    <t>Schattingen van de omvang van huiselijk geweld in Nederland Vangst-hervangstschattingen 2010 2011</t>
  </si>
  <si>
    <t>Heijden, van der Peter G.M., Maarten J.L.F. Cruyff &amp; Ger H.C. van Gils</t>
  </si>
  <si>
    <t xml:space="preserve">Faculteit Sociale Wetenschappen: Departement Methoden en Technieken </t>
  </si>
  <si>
    <t>Weterings, A., Diodato, D. &amp; M. van den Berge</t>
  </si>
  <si>
    <t>Over.Werk, Tijdschrift van het Steunpunt WSE, 24(4), 42-50</t>
  </si>
  <si>
    <t>The resilience of regional labour markets to economic shocks: exploring the role of interactions among firms and workers</t>
  </si>
  <si>
    <t>Diodato, D. &amp; A. Weterings</t>
  </si>
  <si>
    <t>Journal of Economic Geography, first published online August 18, 2014</t>
  </si>
  <si>
    <t>Weterings, A. &amp; F. van Oort</t>
  </si>
  <si>
    <t>Economische Verkenningen Rotterdam</t>
  </si>
  <si>
    <t xml:space="preserve">Buitelaar, Edwin, Anet Weterings, Otto Raspe, Olaf Jonkeren &amp; Willem Boterman </t>
  </si>
  <si>
    <t>Gender-specific mortality in DTP-IPV- and MMR ± MenC-eligible age groups to determine possible sex-differential effects of vaccination: an observational study</t>
  </si>
  <si>
    <t>Schurink-van’t Klooster, Tessa M, Mirjam J Knol, Hester E de Melker &amp; Marianne AB van der Sande</t>
  </si>
  <si>
    <t>BMC Infectious Diseases 15:148</t>
  </si>
  <si>
    <t>De toekomstige inkomenspositie van AOW'ers: drie scenario's voor 2025</t>
  </si>
  <si>
    <t>Wilkens, Mathijn, Daniel van Vuuren &amp; Miriam Gielen</t>
  </si>
  <si>
    <t>Inkomen en vermogen van ouderen: analyse en beleidsopties. IBO Inkomens- en vermogenspositie en subsidiëring 65+’ers</t>
  </si>
  <si>
    <t>Ministerie van Financiën</t>
  </si>
  <si>
    <t>IBO-rapport</t>
  </si>
  <si>
    <t>Koopkracht, een kwestie van kwartjes</t>
  </si>
  <si>
    <t>Gielen, Miriam &amp; Mathijn Wilkens</t>
  </si>
  <si>
    <t>Uitvoeringsmonitor WWB Den Haag</t>
  </si>
  <si>
    <t xml:space="preserve">Berkhout, A., M. Groenewoud, G.H.J. Homburg, L. Mallee &amp; R.C. van Waveren_x000D_
_x000D_
</t>
  </si>
  <si>
    <t>Are the rich more selfish than te poor, or do they just have more money? A natural field experiment</t>
  </si>
  <si>
    <t>Andreoni James, Nikos Nikiforakis &amp; Jan Stoop</t>
  </si>
  <si>
    <t>National Bureau of Economic Research</t>
  </si>
  <si>
    <t>Lessons from microeconometric R&amp;D subsidy studies for macro-modelling of innovation policy</t>
  </si>
  <si>
    <t>Beyer, Mila, Dirk Czarnitzki, Elena Huergo, Pierre Mohnen, Sebastian Pacher, Tuomas Takalo &amp; Otto Toivanen</t>
  </si>
  <si>
    <t>SIMPATIC working paper no. 04</t>
  </si>
  <si>
    <t>On the spatial differentiation in industrial dynamics. The case of the Netherlands (1994-2005)</t>
  </si>
  <si>
    <t>Capasso, M., Cefis, E. &amp; Frenken, K.</t>
  </si>
  <si>
    <t>Reconciling quantile autoregressions of firm size and variance-size scaling</t>
  </si>
  <si>
    <t>Capasso, M., Cefis, E. &amp; Sapio, A.</t>
  </si>
  <si>
    <t>Small Business Economics 41(3): 609-632</t>
  </si>
  <si>
    <t>Welfare effects of European R&amp;D support policies</t>
  </si>
  <si>
    <t>Czarnitzki, Dirk, Elena Huergo, Mila Köhler, Pierre Mohnen, Sebastian Pacher, Tuomas Takalo &amp; Otto Toivanen</t>
  </si>
  <si>
    <t>SIMPATIC working paper no. 34.</t>
  </si>
  <si>
    <t>Evaluatie Uitdagerskrediet en Innovatiekrediet</t>
  </si>
  <si>
    <t>Jong, Philip de (APE), Maartje Gielen (APE) &amp; Mirjam van Praag</t>
  </si>
  <si>
    <t>Monitor Technische Arbeidsmarkt 2013, SEO-rapport 2013-61</t>
  </si>
  <si>
    <t>Volkerink, M., Berkhout, E., Bisschop, P &amp; Heyma, A.</t>
  </si>
  <si>
    <t>Financial position and house price determination: An empirical study of income and wealth effects</t>
  </si>
  <si>
    <t>Steegmans, Joep Steegmans &amp; Wolter Hassink</t>
  </si>
  <si>
    <t>Journal of Housing Economics</t>
  </si>
  <si>
    <t>Decreasing house prices and householdmobility:An empirical study on loss aversion and negative equity</t>
  </si>
  <si>
    <t xml:space="preserve">Steegmans, Joep Steegmans &amp; Wolter Hassink_x000D_
</t>
  </si>
  <si>
    <t>Journal of Regional Science</t>
  </si>
  <si>
    <t xml:space="preserve">House Prices and household mobility in the Netherlands: Empirical analyses of Financial Characteristics of the household </t>
  </si>
  <si>
    <t>Steegmans, Joep</t>
  </si>
  <si>
    <t>Utrecht School of Economics Dissertation</t>
  </si>
  <si>
    <t>Roeleveld, J., Smeets, E., Ledoux, G., Wester, M. &amp; Koopman, P.</t>
  </si>
  <si>
    <t>Kohnstamm Instituut/ITS</t>
  </si>
  <si>
    <t>VeiligheidNL</t>
  </si>
  <si>
    <t>Bisschop, Paul, Carl Koopmans, Rogier Lieshout, Jurriaan Prins &amp; Maikel Volkerink</t>
  </si>
  <si>
    <t>Effect deelname ESF-projecten op werk/opleiding en strafrechtelijke recidive</t>
  </si>
  <si>
    <t>Weijters, G., Noordhuizen, S., Verweij, S., Wartna, B.S.J. &amp; Vergouw, S.J.</t>
  </si>
  <si>
    <t>The Dutch Hospital Standardised Mortality Ratio (HSMR) method and cardiac surgery: benchmarking in a national cohort using hospital administration data versus a clinical database</t>
  </si>
  <si>
    <t>Siregar S, M E Pouw, K G M Moons, M I M Versteegh, M L Bots, Y van der Graaf, C J Kalkman, L A van Herwerden &amp; R H H Groenwold</t>
  </si>
  <si>
    <t>Heart 2014;100:702-710. doi:10.1136/heartjnl-2013-304645</t>
  </si>
  <si>
    <t>MKB en Ondernemersschap: Resultatenrekeningen MKB sectoren (online dataset)</t>
  </si>
  <si>
    <t>Aantallen geregistreerde en niet-geregistreerde burgers uit MOE-landen die in Nederland verblijven</t>
  </si>
  <si>
    <t>Van der Heijden, P.G.M., M. Cruyff en G. van Gils</t>
  </si>
  <si>
    <t>Berkhout, Peter, Martin Damen &amp; Rebecca Wouters</t>
  </si>
  <si>
    <t>RIGO Research en Advies BV</t>
  </si>
  <si>
    <t>Vraag en aanbod onderwijspersoneel MBO</t>
  </si>
  <si>
    <t>Lubberman, Jos, Carolien van Rens , Marjolijn Hovius &amp; Menno Wester</t>
  </si>
  <si>
    <t>ITS</t>
  </si>
  <si>
    <t>INBURGERING EN PARTICIPATIE. De bijdrage van inburgering aan de participatie van migranten in de Nederlandse samenleving</t>
  </si>
  <si>
    <t>Witvliet, Miranda, Miranda, Marja Paulussen-Hoogeboom, Arend Odé &amp; Eline Boersema</t>
  </si>
  <si>
    <t>EFFICIENCY OF HEALTH INVESTMENT: EDUCATION OR INTELLIGENCE?</t>
  </si>
  <si>
    <t>Bijwaard, Govert E &amp; Hans van Kippersluis</t>
  </si>
  <si>
    <t>Health Economics Published by John Wiley &amp; Sons Ltd.</t>
  </si>
  <si>
    <t>Energielabels en het gemeten energiegebruik van utiliteitsgebouwen</t>
  </si>
  <si>
    <t xml:space="preserve">Hoes, E.C.M, M.E. Spiekman&amp;  T. Bulavskaya_x000D_
</t>
  </si>
  <si>
    <t>TNO rapport R10916</t>
  </si>
  <si>
    <t>Naar Nationale Veiligheidsindices</t>
  </si>
  <si>
    <t>Vergouw S.J., P.W. Jennissen, G. Weijters &amp; P.R. Smit</t>
  </si>
  <si>
    <t>WODC, Cahier 2014-14</t>
  </si>
  <si>
    <t>Is there a risk of growing fast? A study of the relationship between firm growth and firm exit</t>
  </si>
  <si>
    <t>Kok, Jan de, Haibo Zhou, Peter van der Zwan &amp; Chantal Hartog</t>
  </si>
  <si>
    <t>Wie heeft schuld? Een kwantitatieve analyse van schulden bij uitkeringsgerechtigden</t>
  </si>
  <si>
    <t>Zwinkels, Wim</t>
  </si>
  <si>
    <t>UWV</t>
  </si>
  <si>
    <t>Praktijk en effecten van Bovenwettelijke CAO-aanvullingen ZW, loondoorbetaling bij ziekte, WIA en WW</t>
  </si>
  <si>
    <t>Cuelenaere, Drs. B., Drs. W.S. Zwinkels &amp;  A. A. Oostveen, MSc</t>
  </si>
  <si>
    <t>Epsilon research</t>
  </si>
  <si>
    <t>MKB en Ondernemerschap: Investeringen MKB (online dataset)</t>
  </si>
  <si>
    <t>Arbeidsongevallen in Nederland 2011</t>
  </si>
  <si>
    <t>Venema, Anita, Heleen den Besten, Marloes van der Klauw &amp; Jan Fekke Ybema</t>
  </si>
  <si>
    <t xml:space="preserve">Monitor Technische Arbeidsmarkt 2013_x000D_
_x000D_
</t>
  </si>
  <si>
    <t>Volkerink, Maikel, Ernest Berkhout, Paul Bisschop &amp; Arjan Heyma</t>
  </si>
  <si>
    <t>SEO-rapport nr. 2013-61</t>
  </si>
  <si>
    <t>Flexbarometer</t>
  </si>
  <si>
    <t>Ernest de Vroome</t>
  </si>
  <si>
    <t>Rapportage woningmarktregio</t>
  </si>
  <si>
    <t>Joost Wegstapel</t>
  </si>
  <si>
    <t>Evaluatie Ouderschapsplan. Een eerste verkenning</t>
  </si>
  <si>
    <t>Voert, M.J. ter &amp; T. Geurts</t>
  </si>
  <si>
    <t>Mobiliteitsbalans 2013</t>
  </si>
  <si>
    <t>KiM</t>
  </si>
  <si>
    <t>Kennisinstituut voor Mobiliteitsbeleid (KiM), Min. van Infrastructuur en Milieu</t>
  </si>
  <si>
    <t>Mobiliteitsbeeld 2014</t>
  </si>
  <si>
    <t>Kennisinstituut voor Mobiliteitsbeleid (KiM), Mini.van Infrastructuur en Milieu</t>
  </si>
  <si>
    <t>Actualisatie van keuzemodellen voor het NRM/LMS</t>
  </si>
  <si>
    <t>Willigers, Jasper, Michiel de Bok &amp; Marits Pieters</t>
  </si>
  <si>
    <t>Significance</t>
  </si>
  <si>
    <t>Baarsma, Barbara, Marco Kerste &amp; Jarst Weda</t>
  </si>
  <si>
    <t>Business Contact</t>
  </si>
  <si>
    <t>Kerste, Marco, Barbara Baarsma, Jarst Weda, Nicole Rosenboom &amp; Ward Rougoor</t>
  </si>
  <si>
    <t>De verandering in het aandeel jeugdige verdachten in Amsterdam 2005 tot en met 2011. Op zoek naar verklaringen</t>
  </si>
  <si>
    <t>Weijters G. &amp; A.M. van der Laan</t>
  </si>
  <si>
    <t>WODC, Cahier 2014-9</t>
  </si>
  <si>
    <t>Labour mobility, skill-relatedness and new plant survival across different development stages of an industry</t>
  </si>
  <si>
    <t xml:space="preserve">Cappelli, R., Boschma, R. &amp; Weterings, A. </t>
  </si>
  <si>
    <t>SAGE Journals</t>
  </si>
  <si>
    <t>Zicht op zorggebruik</t>
  </si>
  <si>
    <t xml:space="preserve">Plaisier, Inger en Mirjam de Klerk_x000D_
</t>
  </si>
  <si>
    <t xml:space="preserve">Een rijke buurman trekt je niet omhoog </t>
  </si>
  <si>
    <t>Miltenburg, Emily</t>
  </si>
  <si>
    <t>Artikel in NRC.NEXT</t>
  </si>
  <si>
    <t>Labour market participation of Sub-Saharan Africans in the Netherlands: the limits of the human capital approach</t>
  </si>
  <si>
    <t>Confurius, Diana, Ruben Gowricharn &amp; Jaco Dagevos</t>
  </si>
  <si>
    <t>TIU</t>
  </si>
  <si>
    <t>(On)beperkt sportief 2013 : monitor sport- en beweegdeelname van mensen met een handicap</t>
  </si>
  <si>
    <t>Heijden, A. van, Dool, R. van den, Lindert, C. van, Breedveld, K.</t>
  </si>
  <si>
    <t>Mulier Instituut/ Arko Sports Media</t>
  </si>
  <si>
    <t>VU_Tinbergen</t>
  </si>
  <si>
    <t>De sector Economie in beeld. Een analyse van opleidingen en arbeidsmarkt van de hbo-sector Economie. Nijmegen: ITS</t>
  </si>
  <si>
    <t>Lubberman, J., Vermeulen, H., Hovius, M., Rossen, L., Elfering, S., Sombekke, E. &amp; Rens, C. van</t>
  </si>
  <si>
    <t>Korte-en langetermijneffecten van de ISD-maatregel</t>
  </si>
  <si>
    <t>Tollenaar, N., van der Laan, A. M., &amp; Beijersbergen, K. A.</t>
  </si>
  <si>
    <t>Technisch rapport. Den Haag: WODC.</t>
  </si>
  <si>
    <t>Representativeness of the LifeLines Cohort Study</t>
  </si>
  <si>
    <t>Klijs, Bart, Salome Scholtens, Jornt J. Mandemakers, Harold Snieder, Ronald P. Stolk &amp; Nynke Smidt</t>
  </si>
  <si>
    <t>Plos One</t>
  </si>
  <si>
    <t>De economische effecten van buitenlandse promovendi</t>
  </si>
  <si>
    <t>Van Elk, R., Rud, I. &amp; Wouterse, B</t>
  </si>
  <si>
    <t>Income differences between PhDs and Masters: evidence from the Netherlands</t>
  </si>
  <si>
    <t xml:space="preserve">Wouterse, B., Van der Wiel, K. &amp; Van der Steeg, M. </t>
  </si>
  <si>
    <t>Stay rates of foreign PhD graduates in the Netherlands</t>
  </si>
  <si>
    <t xml:space="preserve">Rud, I., Wouterse, B. &amp; Van Elk, R. </t>
  </si>
  <si>
    <t>Jaarrapport integratie 2013. Participatie van migranten op de arbeidsmarkt</t>
  </si>
  <si>
    <t>Huijnk, W., Gijsberts, M. &amp; Dagevos, J.</t>
  </si>
  <si>
    <t>Omvang en prestaties van het MKB in de topsectoren</t>
  </si>
  <si>
    <t>Fris, P.</t>
  </si>
  <si>
    <t>Can selective migration explain why health is worse in regions with population decline? :A study on migration and self-rated health in the Netherlands</t>
  </si>
  <si>
    <t xml:space="preserve">Dijkstra, Aletta, Eva U.B. Kibele, Antonia Verweij, Fons van der Lucht &amp; Fanny Janssen </t>
  </si>
  <si>
    <t>EUPHA</t>
  </si>
  <si>
    <t>Beheersing van de Nederlandse taal onder recente migranten uit nieuwe EU-lidstaten en traditionele migratielanden</t>
  </si>
  <si>
    <t>Gijsberts, M. &amp; M. Lubbers</t>
  </si>
  <si>
    <t>Sociologie, 10, 27-48</t>
  </si>
  <si>
    <t>Een vergelijking van de arbeidsmarktpositie van Polen en Bulgaren voor en na migratie naar Nederland</t>
  </si>
  <si>
    <t>Lubbers, M. &amp; M. Gijsberts</t>
  </si>
  <si>
    <t>Mens en Maatschappij, 88: 426-446</t>
  </si>
  <si>
    <t>Gijsberts, M. &amp; L. Lubbers</t>
  </si>
  <si>
    <t>Decision-tree analysis of factors influencing rainfall-related building structure and content damage</t>
  </si>
  <si>
    <t>Spekkers, M. H., M. Kok, F. H. L. R. Clemens &amp; J. A. E. ten Veldhuis</t>
  </si>
  <si>
    <t>Nat. Hazards Earth Syst. Sci., 14, 2531-2547</t>
  </si>
  <si>
    <t>Startende ondernemers in Leiden</t>
  </si>
  <si>
    <t>Heuts, Lars, Heidi Witteman-van Leenen &amp; Jos Mevissen</t>
  </si>
  <si>
    <t>Marshanden, Walter, Marcel de Heide, Olaf Koops &amp; Tom van der Horst</t>
  </si>
  <si>
    <t>Return to the business R&amp;D expenditures in the Netherlands</t>
  </si>
  <si>
    <t>Poliakov, E.V. &amp; Bulavskaya, T.</t>
  </si>
  <si>
    <t>TNO Working paper sessies</t>
  </si>
  <si>
    <t>Do internationally adopted children in the Netherlands use more medication than their non-adopted peers?</t>
  </si>
  <si>
    <t>Ginkel, Joost R. van, Femmie Juffer, Marian J. Bakermans-Kranenburg1 &amp; Marinus H. van IJzendoorn</t>
  </si>
  <si>
    <t>Tijdschrift European Journal of Pediatrics</t>
  </si>
  <si>
    <t>Hypercoagulability and the risk of recurrence in young women with myocardial infarction or ischaemic stroke: a cohort study</t>
  </si>
  <si>
    <t xml:space="preserve">Maino A, Algra A, Peyvandi F, Rosendaal F.R &amp; Siegerink B. </t>
  </si>
  <si>
    <t>BMC Cardiovasc Disord</t>
  </si>
  <si>
    <t>Recurrence and Mortality in Young Women With Myocardial Infarction or Ischemic Stroke: Long-term Follow-up of the Risk of Arterial Thrombosis in Relation to Oral contraceptives (RATIO)</t>
  </si>
  <si>
    <t xml:space="preserve">Maino A, Siegerink B, Algra A, Peyvandi F &amp; Rosendaal FR. _x000D_
</t>
  </si>
  <si>
    <t xml:space="preserve">JAMA Intern Med </t>
  </si>
  <si>
    <t>Prijzengids voor de bijzondere bijstand 2014-2015</t>
  </si>
  <si>
    <t>Nibud</t>
  </si>
  <si>
    <t>Financieringsmonitor 2014-1. Onderzoek naar de financiering van het Nederlandse bedrijfsleven</t>
  </si>
  <si>
    <t>Braaksma, Rob, Wim Verhoeven,  Lia Smit &amp; Tommy Span</t>
  </si>
  <si>
    <t>Analyse mogelijke verbeteringen van het verdeelmodel voor het inkomensdeel van de Participatiewet (memo voor het ministerie van SZW)</t>
  </si>
  <si>
    <t>Soede, A. &amp; M. Versantvoort</t>
  </si>
  <si>
    <t>Verdelen op niveaus. Een multiniveaumodel voor de verdeling van het inkomensdeel van de Participatiewet voor gemeenten</t>
  </si>
  <si>
    <t>Kostenverschillen in de jeugdzorg; Een verklaring van verschillen in kosten tussen gemeenten</t>
  </si>
  <si>
    <t xml:space="preserve">Michiel Ras, Evert Pommer, Klarita Sadiraj_x000D_
</t>
  </si>
  <si>
    <t>Gebruik en kosten van jeugdzorg door jeugdigenmet een Turkse of Marokkaanse achtergrond</t>
  </si>
  <si>
    <t>Sadiraj, Klarita, Freek Bucx &amp; Michiel Ras</t>
  </si>
  <si>
    <t>Cumulaties in de jeugdhulp</t>
  </si>
  <si>
    <t>Sadiraj, Klarita, Michiel Ras &amp; Evert Pommer</t>
  </si>
  <si>
    <t>Jeugdzorg: verschil tussen budget en contract</t>
  </si>
  <si>
    <t>Sadiraj, Klarita &amp; Evert Pommer</t>
  </si>
  <si>
    <t>Verdeling historische middelen jeugdzorg</t>
  </si>
  <si>
    <t>Are area-based initiatives able to improve area safety in deprived areas? A quasi-experimental evaluation of the Dutch District Approach</t>
  </si>
  <si>
    <t>Kramer, Daniëlle, Birthe Jongeneel-Grimen, Karien Stronks, Mariël Droomers &amp; Anton E. Kunst</t>
  </si>
  <si>
    <t>BMC Public Health 15:711</t>
  </si>
  <si>
    <t>Wijkaanpak maakt gezonder</t>
  </si>
  <si>
    <t>Stronks, Karien</t>
  </si>
  <si>
    <t>Tijdschrift voor Sociale Vraagstukken</t>
  </si>
  <si>
    <t>Hollands Kroon Uitkomsten Woningmarkt-onderzoek</t>
  </si>
  <si>
    <t>Wegstapel, Joost &amp; Janine Boers</t>
  </si>
  <si>
    <t>Microbleeds, mortality and stroke in Alzheimer's disease: the MISTRAL studie</t>
  </si>
  <si>
    <t>Benedictus, M.R., N.D. Prins, J.D.C. Goos, Ph. Scheltens, F. Barkhof, W.M. van der Flier</t>
  </si>
  <si>
    <t>JAMA Neurology</t>
  </si>
  <si>
    <t>Verhoeven, Wim &amp; Arjan Ruis</t>
  </si>
  <si>
    <t>Ernstige arbeidsongevallen 1999-2011. Trends en ontwikkelingen.</t>
  </si>
  <si>
    <t>Berkhout, P.H.G., M. Damen, C.B. Ameling &amp; V.M. Sol</t>
  </si>
  <si>
    <t>RIVM rapport 110010002/2014</t>
  </si>
  <si>
    <t>Monitor Inkomens Ondernemers. Editie 2012</t>
  </si>
  <si>
    <t>Vendrig, Sjaak</t>
  </si>
  <si>
    <t xml:space="preserve">Voortgangsrapportage wijkaanpak 2013_x000D_
</t>
  </si>
  <si>
    <t>Evaluatie Eurostars en Eureka 2008-2012, Panteia: Zoetermeer</t>
  </si>
  <si>
    <t>Prince, Y., N. Tiggeloove, P. Gibcus, T. Span, M. Linssen &amp; R. Braaksma</t>
  </si>
  <si>
    <t>Actieve ondernemingen en vestigingen</t>
  </si>
  <si>
    <t>Financiering MKB (incl. prognoses)</t>
  </si>
  <si>
    <t>Investeringen MKB</t>
  </si>
  <si>
    <t>Resultatenrekeningen MKB sectoren</t>
  </si>
  <si>
    <t>Zorgatlas</t>
  </si>
  <si>
    <t>Mulder, Maarten &amp; Frank den Hertog</t>
  </si>
  <si>
    <t>Ethnic Inequalities in Rectal Cancer Care in a Universal Access Healthcare System: A Nationwide Register-Based Study</t>
  </si>
  <si>
    <t>Elferink, Marloes, Majda Lamkaddem, Evelien Dekker, Pieter J. Tanis, Otto Visser &amp; Marie-Louise Essink-Bot</t>
  </si>
  <si>
    <t>UMC_UvA</t>
  </si>
  <si>
    <t>Ethnic differences in colon cancer care in the Netherlands: a nationwide registry-based study</t>
  </si>
  <si>
    <t>Lamkaddem M,  M. A. G. Elferink, M. C. Seeleman, E. Dekker, C. J. A. Punt, O. Visser &amp;  M.L. Essink-Bot</t>
  </si>
  <si>
    <t>Assessing the effects of disability insurance experience rating. The case of The Netherlands</t>
  </si>
  <si>
    <t>Groot Nynke de &amp; Pierre Koning</t>
  </si>
  <si>
    <t>The interplaybetweenneighbourhoodcharacteristics:Thehealth impact of changes in _x000D_
social cohesion,disorder and unsafety feelings</t>
  </si>
  <si>
    <t xml:space="preserve">Rijsbroek Annemarie, Mariël Droomers, Wim Hardyns, Peter P.Groenewegen &amp; Karien Stronks </t>
  </si>
  <si>
    <t>Social safety,self-ratedgeneralhealthandphysicalactivity: Changes in area crime,areas afety feelings and the role of social cohesion</t>
  </si>
  <si>
    <t>Ruijsbroek Annemarie , Mariël Droomers, Peter P.Groenewegen, Wim Hardyns &amp; Karien Stronks</t>
  </si>
  <si>
    <t>Maatschappelijke effecten van het wetsvoorstel Hervorming Kindregelingen voor gezinnen met kinderen.</t>
  </si>
  <si>
    <t>Hoff, Stella &amp; Arjan Soede</t>
  </si>
  <si>
    <t>Testosterone and the Gender Wage Gap</t>
  </si>
  <si>
    <t>Gielen, Anne C., Jessica Holmes &amp; Caitlin Myers</t>
  </si>
  <si>
    <t>IZA Discussion Paper No. 7575</t>
  </si>
  <si>
    <t>Succesvol zelfstandig</t>
  </si>
  <si>
    <t>Ruis, Arjan &amp; Paul Vroonhof</t>
  </si>
  <si>
    <t>Koppeling van cao-codes aan de NEA: Beschrijving van de succesvolle koppeling en eerste resultaten</t>
  </si>
  <si>
    <t>Venema, Anita &amp; Ernest de Vroome</t>
  </si>
  <si>
    <t>EU migranten in de Gemeentelijke Basis Administratie (GBA)</t>
  </si>
  <si>
    <t>Hoppesteyn, Marco</t>
  </si>
  <si>
    <t>EU-migranten in de BRP</t>
  </si>
  <si>
    <t>Monitor: EU Arbeidsmigratie 2014</t>
  </si>
  <si>
    <t>Gemeenten en marktpartijen in regio alkmaar bewegen mee met veranderende woningmarkt</t>
  </si>
  <si>
    <t>Wegstapel, Joost</t>
  </si>
  <si>
    <t>Lokale Staat van het Onderwijs in Almere 2012/2013</t>
  </si>
  <si>
    <t>Onderzoek &amp; Statistiek, Gemeente Almere</t>
  </si>
  <si>
    <t>Monitor vrouwelijk en etnisch ondernemerschap 2013</t>
  </si>
  <si>
    <t>Span, Tommy, Sophie Doove &amp; Lia Smit</t>
  </si>
  <si>
    <t>Kennissite MKB en Ondernemerschap</t>
  </si>
  <si>
    <t>veranderend Noord &amp; artikel Agora</t>
  </si>
  <si>
    <t>Booi, Hester</t>
  </si>
  <si>
    <t>Gemeente Amsterdam</t>
  </si>
  <si>
    <t>Volkerink, M., E. Berkhout, P. Bisschop &amp; J. van der Voort</t>
  </si>
  <si>
    <t>SEO-rapport nr. 2014-56</t>
  </si>
  <si>
    <t>Antilliaanse Nederlanders 2013: De positie op de terreinen van onderwijs, arbeid en uitkering en criminaliteit</t>
  </si>
  <si>
    <t>Boom, J. de, P. van Wensveen, P. Hermus, A. Weltevrede &amp; M. van San</t>
  </si>
  <si>
    <t>Krimpen, Marisol van, Astrid Kroos, Mattijs de Mooij, Karín Oostenbrink-Fraai, Marco Pastors &amp; Evronique Smits</t>
  </si>
  <si>
    <t>Programmabureau NPRZ</t>
  </si>
  <si>
    <t>Dat smaakt naar meer! Innovatie in het Nederlandse levensmiddelen-mkb</t>
  </si>
  <si>
    <t>Galen , Michiel van, Katja Logatcheva &amp; Elsje Oosterkamp</t>
  </si>
  <si>
    <t>WUR_LEI</t>
  </si>
  <si>
    <t>Soethoudt, Han &amp; Hilke Bos-Brouwers</t>
  </si>
  <si>
    <t>Wageningen UR Food &amp; Biobased Research</t>
  </si>
  <si>
    <t>Sleutjes, Bart</t>
  </si>
  <si>
    <t>HELP-INTERNATIONAL REPORT NR. 4</t>
  </si>
  <si>
    <t>De-standardisation and differentiation of retirement trajectories in the context of extended working lives in the Netherlands</t>
  </si>
  <si>
    <t xml:space="preserve">Riekhoff, Aart-Jan </t>
  </si>
  <si>
    <t>Economic and Industrial Democracy</t>
  </si>
  <si>
    <t>Institutional and socio-economic drivers of work-to-retirement trajectories in the Netherlands</t>
  </si>
  <si>
    <t>Cambridge University Press</t>
  </si>
  <si>
    <t>Elfering, S., Kuijk, J. van &amp; Mommers, A.</t>
  </si>
  <si>
    <t>Berkhout, Ernest, Paul Bisschop &amp; Maikel Volkerink</t>
  </si>
  <si>
    <t>Baseline characteristics and mortality outcomes of NELSON control group participants and eligible non-responders</t>
  </si>
  <si>
    <t>Yousaf-Khan, Uraujh, Horeweg, Nanda, Van der Aalst, Carlijn, Ten Haaf, Kevin, Oudkerk, Mathijs &amp; De Koning, Harry</t>
  </si>
  <si>
    <t>The Journal of Thoracic Oncology</t>
  </si>
  <si>
    <t>Verdeling van het participatiebudget over gemeenten</t>
  </si>
  <si>
    <t>Tempelman, Caren, Gerard Marlet, Caroline Berden, Clemens van Woerkens &amp; Lucy Kok</t>
  </si>
  <si>
    <t>Een lang tekort. Langdurige armoede in Nederland</t>
  </si>
  <si>
    <t xml:space="preserve">Wildeboer Schut, Jean Marie &amp; Stella Hoff  </t>
  </si>
  <si>
    <t>Op eigen benen? Samenhang van jeugdzorg met het gebruik van WMO-zorg en nkomensondersteuning vanaf het achttiende levensjaar</t>
  </si>
  <si>
    <t>Non, Marielle</t>
  </si>
  <si>
    <t>Centraal Planbureau</t>
  </si>
  <si>
    <t>Vervolgrapportage decentralisaties in het sociaal domein</t>
  </si>
  <si>
    <t xml:space="preserve">Non, Marielle_x000D_
</t>
  </si>
  <si>
    <t>The relation between the location of a residential youth care facility and the local demand_x000D_
for income support</t>
  </si>
  <si>
    <t xml:space="preserve">Zeeuw, Luka de </t>
  </si>
  <si>
    <t xml:space="preserve">CPB </t>
  </si>
  <si>
    <t xml:space="preserve">Aanvaarding van hulp in relatie tot slachtofferkenmerken: Een analyse van verrijkte cliëntgegevens van Slachtofferhulp Nederland_x000D_
</t>
  </si>
  <si>
    <t>Leferink, S. &amp; Wessel, F. van</t>
  </si>
  <si>
    <t>Slachtofferhulp Nederland</t>
  </si>
  <si>
    <t>The effect of adherence to statin therapy on cardiovascular mortality: quantification of unmeasured bias using falsification end-points</t>
  </si>
  <si>
    <t>Bijlsma J. Maarten, Stijn Vansteelandt, Fanny Janssen &amp; Eelko Hak</t>
  </si>
  <si>
    <t>BMC Public Health</t>
  </si>
  <si>
    <t>Association Between Statin Use and Cardiovascular Mortality at the Population Level:_x000D_
An Ecologic Study</t>
  </si>
  <si>
    <t>Bijlsma Maarten J., Fanny Janssen, Jens Bos, Pieter W. Kamphuisen, Stijn Vansteelandt &amp; Eelko Hak</t>
  </si>
  <si>
    <t>Effect of vaccination programmes on mortality burden among children and young adults in the Netherlands during the 20th century: a historical analysis</t>
  </si>
  <si>
    <t>Wijhe, Maarten van, Scott A McDonald, Hester E de Melker, Maarten J Postma &amp; Jacco Wallinga</t>
  </si>
  <si>
    <t>Eff ect of vaccination programmes on mortality burden among children and young adults in the Netherlands during the 20th century: a historical analysis</t>
  </si>
  <si>
    <t>The Lancet Infectious Diseases (website)</t>
  </si>
  <si>
    <t>Personeel en opleiden in verpleeghuizen</t>
  </si>
  <si>
    <t>Brink, Marjolein &amp; Cisca Joldersma</t>
  </si>
  <si>
    <t>KIWA</t>
  </si>
  <si>
    <t>Long-Term Care, Wealth and Housing</t>
  </si>
  <si>
    <t>Bockarjova, Marija, Johan Polder &amp; Jan Rouwendal</t>
  </si>
  <si>
    <t xml:space="preserve">Arbeidsmarktrapportage 2017_x000D_
</t>
  </si>
  <si>
    <t>Hulle, René van</t>
  </si>
  <si>
    <t>Buurtintegratie</t>
  </si>
  <si>
    <t>De onderkant van de arbeidsmarkt in 2025</t>
  </si>
  <si>
    <t>Graaf-Zijl Marloes de, Edith Josten, Stefan Boeters, Evelien Eggink, Jonneke Bolhaar, _x000D_
Ingrid Ooms, Adri den Ouden &amp; Isolde Woittiez</t>
  </si>
  <si>
    <t>De financiële positie van het midden- en kleinbedrijf in Nederland</t>
  </si>
  <si>
    <t>CPB op verzoek van het ministerie van Economische Zaken</t>
  </si>
  <si>
    <t>Comparison of Site of Death, Health Care Utilization, and Hospital Expenditures for Patients Dying With Cancer n 7 Developed Countries</t>
  </si>
  <si>
    <t>Oosterveld, Mariska</t>
  </si>
  <si>
    <t>Internationaal onderzoek: zorg in de laatste levensfase in hier beter en goedkoper dan elders. Kankerpatiënt in Nederland goed arf</t>
  </si>
  <si>
    <t>Volkskrant 20 januari</t>
  </si>
  <si>
    <t>Relating cause of death with place of care and healthcare costs in the last year of life for patients who died from cancer, chronic obstructive pulmonary disease, heart failure and dementia: A descriptive study using registry data</t>
  </si>
  <si>
    <t>Plas van der Annicka GM, Mariska G Oosterveld-Vlug, H Roeline W Pasman &amp; Bregje D Onwuteaka-Philipsen</t>
  </si>
  <si>
    <t>SAGEPUB</t>
  </si>
  <si>
    <t>Continuity of GP care after the last hospitalization for patients who died from cancer, chronic obstructive pulmonary disease or heart failure: a retrospective cohort study_x000D_
using administrative data</t>
  </si>
  <si>
    <t>Plas G.M. van der Annicka, Mariska G Oosterveld-Vlug, H Roeline Pasman, Bart Chweitzer &amp; Bregje D Onwuteaka-Philipsen</t>
  </si>
  <si>
    <t>Family Practice</t>
  </si>
  <si>
    <t>Trends en ontwikkelingen in de technische installatiebranche 2016</t>
  </si>
  <si>
    <t>Vermeulen, Hedwig, John Warmerdam, Sanne Elfering, Roelof Schellingerhout, Wouter de Wit, Ellen van de Wetering, Lieselotte Rossen &amp; Carolien van Rens</t>
  </si>
  <si>
    <t>Evaluatie wet inburgering buitenland</t>
  </si>
  <si>
    <t>Odé, A., M.C. Paulussen-Hoogeboom, J. Stouten &amp; M. Witvliet</t>
  </si>
  <si>
    <t>Regioplan. Publicatienummer 13261</t>
  </si>
  <si>
    <t>VluchtelingenWerk IntegratieBarometer 2014. Een onderzoek naar de integratie van vluchtelingen in Nederland.</t>
  </si>
  <si>
    <t>Witkamp, Bertine, Marja Paulussen-Hoogeboom, Suzanne Slotboom &amp; Janneke Stouten</t>
  </si>
  <si>
    <t>VluchtelingenWerk Nederland</t>
  </si>
  <si>
    <t>Buitenspel. De uitvoering voor jongeren in de WW of bijstand</t>
  </si>
  <si>
    <t>InspectieSZW</t>
  </si>
  <si>
    <t>De WWB voor jongeren in cijfers. H3-5</t>
  </si>
  <si>
    <t>Gemeentelijke uitvoering van de zoekperiode voor jongeren in de WWB</t>
  </si>
  <si>
    <t>Zuurbier, Hubert, Sandhya Bodol, Huub Eijkelkamp, Justine Ruitenherg &amp; Ron von Duuren</t>
  </si>
  <si>
    <t>Sociaal bestek april/mei</t>
  </si>
  <si>
    <t>De uitvoering voor jongeren in de WW of bijstand</t>
  </si>
  <si>
    <t>Zuurbier, Hubert.</t>
  </si>
  <si>
    <t>Buitenspel</t>
  </si>
  <si>
    <t>Uitvoering van de Wwb voor jongeren (18-27 jaar)</t>
  </si>
  <si>
    <t xml:space="preserve">Uitvoering van de WW en WWB voor jongeren </t>
  </si>
  <si>
    <t>De WWB voor jongeren in cijfers</t>
  </si>
  <si>
    <t>Zuurbier, Hubert</t>
  </si>
  <si>
    <t>De boete belicht</t>
  </si>
  <si>
    <t>SZW</t>
  </si>
  <si>
    <t xml:space="preserve">Are estimates of intergenerational mobility biased by non-response? Evidence from the Netherlands_x000D_
</t>
  </si>
  <si>
    <t>Golsteyn, Bart &amp; Stefa Hirsch</t>
  </si>
  <si>
    <t>Social Choice and Welfare</t>
  </si>
  <si>
    <t>Rapportage sport 2014</t>
  </si>
  <si>
    <t>Tiessen-Raaphorst, Annet</t>
  </si>
  <si>
    <t>Het zorggebruik van minima in Amsterdam</t>
  </si>
  <si>
    <t>Dijkshoorn, Henriëtte, Franciscus G.M. Hazeleger, Idske M. de Jong, Arnold P.M. van der Lee &amp; Anton E. Kunst</t>
  </si>
  <si>
    <t>Nederlands Tijdschrift voor Geneeskunde</t>
  </si>
  <si>
    <t>Stapelingsmonitor</t>
  </si>
  <si>
    <t>Jong, Idske de</t>
  </si>
  <si>
    <t>Juznik, Laura</t>
  </si>
  <si>
    <t>University of Nis, Faculty of Economics, str. 93-106, graf. prikazi, tabele</t>
  </si>
  <si>
    <t>Fettelaar, Daan &amp; Lieselotte Rossen</t>
  </si>
  <si>
    <t>Dynamics in car ownership: the role of entry into parenthood</t>
  </si>
  <si>
    <t>Oakil A.T.M., Manting D. &amp; Nijland H.</t>
  </si>
  <si>
    <t>Oakil A.T.M., Manting D. &amp; Nijland H</t>
  </si>
  <si>
    <t>The role of individual characteristics in car ownership shortly after relationship dissolution, Transportation 45, 1871-1882</t>
  </si>
  <si>
    <t xml:space="preserve">Oakil A.T.M., Manting D. &amp; Nijland H. </t>
  </si>
  <si>
    <t>Dynamo: A new dynamic automobile market model for the Netherlands</t>
  </si>
  <si>
    <t>Meurs, Henk, Rinus Haaijer, Remko Smit &amp; Kast Geurts</t>
  </si>
  <si>
    <t>MUConsults</t>
  </si>
  <si>
    <t xml:space="preserve">What’s the difference? A gender perspective on understanding educational inequalities in all-cause and cause-specific mortality </t>
  </si>
  <si>
    <t>Hedel Karen van, Frank J. van Lenthe, Joost Oude Groeniger &amp; Johan P. Mackenbach</t>
  </si>
  <si>
    <t>Urban population density and mortality in a compact Dutch city: 23-year follow-up of the Dutch GLOBE study</t>
  </si>
  <si>
    <t>Beenackers, Mariëlle A, Joost Oude Groenigera, Carlijn B.M. Kamphuis &amp;  Frank J. Van Lenthe</t>
  </si>
  <si>
    <t>Health and Place</t>
  </si>
  <si>
    <t>Een normatieve kijk op de rol van daderkenmerken bij straftoemetingsbeslissingen</t>
  </si>
  <si>
    <t>Wingerden, S.G.C. van &amp; Wermink, H.T</t>
  </si>
  <si>
    <t>Trema: Tijdschrift voor de Rechterlijke Macht, 38(1), 6-16</t>
  </si>
  <si>
    <t>Etnisch Gerelateerde Verschillen in de Straftoemeting</t>
  </si>
  <si>
    <t>Wermink, H., Wingerden, S.G.C. van, Wilsem, J.A. van &amp; Nieuwbeerta, P</t>
  </si>
  <si>
    <t>Den Haag: Raad voor de Rechtspraak</t>
  </si>
  <si>
    <t>Worden allochtonen zwaarder gestraft? Onderzoek naar etnische verschillen in gevangenisstrafbeslissingen in Nederland</t>
  </si>
  <si>
    <t>Panopticon.</t>
  </si>
  <si>
    <t>Zwaarder gestraft?</t>
  </si>
  <si>
    <t>Wingerden, dr. mr. S.G.C. ( Sigrid) van &amp; dr. H.T. ( Hilde) Wermink</t>
  </si>
  <si>
    <t>Sdu Uitgevers bv, Den Haag</t>
  </si>
  <si>
    <t>Descendants of Hardship: Prevalence, Drivers and Scarring Effects of Social Exclusion in Childhood</t>
  </si>
  <si>
    <t>Vrooman J. (Cok), Stella J.M. Hoff &amp; Maurice Guiaux</t>
  </si>
  <si>
    <t>Young, online and connectd: The impact of everyday Internet use of_x000D_
Dutch adolescents on social cohesion</t>
  </si>
  <si>
    <t>Schols, Marjon</t>
  </si>
  <si>
    <t>Arbeidsomstandigheden van gedetacheerde medewerkers vanuit de Sociale Werkvoorziening</t>
  </si>
  <si>
    <t>Voogt, Robert</t>
  </si>
  <si>
    <t>Inspectie SZW</t>
  </si>
  <si>
    <t>Geslacht als factor van succes in het mbo?</t>
  </si>
  <si>
    <t>MinOCW</t>
  </si>
  <si>
    <t>Arbeidsmobiliteit tussen grootteklassen</t>
  </si>
  <si>
    <t>Kok, Jan de &amp; Pieter Fris</t>
  </si>
  <si>
    <t>Wages and employment security following a major disaster: A 17-year population-based longitudinal comparative study</t>
  </si>
  <si>
    <t>Velden, van der Peter G., Ruud J. A. Muffels, Roy Peijen &amp; Mark W. G. Bosmans</t>
  </si>
  <si>
    <t>PLOS ONE</t>
  </si>
  <si>
    <t>Wartna, B.S.J., N. Tollenaar, S. Verweij, M. Timmermans, M. Witvliet, G.H.J. Homburg</t>
  </si>
  <si>
    <t>WODC, Den Haag</t>
  </si>
  <si>
    <t>Bedrijfsoverdrachten: een overschat probleem? Omvang en effecten van bedrijfsoverdrachten, -overnames en -beëindigingen</t>
  </si>
  <si>
    <t>Ruis, A., L. Smit, T. Span, R. Braaksma &amp; Y. Prince</t>
  </si>
  <si>
    <t>Onderzoek naar effectiviteit inzet re-integratieinstrumenten DWI</t>
  </si>
  <si>
    <t>Bolhaar, Jonneke, Nadine Ketel &amp; Bas van der Klaauw</t>
  </si>
  <si>
    <t>Gemeente Amsterdan en VU</t>
  </si>
  <si>
    <t>Monitor Inkomens Ondernemers</t>
  </si>
  <si>
    <t>Vendrig, J.P. &amp; J. Snoei</t>
  </si>
  <si>
    <t>Kans op werk</t>
  </si>
  <si>
    <t>Stichting Samenwerking Beroepsonderwijs Bedrijfsleven</t>
  </si>
  <si>
    <t>Perspectief op werk. Onderzoek naar het arbeidsperspectief in relatie tot de uittstroombestemming van leerlingen uit het praktijkonderwijs</t>
  </si>
  <si>
    <t>Woude, Selle L., van der</t>
  </si>
  <si>
    <t>Selle van der Woude</t>
  </si>
  <si>
    <t>Verschil in Nederland</t>
  </si>
  <si>
    <t xml:space="preserve">Vrooman Cok, Mérove Gijsberts &amp; Jeroen Boelhouwer </t>
  </si>
  <si>
    <t>De hoofdzaken van het Sociaal en Cultureel Rapport 2014</t>
  </si>
  <si>
    <t>Vrooman Cok, Mérove Gijsberts &amp; Jeroen Boelhouwer</t>
  </si>
  <si>
    <t>Koopkrachtontwikkeling postactieven</t>
  </si>
  <si>
    <t>Vermeulen, Hedwig, Lilian Woudstra, Ferdi van Wersch &amp; Marloes Lammers</t>
  </si>
  <si>
    <t xml:space="preserve">Kulu-Glasgow, I., Liu, W.Y.J., Jennissen, R.P.W., Smit, M., Beenakkers, E.M.T., Haerden, M, Niehof, J. &amp; Stelk, A.M. </t>
  </si>
  <si>
    <t xml:space="preserve">Jennissen, R.P.W., Kulu-Glasgow, I., Liu, W.Y.J., Niehof, T.&amp; Smit, M. </t>
  </si>
  <si>
    <t>For love or for papers? Sham marriages among Turkish (potential) migrants and gender implications</t>
  </si>
  <si>
    <t xml:space="preserve">Kulu-Glasgow, I., Smit M. &amp;  Jennissen, R.P.W. </t>
  </si>
  <si>
    <t>Weglek van bètatechnisch potentieel.De aansluiting van bètatechnisch onderwijs_x000D_
naar de bètatechnische arbeidsmarkt in kaart</t>
  </si>
  <si>
    <t>Berkhout, E. &amp; M. Volkerink</t>
  </si>
  <si>
    <t>SEO-Discussion paper nr. 81</t>
  </si>
  <si>
    <t>Waardering van baankenmerken. Vrouw-man verschillen in niet-geldelijke baankenmerken en salaris.</t>
  </si>
  <si>
    <t>Berkhout, Ernest</t>
  </si>
  <si>
    <t>Physical activity levels of adults with various physical disabilities</t>
  </si>
  <si>
    <t>Hollander, Ellen L. &amp; Karin I. Proper</t>
  </si>
  <si>
    <t>Inzoomen op betaalbaarheid: Woonlasten in de regio Rotterdam</t>
  </si>
  <si>
    <t>Kromhout, Steven, Wilma Bakker &amp; René Schulenberg</t>
  </si>
  <si>
    <t>SVB realiseert lager niet-gebruik. Niet-gebruik in de AIO in 2011 vergeleken met 2005</t>
  </si>
  <si>
    <t>Olieman, R.</t>
  </si>
  <si>
    <t>SVB</t>
  </si>
  <si>
    <t>Afwegingskader voor woningbouwontwikkeling - Bijlage woningmarktanalyse</t>
  </si>
  <si>
    <t xml:space="preserve">Tiggeloven, Pim &amp; Bram Klouwen </t>
  </si>
  <si>
    <t>Companen</t>
  </si>
  <si>
    <t>Fostering equal treatment of Third Country Nationals in the Netherlands; Improving the practises of skill and diploma recognition of migrants and diversity management practises within organisations</t>
  </si>
  <si>
    <t>Grootjans, N., Paardekooper, L., Beckers, P.J., Pijpers, R., Van Naerssen, T. &amp; Smith, L.</t>
  </si>
  <si>
    <t>RUN</t>
  </si>
  <si>
    <t>Pijpers, R., Beckers, P.J., Grootjans, N., Naerssen, T. van, Paardekooper, L. &amp; Smith, L.</t>
  </si>
  <si>
    <t>Risicogroepen richting arbeid: Jongeren uit praktijkonderwijs en (v)so</t>
  </si>
  <si>
    <t>Donker, Afke &amp; Daphne Kann-Weedage</t>
  </si>
  <si>
    <t>NJI</t>
  </si>
  <si>
    <t>Hoe doet u het? Monitor AOJ brengt onderwijs en jeugdhulp samen</t>
  </si>
  <si>
    <t>Donker, Afke</t>
  </si>
  <si>
    <t>Verschillenanalyse met betrekking tot de Jeugdwet voor de jeugdzorgregio Zuidoost-Utrecht en de gemeente Zeist</t>
  </si>
  <si>
    <t>Vooral moeders gaan iets meer werken als kind naar school gaat</t>
  </si>
  <si>
    <t>Berge, Wiljan van de</t>
  </si>
  <si>
    <t>Basismonitor Onderwijs Nationaal Programma Rotterdam Zuid 2015</t>
  </si>
  <si>
    <t>J. de Boom, P. van Wensveen,  A. L. Roode en P. A. de Graaf</t>
  </si>
  <si>
    <t>Risbo, Erasmus Universiteit, gemeente Rotterdam</t>
  </si>
  <si>
    <t>Basismonitor Onderwijs Nationaal Programma Rotterdam Zuid 2016</t>
  </si>
  <si>
    <t>J. de Boom A. L. Roode P. van Wensveen P. A. de Graaf</t>
  </si>
  <si>
    <t>Risbo, Erasmus Universiteit OBI, gemeente Rotterdam</t>
  </si>
  <si>
    <t>Basismonitor Onderwijs Nationaal Programma Rotterdam Zuid: Verklarende analyse</t>
  </si>
  <si>
    <t>Boom J. de,  A.L. Roode, P. van Wensveen, P.A. de Graaf, Risbo, Erasmus Universiteit &amp;OBI, gemeente Rotterdam</t>
  </si>
  <si>
    <t>Risbo, Erasmus Universiteit</t>
  </si>
  <si>
    <t xml:space="preserve">Basismonitor Onderwijs Nationaal Programma Rotterdam Zuid (School)loopbanen_x000D_
</t>
  </si>
  <si>
    <t xml:space="preserve">Boom, J. de, L. Roode, P. van Wensveen &amp; P.A. de Graaf_x000D_
</t>
  </si>
  <si>
    <t xml:space="preserve">Basismonitor Onderwijs Nationaal Programma Rotterdam Zuid 2017_x000D_
</t>
  </si>
  <si>
    <t xml:space="preserve">Basismonitor Onderwijs Nationaal Programma Rotterdam Zuid 2018 </t>
  </si>
  <si>
    <t xml:space="preserve">Boom, J. de,  A. L. Roode,  P. van Wensveen &amp; P. A. de Graaf  </t>
  </si>
  <si>
    <t>Basismonitor Onderwijs Nationaal Programma Rotterdam Zuid_x000D_
(School)loopbanen 2019</t>
  </si>
  <si>
    <t>Boom, J. de, A.L. Roode, P. van Wensveen &amp; P.A. de Graaf</t>
  </si>
  <si>
    <t>Boom, J. de, A.L. Roode, P. van Wensveen,  A.E.M. Bus &amp; P.A. de Graaf</t>
  </si>
  <si>
    <t>De veranderende geografie van Nederland</t>
  </si>
  <si>
    <t>Tordoir, Prof. dr. P., Drs. A. Poorthuis &amp; Dr. P. Renooy</t>
  </si>
  <si>
    <t>ministerie van Binnenlandse Zaken en Koninkrijksrelaties.</t>
  </si>
  <si>
    <t>Verdeling detacheringen en uitzendingen over inlenende werkgevers. Nulmeting banenafspraak in verband met de Wet banenafspraak en quotum arbeidsbeperkten.</t>
  </si>
  <si>
    <t>Berden, C. &amp; L. Kok</t>
  </si>
  <si>
    <t>SEO Economisch Onderzoek: Amsterdam</t>
  </si>
  <si>
    <t>Verdeling detacheringen en uitzendingen over inlenende werkgevers, tweemeting</t>
  </si>
  <si>
    <t>Scholte, R., L. Kroon, L. Kok &amp; J. Witteman</t>
  </si>
  <si>
    <t>Verdeling detacheringen en uitzendingen over inlenende werkgevers:_x000D_
Viermeting in verband met de Wet banenafspraak en quotum arbeidsbeperkten</t>
  </si>
  <si>
    <t>Kroon, Lennart, William Luiten &amp; Lucy Kok</t>
  </si>
  <si>
    <t>flowbca: A flow-based cluster algorithm in Stata</t>
  </si>
  <si>
    <t>Meekes, J. &amp; Hassink, W. H. J</t>
  </si>
  <si>
    <t xml:space="preserve">Stata Journal </t>
  </si>
  <si>
    <t>The role of the housing market in workers' resilience to job displacement after firm bankruptcy</t>
  </si>
  <si>
    <t xml:space="preserve">Meekes, J. &amp; Hassink, W. H. J., </t>
  </si>
  <si>
    <t xml:space="preserve">Journal of Urban Economics </t>
  </si>
  <si>
    <t>MRA &amp; Kerncijfers gebieden</t>
  </si>
  <si>
    <t xml:space="preserve">Jong, Idske de </t>
  </si>
  <si>
    <t>Aa, Paul van der, Ludo van Dun, Paul de Graaf, Frans Moors, Annemarie Reijnen, Annemarie Roode, Marcel van Toorn, Paul de Hek &amp; Jaap de Koning</t>
  </si>
  <si>
    <t>O&amp;BI/SEOR</t>
  </si>
  <si>
    <t>Sterke Schouders in Rotterdam. Editie 2016</t>
  </si>
  <si>
    <t>Graaf, P.A. de</t>
  </si>
  <si>
    <t>Onderzoek en Business Intelligence (OBI), Gemeente Rotterdam</t>
  </si>
  <si>
    <t>Monitor voor de programma’s ‘Elke jongere telt’ en ‘Jongeren aan de slag’ onderdeel_x000D_
arbeidsmarktanalyse 2016</t>
  </si>
  <si>
    <t>Roode, Annemarie Roode &amp; Paul de Graaf</t>
  </si>
  <si>
    <t>In opdracht van cluster Maatschappelijke ontwikkeling, themanetwerk</t>
  </si>
  <si>
    <t>Risicojongeren cohortanalyse 2012 en achtergrondanalyse 2014</t>
  </si>
  <si>
    <t>Roode Annemarie &amp; Paul de Graaf</t>
  </si>
  <si>
    <t>Onderzoek en Business Intelligence (OBI)</t>
  </si>
  <si>
    <t>Sterke schouders in Rotterdam</t>
  </si>
  <si>
    <t xml:space="preserve">Graaf, drs. P.A. </t>
  </si>
  <si>
    <t>Feitenkaart: Opleidingsniveau Rotterdam op gebieds- en buurtniveau 2016</t>
  </si>
  <si>
    <t>Feitenkaart: Opleidingsniveau Rotterdam op gebieds- en buurtniveau 2017</t>
  </si>
  <si>
    <t>Opleidingsniveau Rotterdam op gebieds- en buurtniveau 2018* (voorlopige cijfers)</t>
  </si>
  <si>
    <t>An explorative study of school performance and antipsychotic medication</t>
  </si>
  <si>
    <t>Schans J. van der, S. Vardar, R. Çiçek, H. J. Bos, P. J. Hoekstra, T. W. de Vries &amp; E. Hak</t>
  </si>
  <si>
    <t>BMC Psychiatry</t>
  </si>
  <si>
    <t>Verjaardagseffect blijkt klein</t>
  </si>
  <si>
    <t>Kabátek, Jan</t>
  </si>
  <si>
    <t>Not Your Lucky Day: Romantically and Numerically Special Wedding Date Divorce Risks</t>
  </si>
  <si>
    <t>Kabátek, Jan &amp;  David C. Ribar</t>
  </si>
  <si>
    <t>Melbourne Institute of Applied Economic and Social Research</t>
  </si>
  <si>
    <t>Trouwen op Valentijnsdag is vragen om ellende</t>
  </si>
  <si>
    <t xml:space="preserve">Ribar, David </t>
  </si>
  <si>
    <t>de Gelderlander</t>
  </si>
  <si>
    <t>Technisch rapport bij het COOL5-18 bestandenproject voor het voortgezet onderwijs (tweede versie)</t>
  </si>
  <si>
    <t>Timmermans, Anneke &amp; Djurre Zijsling</t>
  </si>
  <si>
    <t>RuG GION</t>
  </si>
  <si>
    <t>Kostenverschillen in de jeugdzorg</t>
  </si>
  <si>
    <t xml:space="preserve">Michiel Ras,  Evert Pommer,  Klarita Sadiraj_x000D_
</t>
  </si>
  <si>
    <t>Overall rapportage sociaal domein 2015_WEB</t>
  </si>
  <si>
    <t xml:space="preserve">Pommer, Evert &amp; Jeroen Boelhouwer </t>
  </si>
  <si>
    <t>Reep, Els van der &amp; Dick van der Wouw</t>
  </si>
  <si>
    <t>ZB Planbureau Zeeland</t>
  </si>
  <si>
    <t xml:space="preserve">WAO-hervorming in de jaren negentig heeft ook intergenerationeel effect </t>
  </si>
  <si>
    <t xml:space="preserve">Gielen, Anna &amp; Gordon Dahl </t>
  </si>
  <si>
    <t>Arbeidsmarkt ESB</t>
  </si>
  <si>
    <t>Tax arbitrage incentives for mortgage prepayment behavior:Evidence from Dutch micro data</t>
  </si>
  <si>
    <t>Groot, Stefan Groot &amp; Arjan Lejour</t>
  </si>
  <si>
    <t>CPB Achtergronddocument: Het financieel vermogen in box 3: verdeling en belasting</t>
  </si>
  <si>
    <t>Floor, Erik, Stefan Groot &amp; Arjan Lejour</t>
  </si>
  <si>
    <t>Leefbaarometer 2.0 (diverse deelpublicaties)</t>
  </si>
  <si>
    <t>Leidelmeijer, Kees, Gerard Marlet, Roderik Ponds, René Schulenberg, Clemens van Woerkens m.m.v. Maarten van Ham</t>
  </si>
  <si>
    <t>Rigo en Atlas voor Gemeenten</t>
  </si>
  <si>
    <t>WOR 736 Buitenlandse seizoenarbeiders</t>
  </si>
  <si>
    <t>Tempelman, Caren &amp; Marloes Lammers</t>
  </si>
  <si>
    <t xml:space="preserve">Gewogen risico Deel 1: Communiceren over recidive in zedenzaken_x000D_
</t>
  </si>
  <si>
    <t xml:space="preserve">Dettmeijer, Corinne </t>
  </si>
  <si>
    <t>Nationaal Rapporteur Mensenhandel en Seksueel Geweld tegen Kinderen</t>
  </si>
  <si>
    <t xml:space="preserve">Gewogen risico Deel 2: Behandeling opleggen aan zedendelinquenten_x000D_
</t>
  </si>
  <si>
    <t xml:space="preserve">Dettmeijer Corinne </t>
  </si>
  <si>
    <t>Boven N van, van Domburg R.T, Kardys I, Umans V.A, Akkerhuis KM, Lenzen M.J, Valgimigli M, Daemen J, Zijlstra F, Boersma E. &amp; van Geuns R.J.</t>
  </si>
  <si>
    <t>NCBI PubMed</t>
  </si>
  <si>
    <t>Conformability in everolimus-eluting bioresorbable scaffolds compared with metal platform coronary stents in long lesions</t>
  </si>
  <si>
    <t>Fam J.M., Ishibashi Y, Felix C, Zhang B.C., Diletti R., van Mieghem N., Regar E, van Domburg R., Onuma Y, &amp; van Geuns R.J..</t>
  </si>
  <si>
    <t>Baart S.J., van Domburg R.T., Janssen-Heijnen M.L.G., Deckers J.W., Akkerhuis K.M., Daemen J., van Geuns R.J., Boersma E., &amp; Kardys I.</t>
  </si>
  <si>
    <t>van Bommel R.J., Lemmert M.E., van Mieghem N.M., van Geuns R.J., van Domburg R.T. &amp; Daemen J.</t>
  </si>
  <si>
    <t>Feyz L., van Dalen B.M., Geleijnse M.L., Van Mieghem N.M., van Domburg R.T. &amp; Daemen J.</t>
  </si>
  <si>
    <t>Lemmert M.E., van Mieghem N.M., van Geuns R.J., Diletti R., van Bommel R.J., van Domburg R.T., de Jaegere PP, Regar E, Zijlstra F, Boersma E, Daemen J.</t>
  </si>
  <si>
    <t>Woningbehoefteonderzoek 2015</t>
  </si>
  <si>
    <t>Klouwen Bram, Jeroen Lijzenga &amp; Roy Nieuwenhuis</t>
  </si>
  <si>
    <t>Onverklaard slachtofferschap van woninginbraken</t>
  </si>
  <si>
    <t xml:space="preserve">Roorda, Willemijn, Wendy Buysse, &amp; Paul van Soomeren </t>
  </si>
  <si>
    <t>DSP-groep</t>
  </si>
  <si>
    <t>Brandstof voor innovatief vermogen. Financiering innovatief MKB in RIS-3 sectoren in Zuid Holland</t>
  </si>
  <si>
    <t>Dijk, Rob van, Damo Holt, Floris van der Veen, Petra Gibcus, Lia Smit &amp; Tommy Span</t>
  </si>
  <si>
    <t>Ontwikkeling energiekentallen utiliteitsgebouwen</t>
  </si>
  <si>
    <t xml:space="preserve">Sipma, J.M &amp;  Rietkerk, M.D.A. </t>
  </si>
  <si>
    <t xml:space="preserve">ECN Beleidsstudies </t>
  </si>
  <si>
    <t>Scenario’s voor de differentiatie van het inschrijftarief huisartsenzorg op basis van zorgzwaarte: handvatten voor de beleidsdiscussie om de differentiatie van het inschrijftarief te wijzigen</t>
  </si>
  <si>
    <t>Flinterman, L., Hoon, S. de, Bakker, D. de &amp; Verheij, R.</t>
  </si>
  <si>
    <t>Differentiatie inschrijftarief huisartsenzorg. Deel 1: evaluatie van de huidige differentiatie van het inschrijftarief</t>
  </si>
  <si>
    <t>Flinterman, L.E., Bakker, D.H. de &amp; Verheij, R.A.</t>
  </si>
  <si>
    <t>Duurzaamheid schuldentrajecten, De financiële positie van ex-schuldenaren</t>
  </si>
  <si>
    <t>Kok, L., C. Berden, M. Lammers, R. Scholte &amp; M. Von Bergh</t>
  </si>
  <si>
    <t>ministerie van SZW</t>
  </si>
  <si>
    <t>De vraag naar logopedie</t>
  </si>
  <si>
    <t>Scholte, Robert &amp; Lucy Kok</t>
  </si>
  <si>
    <t>Notitie bevindingen m.b.t. verdeelmodel WWB</t>
  </si>
  <si>
    <t>Everhardt Tom &amp; Leo Aarts</t>
  </si>
  <si>
    <t>Vierde meting van de monitor nazorg ex-gedetineerden</t>
  </si>
  <si>
    <t>Beerthuizen M.G.C.J., K.A. Beijersbergen, S. Noordhuizen &amp; G. Weijters</t>
  </si>
  <si>
    <t>Wetenschappelijk Onderzoek- en Documentatiecentrum</t>
  </si>
  <si>
    <t>Monitor nazorg ex-gedetineerden 5e meting</t>
  </si>
  <si>
    <t>Weijters, G., Rokven, J.J. &amp; Verweij, S.</t>
  </si>
  <si>
    <t>Evaluatie innovatiebox 2010-2012</t>
  </si>
  <si>
    <t>Hertog Pim den, Arthur Vankan, Bart Verspagen (MERIT), Pierre Mohnen (MERIT), _x000D_
Leonique Korlaar, Bram Erven, Matthijs Janssen &amp; Bert Minne</t>
  </si>
  <si>
    <t>Evaluating the innovation box tax policy instrument in the Netherlands</t>
  </si>
  <si>
    <t>Mohnen, P,  Arthur Vankan &amp; Bart Verspagen</t>
  </si>
  <si>
    <t>Oxford Review of Economic Policy</t>
  </si>
  <si>
    <t>Ouderenmishandeling in Nederland: Inzicht in kennis over omvang en achtergrond van ouderen die slachtoffer zijn van ouderenmishandeling</t>
  </si>
  <si>
    <t xml:space="preserve">Plaisier, Inger &amp; Mirjam de Klerk </t>
  </si>
  <si>
    <t>Ontwikkeling Woonzorgwijzer Fase 1: Voorlopig ontwerp</t>
  </si>
  <si>
    <t>Rossum, Froukje van, Kees Leidelmeijer &amp; Wilma Bakker</t>
  </si>
  <si>
    <t>Ministerie van BZK, DG Wonen en Bouwen</t>
  </si>
  <si>
    <t>CBS-data analystics transportdata</t>
  </si>
  <si>
    <t>Davydenko, I.Y., M. Zhang &amp; L.A. Tavasszy</t>
  </si>
  <si>
    <t>Vrachtauto’s zijn toch beter benut? Een eerste kijk naar gewicht, volume en oppervlakte benutting in Nederlands wegvervoer</t>
  </si>
  <si>
    <t xml:space="preserve">Davydenko, I.Y. &amp; L.A. Tavasszy </t>
  </si>
  <si>
    <t>Predicting working beyond retirement in the Netherlands: an interdisciplinary approach involving occupation epidemiology and economics</t>
  </si>
  <si>
    <t>Scharn M, van der Beek AJ, Huisman MA, de Wind A, Lindeboom M, Elbers C.T.M, Geuskens G.A &amp; Boot C.R.L.</t>
  </si>
  <si>
    <t>VU University Medical Center, Department of Public and</t>
  </si>
  <si>
    <t>Predictors of working beyond retirement in older workers with and without a chronic disease - results from data linkage of Dutch questionnaire and registry data</t>
  </si>
  <si>
    <t>Wind, Astrid de, Micky Scharn, Goedele A. Geuskens, Allard J. van der Beek &amp; Cécile R. L. Boot</t>
  </si>
  <si>
    <t>A DATA-DRIVEN PROCEDURE TO DETERMINE THE BUNCHING WINDOW - AN APPLICATION TO THE NETHERLANDS</t>
  </si>
  <si>
    <t>Dekker Vincent, Kristina Strohmaier &amp; Nicole Bosch</t>
  </si>
  <si>
    <t>University of Hohenheim</t>
  </si>
  <si>
    <t>Gevolgen belastinghervorming voor de detailhandel</t>
  </si>
  <si>
    <t>Bangma Klaas, Pieter Fris &amp; Wim Verhoeven</t>
  </si>
  <si>
    <t>Migratiestromen in Noordoost Groningen</t>
  </si>
  <si>
    <t>Bouwmeester, Harry &amp; Cor Lamain</t>
  </si>
  <si>
    <t>TU Delft</t>
  </si>
  <si>
    <t>De sociale staat van Nederland 2015</t>
  </si>
  <si>
    <t>Bijl Rob, Jeroen Boelhouwer, Evert Pommer &amp; Iris Andriessen</t>
  </si>
  <si>
    <t>Braindrain in Noord-Brabant: De migratie van Noord-Brabantse hoger opgeleiden in beeld</t>
  </si>
  <si>
    <t>Mariën, Hans, Rob Vink &amp; Frank Cörvers</t>
  </si>
  <si>
    <t>IVA Onderwijs</t>
  </si>
  <si>
    <t>Over de relatie tussen laaggeletterdheid en armoede</t>
  </si>
  <si>
    <t>Christoffels Ingrid, Pieter Baay (ecbo) Ineke Bijlsma &amp; Mark Levels (ROA)</t>
  </si>
  <si>
    <t>ECBO</t>
  </si>
  <si>
    <t>Young offenders caught in the act: A population-based cohort study comparing internationally adopted and non-adopted adolescents</t>
  </si>
  <si>
    <t>Ginkel, Joost R. van, Femmie Juffer, Marian J. Bakermans-Kranenburg &amp; Marinus H. van IJzendoorn</t>
  </si>
  <si>
    <t>Children and Youth Services Review</t>
  </si>
  <si>
    <t>Woningmarktanalyse 2015</t>
  </si>
  <si>
    <t>Wissink, Jeroen, Bert van 't Land &amp; Diana Boertien</t>
  </si>
  <si>
    <t>Ontwikkeling van ruimtelijke verschillen in Nederland</t>
  </si>
  <si>
    <t xml:space="preserve">Leidelmeijer, Kees, René Schulenberg &amp; Betty Noordhuizen </t>
  </si>
  <si>
    <t>In Fact</t>
  </si>
  <si>
    <t xml:space="preserve">Mulder, Maarten </t>
  </si>
  <si>
    <t>Dispensing of psychotropic medication among 400,000 immigrants in The Netherlands</t>
  </si>
  <si>
    <t xml:space="preserve">ermorshuizen, Fabian Termorshuizen, Jean-Paul Selten &amp; Eibert R. Heerdink_x000D_
</t>
  </si>
  <si>
    <t>Soc Psychiatry Psychiatr Epidemiol</t>
  </si>
  <si>
    <t>Kern- en performance indicatoren</t>
  </si>
  <si>
    <t>Span, Tommy, Rutger Kok &amp;  Pieter Fris</t>
  </si>
  <si>
    <t>Inkomenseffecten brutering van de bijstand</t>
  </si>
  <si>
    <t>Ellwanger, Nils, Maaike van Asselt &amp; Leo Aarts</t>
  </si>
  <si>
    <t>Jeugdzorg: verschil tussen budget en contract in de regio Zuidoost Noord-Brabant</t>
  </si>
  <si>
    <t>Sadiraj, Klarita</t>
  </si>
  <si>
    <t>Sterfte aan chronische hepatitis B en C in Nederland</t>
  </si>
  <si>
    <t>Hofman, Robine, Wilma J. Nusselder, Irene K. Veldhuijzen &amp; Jan Hendrik Richardus</t>
  </si>
  <si>
    <t>Nederlands Tijdschriften voor Geneeskunde</t>
  </si>
  <si>
    <t>Nederlands Tijdschrift Geneeskunde</t>
  </si>
  <si>
    <t>Daklozen overlijden het vaakst door suïcide of moord</t>
  </si>
  <si>
    <t>Slockers, Marcel T., Wilma J. Nusselder, Judith Rietjens &amp; Ed F. van Beeck</t>
  </si>
  <si>
    <t>Ex-ante kapitaalmarktanalyse Noordvleugel</t>
  </si>
  <si>
    <t xml:space="preserve">Dijk, R. van, D. Holt, F. van der Veen, P. Gibcus &amp; T. Span, </t>
  </si>
  <si>
    <t>Rebel &amp; Panteia</t>
  </si>
  <si>
    <t>Bedrijfsfinanciering tijdens en na de crisis</t>
  </si>
  <si>
    <t>Span, Tommy, Rutger Kok &amp; Wim Verhoeven</t>
  </si>
  <si>
    <t xml:space="preserve">Rotterdamse groepen 2017: Een monitor van de maatschappelijke positie van Rotterdamse groepen _x000D_
 _x000D_
 </t>
  </si>
  <si>
    <t xml:space="preserve">Boom, J. de &amp; P. van Wensveen </t>
  </si>
  <si>
    <t>RISBO</t>
  </si>
  <si>
    <t xml:space="preserve">The impact of urban regeneration programmes on health and health-related behaviour: Evaluation of the Dutch District Approach 6.5 years from the start_x000D_
</t>
  </si>
  <si>
    <t>Ruijsbroek, Annemarie, Albert Wong, Anton E. Kunst, Carolien van den Brink, Hans A. M. van Oers, Mariël Droomers &amp; Karien Stronks</t>
  </si>
  <si>
    <t xml:space="preserve">Doesselectivemigrationbiasthehealthimpactassessmentofurban regenerationprogrammesincross-sectionalstudies? Findings from a Dutch casestudy </t>
  </si>
  <si>
    <t>Ruijsbroek, Annemarie, Albert Wong, Carolien van den Brink, Mariël roomers, Hans A.M.van Oers, Karien Stronks &amp; Anton E. Kunst</t>
  </si>
  <si>
    <t>The effect of trastuzumab-based chemotherapy in small node-negative HER2-positive breast cancer</t>
  </si>
  <si>
    <t xml:space="preserve">Eamshorst, Mette S. van, Margriet van der Heiden-van der Loo, Gwen M. H. E. Dackus, _x000D_
Sabine C. Linn &amp; Gabe S. Sonke_x000D_
</t>
  </si>
  <si>
    <t>Werkloos toezien?</t>
  </si>
  <si>
    <t xml:space="preserve">Merens, Ans &amp; Edith Josten  </t>
  </si>
  <si>
    <t>Evaluatie microfinanciering</t>
  </si>
  <si>
    <t>Kerste, Marco, Jarst Weda, Ward Rougoor, Nicole Rosenboom &amp; Cindy Biesenbeek</t>
  </si>
  <si>
    <t>SEO economisch onderzoek</t>
  </si>
  <si>
    <t>Mobiliteit binnen de perken</t>
  </si>
  <si>
    <t>Strockmeijer, Anita, Paul de Beer &amp; Jaco Dagevos</t>
  </si>
  <si>
    <t>Boom</t>
  </si>
  <si>
    <t>Rombouts, Anneke</t>
  </si>
  <si>
    <t>De opbrengst van bestuurlijke samenwerking UvA-HvA</t>
  </si>
  <si>
    <t>Welie, Liesbeth van</t>
  </si>
  <si>
    <t>Berenschot</t>
  </si>
  <si>
    <t>Bedrijfsinvesteringen sinds crisis sterker beïnvloed door schuldpositie bedrijf</t>
  </si>
  <si>
    <t>Winter, Jasper de, Maikel Volkerink &amp; Carlijn Eijking</t>
  </si>
  <si>
    <t>Het spaaroverschot van Nederlandse bedrijven ontrafeld</t>
  </si>
  <si>
    <t>Butler, Bas, Krit Carlier, Guido Schotten &amp; Maikel Volkerink</t>
  </si>
  <si>
    <t>DNB</t>
  </si>
  <si>
    <t>639 - Measuring trends and persistence in capital and labor misallocation</t>
  </si>
  <si>
    <t xml:space="preserve">Winter, Jasper de </t>
  </si>
  <si>
    <t>Misallocatie van kapitaal en arbeid in de Nederlandse economie toegenomen</t>
  </si>
  <si>
    <t>Winter, Jasper de</t>
  </si>
  <si>
    <t>Measuring trends and persistence in capital and labor misallocation</t>
  </si>
  <si>
    <t>Bun, Maurice &amp;  Jasper de Winter</t>
  </si>
  <si>
    <t>Wijziging Gebruikelijkloonregeling</t>
  </si>
  <si>
    <t>Rosenboom, N. &amp; . Smits</t>
  </si>
  <si>
    <t>Reumatische aandoeningen in Nederland</t>
  </si>
  <si>
    <t>Sloot Rosa, Linda Flinterman, Marianne Heins, Maaike Lafeber, Hennie Boeije, René Poos, Petra Eysink, Mark Nielen &amp; Joke Korevaar</t>
  </si>
  <si>
    <t>Deelname aan de bovenschoolse voorzieningen Transferium en Stop</t>
  </si>
  <si>
    <t>Koopman Pjotr &amp; Marieke Buisman</t>
  </si>
  <si>
    <t>Kohnstamm</t>
  </si>
  <si>
    <t>Afstroom, opstroom en schoolwisselingen</t>
  </si>
  <si>
    <t>Voorzieningen verdeeld. Profijt van de overheid</t>
  </si>
  <si>
    <t>Olsthoorn, Martin, Evert Pommer, Michiel Ras, Ab van der Torre &amp; Jean Marie Wildeboer Schut</t>
  </si>
  <si>
    <t>Venhorst, V., Daams, M. &amp; van Dijk, J.</t>
  </si>
  <si>
    <t>RUG</t>
  </si>
  <si>
    <t>Iersel Johan van &amp; Kees Leidelmeijer</t>
  </si>
  <si>
    <t>De Staat van het Onderwijs</t>
  </si>
  <si>
    <t>Inspectie van het Onderwijs</t>
  </si>
  <si>
    <t>De Staat van het Onderwijs 2016</t>
  </si>
  <si>
    <t xml:space="preserve">Selectie: Meer dan cijfers alleen </t>
  </si>
  <si>
    <t>Rapport De Staat van het Onderwijs 2018 | Onderwijsverslag over 2016/2017</t>
  </si>
  <si>
    <t>Baltussen, Miriam, Stef Böger, Anne Bert Dijkstra, Vic van den Broek-d’Obrenan, Evelien Evenhuis, Ellen Jagtman, Hans Oepkes, Ghislaine Schmidt, Erik Thoonen &amp; Chris _x000D_
Chris _x000D_
Jos Verkroost_x000D_
Trudie Wick-Campman</t>
  </si>
  <si>
    <t>Inspectie van het onderwijs</t>
  </si>
  <si>
    <t>Economische kansen Nederlandse cybersecurity-sector</t>
  </si>
  <si>
    <t>Hendriks, A., D. Brandt, K. Turk (VKA),  V. Kocsis, D. in 't Veld &amp; T. Smits</t>
  </si>
  <si>
    <t>VKA</t>
  </si>
  <si>
    <t>Monitor Jongeren Op Gezond Gewicht 2015</t>
  </si>
  <si>
    <t xml:space="preserve">Reijgersberg Niels, Ine Pulles, Koen Breedveld &amp; Ellen de Hollander </t>
  </si>
  <si>
    <t>Mulier Instituut</t>
  </si>
  <si>
    <t>Increased colon cancer risk after severe Salmonella infection</t>
  </si>
  <si>
    <t>Mughini-Gras, Lapo, Michael Schaapveld, Jolanda Kramers, Sofie Mooij, E. Andra Neefjes-Borst, Wilfrid van Pelt &amp; Jacques Neefjes</t>
  </si>
  <si>
    <t>Landelijke monitor studentenhuisvesting</t>
  </si>
  <si>
    <t>Hulle René van, Lies Hooft, Bert Marchal, Jamie Zwaneveld &amp; Maarten Vijncke</t>
  </si>
  <si>
    <t>Mortality, readmission and length of stay have different relationships using hospital-level versus patientlevel data: an example of the ecological fallacy affecting hospital performance indicators</t>
  </si>
  <si>
    <t>Hofstede Stefanie, Leti van Bodegom-Vos, Dionne S Kringos, Ewout Steyerberg &amp; Perla J. Marang-van de Mheen</t>
  </si>
  <si>
    <t>BMJ</t>
  </si>
  <si>
    <t xml:space="preserve">Mortality, readmission and length of stay have different relationships using hospital-level versus patient-level data: an example of the ecological fallacy affecting hospital performance indicators </t>
  </si>
  <si>
    <t xml:space="preserve">Hofstede, Stefanie N, Leti van Bodegom-Vos, Dionne S Kringos, Ewout Steyerberg &amp;_x000D_
Perla J Marang-van de Mheen_x000D_
</t>
  </si>
  <si>
    <t xml:space="preserve">BMJ </t>
  </si>
  <si>
    <t>Ranking hospitals: do we gain reliability by using composite rather than individual indicators?</t>
  </si>
  <si>
    <t xml:space="preserve">Marang, Perla </t>
  </si>
  <si>
    <t xml:space="preserve">Gevolgen van de kostendelersregeling in Amsterdam_x000D_
</t>
  </si>
  <si>
    <t>Kruis, MSc. G., &amp; drs. R.C. van Waveren</t>
  </si>
  <si>
    <t>De arbeidsmarkt aan de grens met en zonder grensbelemmeringen</t>
  </si>
  <si>
    <t>Verstraten, Paul</t>
  </si>
  <si>
    <t>Understanding employment decentralization by estimating the spatial scope of gglomeration economies</t>
  </si>
  <si>
    <t>Verstraten, Paul, Gerard Verweij &amp; Peter Zwaneveld</t>
  </si>
  <si>
    <t>Estimating the prevalence of 26 health.related indicators at neighbourhood level in the Netherlands using structured additive regression</t>
  </si>
  <si>
    <t>Kassteele, Jan van de, Laurens Zwakhals, Oscar Breugelmans, Caroline Ameling &amp; Carolien van den Brink</t>
  </si>
  <si>
    <t>International Journal of Health Geographics</t>
  </si>
  <si>
    <t>Income inequality and psychological distress at neighbourhood and municipality level</t>
  </si>
  <si>
    <t xml:space="preserve">Erdem, Özcan, F.J. van Lenthe Frank &amp;  A. Burdorf Alex  </t>
  </si>
  <si>
    <t>Gemeene Rotterdan en OBI</t>
  </si>
  <si>
    <t>Selecting Indicators to Measure Energy Poverty</t>
  </si>
  <si>
    <t>Rademaekers Koen, Jessica Yearwood, Alipio Ferreira (Trinomics), Steve Pye, Ian Hamilton, Paolo Agnolucci, David Grover (UCL), Jiøí Karásek &amp; Nataliya Anisimova (SEVEn)</t>
  </si>
  <si>
    <t>Trinomics B.V.</t>
  </si>
  <si>
    <t>The reproduction of benefit receipt: Disentangling the intergenerational transmission</t>
  </si>
  <si>
    <t xml:space="preserve">Boschman, S., Maas, I., Kristiansen, M. H., &amp; Vrooman, J. C. </t>
  </si>
  <si>
    <t>Social Science Research</t>
  </si>
  <si>
    <t xml:space="preserve">Staat van arbeidsveiligheid 2018 </t>
  </si>
  <si>
    <t>Ministerie SZW_Werk en Inkomen</t>
  </si>
  <si>
    <t xml:space="preserve">Gezondheidsverkenning omwonenden van landbouwpercelen </t>
  </si>
  <si>
    <t xml:space="preserve">Simões M., M. Brouwer, E. Krop, A. Huss, R. Vermeulen, C. Baliatsas, J. IJzermans, R. Verheij, N. Janssen, M. Marra, A. Wijga, &amp; A.G. Rietveld </t>
  </si>
  <si>
    <t>Waardecreatie in bedrijven</t>
  </si>
  <si>
    <t xml:space="preserve">Rossum, Tom van, Liselotte van Thiel, Jasper de Winter, Maurice Bun, Maarten de Ridder, Gerdien Meijerink, Leon Bettendorf, Gerrit Hugo van Heuvelen, Jade Dieteren, Jesse Groenewegen, Sjoerd Hardeman, Oscar Lemmers, Theo Toelandt, Marcel Seip, Henry van der Wiel, Hettie Boonman, Marcel de Heide, Jinxue Hu, Evgueni Poliakov &amp; Erik Stam </t>
  </si>
  <si>
    <t>Samenwerken met TNO heeft positieve impact op bedrijven</t>
  </si>
  <si>
    <t xml:space="preserve">Boonman, Hetty, Marcel de Heide, Jinxue Hu &amp; Evgueni Poliakov </t>
  </si>
  <si>
    <t>Clinical characteristics and survival patterns of subsequent_x000D_
sarcoma, breast cancer, and melanoma after childhood cancer_x000D_
in the DCOG.LATER cohort</t>
  </si>
  <si>
    <t>Teepen, Jop C., Leontien C. Kremer, Margriet van der Heiden.van der Loo, Wim J. Tissing, Helena J. van der Pal, Marry M. van den Heuvel.Eibrink, Jacqueline J. Loonen, Marloes Louwerens, Birgitta Versluys, Eline van Dulmen.den Broeder, Otto Visser, John H. Maduro &amp; Flora E. van Leeuwen_x000D_
Cecile M. Ronckers</t>
  </si>
  <si>
    <t>Uitzendmonitor 2016</t>
  </si>
  <si>
    <t>Vermeulen, Hedwig, Wouter de Wit, Bianca van Leest &amp; Lieselotte Rossen</t>
  </si>
  <si>
    <t>KBA</t>
  </si>
  <si>
    <t>Trends en Ontwikkelingen in de technische installatiebranche 2018: Bedrijvigheid, arbeidsmarkt en beroepsopleiding in de periode tot 2022</t>
  </si>
  <si>
    <t>Vermeulen, Hedwig, Paul den Boer, Timo Verhaegh, Wouter de Wit, Joost van der Horst &amp;_x000D_
Lieselotte Rossen</t>
  </si>
  <si>
    <t>KBA Nijmegen</t>
  </si>
  <si>
    <t>OpleidingsMonitor Flexbranche 2017</t>
  </si>
  <si>
    <t>Wit, Wouter de, Hedwig Vermeulen, Pieter Aalders, Joost van der Horst &amp; Annet Jager</t>
  </si>
  <si>
    <t>Inequity in postpartum healthcare provision at home and its association with subsequent healthcare expenditure</t>
  </si>
  <si>
    <t xml:space="preserve">Lagendijk, Jacqueline,  Eric A.P. Steegers &amp; Jasper V. Been  </t>
  </si>
  <si>
    <t>Kosten en baten van maatschappelijke (re-) integratie van volwassen en jeugdige (ex) geditineerden</t>
  </si>
  <si>
    <t>Koning, Jaap de, José Gravesteijn, Paul de Hek &amp; Daisy de Vries</t>
  </si>
  <si>
    <t>Komst AZC leidt niet tot meer criminaliteit</t>
  </si>
  <si>
    <t>Achbari, W.</t>
  </si>
  <si>
    <t>Reportage wijk verkeek zich op komst opvangcentrum</t>
  </si>
  <si>
    <t>Ernstig verkeersgewonden 2015: Schatting van het aantal ernstig verkeersgewonden in 2015</t>
  </si>
  <si>
    <t>Bos, Drs. N.M., dr. S. Houwing &amp; dr. H.L. Stipdonk</t>
  </si>
  <si>
    <t>SWOV</t>
  </si>
  <si>
    <t xml:space="preserve">Eens een dief, altijd een dief? Een verkenning rond het meten van de effectiviteit van de Verklaring Omtrent het Gedrag_x000D_
</t>
  </si>
  <si>
    <t>Kruize, P. &amp; Gruter, P.</t>
  </si>
  <si>
    <t>Ateno</t>
  </si>
  <si>
    <t>Influenza vaccination in the elderly: 25 years follow-up of a randomized controlled trial. No impact on long-term mortality</t>
  </si>
  <si>
    <t xml:space="preserve">Ruud Andreas Fritz Verhees, Carel Thijs, Ton Ambergen, Geert Jan Dinant &amp; Johannes Andreas Knottnerus  </t>
  </si>
  <si>
    <t>UM_FHML</t>
  </si>
  <si>
    <t>Optimalisering van werk loont</t>
  </si>
  <si>
    <t>Koning Jaap de, Paul de Hek &amp; Elisa de Vleeschouwer</t>
  </si>
  <si>
    <t>Faculteit der Sociale Wetenschappen</t>
  </si>
  <si>
    <t>Home ownership under changing labour and housing market conditions: tenure references and outcomes among freelancers and flex workers</t>
  </si>
  <si>
    <t>Dol, Kees &amp; Harry Boumeester</t>
  </si>
  <si>
    <t xml:space="preserve">International Journal of Housing Policy </t>
  </si>
  <si>
    <t>Minder eigenwoningbezit door flexibilisering van de arbeidsmarkt, In: Socialisme en Democratie</t>
  </si>
  <si>
    <t>Boumeester, Harry &amp; Kees Dol</t>
  </si>
  <si>
    <t>Wiardi Beckman Stichting</t>
  </si>
  <si>
    <t>Breast conserving therapy and mastectomy revisited: Breast cancer-specific survival and the influence of prognostic factors in 129,692 patients</t>
  </si>
  <si>
    <t>Lagendijk Mirelle, Marissa C. van Maaren, Sepideh Saadatmand, Luc J.A. Strobbe, Philip M.P. Poortmans, Linetta B. Koppert, Madeleine M.A. Tilanus-Linthorst &amp;Sabine Siesling</t>
  </si>
  <si>
    <t>International Journal of Cancer</t>
  </si>
  <si>
    <t xml:space="preserve">Diversiteitsmonitor, Vluchtelingenmonitor, Amsterdam in Cijfers, Stadsdelen in Cijfers, _x000D_
Staat van de Stad, Jongeren niet in beeld &amp; Monitor jeugdwerkloosheid_x000D_
_x000D_
Arbeidsmarktontwikkeling_x000D_
Geregistreerde werkloosheid_x000D_
Kerncijfers gebieden_x000D_
Emanicipatiemonitor_x000D_
gebiedsanalyses_x000D_
</t>
  </si>
  <si>
    <t>Jong de Idske</t>
  </si>
  <si>
    <t>Diversiteitsmonitor, Amsterdam in Cijfers, Stadsdelen in Cijfers, Staat van de Stad, _x000D_
Kerncijfers gebieden, emancipatiemonitor, armoedemonitor 2015 &amp; armoedemonitor 2016, _x000D_
Jaarboeksymposium, OIS-bijdrage impactstudie Rekenkamer Metropool Amsterdam_x000D_
gebiedsanalyses</t>
  </si>
  <si>
    <t>Nottelman, Nienke &amp; Clemens Wenneker</t>
  </si>
  <si>
    <t>Amsterdam in Cijfers, Stadsdelen in Cijfers, Staat van de Stad, diversiteit in het onderwijs _x000D_
gebiedsanalyses, diversiteitsmonitor, armoede rekenkamer</t>
  </si>
  <si>
    <t>Cohen, Lotje</t>
  </si>
  <si>
    <t>Waar wonen de Amsterdamse leraren en onderwijsondersteuners?</t>
  </si>
  <si>
    <t>diverse</t>
  </si>
  <si>
    <t>Firm heterogeneity and exports in the Netherlands: Identifying export potential beyond firm productivity</t>
  </si>
  <si>
    <t>Brakman, Steven, Harry Garretsen, Raoul van Maarseveen &amp; Peter Zwaneveld</t>
  </si>
  <si>
    <t>The Journal of International Trade &amp; Economic</t>
  </si>
  <si>
    <t>Evaluatie MKB Innovatiestimuleringsregeling Topsectoren (MIT), 2013 - 2016</t>
  </si>
  <si>
    <t xml:space="preserve">Zuijdam, F., M. Ploeg, J. Schipper, J. Vermeer, S. van der Werff &amp; J. Zwetsloot </t>
  </si>
  <si>
    <t>Technopolis Group &amp; SEO Economisch Onderzoek</t>
  </si>
  <si>
    <t>Onderzoek overheadkosten bij ziekenhuizen</t>
  </si>
  <si>
    <t>Fris, Pieter, Rutger Kok &amp; Jos Jooren</t>
  </si>
  <si>
    <t>Perspectief Wsw onder de Participatiewet</t>
  </si>
  <si>
    <t>Kok, Lucy, Lennart Kroon, Marloes Lammers &amp; William Luiten</t>
  </si>
  <si>
    <t xml:space="preserve">Nationaal cohort onderzoek Onderwijs_x000D_
</t>
  </si>
  <si>
    <t>NRO</t>
  </si>
  <si>
    <t>Nationaal Regieorgaan Onderwi jsonderzoek (NRO)</t>
  </si>
  <si>
    <t>Van sociale werkvoorziening naar participatiewet: Hoe is het de mensen op de Wsw.wachtlijst vergaan?</t>
  </si>
  <si>
    <t>Sadiraj, Klarita, Stella Hoff &amp; Maroesjka Versantvoort</t>
  </si>
  <si>
    <t>Mapping Maastricht: Cultural and creative industries 2009-2016</t>
  </si>
  <si>
    <t>Pownall, Rachel, prof. dr. A.J., Anouk Duivenvoorden, MSc &amp; Marina Gertsberg, MSc</t>
  </si>
  <si>
    <t>Universiteit Maastricht</t>
  </si>
  <si>
    <t>113 Zelfmoord preventie</t>
  </si>
  <si>
    <t>113Online</t>
  </si>
  <si>
    <t>Bijstandsduur Syriërs en Eri-treeërs</t>
  </si>
  <si>
    <t>Vriend, Sandra &amp; Siemen van der Werff</t>
  </si>
  <si>
    <t>Cheaper and More Haircuts After VAT Cut? Evidence From the Netherlands</t>
  </si>
  <si>
    <t>Jongen, Egbert, Arjan Lejourz &amp; Gabriella Massenz</t>
  </si>
  <si>
    <t>Goedkoper geknipt, maar niet vaker:de effecten van de btw-verlaging voor kappers</t>
  </si>
  <si>
    <t>Multiprobleemgezinnen per provincie en gemeente</t>
  </si>
  <si>
    <t>Kann-Weedage, D., Zoon, M., Addink, A., van Boven, J., Berger, M. &amp; de Wilde, E.J</t>
  </si>
  <si>
    <t>Aantal en kosten van multiprobleemgezinnen in Almelo</t>
  </si>
  <si>
    <t>Kann-Weedage Daphne, Mariska Zoon, Anne Addink, José van Boven, Marianne Berger &amp; Erik Jan de Wilde</t>
  </si>
  <si>
    <t>Sportdeelname en accommodatiegebruik in Limburg : onderzoek naar de huidige en toekomstige sportdeelname en accommodatiegebruik in de provincie Limburg (2016)</t>
  </si>
  <si>
    <t>Dool, R. van den &amp; Hoekman, R.</t>
  </si>
  <si>
    <t>Mulier instituut</t>
  </si>
  <si>
    <t>Het aanvragen van een verklaring omtrent het gedrag door jongeren als dilemma</t>
  </si>
  <si>
    <t>Boekhoorn, Paul, Timo Verhaegh &amp; Maarten Wolbers</t>
  </si>
  <si>
    <t>NEET is een slechte indicator van kwetsbaarheid</t>
  </si>
  <si>
    <t xml:space="preserve">Alexander Dicks &amp; Mark Levels </t>
  </si>
  <si>
    <t>ROA</t>
  </si>
  <si>
    <t>Evaluatie fiscale ondernemersregelingen</t>
  </si>
  <si>
    <t xml:space="preserve">Weel B, ter, Sandra Vriend, Tom Smits, Joost Witteman &amp; Nicole Rosenboom_x000D_
</t>
  </si>
  <si>
    <t xml:space="preserve">Verdringingseffecten binnen het het Nederlandse Zorgstelsel </t>
  </si>
  <si>
    <t>Adang, Eddy, Niek Stadhouders, Cathleen Parsons, Joost Wammes, Paulien Govaert, Domino Determann, Xander Koolman, Aggie Paulus, Silvia Evers, Geert Frederix &amp; Wija Oortwijn</t>
  </si>
  <si>
    <t>Universitair Medisch Centrum Radboud</t>
  </si>
  <si>
    <t>Wat verdient een overheids- of onderwijswerknemer ten opzichte van de marktsector</t>
  </si>
  <si>
    <t>Werff, S. van der, C. Biesenbeek, A. Heyma &amp; L. Megens</t>
  </si>
  <si>
    <t>Wat een leraar in het primair onderwijs verdient</t>
  </si>
  <si>
    <t>Weff, S. van der, C. Biesenbeek &amp; A. Heyma</t>
  </si>
  <si>
    <t>Wat een leraar in het voortgezet onderwijs verdient</t>
  </si>
  <si>
    <t>Werff, S. van der, C. Biesenbeek &amp; A. Heyma</t>
  </si>
  <si>
    <t>Effects of Early Retirement Policy Changes on Working until Retirement: Natural experiment</t>
  </si>
  <si>
    <t>Boot, Cécile R.L. Micky Scharn, Allard J. van der Beek, Lars L. Andersen, Chris T.M. Elbers &amp; Maarten Lindeboom</t>
  </si>
  <si>
    <t>UMC_VU</t>
  </si>
  <si>
    <t>Effectiviteit re-integratiebeleid gemeente Stichtse Vecht</t>
  </si>
  <si>
    <t>Zandvliet, Kees, Peter van Nes &amp; Elisa de Vleeschouwer</t>
  </si>
  <si>
    <t>Inkomenspositie ouderen</t>
  </si>
  <si>
    <t>Scholte, Robert &amp; Marloes Lammers</t>
  </si>
  <si>
    <t>FNV</t>
  </si>
  <si>
    <t>Rapport: expats krijgen te veel belastingvoordelen in Nederland</t>
  </si>
  <si>
    <t>Evaluatie 30%-regeling</t>
  </si>
  <si>
    <t>Vankan, ir. Arthur, ir. ing. Reg Brennenraedts MBA, dr. Pim den Hertog, ir. Menno Driesse,_x000D_
ir. Jasper Veldman &amp; Yordi Rienstra MSc</t>
  </si>
  <si>
    <t>Kosten en opbrengsten terugbrengen AOW-leeftijd naar 65 jaar</t>
  </si>
  <si>
    <t>Koning, Jaap de, Arie Gelderblom, José Gravesteijn &amp; Elisa de Vleeschouwer</t>
  </si>
  <si>
    <t>Kennissynthese: Werken in de maatschappelijke ondersteuning in Nederland: nu en in de toekomst</t>
  </si>
  <si>
    <t>Batenburg, Ronald, Mieke Rijken, Simone Versteeg &amp; Elize Vis</t>
  </si>
  <si>
    <t>Wie sporten er meer in Nederland? Een onderzoek naar verschillen in sportdeelname voor individuele en gemeentekenmerken</t>
  </si>
  <si>
    <t>Gooskens, Wendy</t>
  </si>
  <si>
    <t>Radboud Universiteit Nijmegen</t>
  </si>
  <si>
    <t>Monitor sportuitgaven gemeenten. Een overzicht van de ontwikkelingen (2010-2017)</t>
  </si>
  <si>
    <t>Dool, Remko van den &amp; Remco Hoekman</t>
  </si>
  <si>
    <t>Verfijning bijstandsverdeelmodel 2018</t>
  </si>
  <si>
    <t xml:space="preserve">Caren Tempelman, Sandra Vriend, Lennart Kroon, Gerard Marlet &amp; Clemens van Woerkens </t>
  </si>
  <si>
    <t>Tempelman Caren, Sandra Vriend, Lennart Kroon, Gerard Marlet (Atlas voor Gemeenten) &amp; Clemens van Woerkens (Atlas voor gemeenten)</t>
  </si>
  <si>
    <t xml:space="preserve">SEO </t>
  </si>
  <si>
    <t>Risicoverevening:Onderzoek cliëntprofielen wijkverpleging</t>
  </si>
  <si>
    <t>Schipper, Esther, Jan Reitsma, Loes Koster &amp; Wijnand van Plaggenhoef</t>
  </si>
  <si>
    <t xml:space="preserve">Significant </t>
  </si>
  <si>
    <t>Sectoranalyse onderwijs</t>
  </si>
  <si>
    <t>Lubberman, drs. H.J.H., H.J. Rossing, MSc, A. Leemans, MSC &amp; dr. M.C. Paulussen-Hoogeboom</t>
  </si>
  <si>
    <t>Studie &amp; Werk 2018: De arbeidsmarktpositie van hbo- en wo-alumni</t>
  </si>
  <si>
    <t>Bisschop, Paul, Jelle Zwetsloot &amp; Siemen van der Werff</t>
  </si>
  <si>
    <t>Studie &amp; Werk 2018: De arbeidsmarktpositie van hbo- en wo-alumni: Statistische bijlage: tabellen hbo’ers</t>
  </si>
  <si>
    <t xml:space="preserve">Studie &amp; Werk 2018: De arbeidsmarktpositie van hbo- en wo-alumni Statistische bijlage: tabellen wo’ers_x000D_
</t>
  </si>
  <si>
    <t>Studie &amp; Werk 2019: De arbeidsmarktpositie van hbo- en wo-alumni</t>
  </si>
  <si>
    <t>Bisschop, Paul &amp; Jelle Zwetsloot</t>
  </si>
  <si>
    <t>Gevolgen flexibele AOW-leeftijd</t>
  </si>
  <si>
    <t>Kok, lucy, Lennart Kroon, Marloes Lammers, Arthur van Soest (Universiteit Tilburg) &amp;_x000D_
Bas ter Weel</t>
  </si>
  <si>
    <t>Koplopers en volgers: geen divergentie in Nederland</t>
  </si>
  <si>
    <t>Meijerink, Gerdien, Leon Bettendorf &amp; Harro van Heuvelen</t>
  </si>
  <si>
    <t>Evaluatie Agroregelingen met POP2 financiering en fijnstofmaatregelen</t>
  </si>
  <si>
    <t>Doornbos, Holmer, Simon Bremer, Ralph Kohlmann, &amp; Dominique Reumkens</t>
  </si>
  <si>
    <t xml:space="preserve">Verlofregelingen arbeid en zorg naar type arbeidsrelatie_x000D_
</t>
  </si>
  <si>
    <t>Epsilon Research</t>
  </si>
  <si>
    <t>Non-Bunching at Kinks and Notches in Cash Transfers</t>
  </si>
  <si>
    <t>Bosch, Nicole, Egbert Jongen, Wouter Leenders &amp; Jan Möhlmann</t>
  </si>
  <si>
    <t>Gebruik (en niet-gebruik) van toeslagen in Nederland Empirische analyse van huurtoeslag en kindgebonden budget</t>
  </si>
  <si>
    <t>Berkhout, Ernest, Nicole Bosch &amp; Patrick Koot</t>
  </si>
  <si>
    <t>Naar een nieuw onderwijsresultatenmodel voor het primair onderwijs: een nieuwe maat voor de leerlingenpopulatie</t>
  </si>
  <si>
    <t>Beyond plausibly exogenous</t>
  </si>
  <si>
    <t xml:space="preserve">Kippersluis, Hans, &amp; Cornelius A. Rietveld </t>
  </si>
  <si>
    <t>The Econometrics Journal</t>
  </si>
  <si>
    <t>Regionale plaatsing vergunninghouders en kans op werk</t>
  </si>
  <si>
    <t>Gerritsen, Sander, Mark Kattenberg &amp; Wouter Vermeulen</t>
  </si>
  <si>
    <t>Vergunninghouders trekken weg uit dunbevolkte gebieden</t>
  </si>
  <si>
    <t>Benut big data bij regionale plaatsing van asielmigranten met een verblijfsvergunning</t>
  </si>
  <si>
    <t>Monitor Verkeersveiligheid 2019: meer verkeersdoden en meer ernstig verkeersgewonden in 2018</t>
  </si>
  <si>
    <t>Aarts, Letty</t>
  </si>
  <si>
    <t>De sociale staat van Nederland</t>
  </si>
  <si>
    <t>Wennekers, Annemarie, Jeroen Boelhouwer, Cretien van Campen &amp; Rob Bijl</t>
  </si>
  <si>
    <t xml:space="preserve">Gemeten gas- en elektriciteitsintensiteiten gebouwen binnen de utiliteitssector </t>
  </si>
  <si>
    <t>Sipma, Jeffrey</t>
  </si>
  <si>
    <t>Nieuwe benchmarkmethodiek energiegebruik kantoren</t>
  </si>
  <si>
    <t>Het daadwerkelijk energieverbruik van gelabelde en niet-gelabelde restaurants</t>
  </si>
  <si>
    <t>Regionale innovatie</t>
  </si>
  <si>
    <t>Broek, Jos van den, Timo Maas &amp;  Jasper Deuten</t>
  </si>
  <si>
    <t>Rathenau Instituut</t>
  </si>
  <si>
    <t>Rapport bij de Nationale Verklaring 2019: Oordeel bij de verantwoording van lidstaat Nederland over Europese fondsen in gedeeld beheer</t>
  </si>
  <si>
    <t>ARK</t>
  </si>
  <si>
    <t>De zin van promoveren: Loopbanen en arbeidsmarktperspectieven van gepromoveerden</t>
  </si>
  <si>
    <t>Koier, Elizabeth &amp; Jos de Jonge</t>
  </si>
  <si>
    <t>De relatie tussen de Amsterdamse woningmarkt en het lerarentekort</t>
  </si>
  <si>
    <t>Groot, J. MSc, A. Leemans, MSc, drs. H.J.H. Lubberman &amp; H.J. Rossing, MSc</t>
  </si>
  <si>
    <t>Geld mag geen drempel zijn. Evaluatie van de Tijdelijke regeling voorziening leermiddelen voor mbo-deelnemers uit minimagezinnen</t>
  </si>
  <si>
    <t>Berg, E. van den, L. Megens, A.L. van der Vegt &amp; F. Scholten</t>
  </si>
  <si>
    <t>NEET-rate en risico’s per arbeidsregio</t>
  </si>
  <si>
    <t>Kansen voor jongeren in kwetsbare posities: Vooronderzoek programmering Kansen voor jongeren II</t>
  </si>
  <si>
    <t>Deen Chaja, Afke Donker, Vincent Fafieanie, Paulina Hublart, Elske van Schaardenburgh, Rally Wagemans &amp; Bas Wijnen</t>
  </si>
  <si>
    <t>Beter in Beeld: Jongvolwassenen na jeugdbescherming en jeugdreclassering</t>
  </si>
  <si>
    <t>Holdorp Josine, Monique Malmberg, Brigit Rijbroek, Bas Wijnen, Roos Kooijman &amp; Iryna Batyreva</t>
  </si>
  <si>
    <t>Wouter de Wit, Hedwig Vermeulen, Pieter Aalders, Joost van der Horst &amp; Annet Jager</t>
  </si>
  <si>
    <t>Krasse knarren kúnnen kraken</t>
  </si>
  <si>
    <t>Schilder, Frans, Femke Daalhuizen &amp; Carola de Groot</t>
  </si>
  <si>
    <t>Zorg om banen in de ouderenzorg</t>
  </si>
  <si>
    <t>Daalhuizen, Femke, Carola de Groot &amp; Hans van Amsterdam</t>
  </si>
  <si>
    <t>Aanpassen of verkassen? Langer zelfstandig in een geschikte woning</t>
  </si>
  <si>
    <t>Groot, Carola de, Marieke van der Staak, Femke Daalhuizen &amp; George de Kam (RuG)</t>
  </si>
  <si>
    <t>Langer zelfstandig wonen in een geschikte woonomgeving</t>
  </si>
  <si>
    <t>Daalhuizen, Femke, Carola de Groot &amp; George de Kam</t>
  </si>
  <si>
    <t>Demografie en de woningmarkt De gevolgen van het toenemend aantal alleenstaanden voor de woningmarkt</t>
  </si>
  <si>
    <t xml:space="preserve">Buys, André &amp; Michelle Hu_x000D_
</t>
  </si>
  <si>
    <t>Rigo</t>
  </si>
  <si>
    <t>Dashboard ’Zicht op Ondermijning’ online</t>
  </si>
  <si>
    <t>Understanding spatio-temporal electricity demand at different urban scales: A data-driven approach</t>
  </si>
  <si>
    <t>Voulis, Nina, Martijn Warnier &amp; Frances M.T. Brazier</t>
  </si>
  <si>
    <t>Identifying subgroups of high-need, high-cost, chronically ill patients in primary care: A latent class analysis</t>
  </si>
  <si>
    <t>Smeets, Rowan G. M.,  Arianne M. J. Elissen, Marielle E. A. L. Kroese, Niels Hameleers &amp;_x000D_
Dirk Ruwaard</t>
  </si>
  <si>
    <t xml:space="preserve">How does delayed retirement affect mortality and health? </t>
  </si>
  <si>
    <t>Zulkarnain, Alice &amp; Matthew S. Rutledge</t>
  </si>
  <si>
    <t>UniBoston</t>
  </si>
  <si>
    <t>De scp-methode voor het meten van armoede: Herijking en revisie</t>
  </si>
  <si>
    <t>Goderis, Benedikt, Bart van Hulst, Jean Marie Wildeboer Schut &amp; Michiel Ras</t>
  </si>
  <si>
    <t>Relative importance of perceived physical and social neighborhood characteristics for depression: a machine learning approach</t>
  </si>
  <si>
    <t>Helbich, Marco, Julian Hagenauer &amp; Hannah Roberts</t>
  </si>
  <si>
    <t xml:space="preserve">Is suicide mortality associated with neighbourhood social fragmentation and deprivation? A Dutch register-based case-control study using individualised neighbourhoods </t>
  </si>
  <si>
    <t>Hagedoorn, Paulien, Peter P Groenewegen, Hannah Roberts &amp; Marco Helbich</t>
  </si>
  <si>
    <t>Vaststellen van de bijstandsbudgetten 2019</t>
  </si>
  <si>
    <t>Tempelman, Caren, Sandra Vriend &amp; Lennart Kroon</t>
  </si>
  <si>
    <t xml:space="preserve">Analyse regionale patronen budgetmutaties </t>
  </si>
  <si>
    <t xml:space="preserve">Tempelman, Caren, Sandra Muilwijk-Vriend, Gerard Marlet &amp; Clemens van Woerkens </t>
  </si>
  <si>
    <t>Kinderen met Downsyndroom in het onderwijs</t>
  </si>
  <si>
    <t>Koopman, Pjotr, Pauline van Eck, Anke de Boer, Marjolein Bomhof, Rianne Exalto, Gert de Graaf &amp; Guuske Ledoux</t>
  </si>
  <si>
    <t>LHBT-monitor 2018: De leefsituatie van lesbische, homoseksuele, biseksuele en transgender personen in Nederland</t>
  </si>
  <si>
    <t>Beusekom Gabriël van &amp; Lisette Kuyper</t>
  </si>
  <si>
    <t>Bijlage LHBT-monitor 2018: De leefsituatie van lesbische, homoseksuele, biseksuele en transgender personen in Nederland</t>
  </si>
  <si>
    <t>Confurius, Diane, Ruben Gowricharn &amp; Jaco Dagevos</t>
  </si>
  <si>
    <t>Journal of Ethnic and Migration Studies</t>
  </si>
  <si>
    <t>Monitor Beleidsmaatregelen 2017-2018</t>
  </si>
  <si>
    <t xml:space="preserve">Broek, Anja van den, Kyra de Korte, Joris Cuppen, Froukje Wartenbergh, Joyce Bendig-Jacobs, José Mulder &amp; Anouk Helleger </t>
  </si>
  <si>
    <t>ResearchNed</t>
  </si>
  <si>
    <t>Gelijke kansen in het onderwijs</t>
  </si>
  <si>
    <t>Jonker, Herman</t>
  </si>
  <si>
    <t>Ministerie OWC</t>
  </si>
  <si>
    <t>Huishoudens in Almere met een laag inkomen: Wat zijn hun eigenschappen?</t>
  </si>
  <si>
    <t>Kets, Anne &amp; Klaske Grimmerink</t>
  </si>
  <si>
    <t>Gemeente Almere</t>
  </si>
  <si>
    <t>Armoede niet in beeld, overzicht op basis van CBS-data</t>
  </si>
  <si>
    <t>Effectiviteit van de ISD-maatregel</t>
  </si>
  <si>
    <t>Tollenaar, N., M.G.C.J. Beerthuizen, K.H. Drieschner &amp; A.M. van der Laan</t>
  </si>
  <si>
    <t>Kansenongelijkheid</t>
  </si>
  <si>
    <t>Luijer, Niels</t>
  </si>
  <si>
    <t>Gemeente Zaanstad</t>
  </si>
  <si>
    <t>Jonggehandicapten onder de Participatiewet</t>
  </si>
  <si>
    <t xml:space="preserve">Kok, Lucy, Lennart Kroon, Marloes Lammers, Rosanne Oomkens, Tom Geijsen &amp; Michiel Linssen </t>
  </si>
  <si>
    <t>Gezondheidsproblemen in WW en bijstand</t>
  </si>
  <si>
    <t>Muilwijk-Vriend, Sandra, Caren Tempelman, Lennart Kroon &amp; Marloes Lammers</t>
  </si>
  <si>
    <t xml:space="preserve">Extensive enrollment of young handicapped in the Participation Law </t>
  </si>
  <si>
    <t xml:space="preserve">Naaktgeboren, E.A. </t>
  </si>
  <si>
    <t xml:space="preserve">Woonlastenonderzoek Drenthe 2018 </t>
  </si>
  <si>
    <t xml:space="preserve">Wissink, Jeroen &amp; Martin Bleijenburg </t>
  </si>
  <si>
    <t>Labour Market Trajectories of the Self-employed in the Netherlands</t>
  </si>
  <si>
    <t xml:space="preserve">Beusch, Elisabeth &amp; Arthur van Soest _x000D_
</t>
  </si>
  <si>
    <t>Tilburg University TiSEM</t>
  </si>
  <si>
    <t xml:space="preserve">Arbeidsmarkt Schiphol 2016_x000D_
</t>
  </si>
  <si>
    <t>Zandvliet, Kees &amp; Elisa de Vleeschouwer</t>
  </si>
  <si>
    <t>Fysieke, financieeleconomische en kennisrelaties tussen REOS-toplocaties</t>
  </si>
  <si>
    <t>Rienstra, Gerlof, Walter Manshanden, Olaf Koops, Maarten van Leeuwen &amp; Oscar Oudega</t>
  </si>
  <si>
    <t>Rienstra Beleidsonderzoek</t>
  </si>
  <si>
    <t>Structural reform in the Netherlands 2013-2018</t>
  </si>
  <si>
    <t>Meindert, Lars, Mathijs Hageraats, Patrick de Bas, Stephanie Bouman, Martin van der Ende &amp; Laura Heidecke</t>
  </si>
  <si>
    <t>Ecorys</t>
  </si>
  <si>
    <t>Annual report on European SMEs 2017/2018, SMEs growing beyond borders</t>
  </si>
  <si>
    <t>Muller Patrice, Anselm Mattes, Demetrius Klitou, Olivia-Kelly Lonkeu, Paula Ramada, Francisco Aranda Ruiz, Shaan Devnani, Johannes Farrenkopf, Agata Makowska, Nadiya Mankovska, Nicholas Robin &amp; Lisa Steigertahl</t>
  </si>
  <si>
    <t>London Economics</t>
  </si>
  <si>
    <t>Evaluatie Vroege-fasefinanciering: Onderzoeksrapportage</t>
  </si>
  <si>
    <t>Lieftink, Bente, Edwin Netjes, Eelco Buunk, Hendrik van der Meulen &amp; Koen van Vliet</t>
  </si>
  <si>
    <t>KplusV</t>
  </si>
  <si>
    <t>Evaluatie aanpassing wettelijk minimumjeugdloon</t>
  </si>
  <si>
    <t>Werff, Siemen van der</t>
  </si>
  <si>
    <t xml:space="preserve">Gasverbruik in de huursector. Identificatie lage inkomens-hoog gasverbruik </t>
  </si>
  <si>
    <t xml:space="preserve">Jager, Gerard &amp; Jurriën Schuurman </t>
  </si>
  <si>
    <t>Woonbond</t>
  </si>
  <si>
    <t>Risico- en beschermende factoren in de kindertijd en vroege adolescentie voor high impact crime in de latere adolescentie en jongvolwassenheid</t>
  </si>
  <si>
    <t>Beerthuizen, M.G.C.J., E.M.C. van Leijsen &amp; A.M. van der Laan</t>
  </si>
  <si>
    <t>Rapportage onderzoek woninginbraken Almere</t>
  </si>
  <si>
    <t xml:space="preserve">Grimmerink , Klaske, Thomas Westveer, Ellen Westhoff, Jan Reitsma &amp; Bart Geurts </t>
  </si>
  <si>
    <t>Significicant</t>
  </si>
  <si>
    <t>Briefmodel schoolverlaters Den Haag</t>
  </si>
  <si>
    <t>Stroucken, Lieke</t>
  </si>
  <si>
    <t>CBS sector SDI Beleidsstatistiek</t>
  </si>
  <si>
    <t>Armoedemonitor 2018</t>
  </si>
  <si>
    <t>Altena, Charlotte</t>
  </si>
  <si>
    <t>Doorsluisland NL doorgelicht</t>
  </si>
  <si>
    <t>Lejour, Arjan, Jan Möhlmann &amp; Maarten van ’t Riet</t>
  </si>
  <si>
    <t>Aanvullende analyse AVI o.b.v. ouders en Zvw-beta-lingsachterstanden</t>
  </si>
  <si>
    <t>Muilwijk-Vriend, Sandra &amp; Lennart Kroon</t>
  </si>
  <si>
    <t>Groot onderhoud aard van inkomen en sociaal-economische status</t>
  </si>
  <si>
    <t>Tempelman, Caren, Sandra Muilwijk-Vriend, Lennart Kroon &amp; Marloes Lammers</t>
  </si>
  <si>
    <t>WMO voorspelmodel</t>
  </si>
  <si>
    <t xml:space="preserve">Stroucken, Lieke </t>
  </si>
  <si>
    <t>Wie weet het beter, de docent of de centrale eindtoets?</t>
  </si>
  <si>
    <t>Lek, Kimberley &amp; Rens van de Schoot</t>
  </si>
  <si>
    <t>Onderzoek naar de effecten van het verhogen van de leeftijdsgrens naar gezinshuizen</t>
  </si>
  <si>
    <t>Mol, Yourai, Sjors de Ruiter, Maxime Dekkers &amp; Irene Niessen</t>
  </si>
  <si>
    <t>AEF</t>
  </si>
  <si>
    <t>Kwart huurders zit financiël klem</t>
  </si>
  <si>
    <t>Kromhout, Steven</t>
  </si>
  <si>
    <t>Hoe gaan mensen om met hoge woonlasten?</t>
  </si>
  <si>
    <t>Verberk, Marjan, Marcel Warnaar &amp; Jasja Bos</t>
  </si>
  <si>
    <t>Inkomenscriteria voor huurders en kopers</t>
  </si>
  <si>
    <t>Met data zoeken naar samenhang tussen naleving en financiële bedrijfskenmerken</t>
  </si>
  <si>
    <t>Groot, Noortje</t>
  </si>
  <si>
    <t>MinIW_ILT</t>
  </si>
  <si>
    <t>Risicoprofielen ouderenmishandeling</t>
  </si>
  <si>
    <t>Verbeek, Eline &amp; Maartje Timmermans</t>
  </si>
  <si>
    <t>Witte meiden stromen niet door in/na MBO</t>
  </si>
  <si>
    <t>Roode, Annemarie</t>
  </si>
  <si>
    <t>Kansrijke Start 2019: Invoering van het actieprogramma en een meting van de uitgangssituatie</t>
  </si>
  <si>
    <t>Struijs, Jeroen, Eline de Vries, Anita Suijkerbuijk, Joyce Molenaar, Zoë Scheefhals &amp; Caroline Baan</t>
  </si>
  <si>
    <t>Titel</t>
  </si>
  <si>
    <t>Auteur</t>
  </si>
  <si>
    <t>Jaar</t>
  </si>
  <si>
    <t>Uitgeverij</t>
  </si>
  <si>
    <t xml:space="preserve">Project </t>
  </si>
  <si>
    <t>Financial Constraint and R&amp;D Investment: Evidence from CIS</t>
  </si>
  <si>
    <t>Schim van der Loeff, Sybrand &amp; Pierre Mohnen, Franz Palm, Amaresh Tamari</t>
  </si>
  <si>
    <t>Persistence of innovation in Dutch Manufacturing: Is it Spurious?</t>
  </si>
  <si>
    <t>Raymond, Wladimir&amp; Pierre Mohnen, Franz Palm, Sybrand Schim van der Loeff</t>
  </si>
  <si>
    <t>Joint Modeling of Dynamics of Innovation Activities, R&amp;D Investment and Innovative Sales</t>
  </si>
  <si>
    <t>Raymond, Wladimir &amp; Pierre Mohnen, Franz Palm, Sybrand Schim van der Loeff</t>
  </si>
  <si>
    <t>The Behavior of Maximum Likelihood Estimationn of Dynamic Panel Data Sample Selection Models</t>
  </si>
  <si>
    <t>Financial Constraints and other  Obstacles: Are they  a  Threat  to Innovation Activity?</t>
  </si>
  <si>
    <t>Mohnen, P. &amp; F.C. Palm, S.Schim van der Loeff, A. Tiwari</t>
  </si>
  <si>
    <t>Stability and turbulence in the size distribution of firms: Evidence from Dutch manufacturing</t>
  </si>
  <si>
    <t>Marsili, O.</t>
  </si>
  <si>
    <t>Born to flip: Innovatiom Modes of Exit</t>
  </si>
  <si>
    <t>Cefis, Elena &amp; Orietta Marsili</t>
  </si>
  <si>
    <t>Fortune favours the Brave: The Distribution of innovative performance in Finland, the Netherlands and the UK</t>
  </si>
  <si>
    <t>Ebersberger, Bernd &amp; Orietta Marsili, Toke Reichstein, Ammon Salter</t>
  </si>
  <si>
    <t>Stability and Turbulance in the size distribution of firms: Evidence from Dutch Manufacturing</t>
  </si>
  <si>
    <t>Marsili, Orietta</t>
  </si>
  <si>
    <t>The Dark Matter of Innovation: Design and Innovative Performance in Dutch Manufacturing</t>
  </si>
  <si>
    <t xml:space="preserve">Marsili, O.&amp; A. Salter </t>
  </si>
  <si>
    <t>EUR/RSM &amp; AIM Research</t>
  </si>
  <si>
    <t>Going, Going, Gone Innovation and Exit Manufacturing firms</t>
  </si>
  <si>
    <t>Varianten voor een verdeelmodel voor het werkdeel van de WWB</t>
  </si>
  <si>
    <t>Verveen, E. &amp; Z. Berdowski en M. van der Aalst (RvB)</t>
  </si>
  <si>
    <t>Activeringstabellen 2003/2004</t>
  </si>
  <si>
    <t>Echtelt, P. van &amp; E. Mandos</t>
  </si>
  <si>
    <t>Research voor Beleid</t>
  </si>
  <si>
    <t>Beloningsverschillen tussen de marktsector en collectieve sector in 2001</t>
  </si>
  <si>
    <t>Heyman, A. &amp; E. Berkhout, W. Salverda en M. Biermans</t>
  </si>
  <si>
    <t>SEO Economisch Onderzoek &amp; ALAS</t>
  </si>
  <si>
    <t>Op weg naar early warning</t>
  </si>
  <si>
    <t>Marlet, Gerard &amp; Clemens van Woerkens</t>
  </si>
  <si>
    <t>Feasibility of indicators for researchers’ geographical mobility and career paths. First compilation of national results for the Netherlands</t>
  </si>
  <si>
    <t>Zwinkels, W. &amp; J. Sanders</t>
  </si>
  <si>
    <t>Feasiblity  of indicators for researchers' geographical mobility  career paths: 1,2,3</t>
  </si>
  <si>
    <t>Non-energy use of fossil fuels and resulting CO2 emissions: Bottum-up estimates for the entire world and for major developing countries</t>
  </si>
  <si>
    <t>Weiss, Martin &amp; Maarten Neelis, Martin Patel, Kornelis Blok</t>
  </si>
  <si>
    <t>Non-energy  use of Fossil fuels and  resulting  CO2 emiissions: Bottum-up estimates for the  entire World  and for major developing Countries</t>
  </si>
  <si>
    <t>Weiss, M. &amp; M. Neelis, M. Patel, K. Blok</t>
  </si>
  <si>
    <t>SZW Jaarverslag 2006</t>
  </si>
  <si>
    <t>Parental education and the Transition to higher Secondary education 1965-1999</t>
  </si>
  <si>
    <t>Kloosterman, R. &amp; P.M. de Graaf, S. Ruiter, G. Krraaykamp</t>
  </si>
  <si>
    <t>Belemmeringen voor 65-plussers bij betaalde arbeid</t>
  </si>
  <si>
    <t>Zwart, B.C.H. de &amp; E. Smolenaars, P.G.M. Molenaar-Cox</t>
  </si>
  <si>
    <t>ASTRI</t>
  </si>
  <si>
    <t>Wage Structure and Labour Mobility in the Netherlands 1999-2003</t>
  </si>
  <si>
    <t>Borghans, Lex &amp; Ben Kriechel</t>
  </si>
  <si>
    <t>Werkt de reïntegratie markt?</t>
  </si>
  <si>
    <t>Groot, Inge, David Hollander, Peter Hopen &amp; Sander Onderstal</t>
  </si>
  <si>
    <t>SEO Economisch Onderzoek &amp; UvA</t>
  </si>
  <si>
    <t>No cure no pay, een goed idee</t>
  </si>
  <si>
    <t>Groot, Inge &amp; Sander Onderstal</t>
  </si>
  <si>
    <t>Minderheden in de middenklasse. In: SCP, Sociaal en Cultureel Rapport</t>
  </si>
  <si>
    <t>Dagevos, J.G. &amp; S.F. Hoff en A.J. Soede</t>
  </si>
  <si>
    <t>Naar een nieuwe armoedegrens</t>
  </si>
  <si>
    <t>Soede A.J.</t>
  </si>
  <si>
    <t>Onderzoek voor het risicovereveningsmodel 2007; Bundel deelrapportages</t>
  </si>
  <si>
    <t>Vliet, R.C.J.A. van &amp; F.J. Prinsze</t>
  </si>
  <si>
    <t>EUR/iBMG</t>
  </si>
  <si>
    <t>Specialized Care and Survival of  Ovarium Cacer  Patients in the Netherlands: Nationwide  Cohort Study</t>
  </si>
  <si>
    <t>Vernooij, F. &amp; A. Peter, M. Heintz, P. Witteveen, M vd Heiden- vd Loo, J.W. Coebergh, Y. vd Graaf</t>
  </si>
  <si>
    <t>Euregionale Arbeidsmarkt: deel 1,2,3</t>
  </si>
  <si>
    <t>Ende, Martin van der</t>
  </si>
  <si>
    <t>Methoden voor omvangschattingen van verborgen populaties, met name illegalen</t>
  </si>
  <si>
    <t>Sikkel, D., P.G.M. van der Heijden &amp; G. van Gils</t>
  </si>
  <si>
    <t>Methoden voor Omvangschatting  van verborgen populaties, m.n. illegale</t>
  </si>
  <si>
    <t>Sikkel, D., P.G.M. van der  Heijden &amp; G. van Gils</t>
  </si>
  <si>
    <t>Beloningsverschillen tussen markt en collectieve sector</t>
  </si>
  <si>
    <t>Heyma, Arjan &amp; Ernest Berkhout, Maarten Bierman, Wiemer Salverda</t>
  </si>
  <si>
    <t>Wat schuift dat nou, zo'n eigen bedrijf? Feiten, cijfers en trends over inkomens van ondernemers 1990-2004</t>
  </si>
  <si>
    <t>Folkeringa, M. &amp; P.M. de Jong</t>
  </si>
  <si>
    <t>EIM</t>
  </si>
  <si>
    <t>Verveen, Ellen &amp; Zosja Berdowski, Mechelien van der Aalst</t>
  </si>
  <si>
    <t>SchuldSanering: deel 1 t/m 6</t>
  </si>
  <si>
    <t>Maas, G.C.</t>
  </si>
  <si>
    <t>Achtergrondstudies bij de Evaluatie WBSO 2001-2005; Achtergrondstudie C: Doelgroepanalyse</t>
  </si>
  <si>
    <t>Jong, J.P.J. de &amp; G. Brummelkamp</t>
  </si>
  <si>
    <t>Evaluatie WBSO 2001-2005 Effecten, doelgroepbereik, uitvoering (achtergrond studies)</t>
  </si>
  <si>
    <t>Jong, J. de &amp; W. Verhoeven</t>
  </si>
  <si>
    <t>Evaluatie WBSO 2001-2005 Effecten, doelgroepbereik, uitvoering (hoofdrapport)</t>
  </si>
  <si>
    <t>Evaluatie WBSO 2001-2005; Effecten, doelgroepbereik en uitvoering</t>
  </si>
  <si>
    <t>Jong, J.P.J. de &amp; W.H.J. Verhoeven</t>
  </si>
  <si>
    <t>Follow-up na Hartcatherisatiekamer</t>
  </si>
  <si>
    <t>Jong, Jonas de</t>
  </si>
  <si>
    <t>Follow-up hartcatheterisatiekamer</t>
  </si>
  <si>
    <t>Prognosis among survivors of primary ventricular fibrillation in the percutaneous coronary intervention era</t>
  </si>
  <si>
    <t>Jong, Jonas S.S.S, de, Roos F. Marsman, José P. S. Henriques, Karel T. Koch, Robbert J. de Winter, Michael W. T. Tanck, Arthur A. M. Wilde &amp; Lukas R. C. Dekker</t>
  </si>
  <si>
    <t>American Heart Journal</t>
  </si>
  <si>
    <t>Kleinschalig ondernemen 2006. Structuur en ontwikkeling van het Nederlandse MKB</t>
  </si>
  <si>
    <t>Folkeringa, M. &amp; S. Tan</t>
  </si>
  <si>
    <t>COS Feitenkaart, Inkomensbronnen Rotterdam en regio 2002</t>
  </si>
  <si>
    <t>COS</t>
  </si>
  <si>
    <t>Monitor lage inkomens Delft, 1e meting</t>
  </si>
  <si>
    <t>Moors, Frans &amp; Paul de Graaf</t>
  </si>
  <si>
    <t>COS Feitenkaart, Inkomensgegevens Rotterdam op deelgemeente- en buurtniveau 2003</t>
  </si>
  <si>
    <t>COS Feitenkaart,Inkomensgegevens Rotterdam en regio 2003</t>
  </si>
  <si>
    <t>Armoedebericht 2006</t>
  </si>
  <si>
    <t>Wildeboer Schut, J.M.</t>
  </si>
  <si>
    <t>SCP &amp; CBS</t>
  </si>
  <si>
    <t>De financiële positie In: De Boer, A (red), Rapportage ouderen 2006; veranderingen in de leefsituatie en levensloop</t>
  </si>
  <si>
    <t>Soede, A.J. &amp; A. de Boer (red)</t>
  </si>
  <si>
    <t>Soede, A.J.</t>
  </si>
  <si>
    <t>Veranderingen in inkomen In: De Boer, A (red), Rapportage ouderen 2006; veranderingen in de leefsituatie en levensloop</t>
  </si>
  <si>
    <t>Monitor nieuw ondernemerschap 2006</t>
  </si>
  <si>
    <t>Folkeringa, M. &amp; P.M. de Jong en W.H.J. Verhoeven</t>
  </si>
  <si>
    <t>Nieuwe ondernemers: nieuwe vormen van dienstverlening? Verschillen in aangifte-, betaal- en opheffingsgedrag tussen groepen etnische starters</t>
  </si>
  <si>
    <t>Physical indicators as a basis for estimating energy efficiency developments in the Dutch industry -- update 2007</t>
  </si>
  <si>
    <t>Roes, L. &amp; M. Neelis, A. Ramirez</t>
  </si>
  <si>
    <t>Preventiequote WWB-GSD en Doorstroomquote WW-WWb</t>
  </si>
  <si>
    <t>Geenen, Mathijs</t>
  </si>
  <si>
    <t>De Ontwikkeling van (nieuw)  ondernemerschap in 40  aanddachtswijken</t>
  </si>
  <si>
    <t>Folkeringa, M. &amp; P. 't Hart, W. Verhoeven</t>
  </si>
  <si>
    <t>Sociale verschillen in zorggebruik en zorgkosten in Nederland 2003</t>
  </si>
  <si>
    <t>Kubst, A.E. &amp; W.J. Meerding, N. Varenik, J.J. Polder, J.P. Medenbach</t>
  </si>
  <si>
    <t>Strategies for housing renovation in the Netherlands: promising technologies and cluster innovativeness</t>
  </si>
  <si>
    <t xml:space="preserve">Thissen, Christiaan </t>
  </si>
  <si>
    <t>Woningrenovatie en energiebesparing</t>
  </si>
  <si>
    <t>Woningrenovatie in Nederland: veelbelovende  technologie en innovativiteit van het Cluster</t>
  </si>
  <si>
    <t>Retinablastroom</t>
  </si>
  <si>
    <t>Marees, Tamara</t>
  </si>
  <si>
    <t>UMC</t>
  </si>
  <si>
    <t>Chronic Obstructive Pulmonery Disease: a Neglected Cardiac risk factor among Patients with Periplenol Artial Disease</t>
  </si>
  <si>
    <t>Gestel, Y. van &amp; S. Hoeks, D. Sin, G. Welten, O. Schouten, H. Stam, W. Rontijs, M. Muhlenbanmer, J. Bax, K. Rabe, R. van Donburg, P. Polders</t>
  </si>
  <si>
    <t>Monitor Lage Inkomens Westland</t>
  </si>
  <si>
    <t>Graaf, Paul de &amp; Ivo Libregts en Frans  Moors</t>
  </si>
  <si>
    <t>Niet-gwebruik WWB 65+  in 2005</t>
  </si>
  <si>
    <t>Olieman, Robert</t>
  </si>
  <si>
    <t>Bijstandsfraudevoorzieningen</t>
  </si>
  <si>
    <t>Voogd, Patrick</t>
  </si>
  <si>
    <t>Evaluatie Jobcoaching: eindrapport</t>
  </si>
  <si>
    <t>Aarts, Leo &amp; Charlotte van  Hout, Claartje Thijs, Krista Visscher</t>
  </si>
  <si>
    <t>Regionale variatie in opbrengst  van akkerbouwgewassen in Nederland</t>
  </si>
  <si>
    <t>Dijk, W. van &amp; W vd Bberg, H.F.M. ten Berge</t>
  </si>
  <si>
    <t>Arbeidsproductiviteit en de Beroepsbevolking</t>
  </si>
  <si>
    <t>De Wet Inburgering Buitenland</t>
  </si>
  <si>
    <t>Groenewoud, Maikel &amp; Marije van Gent</t>
  </si>
  <si>
    <t>Preventie woninginbraak</t>
  </si>
  <si>
    <t>Vollaard, Ben</t>
  </si>
  <si>
    <t>Herijking cijfers 2009-2010</t>
  </si>
  <si>
    <t>Kreetz, Dorian &amp; Marcel Warnaar</t>
  </si>
  <si>
    <t>Achtergrondstudies bij de Evaluatie WBSO 2001-2005; Achtergrondstudie A: Econometrische Analyse</t>
  </si>
  <si>
    <t>Lokshin, B. &amp; P.A. Mohnen</t>
  </si>
  <si>
    <t>MERIT</t>
  </si>
  <si>
    <t>Onderzoek opvang kinderinstellingen 2005</t>
  </si>
  <si>
    <t>Noailly, J. &amp; S. Visser</t>
  </si>
  <si>
    <t>Allochtonen in het Hoger Onderwijs</t>
  </si>
  <si>
    <t>Jennissen, Roel</t>
  </si>
  <si>
    <t>Integratiekaart 2006</t>
  </si>
  <si>
    <t xml:space="preserve">Jennissen, R.P.W. </t>
  </si>
  <si>
    <t>Ontwikkelingen in de maatschappelijke participatie</t>
  </si>
  <si>
    <t>Jennissen, R.P.W. &amp; J. Oudhof</t>
  </si>
  <si>
    <t>Jaarrapport Integratie 2007</t>
  </si>
  <si>
    <t>Gijsberts, Mérove &amp; Jaco  Dagevos</t>
  </si>
  <si>
    <t>Wage  dynamics and the business cycle in the Netherlands</t>
  </si>
  <si>
    <t>Caju, Philip Du &amp; Gabor Katay, Ana Lamo, Daphne Nicolitsas and Steven Poelhekke</t>
  </si>
  <si>
    <t>Inter-industry wage differential in EU countries</t>
  </si>
  <si>
    <t>Poelhekke, Stefan</t>
  </si>
  <si>
    <t>Effect re-intergratietrajecten op de uitgaven aan de sociale zekerheid</t>
  </si>
  <si>
    <t>Groot, I., P. Hop, L. Kok, M. de Graaf-Zijl, B. Fermin, D. Oom &amp; W. Zwinkels</t>
  </si>
  <si>
    <t>Langdurig in de WAO</t>
  </si>
  <si>
    <t>Kok, Lucy &amp; Peter Hop</t>
  </si>
  <si>
    <t>De lange weg naar Werk</t>
  </si>
  <si>
    <t>In en uit de Wajong</t>
  </si>
  <si>
    <t>Offshoring en de Werknemer</t>
  </si>
  <si>
    <t>Heyma, Arjan &amp; Juules Theeuwes</t>
  </si>
  <si>
    <t>Kosten van Ziekten in Nederland 2005</t>
  </si>
  <si>
    <t>Poos, MJJC &amp; JM Smit, J. Groen, G. Kommer, LC Slobbe</t>
  </si>
  <si>
    <t>Verdieping van de Vraag Aanbod Analyse Monitor: deel A en B</t>
  </si>
  <si>
    <t>Zwaanswijk, M. &amp; E.M. Zantinge, J. Muijskens, P.F.M. Vverbeek, D.H. de Bakker</t>
  </si>
  <si>
    <t>Zelfstandig uit de bijstand</t>
  </si>
  <si>
    <t>Groot, Inge &amp; Aenneli Houkes</t>
  </si>
  <si>
    <t>Eindrapport relatie bedrijfsfactoren en WAO instroom</t>
  </si>
  <si>
    <t>Hooftman, W.E. &amp; A. Venema, E.M.M. de Vroome, I.L.D. Houtman</t>
  </si>
  <si>
    <t>Uitzendbaan versus direct  dienstverband: vergelijking loopbaan  CWI-cliënten</t>
  </si>
  <si>
    <t>Heyma, Arjan &amp; Chris van Klaveren, Marloes de Graaf-Zijl</t>
  </si>
  <si>
    <t>De geografische dimensie van partnerkeuze</t>
  </si>
  <si>
    <t>Haandrikman, K., C. Harmsen, L.J.G. van Wissen, I. Hutter</t>
  </si>
  <si>
    <t>Geography matters. Patterns of spatial homogamy in the Netherlands</t>
  </si>
  <si>
    <t>Haandrikman, Karen, Carel  Harmsen, Leo van Wissen, Inge Hutter</t>
  </si>
  <si>
    <t>Population, Space and Place</t>
  </si>
  <si>
    <t>Haandrikman, Karen &amp; Inge Hutter</t>
  </si>
  <si>
    <t>Haandrikman, Karen, Leo van Wissen &amp; Carel Harmsen</t>
  </si>
  <si>
    <t>Applied Spatial Analysis and Policy</t>
  </si>
  <si>
    <t>Spatial homogamy: The geographical dimensions of partner choice</t>
  </si>
  <si>
    <t>Haandrikman, Karen</t>
  </si>
  <si>
    <t>Journal of Economic and Social Geography</t>
  </si>
  <si>
    <t>The geographical dimensions of partner choice</t>
  </si>
  <si>
    <t>Rozenberg Publishers</t>
  </si>
  <si>
    <t>Minder werk voor laagopgeleiden? Ontwikkelingen in baanbezit en baankwaliteit 1992-2008. Den Haag</t>
  </si>
  <si>
    <t>Josten, E.</t>
  </si>
  <si>
    <t>Bijzondere ontmoetingen bij alledaagse activiteiten</t>
  </si>
  <si>
    <t>Dammers, E. &amp; M. Ga;;e, M. van Middelkoop, P. Peeters, S. Boschman en S. Declerk</t>
  </si>
  <si>
    <t>Contact oppertunities  in neighbourhoods, education and work</t>
  </si>
  <si>
    <t>Middelkoop, M. van &amp; S. Declerck</t>
  </si>
  <si>
    <t>Residental segregation and interethnic leisure contact</t>
  </si>
  <si>
    <t>Boschman, S. &amp; M. van Middelkoop</t>
  </si>
  <si>
    <t>Residential segregation and interethnic contact in the Netherlands</t>
  </si>
  <si>
    <t xml:space="preserve">Boschman, S.  </t>
  </si>
  <si>
    <t>Het meten van onderwijskwaliteit en de effecten van recente onderwijsverniewingen, In: Commissie Parlementair Onderzoek Onderwijsvernieuwingen, Tijd voor Onderwijs, Deelrapport lV</t>
  </si>
  <si>
    <t>Borghans, L. &amp; R. van der Velden, C. Büchner, J. Coenen &amp; C. Meng</t>
  </si>
  <si>
    <t>Parkeerproblemen in Woongebieden</t>
  </si>
  <si>
    <t>Coevering, Paul van de</t>
  </si>
  <si>
    <t>Solidarity in the Dutch  Heathcare system: a lifecycle approach</t>
  </si>
  <si>
    <t>Wouterse, Bram</t>
  </si>
  <si>
    <t>Jeugdmonitor  Drenthe</t>
  </si>
  <si>
    <t xml:space="preserve">Brady, Hugo Parker </t>
  </si>
  <si>
    <t>Kwartaalbericht Arbeidsmarkt</t>
  </si>
  <si>
    <t>Eck, J. van</t>
  </si>
  <si>
    <t>Employability naar bedrijfsomvang</t>
  </si>
  <si>
    <t>Klaveren, C. van &amp; A. Heyma</t>
  </si>
  <si>
    <t>Report on the 2008 oecd patient safety indicators pilot data collection</t>
  </si>
  <si>
    <t>Westert GP, Berg MJ van den, Koolman X, Verkleij H (red)</t>
  </si>
  <si>
    <t>Zorgbalans 2010. De prestaties van de Nederlandse zorg.</t>
  </si>
  <si>
    <t>Westert GP, Berg MJ van den, Zwakhals SLN, Heijink R, Jong JD de, Verkleij H (red).</t>
  </si>
  <si>
    <t>Het gebruik giftenaftrek in Nederland, 1977-2007</t>
  </si>
  <si>
    <t>Bekkers, Rene</t>
  </si>
  <si>
    <t>Het gebruik van Giftenaftrek in Nederland</t>
  </si>
  <si>
    <t>Giftenaftrek in Nederland: evaluatiemethoden en hun interpretatie</t>
  </si>
  <si>
    <t>Bekkers, R.</t>
  </si>
  <si>
    <t>Weekblad Fiscaal Recht, 139 (6873): 1140‐1148</t>
  </si>
  <si>
    <t>Gezinsmigratie</t>
  </si>
  <si>
    <t>Liu, Jocelyn &amp; Heleen Muermans</t>
  </si>
  <si>
    <t>Zorgatlas: Stefte naar Doodsoorzaken</t>
  </si>
  <si>
    <t>Zwakhals, Laurens &amp; Frank den Hertog, Dirk-Jan Griffioen</t>
  </si>
  <si>
    <t>Armoedebericht 2008</t>
  </si>
  <si>
    <t>Soede, Arjan &amp; Jean Marie Wildeboer-Schut</t>
  </si>
  <si>
    <t>Sociale uitsluiting bij kinderen: omvang en achtergronden</t>
  </si>
  <si>
    <t>Roest, Annette, Anne Marike Lokhorst &amp; Cok Vrooman</t>
  </si>
  <si>
    <t>Kunnen meer kinderen meedoen? Veranderingen in de maatschappelijke deelname
van kinderen, 2008-2010</t>
  </si>
  <si>
    <t>Roest, Annette</t>
  </si>
  <si>
    <t>Effecten van bovenwettelijke uitkeringen</t>
  </si>
  <si>
    <t>Kok, Lucy, Caren Tempelman &amp; Peter Hop</t>
  </si>
  <si>
    <t>Topbeloningen in Nederland: Globalisring en Topbeloningen in Nederland</t>
  </si>
  <si>
    <t>Straathof, Bas &amp; Stefan Groot en Jan Mölhmann</t>
  </si>
  <si>
    <t>Topbeloningen in Nederland: Waarom Topbeloningen sneller groeien</t>
  </si>
  <si>
    <t>Will you still need me when I'm 64?</t>
  </si>
  <si>
    <t>Ours, Jan van</t>
  </si>
  <si>
    <t>Verdeelsleutel MEE-middelen</t>
  </si>
  <si>
    <t>Tempelman, Caren &amp; Peter Hop</t>
  </si>
  <si>
    <t>Rheumatology Advance Access</t>
  </si>
  <si>
    <t>Meijer, M. &amp; P. Meiners, J. Huddelston Slater, F. Spijkervet, C. Kallenberg, A. Vissink</t>
  </si>
  <si>
    <t>Bedrijfsopleidingen en de arbeidsmarktpositie van werknemers</t>
  </si>
  <si>
    <t>Picchio, Matteo &amp; Jan C. van Ours</t>
  </si>
  <si>
    <t>Market imperfections and firm-sponsored training</t>
  </si>
  <si>
    <t>Labour Economics</t>
  </si>
  <si>
    <t>Zelfstandig uit de WW</t>
  </si>
  <si>
    <t>Hop, Peter &amp; Lucy Kok en Jurriaan Prins</t>
  </si>
  <si>
    <t>Wijkhuis, Vina &amp; Roel Jennissen</t>
  </si>
  <si>
    <t>Nieuwbouw, verhuizingen en segregatie</t>
  </si>
  <si>
    <t>Dam, F. van, Boschman, S., Peeters, P. Kempen, R. van, Bolt, G. &amp; Ekamper, P.</t>
  </si>
  <si>
    <t>Mixed neighbourhoods; effects of urban restructuring and new housing development</t>
  </si>
  <si>
    <t>Boscham, S., Bolt, G., Kempen, R. van &amp; Dam, F. van</t>
  </si>
  <si>
    <t>New housing development, selective mobility patterns and ethnic residential segregation</t>
  </si>
  <si>
    <t>Boschman, S., Kempen, R. van, Bolt, G. &amp; Dam, F. van</t>
  </si>
  <si>
    <t>ENHR conference paper</t>
  </si>
  <si>
    <t>Jeugdmonitor Drenthe</t>
  </si>
  <si>
    <t>Hoekman, Petra</t>
  </si>
  <si>
    <t>Tijd voor Zorg &amp; Arbeid</t>
  </si>
  <si>
    <t>Jaarraort Integratie 2009</t>
  </si>
  <si>
    <t>Dagevos, Gijsberts</t>
  </si>
  <si>
    <t>Onderzoek Levensloop</t>
  </si>
  <si>
    <t>Beer, C.R.T.</t>
  </si>
  <si>
    <t>Langdurig verblijf in de flexibele schil van de Arbeidsmarkt</t>
  </si>
  <si>
    <t>Heyma, Arjan, J. Peter Hop &amp; Theo Smid</t>
  </si>
  <si>
    <t>Pilot verrijking gevens GGS-enquête met CBS gegevens</t>
  </si>
  <si>
    <t>Brink, Carolien van den</t>
  </si>
  <si>
    <t>PrO-loopbaan vervolgd</t>
  </si>
  <si>
    <t>Koopman, Pjotr, Mechtild Derriks &amp; Eva Voncken</t>
  </si>
  <si>
    <t>Kohnstamminstituut &amp; Actis</t>
  </si>
  <si>
    <t>Multiproblematiek bij cliënten</t>
  </si>
  <si>
    <t>Bosselaar, Hans &amp; Erica Maurits, Petra Molenaar-Cox, Rienk Prins</t>
  </si>
  <si>
    <t>ARBEIDSMARKTONDERZOEK DRENTHE 2011. Ontwikkelingen en prognoses op de Drentse arbeidsmarkt 2010-2014.</t>
  </si>
  <si>
    <t>Faun, H.M.F.G.M., J.W.M. Gardeniers, J.J.L. Meuwissen, B.L.E. Paashuis &amp; L.P. Schakel</t>
  </si>
  <si>
    <t>RAIL 2011. Regionale Arbeidsmarkt Informatie Limburg</t>
  </si>
  <si>
    <t>Cremers, M.W.J., H.M.F.G.M. Faun, J.W.M. Gardeniers, D.H. Grijpstra, P.M. de Klaver, J.J.L. Meuwissen, B.L.E. Paashuis &amp; L.P. Schakel</t>
  </si>
  <si>
    <t>Arbeidsmarkt ECABO-domein 2010-2015</t>
  </si>
  <si>
    <t>Faun, H.M.F.G.M., J.W.M. Gardeniers, J.J.L. Meuwissen, B.L.E. Paashuis, M.R.R.W. Poeth, J. de Quillettes &amp; L.P. Schakel</t>
  </si>
  <si>
    <t>Arbeidsmarktprognoses Overijssel</t>
  </si>
  <si>
    <t>Kosten en resultaten re-integratie</t>
  </si>
  <si>
    <t>Het verdiende loon? Loonontwikkeling overheidswerknemers vergeleken met de marktsector</t>
  </si>
  <si>
    <t>Berkhout, Ernest &amp; Siemen van der Werff &amp; Arjan Heyma</t>
  </si>
  <si>
    <t>Jeugdzorg in groeifase</t>
  </si>
  <si>
    <t>Pommer, Evert, Hetty van Kempen &amp; Klarita Sadiraj</t>
  </si>
  <si>
    <t>Profijt van de overheid in 2007</t>
  </si>
  <si>
    <t>Jonker, JJ &amp; E. Pommer</t>
  </si>
  <si>
    <t>Profijt van de gemeentelijke uitgaven</t>
  </si>
  <si>
    <t>Kuhry, B., JJ. Jonker &amp; A. van der Torre</t>
  </si>
  <si>
    <t>De financiële positie van gezinnen</t>
  </si>
  <si>
    <t>Bucx, F., H. van Kempen &amp; JM. Wildeboer Schut</t>
  </si>
  <si>
    <t>Minder voor het midden. Profijt van de overheid 2007</t>
  </si>
  <si>
    <t>Pommer, E.Jedid-Jah Jonker, Ab van der Torre &amp; Hetty van Kempen</t>
  </si>
  <si>
    <t>Niet-gebruik inkomensondersteunende maatregelen</t>
  </si>
  <si>
    <t>Tempelman, Caren, Aenneli Houkes &amp; Jurriaan Prins</t>
  </si>
  <si>
    <t>Prijzengids voor de bijzondere bijstand</t>
  </si>
  <si>
    <t>Mogelijke effecten van intensieve-veehouderij op de gezondheid van omwonenden: onderzoek naar potentiële blootstelling en gezondheidsproblemen</t>
  </si>
  <si>
    <t>Heederik, D.J.J. &amp; C.J. Ijzermans (red.)</t>
  </si>
  <si>
    <t>IRAS, NIVEL, RIVM</t>
  </si>
  <si>
    <t>Nederlandse clusters in kaart gebracht</t>
  </si>
  <si>
    <t>Roelandt, Theo, Anne Reitsma, Evert-Jan Visser, Pieter de Bruijn, Marcel Kleijn, Bram Kaashoek, Robbin te Velde &amp; Jaap Veldkamp</t>
  </si>
  <si>
    <t>Technische en Methodologische toelichting &amp; disclaimers bij de Clusterkaarten</t>
  </si>
  <si>
    <t>Kaashoek, Bram, Jaap Veldkamp, Robbin te Velde, E.J. Visser &amp; J.A. Roelandt</t>
  </si>
  <si>
    <t>Bbz 2004: uit het startblok</t>
  </si>
  <si>
    <t>Ende, Martin van der, Margaret Chotkowski, Nick van der Lijn &amp; Vincent Thio</t>
  </si>
  <si>
    <t>Towards personlized treatment in cardiovasculair disease. A molecular-epidemiological approach</t>
  </si>
  <si>
    <t>ADAM33 genepolymorphisms and mortality. A prospective cohort study</t>
  </si>
  <si>
    <t>International mobility of students - Its impact on labour market forecasts and its contribution to the Dutch economy</t>
  </si>
  <si>
    <t>Is success hereditary? Evidence on the performance of spawned ventures</t>
  </si>
  <si>
    <t>Residential energy use and conservation: Economics and demographics</t>
  </si>
  <si>
    <t>Etil en Research voor Beleid</t>
  </si>
  <si>
    <t>De digitale economie 2006: 7.2 Interorganisatorische samenwerkingsverbanden en informatietechnologie van Nederlandse bedrijven</t>
  </si>
  <si>
    <t>The Impact of Information Technology Enabled Inter-organizational Relationships on Firm’s Productivity: A Micro-econometric Study</t>
  </si>
  <si>
    <t>ICT en Complexe Waardeketens (ICWAS): Eindverslag enquêtes 2004 voor de Nederlandse reis- en groothandelsector</t>
  </si>
  <si>
    <t>Micro-evidence on the Determinants of Innovativeness in the Netherlands</t>
  </si>
  <si>
    <t>Strategies for Knowledge Use in R&amp;D and their Implications for Innovative Performance</t>
  </si>
  <si>
    <t>Dyspnea severity, changes in dyspnea status and mortality in the general population: the Vlagtwedde/Vlaardingen study</t>
  </si>
  <si>
    <t>Cancer incidence and cause-specific mortality following Balkan deployment</t>
  </si>
  <si>
    <t>Cancer incidence in Dutch Balkan veterans</t>
  </si>
  <si>
    <t>Zorgbalans 2014. De prestaties van de Nederlandse gezondheidszorg</t>
  </si>
  <si>
    <t>How Changes in Unemployment Benefit Duration Affect the Inflow into Unemployment</t>
  </si>
  <si>
    <t>How changes in unemployment benefit duration affect the inflow into unemployment</t>
  </si>
  <si>
    <t>Seek and Ye shall Find: How Search Requirements Affect Job Finding Rates of Older Workers</t>
  </si>
  <si>
    <t>Trends en ontwikkelingen in de technische installatiebranche 2014. Bedrijvigheid, arbeidsmarkt en beroepsopleiding in de periode tot 2018</t>
  </si>
  <si>
    <t>Cardiovascular disease: prediction with ancillary aortic findings on chest CT scans in routine practice</t>
  </si>
  <si>
    <t>For the PROVIDI Study Group. Incidental Imaging Findings from Routine Chest CT Used to Identify Subjects at High Risk of Future Cardiovascular Events</t>
  </si>
  <si>
    <t>Prediction of cardiovascular events by using non-vascular findings on routine chest CT</t>
  </si>
  <si>
    <t>PROgnostic Value of unrequested Information in Diagnostic Imaging (PROVIDI) Study: rationale and design</t>
  </si>
  <si>
    <t>PROVIDI Study-Group. Age and sex based reference values for incidental coronary artery and thoracic aorta calcifications on routine clinical chest CT: A powerful tool to appreciate available imaging findings</t>
  </si>
  <si>
    <t>The prognostic value of vascular diameter measurements on routine chest computed tomography in patients not referred for cardiovascular indications</t>
  </si>
  <si>
    <t>Job search requirements for older unemployed: Transitions to employment, early retirement and disability benefits</t>
  </si>
  <si>
    <t>Healthy Ageing: tackling the burden of disease and disability in an ageing population</t>
  </si>
  <si>
    <t>Obesity, smoking, alcohol consumption and years lived with disability: a Sullivan life table approach</t>
  </si>
  <si>
    <t>Vergrijzing: Kosten en baten. In J.H.M. Donders &amp; C.A. de Kam (Eds.), Zorg verzekerd? Naar houdbare financiering voor de gezondheidszorg (pp. 101-123)</t>
  </si>
  <si>
    <t>Disentangling processes of neighbourhood change: Towards a better understanding of upgrading and downgrading of neighbourhoods in the highly-regulated context of the Netherlands. PhD Thesis</t>
  </si>
  <si>
    <t>Methods and experiences of the Netherlands Cancer Institute in the construction of a population-based breast cancer survivor cohort linked with cardiovascular disease and mortality registries</t>
  </si>
  <si>
    <t>The impact of the 2009 value added tax reform on enterprise investment and employment - Empirical analysis based on Chinese tax survey data</t>
  </si>
  <si>
    <t>Energiebeleid en -gedrag in de woningmarkt</t>
  </si>
  <si>
    <t>The association between depressive symptoms and non-psychiatric hospitalisation in older adults</t>
  </si>
  <si>
    <t>The relation between socioeconomic status and short-term mortality after acute myocardial infarction persists in the elderly: results from a nationwide study</t>
  </si>
  <si>
    <t>Socioeconomic inequalities in acute myocardial infarction incidence in migrant groups: has the epidemic arrived? Analysis of nation-wide data</t>
  </si>
  <si>
    <t>Modeling the relationship between health and health care expenditures using a latent Markov model</t>
  </si>
  <si>
    <t>Interpretatie van het leerlingrapport 2014. Toelatings- en doorstroomgegevens van leerlingen die in 2010 aan de Eindtoets Basisonderwijs deelnamen</t>
  </si>
  <si>
    <t>Effects of neighborhood context and direct social context on criminal careers during adolescence and into early adulthood. Persisters and desisters in crime from adolescence into adulthood: Explanation, prevention and punishment</t>
  </si>
  <si>
    <t>Dader, slachtoffer, of beiden? De samenhang tussen daderschap en slachtofferschap onderzocht</t>
  </si>
  <si>
    <t>The victimization-offending relationship from a longitudinal perspective</t>
  </si>
  <si>
    <t>Interethnic attitudes in urban neighbourhoods: the impact of neighbourhood disorder and decline</t>
  </si>
  <si>
    <t>The impact of ethnic concentration on prejudice: the role of cultural and socioeconomic differences between ethnic neighbourhood residents</t>
  </si>
  <si>
    <t>Assessing the potential impact of increased participation in higher education on mortality: Evidence from 21 European populations</t>
  </si>
  <si>
    <t>Educational inequalities in three smoking-related causes of death in 18 European populations</t>
  </si>
  <si>
    <t>Relations between the residential fast-food environment and the individual risk of cardiovascular diseases in The Netherlands: A nationwide follow-up study</t>
  </si>
  <si>
    <t>Verwachte werkloosheidsduur bij WW-instroom. Toelichting bij geactualiseerd rekenmodel</t>
  </si>
  <si>
    <t>ABF Arbeidsmarktrapportage. Arbeidsmarktstructuur naar sector en regio</t>
  </si>
  <si>
    <t>De kwetsbaarheid voorbij? Een studie over verschillen in loonontwikkeling van allochtone en autochtone academici, pp 185-202. In W. Smits en R. van Gaalen (eds): Dynamiek op de Nederlandse Arbeidsmarkt. De focus op kwetsbare groepen</t>
  </si>
  <si>
    <t>Opleidingsniveau in registers: een toets van de validiteit via loonfuncties, pp 51-64. In B.F.M. Bakker en L. Kuijvenhoven (eds): Registers in sociaalwetenschappelijk onderzoek, mogelijkheden en valkuilen</t>
  </si>
  <si>
    <t>Studieprestaties van immigranten in het hoger onderwijs. Dynamiek in Statistiek. Nieuwe cijfers over de sociaaleconomische levensloop</t>
  </si>
  <si>
    <t>Social differences in avoidable mortality between small areas of 15 European cities: an ecological study. Int J Health Geogr 2014</t>
  </si>
  <si>
    <t>Socioeconomic inequalities in injury mortality in small areas of 15 European cities</t>
  </si>
  <si>
    <t>Mogelijke indicatoren van schoolgewichten. Onderzoek naar de voorspellende waarde</t>
  </si>
  <si>
    <t>Socioeconomic inequalities in mortality in 16 European cities</t>
  </si>
  <si>
    <t xml:space="preserve">The future of health care
_x000D_
</t>
  </si>
  <si>
    <t xml:space="preserve">Vergrijzing: Kosten en baten. In J.H.M. Donders &amp; C.A. de Kam (Eds.), Zorg verzekerd? Naar houdbare financiering voor de gezondheidszorg (pp. 101-123)
</t>
  </si>
  <si>
    <t>Evaluating Regeneration Policies for Rundown Industrial Sites in the Netherlands</t>
  </si>
  <si>
    <t>Wet tegemoetkoming chronisch zieken en gehandicapten. Inkomenseffecten van de overgang BU 2008 naar Wtcg 2009</t>
  </si>
  <si>
    <t>Income effects of a policy change in compensating medical expenses for chronically ill or disabled people in the Netherlands</t>
  </si>
  <si>
    <t xml:space="preserve">Globalization and Productivity: Micro-Evidence on Heterogeneous Firms, Workers and Products. Hoofdstuk 5
_x000D_
</t>
  </si>
  <si>
    <t>Comparing ischaemic stroke in six European countries. The EuroHOPE register study</t>
  </si>
  <si>
    <t>Mobiliteit van Antilliaanse Nederlanders. Een inventariserend onderzoek naar de aard, omvang, oorzaken en consequenties van mobiliteit</t>
  </si>
  <si>
    <t>Exploring the Relationship between Labor Market Turbulence and ICT Use. Using Firm- and Worker-level Data from the Netherlands. Technical Report</t>
  </si>
  <si>
    <t>The association between work stressors and cardiovascular disease, a methodological approach</t>
  </si>
  <si>
    <t>Verlof vragen. De behoefte aan en het gebruik van verlofregelingen</t>
  </si>
  <si>
    <t>General practitioners’ contribution to the management of community-acquired pneumonia in the Netherlands: a retrospective analysis of primary care, hospital, and national mortality databases with individual data linkage</t>
  </si>
  <si>
    <t xml:space="preserve">Labour productivity and innovation performance: The importance of internal labour flexibility practices
</t>
  </si>
  <si>
    <t>Grote dynamiek in kleinschalig ondernemerschap. De kansen van zzp-schap in het bijzonder voor doelgroepen met afstand tot de arbeidsmarkt</t>
  </si>
  <si>
    <t>Inkomen, vermogen en dynamiek van zelfstandigen zonder personeel. Verschi llen tussen zelfstandigen zonder personeel en nieuwe zelfstandigen</t>
  </si>
  <si>
    <t>Cohortonderzoek COOL5-18 Technisch rapport bij het COOL5-18 bestandenproject voor het voortgezet onderwijs</t>
  </si>
  <si>
    <t>Moving shop: residential and business relocation by the highly educated self-employed</t>
  </si>
  <si>
    <t>Creative Professionals and Cultural Ambiance in Urban Agglomerations (forthcoming)</t>
  </si>
  <si>
    <t>A regional comparison of open innovation practices</t>
  </si>
  <si>
    <t>Education and Health: The Role of Cognitive Ability</t>
  </si>
  <si>
    <t>Tijd voor (na)scholing. Tweede rapportage evaluatie (na)scholing en de Lerarenbeurs voor scholing</t>
  </si>
  <si>
    <t>Omission of surgery in elderly patients with early stage breast cancer</t>
  </si>
  <si>
    <t>Haalbaarheidsstudie snelle groeiers. Mogelijkheden snelle groeiers op basis van CBS-bronnen</t>
  </si>
  <si>
    <t>Health care utilization of patients with multiple chronic diseases in The Netherlands: Differences and underlying factors</t>
  </si>
  <si>
    <t>Kennissynthese chronisch ziek en werk: arbeidsparticipatie door mensen met een chronische ziekte of lichamelijke beperking</t>
  </si>
  <si>
    <t>Maatschappelijke kosten van astma, COPD en respiratoire allergie</t>
  </si>
  <si>
    <t>Maatschappelijke kosten voor astma, COPD en respiratoire allergie</t>
  </si>
  <si>
    <t>Langdurige werkloosheid. Afwachten en hervormen</t>
  </si>
  <si>
    <t>Arbeidsmigratie in het Stadsgewest Haaglanden. Huisvesting tijdelijke arbeidsmigranten</t>
  </si>
  <si>
    <t>Evaluatie subsidieregeling scholing jonggehandicapten met ernstige scholingsbelemmeringen</t>
  </si>
  <si>
    <t>Lagere doorstroom van flex naar vast: conjunctuur of trend? In: R. van Gaalen, A. Goudswaard, J. Sanders &amp; W. Smits (redactie). Dynamiek op de Nederlandse arbeidsmarkt. De focus op flexibilisering. 207-233</t>
  </si>
  <si>
    <t>Werkt werktijdverkorting? Evaluatie bijzondere werktijdverkorting en deeltijd WW</t>
  </si>
  <si>
    <t>Healthcare utilization in general practice before and after psychological treatment: A follow-up data linkage study in primary care</t>
  </si>
  <si>
    <t>Trendrapport Bewegen en Gezondheid. H4: Verschillen in gedrag en opvattingen over bewegen tussen etnische groepen</t>
  </si>
  <si>
    <t>The role of entrepreneur's nationality in new firm life duration. In: Bernhard, I. (ed.), Geography of Growth. The Frequency, Nature and Consequences of Entrepreneurship and Innovation in Regions of Varying Density</t>
  </si>
  <si>
    <t>Grootschalige wijkaanpak is geen verspilling</t>
  </si>
  <si>
    <t>Arbeidsveiligheid van buitenlanders in Nederland. Een analyse van ernstige ongevallen in 2007-2009</t>
  </si>
  <si>
    <t>Te veel of te weinig inkomen voor de buurt? Dan een grotere kans om te verhuizen</t>
  </si>
  <si>
    <t>Onderwijs mogelijk maken. Twee eeuwen invloed van studiefinanciering op de toegankelijkheid van het onderwijs in Nederland (1815-2015)</t>
  </si>
  <si>
    <t>The impact of female sex on long-term survival of patients with severe atherosclerosis undergoing endarterectomy</t>
  </si>
  <si>
    <t>Women Undergoing Coronary Angiography for Myocardial Infarction or Who Present With Multivessel Disease Have a Poorer Prognosis Than Men. Angiology</t>
  </si>
  <si>
    <t>Reële EPC. Een methode voor de beoordeling van de energieprestatie van ieuwbouwwoningen in de praktijk</t>
  </si>
  <si>
    <t>Drieluik Excellentie - De doorstroom van excellente leerlingen in het primair onderwijs</t>
  </si>
  <si>
    <t>Drieluik Excellentie - De doorstroom van excellente leerlingen in het voortgezet onderwijs</t>
  </si>
  <si>
    <t>Sterftekans na beroerte blijft hoger</t>
  </si>
  <si>
    <t>Samen starten. De bedrijfsontwikkeling van teamstarters vergeleken met die van solostarters</t>
  </si>
  <si>
    <t>Topsectoren in Limburg, een grafische nulmeting van de stand van zaken in Limburg en Nederland</t>
  </si>
  <si>
    <t>Nieuwsbrief Arbeidsmarkt Prognose Overijssel</t>
  </si>
  <si>
    <t>Veerkracht en de Regionale Arbeidsmarkt: Kansen op Vernieuwing in Rijnmond</t>
  </si>
  <si>
    <t>De verdeelde triomf. Verkenning van stedelijk.economische ongelijkheid en opties voor beleid. Ruimtelijke Verkenningen 2016</t>
  </si>
  <si>
    <t>Prestaties en loopbanen van zorgleerlingen. Secundaire analyses op COOL-data ten behoeve van evaluatie Passend Onderwijs</t>
  </si>
  <si>
    <t>Arbeidsongevallen bij jonge nieuwkomers. Ongevalscijfers over arbeidsongevallen bij jongeren 15-24 jaar</t>
  </si>
  <si>
    <t>Arbeidsongevallen in de bouw. Ongevalscijfers 2011</t>
  </si>
  <si>
    <t>Arbeidsongevallen. Ongevalscijfers</t>
  </si>
  <si>
    <t>Het betere werk. Economische effecten van een nieuw gevechtsvliegtuig</t>
  </si>
  <si>
    <t>Bewegen op het werk. Een verkenning van kosten en baten</t>
  </si>
  <si>
    <t>Brievenbusmaatschappijen. De impect van bijzondere financiële instellingen op de Nederlandse economie</t>
  </si>
  <si>
    <t>Uit de schaduw van het bankwezen. Feiten en cijfers over bijzondere financiële instellingen en het schaduwbankwezen</t>
  </si>
  <si>
    <t>Langer in Nederland. Ontwikkelingen in de leefsituatie van Poolse en Bulgaarse migranten</t>
  </si>
  <si>
    <t>Nieuw in Nederland. Het leven van recent gemigreerde Bulgaren en Polen</t>
  </si>
  <si>
    <t>De staat van Nederland Innovatieland. R&amp;D: impuls voor economische groei</t>
  </si>
  <si>
    <t>Controlegroep Programma Groeiversnellers. Ontwikkelingen van omzet en werknemers 2011</t>
  </si>
  <si>
    <t>Beweging in cao’s. Een verkenning van ontwikkelingen in decentralisatie, differentiatie,_x000D_
duurzame inzetbaarheid en mobiliteit</t>
  </si>
  <si>
    <t>Marokkaanse Nederlanders 2013: De positie op de terreinen van onderwijs, arbeid en uitkering en criminaliteit</t>
  </si>
  <si>
    <t>Nationaal programma Rotterdam Zuid</t>
  </si>
  <si>
    <t>Settlement patterns of international knowledge workers in The Netherlands</t>
  </si>
  <si>
    <t>Monitor Voedselverspilling. Update 2009-2012</t>
  </si>
  <si>
    <t>Grensoverschrijdend aanbod van personeel. Verschuivingen in nationaliteit en contractvormen op de Nederlandse arbeidsmarkt 2001-2011</t>
  </si>
  <si>
    <t>Kansen voor allochtone BBL'ers. Een verkenning van problemen en barrières</t>
  </si>
  <si>
    <t>Motivated or not for searching a job? The determinants of competitiveness:thematic collection of papers of international significance</t>
  </si>
  <si>
    <t>Landelijke inventarisatie rookoverlast. Ervaren maatregelen op de werkvloer</t>
  </si>
  <si>
    <t>De terminants of car ownership among young households in the Netherlands: the role of  urbanization and demographic and economic characteristics</t>
  </si>
  <si>
    <t>Terugval in recidive. Exploratie van de daling in de recidivecijfers van jeugdigen en ex-gedetineerden bestraft in de periode 2002-2010. WODC. Cahier 2014-16</t>
  </si>
  <si>
    <t>Schijn bedriegt: een onderzoek naar de prevalentie en verschijningsvormen van schijnrelaties</t>
  </si>
  <si>
    <t>Schijnhuwelijken en schijnrelaties</t>
  </si>
  <si>
    <t>Skills recognition, diversity management and voluntary work with regard to Third Country Nationals in the Netherlands: A case study on the healthcare sector in the Arnhem-Nijmegen region</t>
  </si>
  <si>
    <t>Werk en werken in de Rijnmond. Een analyse van vraag, aanbod en match op de arbeidsmarkt regio Rijnmond</t>
  </si>
  <si>
    <t>De Zeeuwse Arbeidsmarkt</t>
  </si>
  <si>
    <t>Development and validation of a risk model for long-term mortality after percutaneous coronary intervention: The IDEA-BIO Study</t>
  </si>
  <si>
    <t>Impact of Relative Conditional Survival Estimates on Patient Prognosis After Percutaneous Coronary Intervention</t>
  </si>
  <si>
    <t>Occurrence and predictors of acute stent recoil-A comparison between the xience prime cobalt chromium stent and the promus premier platinum chromium stent</t>
  </si>
  <si>
    <t>Effect of catheter-based renal denervation on left ventricular function, mass and (un)twist with two-dimensional speckle tracking echocardiography</t>
  </si>
  <si>
    <t>The Promus Premier everolimus-eluting platinum chromium stent with durable polymer evaluated in a real world all-comer population in Rotterdam cardiology hospital (the P-SEARCH registry)</t>
  </si>
  <si>
    <t>Circular Atlas. A quantitative model to provide insight on the material in- and out-streams from Dutch industries as part of the Circular Atlas</t>
  </si>
  <si>
    <t>De regionale mobiliteit en binding van medisch specialisten: Het belang van opleiden en onderwijs voor de regionale gezondheidszorg</t>
  </si>
  <si>
    <t>Vergrijzing en extramuralisering op de woningmarkt. Senioren en groepen met beperkingen</t>
  </si>
  <si>
    <t>Arbeidsmigratie in Nederland. De invloed van gender en gezin</t>
  </si>
  <si>
    <t>Zorgbalans 2008. De prestaties van de Nederlandse gezondheidszorg</t>
  </si>
  <si>
    <t>Health at a Glance 2011. OECD indicators. Chapter 5, Quality of care</t>
  </si>
  <si>
    <t>Health at a Glance 2009. OECD indicators. Chapter 5, Quality of care</t>
  </si>
  <si>
    <t>Explaining spatial homogamy. Composition, spatial and regional cultural determinants of regional patterns of spatial homogamy in the Netherlands</t>
  </si>
  <si>
    <t>"That's a different kind op person" - Spatial connotactions and partner choice</t>
  </si>
  <si>
    <t>R&amp;D Management</t>
  </si>
  <si>
    <t>Eur J Epidemiol;27(11):867-76</t>
  </si>
  <si>
    <t>PLoS One 4;8(7):e67768</t>
  </si>
  <si>
    <t>ROA-TR-2014/6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</si>
</sst>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theme="1"/>
      <name val="Calibri"/>
      <family val="2"/>
      <scheme val="minor"/>
    </font>
    <font>
      <b/>
      <sz val="11"/>
      <color theme="1"/>
      <name val="Calibri"/>
      <family val="2"/>
      <scheme val="minor"/>
    </font>
    <font>
      <sz val="10"/>
      <name val="Arial"/>
      <family val="2"/>
    </font>
    <font>
      <sz val="11"/>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17">
    <xf numFmtId="0" fontId="0" fillId="0" borderId="0" xfId="0"/>
    <xf numFmtId="0" fontId="0" fillId="0" borderId="0" xfId="0" applyAlignment="1">
      <alignment horizontal="center"/>
    </xf>
    <xf numFmtId="0" fontId="0" fillId="0" borderId="0" xfId="0" applyAlignment="1">
      <alignment vertical="top" wrapText="1"/>
    </xf>
    <xf numFmtId="0" fontId="1" fillId="0" borderId="0" xfId="0" applyFont="1"/>
    <xf numFmtId="0" fontId="1" fillId="0" borderId="0" xfId="0" applyFont="1" applyAlignment="1">
      <alignment horizontal="center"/>
    </xf>
    <xf numFmtId="0" fontId="1" fillId="0" borderId="0" xfId="0" applyFont="1" applyAlignment="1"/>
    <xf numFmtId="0" fontId="0" fillId="0" borderId="0" xfId="0" applyAlignment="1"/>
    <xf numFmtId="0" fontId="0" fillId="0" borderId="0" xfId="0" applyAlignment="1">
      <alignment vertical="top"/>
    </xf>
    <xf numFmtId="0" fontId="0" fillId="0" borderId="0" xfId="0" applyAlignment="1">
      <alignment horizontal="center" vertical="top" wrapText="1"/>
    </xf>
    <xf numFmtId="0" fontId="0" fillId="0" borderId="0" xfId="0" applyFill="1" applyAlignment="1"/>
    <xf numFmtId="0" fontId="0" fillId="0" borderId="0" xfId="0" applyFill="1" applyAlignment="1">
      <alignment horizontal="center" vertical="top" wrapText="1"/>
    </xf>
    <xf numFmtId="0" fontId="0" fillId="0" borderId="0" xfId="0" applyFill="1" applyAlignment="1">
      <alignment vertical="top" wrapText="1"/>
    </xf>
    <xf numFmtId="0" fontId="0" fillId="0" borderId="0" xfId="0" applyFill="1" applyAlignment="1">
      <alignment vertical="top"/>
    </xf>
    <xf numFmtId="0" fontId="0" fillId="0" borderId="0" xfId="0" applyFill="1" applyAlignment="1">
      <alignment horizontal="center"/>
    </xf>
    <xf numFmtId="0" fontId="0" fillId="0" borderId="0" xfId="0" applyFill="1"/>
    <xf numFmtId="0" fontId="2" fillId="0" borderId="0" xfId="0" applyFont="1" applyFill="1" applyAlignment="1">
      <alignment vertical="top"/>
    </xf>
    <xf numFmtId="0" fontId="3" fillId="0" borderId="0" xfId="0" applyFont="1" applyFill="1" applyAlignment="1">
      <alignment vertical="top"/>
    </xf>
  </cellXfs>
  <cellStyles count="1">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41"/>
  <sheetViews>
    <sheetView tabSelected="1" workbookViewId="0">
      <pane ySplit="1" topLeftCell="A2" activePane="bottomLeft" state="frozen"/>
      <selection pane="bottomLeft" activeCell="C318" sqref="C318"/>
    </sheetView>
  </sheetViews>
  <sheetFormatPr defaultRowHeight="15" x14ac:dyDescent="0.25"/>
  <cols>
    <col min="1" max="1" width="122.7109375" style="6" customWidth="1"/>
    <col min="2" max="2" width="72.140625" style="6" customWidth="1"/>
    <col min="3" max="3" width="8.7109375" style="1" bestFit="1" customWidth="1"/>
    <col min="4" max="4" width="47.42578125" customWidth="1"/>
    <col min="5" max="5" width="15.7109375" style="1" bestFit="1" customWidth="1"/>
  </cols>
  <sheetData>
    <row r="1" spans="1:5" s="3" customFormat="1" x14ac:dyDescent="0.25">
      <c r="A1" s="5" t="s">
        <v>2231</v>
      </c>
      <c r="B1" s="5" t="s">
        <v>2232</v>
      </c>
      <c r="C1" s="4" t="s">
        <v>2233</v>
      </c>
      <c r="D1" s="3" t="s">
        <v>2234</v>
      </c>
      <c r="E1" s="4" t="s">
        <v>2235</v>
      </c>
    </row>
    <row r="2" spans="1:5" x14ac:dyDescent="0.25">
      <c r="A2" s="7" t="s">
        <v>2236</v>
      </c>
      <c r="B2" s="7" t="s">
        <v>2237</v>
      </c>
      <c r="C2" s="8">
        <v>2006</v>
      </c>
      <c r="D2" s="2"/>
      <c r="E2" s="8">
        <v>339</v>
      </c>
    </row>
    <row r="3" spans="1:5" x14ac:dyDescent="0.25">
      <c r="A3" s="7" t="s">
        <v>2238</v>
      </c>
      <c r="B3" s="7" t="s">
        <v>2239</v>
      </c>
      <c r="C3" s="8">
        <v>2006</v>
      </c>
      <c r="D3" s="2"/>
      <c r="E3" s="8">
        <v>339</v>
      </c>
    </row>
    <row r="4" spans="1:5" x14ac:dyDescent="0.25">
      <c r="A4" s="7" t="s">
        <v>2240</v>
      </c>
      <c r="B4" s="7" t="s">
        <v>2241</v>
      </c>
      <c r="C4" s="8">
        <v>2007</v>
      </c>
      <c r="D4" s="2"/>
      <c r="E4" s="8">
        <v>339</v>
      </c>
    </row>
    <row r="5" spans="1:5" x14ac:dyDescent="0.25">
      <c r="A5" s="7" t="s">
        <v>2242</v>
      </c>
      <c r="B5" s="7" t="s">
        <v>2241</v>
      </c>
      <c r="C5" s="8">
        <v>2007</v>
      </c>
      <c r="D5" s="2"/>
      <c r="E5" s="8">
        <v>339</v>
      </c>
    </row>
    <row r="6" spans="1:5" x14ac:dyDescent="0.25">
      <c r="A6" s="7" t="s">
        <v>2243</v>
      </c>
      <c r="B6" s="7" t="s">
        <v>2244</v>
      </c>
      <c r="C6" s="8">
        <v>2008</v>
      </c>
      <c r="D6" s="2"/>
      <c r="E6" s="8">
        <v>339</v>
      </c>
    </row>
    <row r="7" spans="1:5" x14ac:dyDescent="0.25">
      <c r="A7" s="7" t="s">
        <v>2245</v>
      </c>
      <c r="B7" s="7" t="s">
        <v>2246</v>
      </c>
      <c r="C7" s="8">
        <v>2003</v>
      </c>
      <c r="D7" s="2"/>
      <c r="E7" s="8">
        <v>354</v>
      </c>
    </row>
    <row r="8" spans="1:5" x14ac:dyDescent="0.25">
      <c r="A8" s="7" t="s">
        <v>2247</v>
      </c>
      <c r="B8" s="7" t="s">
        <v>2248</v>
      </c>
      <c r="C8" s="8">
        <v>2006</v>
      </c>
      <c r="D8" s="2"/>
      <c r="E8" s="8">
        <v>354</v>
      </c>
    </row>
    <row r="9" spans="1:5" x14ac:dyDescent="0.25">
      <c r="A9" s="7" t="s">
        <v>2249</v>
      </c>
      <c r="B9" s="7" t="s">
        <v>2250</v>
      </c>
      <c r="C9" s="8">
        <v>2006</v>
      </c>
      <c r="D9" s="2"/>
      <c r="E9" s="8">
        <v>354</v>
      </c>
    </row>
    <row r="10" spans="1:5" x14ac:dyDescent="0.25">
      <c r="A10" s="7" t="s">
        <v>2251</v>
      </c>
      <c r="B10" s="7" t="s">
        <v>2252</v>
      </c>
      <c r="C10" s="8">
        <v>2006</v>
      </c>
      <c r="D10" s="2"/>
      <c r="E10" s="8">
        <v>354</v>
      </c>
    </row>
    <row r="11" spans="1:5" x14ac:dyDescent="0.25">
      <c r="A11" s="7" t="s">
        <v>2253</v>
      </c>
      <c r="B11" s="7" t="s">
        <v>2254</v>
      </c>
      <c r="C11" s="8">
        <v>2006</v>
      </c>
      <c r="D11" s="2" t="s">
        <v>2255</v>
      </c>
      <c r="E11" s="8">
        <v>354</v>
      </c>
    </row>
    <row r="12" spans="1:5" x14ac:dyDescent="0.25">
      <c r="A12" s="6" t="s">
        <v>0</v>
      </c>
      <c r="B12" s="6" t="s">
        <v>1</v>
      </c>
      <c r="C12" s="1">
        <f>VALUE("2006")</f>
        <v>2006</v>
      </c>
      <c r="D12" t="s">
        <v>2</v>
      </c>
      <c r="E12" s="1">
        <f>VALUE("0434")</f>
        <v>434</v>
      </c>
    </row>
    <row r="13" spans="1:5" x14ac:dyDescent="0.25">
      <c r="A13" s="6" t="s">
        <v>3</v>
      </c>
      <c r="B13" s="6" t="s">
        <v>4</v>
      </c>
      <c r="C13" s="1">
        <f>VALUE("2006")</f>
        <v>2006</v>
      </c>
      <c r="D13" t="s">
        <v>2</v>
      </c>
      <c r="E13" s="1">
        <f>VALUE("0434")</f>
        <v>434</v>
      </c>
    </row>
    <row r="14" spans="1:5" x14ac:dyDescent="0.25">
      <c r="A14" s="6" t="s">
        <v>5</v>
      </c>
      <c r="B14" s="6" t="s">
        <v>6</v>
      </c>
      <c r="C14" s="1">
        <f>VALUE("2010")</f>
        <v>2010</v>
      </c>
      <c r="D14" t="s">
        <v>7</v>
      </c>
      <c r="E14" s="1">
        <f>VALUE("0511")</f>
        <v>511</v>
      </c>
    </row>
    <row r="15" spans="1:5" x14ac:dyDescent="0.25">
      <c r="A15" s="6" t="s">
        <v>8</v>
      </c>
      <c r="B15" s="6" t="s">
        <v>9</v>
      </c>
      <c r="C15" s="1">
        <f>VALUE("2012")</f>
        <v>2012</v>
      </c>
      <c r="D15" t="s">
        <v>10</v>
      </c>
      <c r="E15" s="1">
        <f>VALUE("0511")</f>
        <v>511</v>
      </c>
    </row>
    <row r="16" spans="1:5" x14ac:dyDescent="0.25">
      <c r="A16" s="6" t="s">
        <v>11</v>
      </c>
      <c r="B16" s="6" t="s">
        <v>9</v>
      </c>
      <c r="C16" s="1">
        <f>VALUE("2012")</f>
        <v>2012</v>
      </c>
      <c r="D16" t="s">
        <v>12</v>
      </c>
      <c r="E16" s="1">
        <f>VALUE("0511")</f>
        <v>511</v>
      </c>
    </row>
    <row r="17" spans="1:5" x14ac:dyDescent="0.25">
      <c r="A17" s="7" t="s">
        <v>2256</v>
      </c>
      <c r="B17" s="7" t="s">
        <v>2248</v>
      </c>
      <c r="C17" s="8">
        <v>2007</v>
      </c>
      <c r="D17" s="2"/>
      <c r="E17" s="8">
        <v>524</v>
      </c>
    </row>
    <row r="18" spans="1:5" x14ac:dyDescent="0.25">
      <c r="A18" s="7" t="s">
        <v>2257</v>
      </c>
      <c r="B18" s="7" t="s">
        <v>2258</v>
      </c>
      <c r="C18" s="8">
        <v>2005</v>
      </c>
      <c r="D18" s="2"/>
      <c r="E18" s="8">
        <v>601</v>
      </c>
    </row>
    <row r="19" spans="1:5" x14ac:dyDescent="0.25">
      <c r="A19" s="7" t="s">
        <v>2259</v>
      </c>
      <c r="B19" s="7" t="s">
        <v>2260</v>
      </c>
      <c r="C19" s="8">
        <v>2006</v>
      </c>
      <c r="D19" s="2" t="s">
        <v>2261</v>
      </c>
      <c r="E19" s="8">
        <v>601</v>
      </c>
    </row>
    <row r="20" spans="1:5" x14ac:dyDescent="0.25">
      <c r="A20" s="7" t="s">
        <v>2262</v>
      </c>
      <c r="B20" s="7" t="s">
        <v>2263</v>
      </c>
      <c r="C20" s="8">
        <v>2004</v>
      </c>
      <c r="D20" s="2" t="s">
        <v>2264</v>
      </c>
      <c r="E20" s="8">
        <v>603</v>
      </c>
    </row>
    <row r="21" spans="1:5" x14ac:dyDescent="0.25">
      <c r="A21" s="7" t="s">
        <v>2265</v>
      </c>
      <c r="B21" s="7" t="s">
        <v>2266</v>
      </c>
      <c r="C21" s="8">
        <v>2007</v>
      </c>
      <c r="D21" s="2"/>
      <c r="E21" s="8">
        <v>607</v>
      </c>
    </row>
    <row r="22" spans="1:5" x14ac:dyDescent="0.25">
      <c r="A22" s="7" t="s">
        <v>38</v>
      </c>
      <c r="B22" s="7" t="s">
        <v>2266</v>
      </c>
      <c r="C22" s="8">
        <v>2008</v>
      </c>
      <c r="D22" s="2"/>
      <c r="E22" s="8">
        <v>607</v>
      </c>
    </row>
    <row r="23" spans="1:5" x14ac:dyDescent="0.25">
      <c r="A23" s="7" t="s">
        <v>2267</v>
      </c>
      <c r="B23" s="7" t="s">
        <v>2268</v>
      </c>
      <c r="C23" s="8">
        <v>2006</v>
      </c>
      <c r="D23" s="2" t="s">
        <v>835</v>
      </c>
      <c r="E23" s="8">
        <v>611</v>
      </c>
    </row>
    <row r="24" spans="1:5" x14ac:dyDescent="0.25">
      <c r="A24" s="7" t="s">
        <v>2269</v>
      </c>
      <c r="B24" s="7" t="s">
        <v>2268</v>
      </c>
      <c r="C24" s="8">
        <v>2007</v>
      </c>
      <c r="D24" s="2"/>
      <c r="E24" s="8">
        <v>611</v>
      </c>
    </row>
    <row r="25" spans="1:5" x14ac:dyDescent="0.25">
      <c r="A25" s="7" t="s">
        <v>2270</v>
      </c>
      <c r="B25" s="7" t="s">
        <v>2271</v>
      </c>
      <c r="C25" s="8">
        <v>2007</v>
      </c>
      <c r="D25" s="2"/>
      <c r="E25" s="8">
        <v>613</v>
      </c>
    </row>
    <row r="26" spans="1:5" x14ac:dyDescent="0.25">
      <c r="A26" s="7" t="s">
        <v>2272</v>
      </c>
      <c r="B26" s="7" t="s">
        <v>2273</v>
      </c>
      <c r="C26" s="8">
        <v>2008</v>
      </c>
      <c r="D26" s="2"/>
      <c r="E26" s="8">
        <v>613</v>
      </c>
    </row>
    <row r="27" spans="1:5" x14ac:dyDescent="0.25">
      <c r="A27" s="7" t="s">
        <v>2274</v>
      </c>
      <c r="B27" s="7" t="s">
        <v>1554</v>
      </c>
      <c r="C27" s="8">
        <v>2007</v>
      </c>
      <c r="D27" s="2"/>
      <c r="E27" s="8">
        <v>616</v>
      </c>
    </row>
    <row r="28" spans="1:5" x14ac:dyDescent="0.25">
      <c r="A28" s="7" t="s">
        <v>2275</v>
      </c>
      <c r="B28" s="7" t="s">
        <v>2276</v>
      </c>
      <c r="C28" s="8">
        <v>2007</v>
      </c>
      <c r="D28" s="2"/>
      <c r="E28" s="8">
        <v>617</v>
      </c>
    </row>
    <row r="29" spans="1:5" x14ac:dyDescent="0.25">
      <c r="A29" s="7" t="s">
        <v>2277</v>
      </c>
      <c r="B29" s="7" t="s">
        <v>2278</v>
      </c>
      <c r="C29" s="8">
        <v>2006</v>
      </c>
      <c r="D29" s="2" t="s">
        <v>2279</v>
      </c>
      <c r="E29" s="8">
        <v>619</v>
      </c>
    </row>
    <row r="30" spans="1:5" x14ac:dyDescent="0.25">
      <c r="A30" s="7" t="s">
        <v>2280</v>
      </c>
      <c r="B30" s="7" t="s">
        <v>2281</v>
      </c>
      <c r="C30" s="8">
        <v>2006</v>
      </c>
      <c r="D30" s="2"/>
      <c r="E30" s="8">
        <v>620</v>
      </c>
    </row>
    <row r="31" spans="1:5" x14ac:dyDescent="0.25">
      <c r="A31" s="7" t="s">
        <v>2282</v>
      </c>
      <c r="B31" s="7" t="s">
        <v>2283</v>
      </c>
      <c r="C31" s="8">
        <v>2006</v>
      </c>
      <c r="D31" s="2" t="s">
        <v>2284</v>
      </c>
      <c r="E31" s="8">
        <v>630</v>
      </c>
    </row>
    <row r="32" spans="1:5" x14ac:dyDescent="0.25">
      <c r="A32" s="7" t="s">
        <v>2285</v>
      </c>
      <c r="B32" s="7" t="s">
        <v>2286</v>
      </c>
      <c r="C32" s="8">
        <v>2007</v>
      </c>
      <c r="D32" s="2" t="s">
        <v>2284</v>
      </c>
      <c r="E32" s="8">
        <v>630</v>
      </c>
    </row>
    <row r="33" spans="1:5" x14ac:dyDescent="0.25">
      <c r="A33" s="7" t="s">
        <v>2287</v>
      </c>
      <c r="B33" s="7" t="s">
        <v>2288</v>
      </c>
      <c r="C33" s="8">
        <v>2006</v>
      </c>
      <c r="D33" s="2" t="s">
        <v>640</v>
      </c>
      <c r="E33" s="8">
        <v>633</v>
      </c>
    </row>
    <row r="34" spans="1:5" x14ac:dyDescent="0.25">
      <c r="A34" s="7" t="s">
        <v>2289</v>
      </c>
      <c r="B34" s="7" t="s">
        <v>2290</v>
      </c>
      <c r="C34" s="8">
        <v>2006</v>
      </c>
      <c r="D34" s="2" t="s">
        <v>640</v>
      </c>
      <c r="E34" s="8">
        <v>633</v>
      </c>
    </row>
    <row r="35" spans="1:5" x14ac:dyDescent="0.25">
      <c r="A35" s="7" t="s">
        <v>2291</v>
      </c>
      <c r="B35" s="7" t="s">
        <v>2292</v>
      </c>
      <c r="C35" s="8">
        <v>2006</v>
      </c>
      <c r="D35" s="2" t="s">
        <v>2293</v>
      </c>
      <c r="E35" s="8">
        <v>635</v>
      </c>
    </row>
    <row r="36" spans="1:5" x14ac:dyDescent="0.25">
      <c r="A36" s="7" t="s">
        <v>2294</v>
      </c>
      <c r="B36" s="7" t="s">
        <v>2295</v>
      </c>
      <c r="C36" s="8">
        <v>2008</v>
      </c>
      <c r="D36" s="2"/>
      <c r="E36" s="8">
        <v>638</v>
      </c>
    </row>
    <row r="37" spans="1:5" x14ac:dyDescent="0.25">
      <c r="A37" s="7" t="s">
        <v>2296</v>
      </c>
      <c r="B37" s="7" t="s">
        <v>2297</v>
      </c>
      <c r="C37" s="8">
        <v>2007</v>
      </c>
      <c r="D37" s="2"/>
      <c r="E37" s="8">
        <v>642</v>
      </c>
    </row>
    <row r="38" spans="1:5" x14ac:dyDescent="0.25">
      <c r="A38" s="7" t="s">
        <v>2298</v>
      </c>
      <c r="B38" s="7" t="s">
        <v>2299</v>
      </c>
      <c r="C38" s="8">
        <v>2006</v>
      </c>
      <c r="D38" s="2" t="s">
        <v>144</v>
      </c>
      <c r="E38" s="8">
        <v>644</v>
      </c>
    </row>
    <row r="39" spans="1:5" x14ac:dyDescent="0.25">
      <c r="A39" s="7" t="s">
        <v>2300</v>
      </c>
      <c r="B39" s="7" t="s">
        <v>2301</v>
      </c>
      <c r="C39" s="8">
        <v>2007</v>
      </c>
      <c r="D39" s="2"/>
      <c r="E39" s="8">
        <v>644</v>
      </c>
    </row>
    <row r="40" spans="1:5" x14ac:dyDescent="0.25">
      <c r="A40" s="7" t="s">
        <v>2302</v>
      </c>
      <c r="B40" s="7" t="s">
        <v>2303</v>
      </c>
      <c r="C40" s="8">
        <v>2004</v>
      </c>
      <c r="D40" s="2" t="s">
        <v>2264</v>
      </c>
      <c r="E40" s="8">
        <v>647</v>
      </c>
    </row>
    <row r="41" spans="1:5" x14ac:dyDescent="0.25">
      <c r="A41" s="7" t="s">
        <v>2304</v>
      </c>
      <c r="B41" s="7" t="s">
        <v>2305</v>
      </c>
      <c r="C41" s="8">
        <v>2007</v>
      </c>
      <c r="D41" s="2" t="s">
        <v>2306</v>
      </c>
      <c r="E41" s="8">
        <v>650</v>
      </c>
    </row>
    <row r="42" spans="1:5" x14ac:dyDescent="0.25">
      <c r="A42" s="7" t="s">
        <v>2257</v>
      </c>
      <c r="B42" s="7" t="s">
        <v>2307</v>
      </c>
      <c r="C42" s="8">
        <v>2005</v>
      </c>
      <c r="D42" s="2"/>
      <c r="E42" s="8">
        <v>652</v>
      </c>
    </row>
    <row r="43" spans="1:5" x14ac:dyDescent="0.25">
      <c r="A43" s="7" t="s">
        <v>2308</v>
      </c>
      <c r="B43" s="7" t="s">
        <v>2309</v>
      </c>
      <c r="C43" s="8">
        <v>2008</v>
      </c>
      <c r="D43" s="2"/>
      <c r="E43" s="8">
        <v>653</v>
      </c>
    </row>
    <row r="44" spans="1:5" x14ac:dyDescent="0.25">
      <c r="A44" s="7" t="s">
        <v>2310</v>
      </c>
      <c r="B44" s="7" t="s">
        <v>2311</v>
      </c>
      <c r="C44" s="8">
        <v>2007</v>
      </c>
      <c r="D44" s="2" t="s">
        <v>2306</v>
      </c>
      <c r="E44" s="8">
        <v>654</v>
      </c>
    </row>
    <row r="45" spans="1:5" x14ac:dyDescent="0.25">
      <c r="A45" s="7" t="s">
        <v>2312</v>
      </c>
      <c r="B45" s="7" t="s">
        <v>2313</v>
      </c>
      <c r="C45" s="8">
        <v>2007</v>
      </c>
      <c r="D45" s="2" t="s">
        <v>2306</v>
      </c>
      <c r="E45" s="8">
        <v>654</v>
      </c>
    </row>
    <row r="46" spans="1:5" x14ac:dyDescent="0.25">
      <c r="A46" s="7" t="s">
        <v>2314</v>
      </c>
      <c r="B46" s="7" t="s">
        <v>2313</v>
      </c>
      <c r="C46" s="8">
        <v>2007</v>
      </c>
      <c r="D46" s="2" t="s">
        <v>2306</v>
      </c>
      <c r="E46" s="8">
        <v>654</v>
      </c>
    </row>
    <row r="47" spans="1:5" x14ac:dyDescent="0.25">
      <c r="A47" s="7" t="s">
        <v>2315</v>
      </c>
      <c r="B47" s="7" t="s">
        <v>2316</v>
      </c>
      <c r="C47" s="8">
        <v>2007</v>
      </c>
      <c r="D47" s="2" t="s">
        <v>2306</v>
      </c>
      <c r="E47" s="8">
        <v>654</v>
      </c>
    </row>
    <row r="48" spans="1:5" x14ac:dyDescent="0.25">
      <c r="A48" s="7" t="s">
        <v>2317</v>
      </c>
      <c r="B48" s="7" t="s">
        <v>2318</v>
      </c>
      <c r="C48" s="8">
        <v>2009</v>
      </c>
      <c r="D48" s="2"/>
      <c r="E48" s="8">
        <v>656</v>
      </c>
    </row>
    <row r="49" spans="1:5" x14ac:dyDescent="0.25">
      <c r="A49" s="9" t="s">
        <v>2320</v>
      </c>
      <c r="B49" s="9" t="s">
        <v>2321</v>
      </c>
      <c r="C49" s="10">
        <v>2009</v>
      </c>
      <c r="D49" s="11" t="s">
        <v>2322</v>
      </c>
      <c r="E49" s="10">
        <v>656</v>
      </c>
    </row>
    <row r="50" spans="1:5" x14ac:dyDescent="0.25">
      <c r="A50" s="7" t="s">
        <v>2319</v>
      </c>
      <c r="B50" s="7" t="s">
        <v>2318</v>
      </c>
      <c r="C50" s="8">
        <v>2010</v>
      </c>
      <c r="D50" s="2"/>
      <c r="E50" s="8">
        <v>656</v>
      </c>
    </row>
    <row r="51" spans="1:5" x14ac:dyDescent="0.25">
      <c r="A51" s="7" t="s">
        <v>2323</v>
      </c>
      <c r="B51" s="7" t="s">
        <v>2324</v>
      </c>
      <c r="C51" s="8">
        <v>2006</v>
      </c>
      <c r="D51" s="2"/>
      <c r="E51" s="8">
        <v>657</v>
      </c>
    </row>
    <row r="52" spans="1:5" x14ac:dyDescent="0.25">
      <c r="A52" s="7" t="s">
        <v>2325</v>
      </c>
      <c r="B52" s="7" t="s">
        <v>306</v>
      </c>
      <c r="C52" s="8">
        <v>2006</v>
      </c>
      <c r="D52" s="2" t="s">
        <v>2326</v>
      </c>
      <c r="E52" s="8">
        <v>658</v>
      </c>
    </row>
    <row r="53" spans="1:5" x14ac:dyDescent="0.25">
      <c r="A53" s="7" t="s">
        <v>2327</v>
      </c>
      <c r="B53" s="7" t="s">
        <v>2328</v>
      </c>
      <c r="C53" s="8">
        <v>2006</v>
      </c>
      <c r="D53" s="2" t="s">
        <v>2326</v>
      </c>
      <c r="E53" s="8">
        <v>658</v>
      </c>
    </row>
    <row r="54" spans="1:5" x14ac:dyDescent="0.25">
      <c r="A54" s="7" t="s">
        <v>2329</v>
      </c>
      <c r="B54" s="7" t="s">
        <v>306</v>
      </c>
      <c r="C54" s="8">
        <v>2007</v>
      </c>
      <c r="D54" s="2" t="s">
        <v>2326</v>
      </c>
      <c r="E54" s="8">
        <v>658</v>
      </c>
    </row>
    <row r="55" spans="1:5" x14ac:dyDescent="0.25">
      <c r="A55" s="7" t="s">
        <v>2330</v>
      </c>
      <c r="B55" s="7" t="s">
        <v>306</v>
      </c>
      <c r="C55" s="8">
        <v>2007</v>
      </c>
      <c r="D55" s="2" t="s">
        <v>2326</v>
      </c>
      <c r="E55" s="8">
        <v>658</v>
      </c>
    </row>
    <row r="56" spans="1:5" x14ac:dyDescent="0.25">
      <c r="A56" s="7" t="s">
        <v>2331</v>
      </c>
      <c r="B56" s="7" t="s">
        <v>2332</v>
      </c>
      <c r="C56" s="8">
        <v>2006</v>
      </c>
      <c r="D56" s="2" t="s">
        <v>2333</v>
      </c>
      <c r="E56" s="8">
        <v>659</v>
      </c>
    </row>
    <row r="57" spans="1:5" x14ac:dyDescent="0.25">
      <c r="A57" s="7" t="s">
        <v>2334</v>
      </c>
      <c r="B57" s="7" t="s">
        <v>2335</v>
      </c>
      <c r="C57" s="8">
        <v>2006</v>
      </c>
      <c r="D57" s="2" t="s">
        <v>640</v>
      </c>
      <c r="E57" s="8">
        <v>659</v>
      </c>
    </row>
    <row r="58" spans="1:5" x14ac:dyDescent="0.25">
      <c r="A58" s="7" t="s">
        <v>2289</v>
      </c>
      <c r="B58" s="7" t="s">
        <v>2336</v>
      </c>
      <c r="C58" s="8">
        <v>2006</v>
      </c>
      <c r="D58" s="2" t="s">
        <v>640</v>
      </c>
      <c r="E58" s="8">
        <v>659</v>
      </c>
    </row>
    <row r="59" spans="1:5" x14ac:dyDescent="0.25">
      <c r="A59" s="7" t="s">
        <v>2337</v>
      </c>
      <c r="B59" s="7" t="s">
        <v>2335</v>
      </c>
      <c r="C59" s="8">
        <v>2006</v>
      </c>
      <c r="D59" s="2" t="s">
        <v>640</v>
      </c>
      <c r="E59" s="8">
        <v>659</v>
      </c>
    </row>
    <row r="60" spans="1:5" x14ac:dyDescent="0.25">
      <c r="A60" s="7" t="s">
        <v>2338</v>
      </c>
      <c r="B60" s="7" t="s">
        <v>2339</v>
      </c>
      <c r="C60" s="8">
        <v>2007</v>
      </c>
      <c r="D60" s="2"/>
      <c r="E60" s="8">
        <v>660</v>
      </c>
    </row>
    <row r="61" spans="1:5" x14ac:dyDescent="0.25">
      <c r="A61" s="7" t="s">
        <v>2340</v>
      </c>
      <c r="B61" s="7" t="s">
        <v>2339</v>
      </c>
      <c r="C61" s="8">
        <v>2007</v>
      </c>
      <c r="D61" s="2"/>
      <c r="E61" s="8">
        <v>660</v>
      </c>
    </row>
    <row r="62" spans="1:5" x14ac:dyDescent="0.25">
      <c r="A62" s="7" t="s">
        <v>2341</v>
      </c>
      <c r="B62" s="7" t="s">
        <v>2342</v>
      </c>
      <c r="C62" s="8">
        <v>2007</v>
      </c>
      <c r="D62" s="2"/>
      <c r="E62" s="8">
        <v>1001</v>
      </c>
    </row>
    <row r="63" spans="1:5" x14ac:dyDescent="0.25">
      <c r="A63" s="6" t="s">
        <v>2544</v>
      </c>
      <c r="B63" s="6" t="s">
        <v>13</v>
      </c>
      <c r="C63" s="1">
        <f>VALUE("2006")</f>
        <v>2006</v>
      </c>
      <c r="D63" t="s">
        <v>14</v>
      </c>
      <c r="E63" s="1">
        <f>VALUE("1004")</f>
        <v>1004</v>
      </c>
    </row>
    <row r="64" spans="1:5" x14ac:dyDescent="0.25">
      <c r="A64" s="6" t="s">
        <v>2546</v>
      </c>
      <c r="B64" s="6" t="s">
        <v>15</v>
      </c>
      <c r="C64" s="1">
        <f>VALUE("2006")</f>
        <v>2006</v>
      </c>
      <c r="D64" t="s">
        <v>16</v>
      </c>
      <c r="E64" s="1">
        <f>VALUE("1004")</f>
        <v>1004</v>
      </c>
    </row>
    <row r="65" spans="1:5" x14ac:dyDescent="0.25">
      <c r="A65" s="6" t="s">
        <v>2545</v>
      </c>
      <c r="B65" s="6" t="s">
        <v>17</v>
      </c>
      <c r="C65" s="1">
        <f>VALUE("2006")</f>
        <v>2006</v>
      </c>
      <c r="D65" t="s">
        <v>16</v>
      </c>
      <c r="E65" s="1">
        <f>VALUE("1004")</f>
        <v>1004</v>
      </c>
    </row>
    <row r="66" spans="1:5" x14ac:dyDescent="0.25">
      <c r="A66" s="7" t="s">
        <v>2343</v>
      </c>
      <c r="B66" s="7" t="s">
        <v>2344</v>
      </c>
      <c r="C66" s="8">
        <v>2008</v>
      </c>
      <c r="D66" s="2"/>
      <c r="E66" s="8">
        <v>1012</v>
      </c>
    </row>
    <row r="67" spans="1:5" x14ac:dyDescent="0.25">
      <c r="A67" s="7" t="s">
        <v>2345</v>
      </c>
      <c r="B67" s="7" t="s">
        <v>2346</v>
      </c>
      <c r="C67" s="8">
        <v>2007</v>
      </c>
      <c r="D67" s="2"/>
      <c r="E67" s="8">
        <v>1018</v>
      </c>
    </row>
    <row r="68" spans="1:5" x14ac:dyDescent="0.25">
      <c r="A68" s="7" t="s">
        <v>2347</v>
      </c>
      <c r="B68" s="7" t="s">
        <v>2348</v>
      </c>
      <c r="C68" s="8">
        <v>2007</v>
      </c>
      <c r="D68" s="2"/>
      <c r="E68" s="8">
        <v>1019</v>
      </c>
    </row>
    <row r="69" spans="1:5" x14ac:dyDescent="0.25">
      <c r="A69" s="7" t="s">
        <v>2349</v>
      </c>
      <c r="B69" s="7" t="s">
        <v>2350</v>
      </c>
      <c r="C69" s="8">
        <v>2007</v>
      </c>
      <c r="D69" s="2"/>
      <c r="E69" s="8">
        <v>1020</v>
      </c>
    </row>
    <row r="70" spans="1:5" x14ac:dyDescent="0.25">
      <c r="A70" s="7" t="s">
        <v>2351</v>
      </c>
      <c r="B70" s="7" t="s">
        <v>2350</v>
      </c>
      <c r="C70" s="8">
        <v>2007</v>
      </c>
      <c r="D70" s="2"/>
      <c r="E70" s="8">
        <v>1020</v>
      </c>
    </row>
    <row r="71" spans="1:5" x14ac:dyDescent="0.25">
      <c r="A71" s="7" t="s">
        <v>2352</v>
      </c>
      <c r="B71" s="7" t="s">
        <v>2350</v>
      </c>
      <c r="C71" s="8">
        <v>2007</v>
      </c>
      <c r="D71" s="2"/>
      <c r="E71" s="8">
        <v>1020</v>
      </c>
    </row>
    <row r="72" spans="1:5" x14ac:dyDescent="0.25">
      <c r="A72" s="7" t="s">
        <v>2353</v>
      </c>
      <c r="B72" s="7" t="s">
        <v>2354</v>
      </c>
      <c r="C72" s="8">
        <v>2009</v>
      </c>
      <c r="D72" s="2" t="s">
        <v>2355</v>
      </c>
      <c r="E72" s="8">
        <v>1024</v>
      </c>
    </row>
    <row r="73" spans="1:5" x14ac:dyDescent="0.25">
      <c r="A73" s="7" t="s">
        <v>2356</v>
      </c>
      <c r="B73" s="7" t="s">
        <v>2357</v>
      </c>
      <c r="C73" s="8">
        <v>2008</v>
      </c>
      <c r="D73" s="2"/>
      <c r="E73" s="8">
        <v>1027</v>
      </c>
    </row>
    <row r="74" spans="1:5" x14ac:dyDescent="0.25">
      <c r="A74" s="7" t="s">
        <v>2358</v>
      </c>
      <c r="B74" s="7" t="s">
        <v>2359</v>
      </c>
      <c r="C74" s="8">
        <v>2007</v>
      </c>
      <c r="D74" s="2"/>
      <c r="E74" s="8">
        <v>1029</v>
      </c>
    </row>
    <row r="75" spans="1:5" x14ac:dyDescent="0.25">
      <c r="A75" s="6" t="s">
        <v>18</v>
      </c>
      <c r="B75" s="6" t="s">
        <v>19</v>
      </c>
      <c r="C75" s="1">
        <f>VALUE("2012")</f>
        <v>2012</v>
      </c>
      <c r="D75" t="s">
        <v>20</v>
      </c>
      <c r="E75" s="1">
        <f>VALUE("1030")</f>
        <v>1030</v>
      </c>
    </row>
    <row r="76" spans="1:5" x14ac:dyDescent="0.25">
      <c r="A76" s="6" t="s">
        <v>2547</v>
      </c>
      <c r="B76" s="6" t="s">
        <v>21</v>
      </c>
      <c r="C76" s="1">
        <f>VALUE("2014")</f>
        <v>2014</v>
      </c>
      <c r="D76" t="s">
        <v>22</v>
      </c>
      <c r="E76" s="1">
        <f>VALUE("1033")</f>
        <v>1033</v>
      </c>
    </row>
    <row r="77" spans="1:5" x14ac:dyDescent="0.25">
      <c r="A77" s="6" t="s">
        <v>23</v>
      </c>
      <c r="B77" s="6" t="s">
        <v>24</v>
      </c>
      <c r="C77" s="1">
        <f>VALUE("2015")</f>
        <v>2015</v>
      </c>
      <c r="D77" t="s">
        <v>25</v>
      </c>
      <c r="E77" s="1">
        <f>VALUE("1033")</f>
        <v>1033</v>
      </c>
    </row>
    <row r="78" spans="1:5" x14ac:dyDescent="0.25">
      <c r="A78" s="6" t="s">
        <v>29</v>
      </c>
      <c r="B78" s="6" t="s">
        <v>30</v>
      </c>
      <c r="C78" s="1">
        <f>VALUE("2017")</f>
        <v>2017</v>
      </c>
      <c r="D78" t="s">
        <v>31</v>
      </c>
      <c r="E78" s="1">
        <f>VALUE("1033")</f>
        <v>1033</v>
      </c>
    </row>
    <row r="79" spans="1:5" x14ac:dyDescent="0.25">
      <c r="A79" s="6" t="s">
        <v>26</v>
      </c>
      <c r="B79" s="6" t="s">
        <v>27</v>
      </c>
      <c r="C79" s="1">
        <f>VALUE("2017")</f>
        <v>2017</v>
      </c>
      <c r="D79" t="s">
        <v>28</v>
      </c>
      <c r="E79" s="1">
        <f>VALUE("1033")</f>
        <v>1033</v>
      </c>
    </row>
    <row r="80" spans="1:5" x14ac:dyDescent="0.25">
      <c r="A80" s="7" t="s">
        <v>2360</v>
      </c>
      <c r="B80" s="7" t="s">
        <v>2361</v>
      </c>
      <c r="C80" s="8">
        <v>2007</v>
      </c>
      <c r="D80" s="2"/>
      <c r="E80" s="8">
        <v>1038</v>
      </c>
    </row>
    <row r="81" spans="1:5" x14ac:dyDescent="0.25">
      <c r="A81" s="6" t="s">
        <v>32</v>
      </c>
      <c r="B81" s="6" t="s">
        <v>33</v>
      </c>
      <c r="C81" s="1">
        <f>VALUE("2011")</f>
        <v>2011</v>
      </c>
      <c r="D81" t="s">
        <v>34</v>
      </c>
      <c r="E81" s="1">
        <f>VALUE("1043")</f>
        <v>1043</v>
      </c>
    </row>
    <row r="82" spans="1:5" x14ac:dyDescent="0.25">
      <c r="A82" s="6" t="s">
        <v>35</v>
      </c>
      <c r="B82" s="6" t="s">
        <v>36</v>
      </c>
      <c r="C82" s="1">
        <f>VALUE("2016")</f>
        <v>2016</v>
      </c>
      <c r="D82" t="s">
        <v>37</v>
      </c>
      <c r="E82" s="1">
        <f>VALUE("1043")</f>
        <v>1043</v>
      </c>
    </row>
    <row r="83" spans="1:5" x14ac:dyDescent="0.25">
      <c r="A83" s="7" t="s">
        <v>2362</v>
      </c>
      <c r="B83" s="7" t="s">
        <v>2363</v>
      </c>
      <c r="C83" s="8">
        <v>2008</v>
      </c>
      <c r="D83" s="2"/>
      <c r="E83" s="8">
        <v>1048</v>
      </c>
    </row>
    <row r="84" spans="1:5" x14ac:dyDescent="0.25">
      <c r="A84" s="7" t="s">
        <v>2364</v>
      </c>
      <c r="B84" s="7" t="s">
        <v>2365</v>
      </c>
      <c r="C84" s="8">
        <v>2008</v>
      </c>
      <c r="D84" s="2"/>
      <c r="E84" s="8">
        <v>1049</v>
      </c>
    </row>
    <row r="85" spans="1:5" x14ac:dyDescent="0.25">
      <c r="A85" s="6" t="s">
        <v>38</v>
      </c>
      <c r="B85" s="6" t="s">
        <v>39</v>
      </c>
      <c r="C85" s="1">
        <f>VALUE("2010")</f>
        <v>2010</v>
      </c>
      <c r="D85" t="s">
        <v>40</v>
      </c>
      <c r="E85" s="1">
        <f>VALUE("1051")</f>
        <v>1051</v>
      </c>
    </row>
    <row r="86" spans="1:5" x14ac:dyDescent="0.25">
      <c r="A86" s="7" t="s">
        <v>2366</v>
      </c>
      <c r="B86" s="7" t="s">
        <v>2367</v>
      </c>
      <c r="C86" s="8">
        <v>2008</v>
      </c>
      <c r="D86" s="2"/>
      <c r="E86" s="8">
        <v>1057</v>
      </c>
    </row>
    <row r="87" spans="1:5" x14ac:dyDescent="0.25">
      <c r="A87" s="6" t="s">
        <v>2548</v>
      </c>
      <c r="B87" s="6" t="s">
        <v>41</v>
      </c>
      <c r="C87" s="1">
        <f>VALUE("2015")</f>
        <v>2015</v>
      </c>
      <c r="D87" t="s">
        <v>2685</v>
      </c>
      <c r="E87" s="1">
        <f>VALUE("1064")</f>
        <v>1064</v>
      </c>
    </row>
    <row r="88" spans="1:5" x14ac:dyDescent="0.25">
      <c r="A88" s="7" t="s">
        <v>2368</v>
      </c>
      <c r="B88" s="7" t="s">
        <v>2297</v>
      </c>
      <c r="C88" s="8">
        <v>2009</v>
      </c>
      <c r="D88" s="2"/>
      <c r="E88" s="8">
        <v>1086</v>
      </c>
    </row>
    <row r="89" spans="1:5" x14ac:dyDescent="0.25">
      <c r="A89" s="6" t="s">
        <v>48</v>
      </c>
      <c r="B89" s="6" t="s">
        <v>49</v>
      </c>
      <c r="C89" s="1">
        <f>VALUE("2011")</f>
        <v>2011</v>
      </c>
      <c r="D89" t="s">
        <v>50</v>
      </c>
      <c r="E89" s="1">
        <f>VALUE("1087")</f>
        <v>1087</v>
      </c>
    </row>
    <row r="90" spans="1:5" x14ac:dyDescent="0.25">
      <c r="A90" s="6" t="s">
        <v>42</v>
      </c>
      <c r="B90" s="6" t="s">
        <v>43</v>
      </c>
      <c r="C90" s="1">
        <f>VALUE("2012")</f>
        <v>2012</v>
      </c>
      <c r="D90" t="s">
        <v>44</v>
      </c>
      <c r="E90" s="1">
        <f>VALUE("1087")</f>
        <v>1087</v>
      </c>
    </row>
    <row r="91" spans="1:5" x14ac:dyDescent="0.25">
      <c r="A91" s="6" t="s">
        <v>45</v>
      </c>
      <c r="B91" s="6" t="s">
        <v>46</v>
      </c>
      <c r="C91" s="1">
        <f>VALUE("2014")</f>
        <v>2014</v>
      </c>
      <c r="D91" t="s">
        <v>47</v>
      </c>
      <c r="E91" s="1">
        <f>VALUE("1087")</f>
        <v>1087</v>
      </c>
    </row>
    <row r="92" spans="1:5" x14ac:dyDescent="0.25">
      <c r="A92" s="7" t="s">
        <v>2369</v>
      </c>
      <c r="B92" s="7" t="s">
        <v>2370</v>
      </c>
      <c r="C92" s="8">
        <v>2009</v>
      </c>
      <c r="D92" s="2"/>
      <c r="E92" s="8">
        <v>1089</v>
      </c>
    </row>
    <row r="93" spans="1:5" x14ac:dyDescent="0.25">
      <c r="A93" s="7" t="s">
        <v>2371</v>
      </c>
      <c r="B93" s="7" t="s">
        <v>2372</v>
      </c>
      <c r="C93" s="8">
        <v>2009</v>
      </c>
      <c r="D93" s="2"/>
      <c r="E93" s="8">
        <v>1092</v>
      </c>
    </row>
    <row r="94" spans="1:5" x14ac:dyDescent="0.25">
      <c r="A94" s="6" t="s">
        <v>51</v>
      </c>
      <c r="B94" s="6" t="s">
        <v>52</v>
      </c>
      <c r="C94" s="1">
        <f>VALUE("2012")</f>
        <v>2012</v>
      </c>
      <c r="D94" t="s">
        <v>53</v>
      </c>
      <c r="E94" s="1">
        <f>VALUE("1094")</f>
        <v>1094</v>
      </c>
    </row>
    <row r="95" spans="1:5" x14ac:dyDescent="0.25">
      <c r="A95" s="6" t="s">
        <v>2549</v>
      </c>
      <c r="B95" s="6" t="s">
        <v>55</v>
      </c>
      <c r="C95" s="1">
        <f>VALUE("2012")</f>
        <v>2012</v>
      </c>
      <c r="D95" t="s">
        <v>2686</v>
      </c>
      <c r="E95" s="1">
        <f>VALUE("1101")</f>
        <v>1101</v>
      </c>
    </row>
    <row r="96" spans="1:5" x14ac:dyDescent="0.25">
      <c r="A96" s="6" t="s">
        <v>2539</v>
      </c>
      <c r="B96" s="6" t="s">
        <v>54</v>
      </c>
      <c r="C96" s="1">
        <v>2013</v>
      </c>
      <c r="D96" t="s">
        <v>2687</v>
      </c>
      <c r="E96" s="1">
        <f>VALUE("1101")</f>
        <v>1101</v>
      </c>
    </row>
    <row r="97" spans="1:5" x14ac:dyDescent="0.25">
      <c r="A97" s="6" t="s">
        <v>62</v>
      </c>
      <c r="B97" s="6" t="s">
        <v>57</v>
      </c>
      <c r="C97" s="1">
        <v>2013</v>
      </c>
      <c r="D97" t="s">
        <v>63</v>
      </c>
      <c r="E97" s="1">
        <f>VALUE("1101")</f>
        <v>1101</v>
      </c>
    </row>
    <row r="98" spans="1:5" x14ac:dyDescent="0.25">
      <c r="A98" s="6" t="s">
        <v>56</v>
      </c>
      <c r="B98" s="6" t="s">
        <v>57</v>
      </c>
      <c r="C98" s="1">
        <f>VALUE("2014")</f>
        <v>2014</v>
      </c>
      <c r="D98" t="s">
        <v>58</v>
      </c>
      <c r="E98" s="1">
        <f>VALUE("1101")</f>
        <v>1101</v>
      </c>
    </row>
    <row r="99" spans="1:5" x14ac:dyDescent="0.25">
      <c r="A99" s="6" t="s">
        <v>59</v>
      </c>
      <c r="B99" s="6" t="s">
        <v>60</v>
      </c>
      <c r="C99" s="1">
        <f>VALUE("2014")</f>
        <v>2014</v>
      </c>
      <c r="D99" t="s">
        <v>61</v>
      </c>
      <c r="E99" s="1">
        <f>VALUE("1101")</f>
        <v>1101</v>
      </c>
    </row>
    <row r="100" spans="1:5" x14ac:dyDescent="0.25">
      <c r="A100" s="7" t="s">
        <v>2373</v>
      </c>
      <c r="B100" s="7" t="s">
        <v>2374</v>
      </c>
      <c r="C100" s="8">
        <v>2009</v>
      </c>
      <c r="D100" s="2" t="s">
        <v>1125</v>
      </c>
      <c r="E100" s="8">
        <v>1105</v>
      </c>
    </row>
    <row r="101" spans="1:5" x14ac:dyDescent="0.25">
      <c r="A101" s="6" t="s">
        <v>64</v>
      </c>
      <c r="B101" s="6" t="s">
        <v>65</v>
      </c>
      <c r="C101" s="1">
        <f>VALUE("2014")</f>
        <v>2014</v>
      </c>
      <c r="D101" t="s">
        <v>66</v>
      </c>
      <c r="E101" s="1">
        <f>VALUE("1110")</f>
        <v>1110</v>
      </c>
    </row>
    <row r="102" spans="1:5" x14ac:dyDescent="0.25">
      <c r="A102" s="6" t="s">
        <v>67</v>
      </c>
      <c r="B102" s="6" t="s">
        <v>68</v>
      </c>
      <c r="C102" s="1">
        <f>VALUE("2011")</f>
        <v>2011</v>
      </c>
      <c r="D102" t="s">
        <v>69</v>
      </c>
      <c r="E102" s="1">
        <f>VALUE("6002")</f>
        <v>6002</v>
      </c>
    </row>
    <row r="103" spans="1:5" x14ac:dyDescent="0.25">
      <c r="A103" s="6" t="s">
        <v>72</v>
      </c>
      <c r="B103" s="6" t="s">
        <v>73</v>
      </c>
      <c r="C103" s="1">
        <f>VALUE("2011")</f>
        <v>2011</v>
      </c>
      <c r="D103" t="s">
        <v>74</v>
      </c>
      <c r="E103" s="1">
        <f>VALUE("6002")</f>
        <v>6002</v>
      </c>
    </row>
    <row r="104" spans="1:5" x14ac:dyDescent="0.25">
      <c r="A104" s="6" t="s">
        <v>70</v>
      </c>
      <c r="B104" s="6" t="s">
        <v>68</v>
      </c>
      <c r="C104" s="1">
        <v>2013</v>
      </c>
      <c r="D104" t="s">
        <v>71</v>
      </c>
      <c r="E104" s="1">
        <f>VALUE("6002")</f>
        <v>6002</v>
      </c>
    </row>
    <row r="105" spans="1:5" x14ac:dyDescent="0.25">
      <c r="A105" s="6" t="s">
        <v>2540</v>
      </c>
      <c r="B105" s="6" t="s">
        <v>75</v>
      </c>
      <c r="C105" s="1">
        <f>VALUE("2014")</f>
        <v>2014</v>
      </c>
      <c r="D105" t="s">
        <v>2688</v>
      </c>
      <c r="E105" s="1">
        <f>VALUE("6003")</f>
        <v>6003</v>
      </c>
    </row>
    <row r="106" spans="1:5" x14ac:dyDescent="0.25">
      <c r="A106" s="6" t="s">
        <v>76</v>
      </c>
      <c r="B106" s="6" t="s">
        <v>77</v>
      </c>
      <c r="C106" s="1">
        <f>VALUE("2014")</f>
        <v>2014</v>
      </c>
      <c r="D106" t="s">
        <v>78</v>
      </c>
      <c r="E106" s="1">
        <f>VALUE("6003")</f>
        <v>6003</v>
      </c>
    </row>
    <row r="107" spans="1:5" x14ac:dyDescent="0.25">
      <c r="A107" s="6" t="s">
        <v>79</v>
      </c>
      <c r="B107" s="6" t="s">
        <v>80</v>
      </c>
      <c r="C107" s="1">
        <f>VALUE("2014")</f>
        <v>2014</v>
      </c>
      <c r="D107" t="s">
        <v>78</v>
      </c>
      <c r="E107" s="1">
        <f>VALUE("6003")</f>
        <v>6003</v>
      </c>
    </row>
    <row r="108" spans="1:5" x14ac:dyDescent="0.25">
      <c r="A108" s="6" t="s">
        <v>81</v>
      </c>
      <c r="B108" s="6" t="s">
        <v>82</v>
      </c>
      <c r="C108" s="1">
        <f>VALUE("2017")</f>
        <v>2017</v>
      </c>
      <c r="D108" t="s">
        <v>83</v>
      </c>
      <c r="E108" s="1">
        <f>VALUE("6003")</f>
        <v>6003</v>
      </c>
    </row>
    <row r="109" spans="1:5" x14ac:dyDescent="0.25">
      <c r="A109" s="7" t="s">
        <v>2375</v>
      </c>
      <c r="B109" s="7" t="s">
        <v>2376</v>
      </c>
      <c r="C109" s="8">
        <v>2007</v>
      </c>
      <c r="D109" s="2" t="s">
        <v>2377</v>
      </c>
      <c r="E109" s="8">
        <v>6008</v>
      </c>
    </row>
    <row r="110" spans="1:5" x14ac:dyDescent="0.25">
      <c r="A110" s="6" t="s">
        <v>84</v>
      </c>
      <c r="B110" s="6" t="s">
        <v>85</v>
      </c>
      <c r="C110" s="1">
        <f>VALUE("2013")</f>
        <v>2013</v>
      </c>
      <c r="D110" t="s">
        <v>86</v>
      </c>
      <c r="E110" s="1">
        <f>VALUE("6009")</f>
        <v>6009</v>
      </c>
    </row>
    <row r="111" spans="1:5" x14ac:dyDescent="0.25">
      <c r="A111" s="6" t="s">
        <v>90</v>
      </c>
      <c r="B111" s="6" t="s">
        <v>91</v>
      </c>
      <c r="C111" s="1">
        <f>VALUE("2013")</f>
        <v>2013</v>
      </c>
      <c r="D111" t="s">
        <v>92</v>
      </c>
      <c r="E111" s="1">
        <f>VALUE("6009")</f>
        <v>6009</v>
      </c>
    </row>
    <row r="112" spans="1:5" x14ac:dyDescent="0.25">
      <c r="A112" s="6" t="s">
        <v>93</v>
      </c>
      <c r="B112" s="6" t="s">
        <v>94</v>
      </c>
      <c r="C112" s="1">
        <f>VALUE("2013")</f>
        <v>2013</v>
      </c>
      <c r="D112" t="s">
        <v>95</v>
      </c>
      <c r="E112" s="1">
        <f>VALUE("6009")</f>
        <v>6009</v>
      </c>
    </row>
    <row r="113" spans="1:5" x14ac:dyDescent="0.25">
      <c r="A113" s="6" t="s">
        <v>87</v>
      </c>
      <c r="B113" s="6" t="s">
        <v>88</v>
      </c>
      <c r="C113" s="1">
        <v>2014</v>
      </c>
      <c r="D113" t="s">
        <v>89</v>
      </c>
      <c r="E113" s="1">
        <f>VALUE("6009")</f>
        <v>6009</v>
      </c>
    </row>
    <row r="114" spans="1:5" x14ac:dyDescent="0.25">
      <c r="A114" s="7" t="s">
        <v>2378</v>
      </c>
      <c r="B114" s="7" t="s">
        <v>2379</v>
      </c>
      <c r="C114" s="8">
        <v>2008</v>
      </c>
      <c r="D114" s="2"/>
      <c r="E114" s="8">
        <v>6011</v>
      </c>
    </row>
    <row r="115" spans="1:5" x14ac:dyDescent="0.25">
      <c r="A115" s="7" t="s">
        <v>2380</v>
      </c>
      <c r="B115" s="7" t="s">
        <v>2381</v>
      </c>
      <c r="C115" s="8">
        <v>2006</v>
      </c>
      <c r="D115" s="2"/>
      <c r="E115" s="8">
        <v>6012</v>
      </c>
    </row>
    <row r="116" spans="1:5" x14ac:dyDescent="0.25">
      <c r="A116" s="7" t="s">
        <v>2382</v>
      </c>
      <c r="B116" s="7" t="s">
        <v>2383</v>
      </c>
      <c r="C116" s="8">
        <v>2006</v>
      </c>
      <c r="D116" s="2"/>
      <c r="E116" s="8">
        <v>6012</v>
      </c>
    </row>
    <row r="117" spans="1:5" x14ac:dyDescent="0.25">
      <c r="A117" s="7" t="s">
        <v>2384</v>
      </c>
      <c r="B117" s="7" t="s">
        <v>2385</v>
      </c>
      <c r="C117" s="8">
        <v>2006</v>
      </c>
      <c r="D117" s="2"/>
      <c r="E117" s="8">
        <v>6012</v>
      </c>
    </row>
    <row r="118" spans="1:5" x14ac:dyDescent="0.25">
      <c r="A118" s="7" t="s">
        <v>2386</v>
      </c>
      <c r="B118" s="7" t="s">
        <v>2387</v>
      </c>
      <c r="C118" s="8">
        <v>2007</v>
      </c>
      <c r="D118" s="2"/>
      <c r="E118" s="8">
        <v>6012</v>
      </c>
    </row>
    <row r="119" spans="1:5" x14ac:dyDescent="0.25">
      <c r="A119" s="6" t="s">
        <v>96</v>
      </c>
      <c r="B119" s="6" t="s">
        <v>97</v>
      </c>
      <c r="C119" s="1">
        <f>VALUE("2007")</f>
        <v>2007</v>
      </c>
      <c r="D119" t="s">
        <v>98</v>
      </c>
      <c r="E119" s="1">
        <f>VALUE("6014")</f>
        <v>6014</v>
      </c>
    </row>
    <row r="120" spans="1:5" x14ac:dyDescent="0.25">
      <c r="A120" s="6" t="s">
        <v>99</v>
      </c>
      <c r="B120" s="6" t="s">
        <v>100</v>
      </c>
      <c r="C120" s="1">
        <f>VALUE("2007")</f>
        <v>2007</v>
      </c>
      <c r="D120" t="s">
        <v>101</v>
      </c>
      <c r="E120" s="1">
        <f>VALUE("6015")</f>
        <v>6015</v>
      </c>
    </row>
    <row r="121" spans="1:5" x14ac:dyDescent="0.25">
      <c r="A121" s="6" t="s">
        <v>102</v>
      </c>
      <c r="B121" s="6" t="s">
        <v>103</v>
      </c>
      <c r="C121" s="1">
        <f>VALUE("2008")</f>
        <v>2008</v>
      </c>
      <c r="D121" t="s">
        <v>104</v>
      </c>
      <c r="E121" s="1">
        <f>VALUE("6016")</f>
        <v>6016</v>
      </c>
    </row>
    <row r="122" spans="1:5" x14ac:dyDescent="0.25">
      <c r="A122" s="7" t="s">
        <v>2388</v>
      </c>
      <c r="B122" s="7" t="s">
        <v>2389</v>
      </c>
      <c r="C122" s="8">
        <v>2009</v>
      </c>
      <c r="D122" s="2"/>
      <c r="E122" s="8">
        <v>6017</v>
      </c>
    </row>
    <row r="123" spans="1:5" x14ac:dyDescent="0.25">
      <c r="A123" s="7" t="s">
        <v>2390</v>
      </c>
      <c r="B123" s="7" t="s">
        <v>2391</v>
      </c>
      <c r="C123" s="8">
        <v>2010</v>
      </c>
      <c r="D123" s="2"/>
      <c r="E123" s="8">
        <v>6017</v>
      </c>
    </row>
    <row r="124" spans="1:5" x14ac:dyDescent="0.25">
      <c r="A124" s="7" t="s">
        <v>2392</v>
      </c>
      <c r="B124" s="7" t="s">
        <v>2393</v>
      </c>
      <c r="C124" s="8">
        <v>2009</v>
      </c>
      <c r="D124" s="2" t="s">
        <v>835</v>
      </c>
      <c r="E124" s="8">
        <v>6023</v>
      </c>
    </row>
    <row r="125" spans="1:5" x14ac:dyDescent="0.25">
      <c r="A125" s="7" t="s">
        <v>2394</v>
      </c>
      <c r="B125" s="7" t="s">
        <v>2395</v>
      </c>
      <c r="C125" s="8">
        <v>2009</v>
      </c>
      <c r="D125" s="2"/>
      <c r="E125" s="8">
        <v>6023</v>
      </c>
    </row>
    <row r="126" spans="1:5" x14ac:dyDescent="0.25">
      <c r="A126" s="7" t="s">
        <v>2396</v>
      </c>
      <c r="B126" s="7" t="s">
        <v>2393</v>
      </c>
      <c r="C126" s="8">
        <v>2009</v>
      </c>
      <c r="D126" s="2"/>
      <c r="E126" s="8">
        <v>6024</v>
      </c>
    </row>
    <row r="127" spans="1:5" x14ac:dyDescent="0.25">
      <c r="A127" s="7" t="s">
        <v>2397</v>
      </c>
      <c r="B127" s="7" t="s">
        <v>2395</v>
      </c>
      <c r="C127" s="8">
        <v>2009</v>
      </c>
      <c r="D127" s="2"/>
      <c r="E127" s="8">
        <v>6024</v>
      </c>
    </row>
    <row r="128" spans="1:5" x14ac:dyDescent="0.25">
      <c r="A128" s="7" t="s">
        <v>2398</v>
      </c>
      <c r="B128" s="7" t="s">
        <v>2399</v>
      </c>
      <c r="C128" s="8">
        <v>2008</v>
      </c>
      <c r="D128" s="2"/>
      <c r="E128" s="8">
        <v>6025</v>
      </c>
    </row>
    <row r="129" spans="1:5" x14ac:dyDescent="0.25">
      <c r="A129" s="6" t="s">
        <v>2550</v>
      </c>
      <c r="B129" s="6" t="s">
        <v>105</v>
      </c>
      <c r="C129" s="1">
        <f>VALUE("2011")</f>
        <v>2011</v>
      </c>
      <c r="D129" t="s">
        <v>106</v>
      </c>
      <c r="E129" s="1">
        <f>VALUE("6027")</f>
        <v>6027</v>
      </c>
    </row>
    <row r="130" spans="1:5" x14ac:dyDescent="0.25">
      <c r="A130" s="6" t="s">
        <v>2551</v>
      </c>
      <c r="B130" s="6" t="s">
        <v>107</v>
      </c>
      <c r="C130" s="1">
        <f>VALUE("2013")</f>
        <v>2013</v>
      </c>
      <c r="D130" t="s">
        <v>108</v>
      </c>
      <c r="E130" s="1">
        <f>VALUE("6027")</f>
        <v>6027</v>
      </c>
    </row>
    <row r="131" spans="1:5" x14ac:dyDescent="0.25">
      <c r="A131" s="6" t="s">
        <v>109</v>
      </c>
      <c r="B131" s="6" t="s">
        <v>110</v>
      </c>
      <c r="C131" s="1">
        <f>VALUE("2010")</f>
        <v>2010</v>
      </c>
      <c r="D131" t="s">
        <v>111</v>
      </c>
      <c r="E131" s="1">
        <f>VALUE("6028")</f>
        <v>6028</v>
      </c>
    </row>
    <row r="132" spans="1:5" x14ac:dyDescent="0.25">
      <c r="A132" s="6" t="s">
        <v>112</v>
      </c>
      <c r="B132" s="6" t="s">
        <v>113</v>
      </c>
      <c r="C132" s="1">
        <f>VALUE("2010")</f>
        <v>2010</v>
      </c>
      <c r="D132" t="s">
        <v>114</v>
      </c>
      <c r="E132" s="1">
        <f>VALUE("6028")</f>
        <v>6028</v>
      </c>
    </row>
    <row r="133" spans="1:5" x14ac:dyDescent="0.25">
      <c r="A133" s="6" t="s">
        <v>115</v>
      </c>
      <c r="B133" s="6" t="s">
        <v>116</v>
      </c>
      <c r="C133" s="1">
        <f>VALUE("2011")</f>
        <v>2011</v>
      </c>
      <c r="D133" t="s">
        <v>117</v>
      </c>
      <c r="E133" s="1">
        <f>VALUE("6028")</f>
        <v>6028</v>
      </c>
    </row>
    <row r="134" spans="1:5" x14ac:dyDescent="0.25">
      <c r="A134" s="7" t="s">
        <v>2400</v>
      </c>
      <c r="B134" s="7" t="s">
        <v>2401</v>
      </c>
      <c r="C134" s="8">
        <v>2005</v>
      </c>
      <c r="D134" s="2"/>
      <c r="E134" s="8">
        <v>6030</v>
      </c>
    </row>
    <row r="135" spans="1:5" x14ac:dyDescent="0.25">
      <c r="A135" s="7" t="s">
        <v>2402</v>
      </c>
      <c r="B135" s="7" t="s">
        <v>2403</v>
      </c>
      <c r="C135" s="8">
        <v>2008</v>
      </c>
      <c r="D135" s="2"/>
      <c r="E135" s="8">
        <v>6031</v>
      </c>
    </row>
    <row r="136" spans="1:5" x14ac:dyDescent="0.25">
      <c r="A136" s="7" t="s">
        <v>2404</v>
      </c>
      <c r="B136" s="7" t="s">
        <v>2405</v>
      </c>
      <c r="C136" s="8">
        <v>2009</v>
      </c>
      <c r="D136" s="2"/>
      <c r="E136" s="8">
        <v>6032</v>
      </c>
    </row>
    <row r="137" spans="1:5" x14ac:dyDescent="0.25">
      <c r="A137" s="6" t="s">
        <v>2538</v>
      </c>
      <c r="B137" s="6" t="s">
        <v>118</v>
      </c>
      <c r="C137" s="1">
        <f>VALUE("2009")</f>
        <v>2009</v>
      </c>
      <c r="E137" s="1">
        <f>VALUE("6034")</f>
        <v>6034</v>
      </c>
    </row>
    <row r="138" spans="1:5" x14ac:dyDescent="0.25">
      <c r="A138" s="7" t="s">
        <v>2406</v>
      </c>
      <c r="B138" s="7" t="s">
        <v>2407</v>
      </c>
      <c r="C138" s="8">
        <v>2008</v>
      </c>
      <c r="D138" s="2"/>
      <c r="E138" s="8">
        <v>6036</v>
      </c>
    </row>
    <row r="139" spans="1:5" x14ac:dyDescent="0.25">
      <c r="A139" s="7" t="s">
        <v>2408</v>
      </c>
      <c r="B139" s="7" t="s">
        <v>2409</v>
      </c>
      <c r="C139" s="8">
        <v>2007</v>
      </c>
      <c r="D139" s="2"/>
      <c r="E139" s="8">
        <v>6037</v>
      </c>
    </row>
    <row r="140" spans="1:5" x14ac:dyDescent="0.25">
      <c r="A140" s="12" t="s">
        <v>2410</v>
      </c>
      <c r="B140" s="12" t="s">
        <v>2411</v>
      </c>
      <c r="C140" s="10">
        <v>2008</v>
      </c>
      <c r="D140" s="11" t="s">
        <v>1151</v>
      </c>
      <c r="E140" s="10">
        <v>6039</v>
      </c>
    </row>
    <row r="141" spans="1:5" x14ac:dyDescent="0.25">
      <c r="A141" s="12" t="s">
        <v>2412</v>
      </c>
      <c r="B141" s="12" t="s">
        <v>2413</v>
      </c>
      <c r="C141" s="10">
        <v>2008</v>
      </c>
      <c r="D141" s="11" t="s">
        <v>2414</v>
      </c>
      <c r="E141" s="10">
        <v>6039</v>
      </c>
    </row>
    <row r="142" spans="1:5" x14ac:dyDescent="0.25">
      <c r="A142" s="12" t="s">
        <v>2421</v>
      </c>
      <c r="B142" s="12" t="s">
        <v>2419</v>
      </c>
      <c r="C142" s="10">
        <v>2010</v>
      </c>
      <c r="D142" s="11" t="s">
        <v>2422</v>
      </c>
      <c r="E142" s="10">
        <v>6039</v>
      </c>
    </row>
    <row r="143" spans="1:5" x14ac:dyDescent="0.25">
      <c r="A143" s="12" t="s">
        <v>2684</v>
      </c>
      <c r="B143" s="12" t="s">
        <v>2415</v>
      </c>
      <c r="C143" s="10">
        <v>2011</v>
      </c>
      <c r="D143" s="11" t="s">
        <v>2414</v>
      </c>
      <c r="E143" s="10">
        <v>6039</v>
      </c>
    </row>
    <row r="144" spans="1:5" x14ac:dyDescent="0.25">
      <c r="A144" s="12" t="s">
        <v>2683</v>
      </c>
      <c r="B144" s="12" t="s">
        <v>2416</v>
      </c>
      <c r="C144" s="10">
        <v>2011</v>
      </c>
      <c r="D144" s="11" t="s">
        <v>2417</v>
      </c>
      <c r="E144" s="10">
        <v>6039</v>
      </c>
    </row>
    <row r="145" spans="1:5" x14ac:dyDescent="0.25">
      <c r="A145" s="12" t="s">
        <v>2418</v>
      </c>
      <c r="B145" s="12" t="s">
        <v>2419</v>
      </c>
      <c r="C145" s="10">
        <v>2011</v>
      </c>
      <c r="D145" s="11" t="s">
        <v>2420</v>
      </c>
      <c r="E145" s="10">
        <v>6039</v>
      </c>
    </row>
    <row r="146" spans="1:5" x14ac:dyDescent="0.25">
      <c r="A146" s="6" t="s">
        <v>119</v>
      </c>
      <c r="B146" s="6" t="s">
        <v>120</v>
      </c>
      <c r="C146" s="1">
        <f>VALUE("2014")</f>
        <v>2014</v>
      </c>
      <c r="D146" t="s">
        <v>121</v>
      </c>
      <c r="E146" s="1">
        <f>VALUE("6040")</f>
        <v>6040</v>
      </c>
    </row>
    <row r="147" spans="1:5" x14ac:dyDescent="0.25">
      <c r="A147" s="12" t="s">
        <v>2423</v>
      </c>
      <c r="B147" s="12" t="s">
        <v>2424</v>
      </c>
      <c r="C147" s="10">
        <v>2010</v>
      </c>
      <c r="D147" s="11"/>
      <c r="E147" s="10">
        <v>6042</v>
      </c>
    </row>
    <row r="148" spans="1:5" x14ac:dyDescent="0.25">
      <c r="A148" s="6" t="s">
        <v>128</v>
      </c>
      <c r="B148" s="6" t="s">
        <v>129</v>
      </c>
      <c r="C148" s="1">
        <f>VALUE("2011")</f>
        <v>2011</v>
      </c>
      <c r="D148" t="s">
        <v>130</v>
      </c>
      <c r="E148" s="1">
        <f>VALUE("6045")</f>
        <v>6045</v>
      </c>
    </row>
    <row r="149" spans="1:5" x14ac:dyDescent="0.25">
      <c r="A149" s="6" t="s">
        <v>122</v>
      </c>
      <c r="B149" s="6" t="s">
        <v>123</v>
      </c>
      <c r="C149" s="1">
        <v>2012</v>
      </c>
      <c r="D149" t="s">
        <v>124</v>
      </c>
      <c r="E149" s="1">
        <f>VALUE("6045")</f>
        <v>6045</v>
      </c>
    </row>
    <row r="150" spans="1:5" x14ac:dyDescent="0.25">
      <c r="A150" s="6" t="s">
        <v>134</v>
      </c>
      <c r="B150" s="6" t="s">
        <v>135</v>
      </c>
      <c r="C150" s="1">
        <f>VALUE("2012")</f>
        <v>2012</v>
      </c>
      <c r="D150" t="s">
        <v>136</v>
      </c>
      <c r="E150" s="1">
        <f>VALUE("6045")</f>
        <v>6045</v>
      </c>
    </row>
    <row r="151" spans="1:5" x14ac:dyDescent="0.25">
      <c r="A151" s="6" t="s">
        <v>131</v>
      </c>
      <c r="B151" s="6" t="s">
        <v>132</v>
      </c>
      <c r="C151" s="1">
        <f>VALUE("2013")</f>
        <v>2013</v>
      </c>
      <c r="D151" t="s">
        <v>133</v>
      </c>
      <c r="E151" s="1">
        <f>VALUE("6045")</f>
        <v>6045</v>
      </c>
    </row>
    <row r="152" spans="1:5" x14ac:dyDescent="0.25">
      <c r="A152" s="6" t="s">
        <v>125</v>
      </c>
      <c r="B152" s="6" t="s">
        <v>126</v>
      </c>
      <c r="C152" s="1">
        <f>VALUE("2014")</f>
        <v>2014</v>
      </c>
      <c r="D152" t="s">
        <v>127</v>
      </c>
      <c r="E152" s="1">
        <f>VALUE("6045")</f>
        <v>6045</v>
      </c>
    </row>
    <row r="153" spans="1:5" x14ac:dyDescent="0.25">
      <c r="A153" s="6" t="s">
        <v>137</v>
      </c>
      <c r="B153" s="6" t="s">
        <v>138</v>
      </c>
      <c r="C153" s="1">
        <f>VALUE("2007")</f>
        <v>2007</v>
      </c>
      <c r="E153" s="1">
        <f>VALUE("6048")</f>
        <v>6048</v>
      </c>
    </row>
    <row r="154" spans="1:5" x14ac:dyDescent="0.25">
      <c r="A154" s="6" t="s">
        <v>139</v>
      </c>
      <c r="B154" s="6" t="s">
        <v>140</v>
      </c>
      <c r="C154" s="1">
        <f>VALUE("2017")</f>
        <v>2017</v>
      </c>
      <c r="D154" t="s">
        <v>141</v>
      </c>
      <c r="E154" s="1">
        <f>VALUE("6048")</f>
        <v>6048</v>
      </c>
    </row>
    <row r="155" spans="1:5" x14ac:dyDescent="0.25">
      <c r="A155" s="6" t="s">
        <v>142</v>
      </c>
      <c r="B155" s="6" t="s">
        <v>143</v>
      </c>
      <c r="C155" s="1">
        <f>VALUE("2010")</f>
        <v>2010</v>
      </c>
      <c r="D155" t="s">
        <v>144</v>
      </c>
      <c r="E155" s="1">
        <f>VALUE("6058")</f>
        <v>6058</v>
      </c>
    </row>
    <row r="156" spans="1:5" x14ac:dyDescent="0.25">
      <c r="A156" s="6" t="s">
        <v>145</v>
      </c>
      <c r="B156" s="6" t="s">
        <v>146</v>
      </c>
      <c r="C156" s="1">
        <f>VALUE("2010")</f>
        <v>2010</v>
      </c>
      <c r="D156" t="s">
        <v>144</v>
      </c>
      <c r="E156" s="1">
        <f>VALUE("6058")</f>
        <v>6058</v>
      </c>
    </row>
    <row r="157" spans="1:5" x14ac:dyDescent="0.25">
      <c r="A157" s="12" t="s">
        <v>2425</v>
      </c>
      <c r="B157" s="12" t="s">
        <v>2426</v>
      </c>
      <c r="C157" s="10">
        <v>2009</v>
      </c>
      <c r="D157" s="11"/>
      <c r="E157" s="10">
        <v>6059</v>
      </c>
    </row>
    <row r="158" spans="1:5" x14ac:dyDescent="0.25">
      <c r="A158" s="12" t="s">
        <v>2427</v>
      </c>
      <c r="B158" s="12" t="s">
        <v>2428</v>
      </c>
      <c r="C158" s="10">
        <v>2009</v>
      </c>
      <c r="D158" s="11"/>
      <c r="E158" s="10">
        <v>6059</v>
      </c>
    </row>
    <row r="159" spans="1:5" x14ac:dyDescent="0.25">
      <c r="A159" s="12" t="s">
        <v>2429</v>
      </c>
      <c r="B159" s="12" t="s">
        <v>2430</v>
      </c>
      <c r="C159" s="10">
        <v>2009</v>
      </c>
      <c r="D159" s="11"/>
      <c r="E159" s="10">
        <v>6059</v>
      </c>
    </row>
    <row r="160" spans="1:5" x14ac:dyDescent="0.25">
      <c r="A160" s="9" t="s">
        <v>2431</v>
      </c>
      <c r="B160" s="9" t="s">
        <v>2432</v>
      </c>
      <c r="C160" s="13">
        <v>2012</v>
      </c>
      <c r="D160" s="14" t="s">
        <v>228</v>
      </c>
      <c r="E160" s="13">
        <v>6059</v>
      </c>
    </row>
    <row r="161" spans="1:5" x14ac:dyDescent="0.25">
      <c r="A161" s="6" t="s">
        <v>147</v>
      </c>
      <c r="B161" s="6" t="s">
        <v>148</v>
      </c>
      <c r="C161" s="1">
        <f>VALUE("2013")</f>
        <v>2013</v>
      </c>
      <c r="D161" t="s">
        <v>149</v>
      </c>
      <c r="E161" s="1">
        <f>VALUE("6062")</f>
        <v>6062</v>
      </c>
    </row>
    <row r="162" spans="1:5" x14ac:dyDescent="0.25">
      <c r="A162" s="6" t="s">
        <v>150</v>
      </c>
      <c r="B162" s="6" t="s">
        <v>151</v>
      </c>
      <c r="C162" s="1">
        <f>VALUE("2013")</f>
        <v>2013</v>
      </c>
      <c r="D162" t="s">
        <v>152</v>
      </c>
      <c r="E162" s="1">
        <f>VALUE("6062")</f>
        <v>6062</v>
      </c>
    </row>
    <row r="163" spans="1:5" x14ac:dyDescent="0.25">
      <c r="A163" s="6" t="s">
        <v>154</v>
      </c>
      <c r="B163" s="6" t="s">
        <v>148</v>
      </c>
      <c r="C163" s="1">
        <f>VALUE("2013")</f>
        <v>2013</v>
      </c>
      <c r="D163" t="s">
        <v>153</v>
      </c>
      <c r="E163" s="1">
        <f>VALUE("6062")</f>
        <v>6062</v>
      </c>
    </row>
    <row r="164" spans="1:5" x14ac:dyDescent="0.25">
      <c r="A164" s="6" t="s">
        <v>154</v>
      </c>
      <c r="B164" s="6" t="s">
        <v>148</v>
      </c>
      <c r="C164" s="1">
        <f>VALUE("2015")</f>
        <v>2015</v>
      </c>
      <c r="D164" t="s">
        <v>155</v>
      </c>
      <c r="E164" s="1">
        <f>VALUE("6062")</f>
        <v>6062</v>
      </c>
    </row>
    <row r="165" spans="1:5" x14ac:dyDescent="0.25">
      <c r="A165" s="6" t="s">
        <v>156</v>
      </c>
      <c r="B165" s="6" t="s">
        <v>151</v>
      </c>
      <c r="C165" s="1">
        <f>VALUE("2015")</f>
        <v>2015</v>
      </c>
      <c r="D165" t="s">
        <v>157</v>
      </c>
      <c r="E165" s="1">
        <f>VALUE("6062")</f>
        <v>6062</v>
      </c>
    </row>
    <row r="166" spans="1:5" x14ac:dyDescent="0.25">
      <c r="A166" s="12" t="s">
        <v>2433</v>
      </c>
      <c r="B166" s="12" t="s">
        <v>2434</v>
      </c>
      <c r="C166" s="10">
        <v>2008</v>
      </c>
      <c r="D166" s="11"/>
      <c r="E166" s="10">
        <v>6063</v>
      </c>
    </row>
    <row r="167" spans="1:5" x14ac:dyDescent="0.25">
      <c r="A167" s="6" t="s">
        <v>164</v>
      </c>
      <c r="B167" s="6" t="s">
        <v>165</v>
      </c>
      <c r="C167" s="1">
        <f>VALUE("2011")</f>
        <v>2011</v>
      </c>
      <c r="D167" t="s">
        <v>166</v>
      </c>
      <c r="E167" s="1">
        <f>VALUE("6064")</f>
        <v>6064</v>
      </c>
    </row>
    <row r="168" spans="1:5" x14ac:dyDescent="0.25">
      <c r="A168" s="6" t="s">
        <v>161</v>
      </c>
      <c r="B168" s="6" t="s">
        <v>162</v>
      </c>
      <c r="C168" s="1">
        <f>VALUE("2012")</f>
        <v>2012</v>
      </c>
      <c r="D168" t="s">
        <v>163</v>
      </c>
      <c r="E168" s="1">
        <f>VALUE("6064")</f>
        <v>6064</v>
      </c>
    </row>
    <row r="169" spans="1:5" x14ac:dyDescent="0.25">
      <c r="A169" s="6" t="s">
        <v>158</v>
      </c>
      <c r="B169" s="6" t="s">
        <v>159</v>
      </c>
      <c r="C169" s="1">
        <f>VALUE("2014")</f>
        <v>2014</v>
      </c>
      <c r="D169" t="s">
        <v>160</v>
      </c>
      <c r="E169" s="1">
        <f>VALUE("6064")</f>
        <v>6064</v>
      </c>
    </row>
    <row r="170" spans="1:5" x14ac:dyDescent="0.25">
      <c r="A170" s="6" t="s">
        <v>172</v>
      </c>
      <c r="B170" s="6" t="s">
        <v>173</v>
      </c>
      <c r="C170" s="1">
        <f>VALUE("2008")</f>
        <v>2008</v>
      </c>
      <c r="D170" t="s">
        <v>104</v>
      </c>
      <c r="E170" s="1">
        <f>VALUE("6065")</f>
        <v>6065</v>
      </c>
    </row>
    <row r="171" spans="1:5" x14ac:dyDescent="0.25">
      <c r="A171" s="6" t="s">
        <v>174</v>
      </c>
      <c r="B171" s="6" t="s">
        <v>175</v>
      </c>
      <c r="C171" s="1">
        <f>VALUE("2008")</f>
        <v>2008</v>
      </c>
      <c r="D171" t="s">
        <v>176</v>
      </c>
      <c r="E171" s="1">
        <f>VALUE("6065")</f>
        <v>6065</v>
      </c>
    </row>
    <row r="172" spans="1:5" x14ac:dyDescent="0.25">
      <c r="A172" s="6" t="s">
        <v>167</v>
      </c>
      <c r="B172" s="6" t="s">
        <v>168</v>
      </c>
      <c r="C172" s="1">
        <v>2010</v>
      </c>
      <c r="D172" t="s">
        <v>169</v>
      </c>
      <c r="E172" s="1">
        <f>VALUE("6065")</f>
        <v>6065</v>
      </c>
    </row>
    <row r="173" spans="1:5" x14ac:dyDescent="0.25">
      <c r="A173" s="6" t="s">
        <v>170</v>
      </c>
      <c r="B173" s="6" t="s">
        <v>171</v>
      </c>
      <c r="C173" s="1">
        <f>VALUE("2011")</f>
        <v>2011</v>
      </c>
      <c r="D173" t="s">
        <v>101</v>
      </c>
      <c r="E173" s="1">
        <f>VALUE("6065")</f>
        <v>6065</v>
      </c>
    </row>
    <row r="174" spans="1:5" x14ac:dyDescent="0.25">
      <c r="A174" s="12" t="s">
        <v>2435</v>
      </c>
      <c r="B174" s="12" t="s">
        <v>2436</v>
      </c>
      <c r="C174" s="10">
        <v>2008</v>
      </c>
      <c r="D174" s="11"/>
      <c r="E174" s="10">
        <v>6068</v>
      </c>
    </row>
    <row r="175" spans="1:5" x14ac:dyDescent="0.25">
      <c r="A175" s="12" t="s">
        <v>2437</v>
      </c>
      <c r="B175" s="12" t="s">
        <v>2438</v>
      </c>
      <c r="C175" s="10">
        <v>2008</v>
      </c>
      <c r="D175" s="11"/>
      <c r="E175" s="10">
        <v>6069</v>
      </c>
    </row>
    <row r="176" spans="1:5" x14ac:dyDescent="0.25">
      <c r="A176" s="6" t="s">
        <v>177</v>
      </c>
      <c r="B176" s="6" t="s">
        <v>178</v>
      </c>
      <c r="C176" s="1">
        <f>VALUE("2014")</f>
        <v>2014</v>
      </c>
      <c r="D176" t="s">
        <v>179</v>
      </c>
      <c r="E176" s="1">
        <f>VALUE("6073")</f>
        <v>6073</v>
      </c>
    </row>
    <row r="177" spans="1:5" x14ac:dyDescent="0.25">
      <c r="A177" s="6" t="s">
        <v>180</v>
      </c>
      <c r="B177" s="6" t="s">
        <v>181</v>
      </c>
      <c r="C177" s="1">
        <v>2013</v>
      </c>
      <c r="D177" t="s">
        <v>182</v>
      </c>
      <c r="E177" s="1">
        <f>VALUE("6076")</f>
        <v>6076</v>
      </c>
    </row>
    <row r="178" spans="1:5" x14ac:dyDescent="0.25">
      <c r="A178" s="6" t="s">
        <v>2552</v>
      </c>
      <c r="B178" s="6" t="s">
        <v>183</v>
      </c>
      <c r="C178" s="1">
        <f>VALUE("2014")</f>
        <v>2014</v>
      </c>
      <c r="D178" t="s">
        <v>184</v>
      </c>
      <c r="E178" s="1">
        <f>VALUE("6076")</f>
        <v>6076</v>
      </c>
    </row>
    <row r="179" spans="1:5" x14ac:dyDescent="0.25">
      <c r="A179" s="6" t="s">
        <v>2553</v>
      </c>
      <c r="B179" s="6" t="s">
        <v>185</v>
      </c>
      <c r="C179" s="1">
        <f>VALUE("2010")</f>
        <v>2010</v>
      </c>
      <c r="D179" t="s">
        <v>186</v>
      </c>
      <c r="E179" s="1">
        <f>VALUE("6079")</f>
        <v>6079</v>
      </c>
    </row>
    <row r="180" spans="1:5" x14ac:dyDescent="0.25">
      <c r="A180" s="6" t="s">
        <v>2554</v>
      </c>
      <c r="B180" s="6" t="s">
        <v>185</v>
      </c>
      <c r="C180" s="1">
        <f>VALUE("2010")</f>
        <v>2010</v>
      </c>
      <c r="D180" t="s">
        <v>187</v>
      </c>
      <c r="E180" s="1">
        <f>VALUE("6079")</f>
        <v>6079</v>
      </c>
    </row>
    <row r="181" spans="1:5" x14ac:dyDescent="0.25">
      <c r="A181" s="6" t="s">
        <v>2555</v>
      </c>
      <c r="B181" s="6" t="s">
        <v>188</v>
      </c>
      <c r="C181" s="1">
        <f>VALUE("2013")</f>
        <v>2013</v>
      </c>
      <c r="D181" t="s">
        <v>189</v>
      </c>
      <c r="E181" s="1">
        <f>VALUE("6079")</f>
        <v>6079</v>
      </c>
    </row>
    <row r="182" spans="1:5" x14ac:dyDescent="0.25">
      <c r="A182" s="12" t="s">
        <v>2439</v>
      </c>
      <c r="B182" s="12" t="s">
        <v>2440</v>
      </c>
      <c r="C182" s="10">
        <v>2007</v>
      </c>
      <c r="D182" s="11"/>
      <c r="E182" s="10">
        <v>6080</v>
      </c>
    </row>
    <row r="183" spans="1:5" x14ac:dyDescent="0.25">
      <c r="A183" s="6" t="s">
        <v>190</v>
      </c>
      <c r="B183" s="6" t="s">
        <v>191</v>
      </c>
      <c r="C183" s="1">
        <f>VALUE("2009")</f>
        <v>2009</v>
      </c>
      <c r="E183" s="1">
        <f>VALUE("6081")</f>
        <v>6081</v>
      </c>
    </row>
    <row r="184" spans="1:5" x14ac:dyDescent="0.25">
      <c r="A184" s="12" t="s">
        <v>2441</v>
      </c>
      <c r="B184" s="12" t="s">
        <v>2442</v>
      </c>
      <c r="C184" s="10">
        <v>2008</v>
      </c>
      <c r="D184" s="11"/>
      <c r="E184" s="10">
        <v>6082</v>
      </c>
    </row>
    <row r="185" spans="1:5" x14ac:dyDescent="0.25">
      <c r="A185" s="12" t="s">
        <v>2443</v>
      </c>
      <c r="B185" s="12" t="s">
        <v>2444</v>
      </c>
      <c r="C185" s="10">
        <v>2008</v>
      </c>
      <c r="D185" s="11"/>
      <c r="E185" s="10">
        <v>6084</v>
      </c>
    </row>
    <row r="186" spans="1:5" x14ac:dyDescent="0.25">
      <c r="A186" s="6" t="s">
        <v>195</v>
      </c>
      <c r="B186" s="6" t="s">
        <v>196</v>
      </c>
      <c r="C186" s="1">
        <f>VALUE("2008")</f>
        <v>2008</v>
      </c>
      <c r="D186" t="s">
        <v>197</v>
      </c>
      <c r="E186" s="1">
        <f>VALUE("6088")</f>
        <v>6088</v>
      </c>
    </row>
    <row r="187" spans="1:5" x14ac:dyDescent="0.25">
      <c r="A187" s="6" t="s">
        <v>198</v>
      </c>
      <c r="B187" s="6" t="s">
        <v>196</v>
      </c>
      <c r="C187" s="1">
        <f>VALUE("2010")</f>
        <v>2010</v>
      </c>
      <c r="D187" t="s">
        <v>199</v>
      </c>
      <c r="E187" s="1">
        <f>VALUE("6088")</f>
        <v>6088</v>
      </c>
    </row>
    <row r="188" spans="1:5" x14ac:dyDescent="0.25">
      <c r="A188" s="6" t="s">
        <v>200</v>
      </c>
      <c r="B188" s="6" t="s">
        <v>201</v>
      </c>
      <c r="C188" s="1">
        <f>VALUE("2011")</f>
        <v>2011</v>
      </c>
      <c r="D188" t="s">
        <v>202</v>
      </c>
      <c r="E188" s="1">
        <f>VALUE("6088")</f>
        <v>6088</v>
      </c>
    </row>
    <row r="189" spans="1:5" x14ac:dyDescent="0.25">
      <c r="A189" s="6" t="s">
        <v>203</v>
      </c>
      <c r="B189" s="6" t="s">
        <v>204</v>
      </c>
      <c r="C189" s="1">
        <f>VALUE("2011")</f>
        <v>2011</v>
      </c>
      <c r="D189" t="s">
        <v>205</v>
      </c>
      <c r="E189" s="1">
        <f>VALUE("6088")</f>
        <v>6088</v>
      </c>
    </row>
    <row r="190" spans="1:5" x14ac:dyDescent="0.25">
      <c r="A190" s="6" t="s">
        <v>206</v>
      </c>
      <c r="B190" s="6" t="s">
        <v>207</v>
      </c>
      <c r="C190" s="1">
        <f>VALUE("2011")</f>
        <v>2011</v>
      </c>
      <c r="D190" t="s">
        <v>208</v>
      </c>
      <c r="E190" s="1">
        <f>VALUE("6088")</f>
        <v>6088</v>
      </c>
    </row>
    <row r="191" spans="1:5" x14ac:dyDescent="0.25">
      <c r="A191" s="6" t="s">
        <v>212</v>
      </c>
      <c r="B191" s="6" t="s">
        <v>213</v>
      </c>
      <c r="C191" s="1">
        <f>VALUE("2011")</f>
        <v>2011</v>
      </c>
      <c r="D191" t="s">
        <v>208</v>
      </c>
      <c r="E191" s="1">
        <f>VALUE("6088")</f>
        <v>6088</v>
      </c>
    </row>
    <row r="192" spans="1:5" x14ac:dyDescent="0.25">
      <c r="A192" s="6" t="s">
        <v>192</v>
      </c>
      <c r="B192" s="6" t="s">
        <v>193</v>
      </c>
      <c r="C192" s="1">
        <f>VALUE("2012")</f>
        <v>2012</v>
      </c>
      <c r="D192" t="s">
        <v>194</v>
      </c>
      <c r="E192" s="1">
        <f>VALUE("6088")</f>
        <v>6088</v>
      </c>
    </row>
    <row r="193" spans="1:5" x14ac:dyDescent="0.25">
      <c r="A193" s="6" t="s">
        <v>209</v>
      </c>
      <c r="B193" s="6" t="s">
        <v>210</v>
      </c>
      <c r="C193" s="1">
        <v>2012</v>
      </c>
      <c r="D193" t="s">
        <v>211</v>
      </c>
      <c r="E193" s="1">
        <f>VALUE("6088")</f>
        <v>6088</v>
      </c>
    </row>
    <row r="194" spans="1:5" x14ac:dyDescent="0.25">
      <c r="A194" s="6" t="s">
        <v>214</v>
      </c>
      <c r="B194" s="6" t="s">
        <v>215</v>
      </c>
      <c r="C194" s="1">
        <f>VALUE("2008")</f>
        <v>2008</v>
      </c>
      <c r="D194" t="s">
        <v>216</v>
      </c>
      <c r="E194" s="1">
        <f>VALUE("6089")</f>
        <v>6089</v>
      </c>
    </row>
    <row r="195" spans="1:5" x14ac:dyDescent="0.25">
      <c r="A195" s="6" t="s">
        <v>217</v>
      </c>
      <c r="B195" s="6" t="s">
        <v>218</v>
      </c>
      <c r="C195" s="1">
        <f>VALUE("2010")</f>
        <v>2010</v>
      </c>
      <c r="D195" t="s">
        <v>219</v>
      </c>
      <c r="E195" s="1">
        <f>VALUE("6089")</f>
        <v>6089</v>
      </c>
    </row>
    <row r="196" spans="1:5" x14ac:dyDescent="0.25">
      <c r="A196" s="6" t="s">
        <v>2556</v>
      </c>
      <c r="B196" s="6" t="s">
        <v>220</v>
      </c>
      <c r="C196" s="1">
        <f>VALUE("2014")</f>
        <v>2014</v>
      </c>
      <c r="D196" t="s">
        <v>221</v>
      </c>
      <c r="E196" s="1">
        <f>VALUE("6089")</f>
        <v>6089</v>
      </c>
    </row>
    <row r="197" spans="1:5" x14ac:dyDescent="0.25">
      <c r="A197" s="12" t="s">
        <v>2445</v>
      </c>
      <c r="B197" s="12" t="s">
        <v>181</v>
      </c>
      <c r="C197" s="10">
        <v>2008</v>
      </c>
      <c r="D197" s="11" t="s">
        <v>181</v>
      </c>
      <c r="E197" s="10">
        <v>6091</v>
      </c>
    </row>
    <row r="198" spans="1:5" x14ac:dyDescent="0.25">
      <c r="A198" s="12" t="s">
        <v>2680</v>
      </c>
      <c r="B198" s="12" t="s">
        <v>2446</v>
      </c>
      <c r="C198" s="10">
        <v>2008</v>
      </c>
      <c r="D198" s="11" t="s">
        <v>184</v>
      </c>
      <c r="E198" s="10">
        <v>6091</v>
      </c>
    </row>
    <row r="199" spans="1:5" x14ac:dyDescent="0.25">
      <c r="A199" s="12" t="s">
        <v>2682</v>
      </c>
      <c r="B199" s="12" t="s">
        <v>181</v>
      </c>
      <c r="C199" s="10">
        <v>2009</v>
      </c>
      <c r="D199" s="11" t="s">
        <v>181</v>
      </c>
      <c r="E199" s="10">
        <v>6091</v>
      </c>
    </row>
    <row r="200" spans="1:5" x14ac:dyDescent="0.25">
      <c r="A200" s="12" t="s">
        <v>2447</v>
      </c>
      <c r="B200" s="12" t="s">
        <v>2448</v>
      </c>
      <c r="C200" s="10">
        <v>2010</v>
      </c>
      <c r="D200" s="11" t="s">
        <v>184</v>
      </c>
      <c r="E200" s="10">
        <v>6091</v>
      </c>
    </row>
    <row r="201" spans="1:5" x14ac:dyDescent="0.25">
      <c r="A201" s="12" t="s">
        <v>2681</v>
      </c>
      <c r="B201" s="12" t="s">
        <v>181</v>
      </c>
      <c r="C201" s="10">
        <v>2011</v>
      </c>
      <c r="D201" s="11" t="s">
        <v>181</v>
      </c>
      <c r="E201" s="10">
        <v>6091</v>
      </c>
    </row>
    <row r="202" spans="1:5" x14ac:dyDescent="0.25">
      <c r="A202" s="6" t="s">
        <v>222</v>
      </c>
      <c r="B202" s="6" t="s">
        <v>223</v>
      </c>
      <c r="C202" s="1">
        <v>2012</v>
      </c>
      <c r="D202" t="s">
        <v>224</v>
      </c>
      <c r="E202" s="1">
        <f>VALUE("6093")</f>
        <v>6093</v>
      </c>
    </row>
    <row r="203" spans="1:5" x14ac:dyDescent="0.25">
      <c r="A203" s="6" t="s">
        <v>227</v>
      </c>
      <c r="C203" s="1">
        <f>VALUE("2012")</f>
        <v>2012</v>
      </c>
      <c r="D203" t="s">
        <v>228</v>
      </c>
      <c r="E203" s="1">
        <f>VALUE("6093")</f>
        <v>6093</v>
      </c>
    </row>
    <row r="204" spans="1:5" x14ac:dyDescent="0.25">
      <c r="A204" s="6" t="s">
        <v>229</v>
      </c>
      <c r="B204" s="6" t="s">
        <v>223</v>
      </c>
      <c r="C204" s="1">
        <f>VALUE("2013")</f>
        <v>2013</v>
      </c>
      <c r="D204" t="s">
        <v>22</v>
      </c>
      <c r="E204" s="1">
        <f>VALUE("6093")</f>
        <v>6093</v>
      </c>
    </row>
    <row r="205" spans="1:5" x14ac:dyDescent="0.25">
      <c r="A205" s="6" t="s">
        <v>225</v>
      </c>
      <c r="C205" s="1">
        <f>VALUE("2014")</f>
        <v>2014</v>
      </c>
      <c r="D205" t="s">
        <v>226</v>
      </c>
      <c r="E205" s="1">
        <f>VALUE("6093")</f>
        <v>6093</v>
      </c>
    </row>
    <row r="206" spans="1:5" x14ac:dyDescent="0.25">
      <c r="A206" s="6" t="s">
        <v>2557</v>
      </c>
      <c r="B206" s="6" t="s">
        <v>230</v>
      </c>
      <c r="C206" s="1">
        <f>VALUE("2010")</f>
        <v>2010</v>
      </c>
      <c r="D206" t="s">
        <v>231</v>
      </c>
      <c r="E206" s="1">
        <f>VALUE("6094")</f>
        <v>6094</v>
      </c>
    </row>
    <row r="207" spans="1:5" x14ac:dyDescent="0.25">
      <c r="A207" s="6" t="s">
        <v>2560</v>
      </c>
      <c r="B207" s="6" t="s">
        <v>242</v>
      </c>
      <c r="C207" s="1">
        <v>2010</v>
      </c>
      <c r="D207" t="s">
        <v>243</v>
      </c>
      <c r="E207" s="1">
        <f>VALUE("6094")</f>
        <v>6094</v>
      </c>
    </row>
    <row r="208" spans="1:5" x14ac:dyDescent="0.25">
      <c r="A208" s="6" t="s">
        <v>2559</v>
      </c>
      <c r="B208" s="6" t="s">
        <v>237</v>
      </c>
      <c r="C208" s="1">
        <f>VALUE("2011")</f>
        <v>2011</v>
      </c>
      <c r="D208" t="s">
        <v>238</v>
      </c>
      <c r="E208" s="1">
        <f>VALUE("6094")</f>
        <v>6094</v>
      </c>
    </row>
    <row r="209" spans="1:5" x14ac:dyDescent="0.25">
      <c r="A209" s="6" t="s">
        <v>246</v>
      </c>
      <c r="B209" s="6" t="s">
        <v>247</v>
      </c>
      <c r="C209" s="1">
        <f>VALUE("2011")</f>
        <v>2011</v>
      </c>
      <c r="D209" t="s">
        <v>248</v>
      </c>
      <c r="E209" s="1">
        <f>VALUE("6094")</f>
        <v>6094</v>
      </c>
    </row>
    <row r="210" spans="1:5" x14ac:dyDescent="0.25">
      <c r="A210" s="6" t="s">
        <v>2562</v>
      </c>
      <c r="B210" s="6" t="s">
        <v>249</v>
      </c>
      <c r="C210" s="1">
        <f>VALUE("2011")</f>
        <v>2011</v>
      </c>
      <c r="D210" t="s">
        <v>250</v>
      </c>
      <c r="E210" s="1">
        <f>VALUE("6094")</f>
        <v>6094</v>
      </c>
    </row>
    <row r="211" spans="1:5" x14ac:dyDescent="0.25">
      <c r="A211" s="6" t="s">
        <v>254</v>
      </c>
      <c r="B211" s="6" t="s">
        <v>255</v>
      </c>
      <c r="C211" s="1">
        <f>VALUE("2011")</f>
        <v>2011</v>
      </c>
      <c r="D211" t="s">
        <v>256</v>
      </c>
      <c r="E211" s="1">
        <f>VALUE("6094")</f>
        <v>6094</v>
      </c>
    </row>
    <row r="212" spans="1:5" x14ac:dyDescent="0.25">
      <c r="A212" s="6" t="s">
        <v>251</v>
      </c>
      <c r="B212" s="6" t="s">
        <v>252</v>
      </c>
      <c r="C212" s="1">
        <v>2012</v>
      </c>
      <c r="D212" t="s">
        <v>253</v>
      </c>
      <c r="E212" s="1">
        <f>VALUE("6094")</f>
        <v>6094</v>
      </c>
    </row>
    <row r="213" spans="1:5" x14ac:dyDescent="0.25">
      <c r="A213" s="6" t="s">
        <v>234</v>
      </c>
      <c r="B213" s="6" t="s">
        <v>235</v>
      </c>
      <c r="C213" s="1">
        <f>VALUE("2013")</f>
        <v>2013</v>
      </c>
      <c r="D213" t="s">
        <v>236</v>
      </c>
      <c r="E213" s="1">
        <f>VALUE("6094")</f>
        <v>6094</v>
      </c>
    </row>
    <row r="214" spans="1:5" x14ac:dyDescent="0.25">
      <c r="A214" s="6" t="s">
        <v>2558</v>
      </c>
      <c r="B214" s="6" t="s">
        <v>232</v>
      </c>
      <c r="C214" s="1">
        <f>VALUE("2014")</f>
        <v>2014</v>
      </c>
      <c r="D214" t="s">
        <v>233</v>
      </c>
      <c r="E214" s="1">
        <f>VALUE("6094")</f>
        <v>6094</v>
      </c>
    </row>
    <row r="215" spans="1:5" x14ac:dyDescent="0.25">
      <c r="A215" s="6" t="s">
        <v>239</v>
      </c>
      <c r="B215" s="6" t="s">
        <v>240</v>
      </c>
      <c r="C215" s="1">
        <f>VALUE("2014")</f>
        <v>2014</v>
      </c>
      <c r="D215" t="s">
        <v>241</v>
      </c>
      <c r="E215" s="1">
        <f>VALUE("6094")</f>
        <v>6094</v>
      </c>
    </row>
    <row r="216" spans="1:5" x14ac:dyDescent="0.25">
      <c r="A216" s="6" t="s">
        <v>2561</v>
      </c>
      <c r="B216" s="6" t="s">
        <v>244</v>
      </c>
      <c r="C216" s="1">
        <f>VALUE("2014")</f>
        <v>2014</v>
      </c>
      <c r="D216" t="s">
        <v>245</v>
      </c>
      <c r="E216" s="1">
        <f>VALUE("6094")</f>
        <v>6094</v>
      </c>
    </row>
    <row r="217" spans="1:5" x14ac:dyDescent="0.25">
      <c r="A217" s="12" t="s">
        <v>2449</v>
      </c>
      <c r="B217" s="12" t="s">
        <v>2450</v>
      </c>
      <c r="C217" s="10">
        <v>2008</v>
      </c>
      <c r="D217" s="11"/>
      <c r="E217" s="10">
        <v>6097</v>
      </c>
    </row>
    <row r="218" spans="1:5" x14ac:dyDescent="0.25">
      <c r="A218" s="12" t="s">
        <v>2451</v>
      </c>
      <c r="B218" s="12" t="s">
        <v>2450</v>
      </c>
      <c r="C218" s="10">
        <v>2009</v>
      </c>
      <c r="D218" s="11"/>
      <c r="E218" s="10">
        <v>6097</v>
      </c>
    </row>
    <row r="219" spans="1:5" x14ac:dyDescent="0.25">
      <c r="A219" s="12" t="s">
        <v>2452</v>
      </c>
      <c r="B219" s="15" t="s">
        <v>2453</v>
      </c>
      <c r="C219" s="10">
        <v>2010</v>
      </c>
      <c r="D219" s="11" t="s">
        <v>2454</v>
      </c>
      <c r="E219" s="10">
        <v>6097</v>
      </c>
    </row>
    <row r="220" spans="1:5" x14ac:dyDescent="0.25">
      <c r="A220" s="12" t="s">
        <v>2455</v>
      </c>
      <c r="B220" s="12" t="s">
        <v>2456</v>
      </c>
      <c r="C220" s="10">
        <v>2007</v>
      </c>
      <c r="D220" s="11"/>
      <c r="E220" s="10">
        <v>6100</v>
      </c>
    </row>
    <row r="221" spans="1:5" x14ac:dyDescent="0.25">
      <c r="A221" s="12" t="s">
        <v>2457</v>
      </c>
      <c r="B221" s="12" t="s">
        <v>2458</v>
      </c>
      <c r="C221" s="10">
        <v>2006</v>
      </c>
      <c r="D221" s="11"/>
      <c r="E221" s="10">
        <v>6101</v>
      </c>
    </row>
    <row r="222" spans="1:5" x14ac:dyDescent="0.25">
      <c r="A222" s="6" t="s">
        <v>257</v>
      </c>
      <c r="B222" s="6" t="s">
        <v>258</v>
      </c>
      <c r="C222" s="1">
        <f>VALUE("2013")</f>
        <v>2013</v>
      </c>
      <c r="D222" t="s">
        <v>259</v>
      </c>
      <c r="E222" s="1">
        <f>VALUE("6103")</f>
        <v>6103</v>
      </c>
    </row>
    <row r="223" spans="1:5" x14ac:dyDescent="0.25">
      <c r="A223" s="6" t="s">
        <v>260</v>
      </c>
      <c r="B223" s="6" t="s">
        <v>261</v>
      </c>
      <c r="C223" s="1">
        <f>VALUE("2012")</f>
        <v>2012</v>
      </c>
      <c r="D223" t="s">
        <v>262</v>
      </c>
      <c r="E223" s="1">
        <f>VALUE("6107")</f>
        <v>6107</v>
      </c>
    </row>
    <row r="224" spans="1:5" x14ac:dyDescent="0.25">
      <c r="A224" s="6" t="s">
        <v>263</v>
      </c>
      <c r="B224" s="6" t="s">
        <v>264</v>
      </c>
      <c r="C224" s="1">
        <f>VALUE("2012")</f>
        <v>2012</v>
      </c>
      <c r="D224" t="s">
        <v>265</v>
      </c>
      <c r="E224" s="1">
        <f>VALUE("6107")</f>
        <v>6107</v>
      </c>
    </row>
    <row r="225" spans="1:5" x14ac:dyDescent="0.25">
      <c r="A225" s="6" t="s">
        <v>2563</v>
      </c>
      <c r="B225" s="6" t="s">
        <v>266</v>
      </c>
      <c r="C225" s="1">
        <f>VALUE("2013")</f>
        <v>2013</v>
      </c>
      <c r="D225" t="s">
        <v>267</v>
      </c>
      <c r="E225" s="1">
        <f>VALUE("6115")</f>
        <v>6115</v>
      </c>
    </row>
    <row r="226" spans="1:5" x14ac:dyDescent="0.25">
      <c r="A226" s="6" t="s">
        <v>271</v>
      </c>
      <c r="B226" s="6" t="s">
        <v>272</v>
      </c>
      <c r="C226" s="1">
        <v>2011</v>
      </c>
      <c r="D226" t="s">
        <v>273</v>
      </c>
      <c r="E226" s="1">
        <f>VALUE("6122")</f>
        <v>6122</v>
      </c>
    </row>
    <row r="227" spans="1:5" x14ac:dyDescent="0.25">
      <c r="A227" s="6" t="s">
        <v>277</v>
      </c>
      <c r="B227" s="6" t="s">
        <v>278</v>
      </c>
      <c r="C227" s="1">
        <f>VALUE("2012")</f>
        <v>2012</v>
      </c>
      <c r="D227" t="s">
        <v>279</v>
      </c>
      <c r="E227" s="1">
        <f>VALUE("6122")</f>
        <v>6122</v>
      </c>
    </row>
    <row r="228" spans="1:5" x14ac:dyDescent="0.25">
      <c r="A228" s="6" t="s">
        <v>286</v>
      </c>
      <c r="B228" s="6" t="s">
        <v>287</v>
      </c>
      <c r="C228" s="1">
        <f>VALUE("2012")</f>
        <v>2012</v>
      </c>
      <c r="D228" t="s">
        <v>288</v>
      </c>
      <c r="E228" s="1">
        <f>VALUE("6122")</f>
        <v>6122</v>
      </c>
    </row>
    <row r="229" spans="1:5" x14ac:dyDescent="0.25">
      <c r="A229" s="6" t="s">
        <v>280</v>
      </c>
      <c r="B229" s="6" t="s">
        <v>281</v>
      </c>
      <c r="C229" s="1">
        <f>VALUE("2013")</f>
        <v>2013</v>
      </c>
      <c r="D229" t="s">
        <v>282</v>
      </c>
      <c r="E229" s="1">
        <f>VALUE("6122")</f>
        <v>6122</v>
      </c>
    </row>
    <row r="230" spans="1:5" x14ac:dyDescent="0.25">
      <c r="A230" s="6" t="s">
        <v>283</v>
      </c>
      <c r="B230" s="6" t="s">
        <v>284</v>
      </c>
      <c r="C230" s="1">
        <f>VALUE("2013")</f>
        <v>2013</v>
      </c>
      <c r="D230" t="s">
        <v>285</v>
      </c>
      <c r="E230" s="1">
        <f>VALUE("6122")</f>
        <v>6122</v>
      </c>
    </row>
    <row r="231" spans="1:5" x14ac:dyDescent="0.25">
      <c r="A231" s="6" t="s">
        <v>268</v>
      </c>
      <c r="B231" s="6" t="s">
        <v>269</v>
      </c>
      <c r="C231" s="1">
        <f>VALUE("2015")</f>
        <v>2015</v>
      </c>
      <c r="D231" t="s">
        <v>270</v>
      </c>
      <c r="E231" s="1">
        <f>VALUE("6122")</f>
        <v>6122</v>
      </c>
    </row>
    <row r="232" spans="1:5" x14ac:dyDescent="0.25">
      <c r="A232" s="6" t="s">
        <v>274</v>
      </c>
      <c r="B232" s="6" t="s">
        <v>275</v>
      </c>
      <c r="C232" s="1">
        <f>VALUE("2015")</f>
        <v>2015</v>
      </c>
      <c r="D232" t="s">
        <v>276</v>
      </c>
      <c r="E232" s="1">
        <f>VALUE("6122")</f>
        <v>6122</v>
      </c>
    </row>
    <row r="233" spans="1:5" x14ac:dyDescent="0.25">
      <c r="A233" s="6" t="s">
        <v>2565</v>
      </c>
      <c r="B233" s="6" t="s">
        <v>294</v>
      </c>
      <c r="C233" s="1">
        <f>VALUE("2011")</f>
        <v>2011</v>
      </c>
      <c r="D233" t="s">
        <v>295</v>
      </c>
      <c r="E233" s="1">
        <f>VALUE("6123")</f>
        <v>6123</v>
      </c>
    </row>
    <row r="234" spans="1:5" x14ac:dyDescent="0.25">
      <c r="A234" s="6" t="s">
        <v>2564</v>
      </c>
      <c r="B234" s="6" t="s">
        <v>289</v>
      </c>
      <c r="C234" s="1">
        <f>VALUE("2012")</f>
        <v>2012</v>
      </c>
      <c r="D234" t="s">
        <v>290</v>
      </c>
      <c r="E234" s="1">
        <f>VALUE("6123")</f>
        <v>6123</v>
      </c>
    </row>
    <row r="235" spans="1:5" x14ac:dyDescent="0.25">
      <c r="A235" s="6" t="s">
        <v>291</v>
      </c>
      <c r="B235" s="6" t="s">
        <v>292</v>
      </c>
      <c r="C235" s="1">
        <f>VALUE("2014")</f>
        <v>2014</v>
      </c>
      <c r="D235" t="s">
        <v>293</v>
      </c>
      <c r="E235" s="1">
        <f>VALUE("6123")</f>
        <v>6123</v>
      </c>
    </row>
    <row r="236" spans="1:5" x14ac:dyDescent="0.25">
      <c r="A236" s="6" t="s">
        <v>304</v>
      </c>
      <c r="B236" s="6" t="s">
        <v>297</v>
      </c>
      <c r="C236" s="1">
        <v>2013</v>
      </c>
      <c r="D236" t="s">
        <v>298</v>
      </c>
      <c r="E236" s="1">
        <f>VALUE("6125")</f>
        <v>6125</v>
      </c>
    </row>
    <row r="237" spans="1:5" x14ac:dyDescent="0.25">
      <c r="A237" s="6" t="s">
        <v>301</v>
      </c>
      <c r="B237" s="6" t="s">
        <v>297</v>
      </c>
      <c r="C237" s="1">
        <f>VALUE("2014")</f>
        <v>2014</v>
      </c>
      <c r="D237" t="s">
        <v>302</v>
      </c>
      <c r="E237" s="1">
        <f>VALUE("6125")</f>
        <v>6125</v>
      </c>
    </row>
    <row r="238" spans="1:5" x14ac:dyDescent="0.25">
      <c r="A238" s="6" t="s">
        <v>310</v>
      </c>
      <c r="B238" s="6" t="s">
        <v>309</v>
      </c>
      <c r="C238" s="1">
        <f>VALUE("2014")</f>
        <v>2014</v>
      </c>
      <c r="D238" t="s">
        <v>298</v>
      </c>
      <c r="E238" s="1">
        <f>VALUE("6125")</f>
        <v>6125</v>
      </c>
    </row>
    <row r="239" spans="1:5" x14ac:dyDescent="0.25">
      <c r="A239" s="6" t="s">
        <v>303</v>
      </c>
      <c r="B239" s="6" t="s">
        <v>297</v>
      </c>
      <c r="C239" s="1">
        <f>VALUE("2015")</f>
        <v>2015</v>
      </c>
      <c r="D239" t="s">
        <v>298</v>
      </c>
      <c r="E239" s="1">
        <f>VALUE("6125")</f>
        <v>6125</v>
      </c>
    </row>
    <row r="240" spans="1:5" x14ac:dyDescent="0.25">
      <c r="A240" s="6" t="s">
        <v>305</v>
      </c>
      <c r="B240" s="6" t="s">
        <v>306</v>
      </c>
      <c r="C240" s="1">
        <f>VALUE("2015")</f>
        <v>2015</v>
      </c>
      <c r="D240" t="s">
        <v>307</v>
      </c>
      <c r="E240" s="1">
        <f>VALUE("6125")</f>
        <v>6125</v>
      </c>
    </row>
    <row r="241" spans="1:5" x14ac:dyDescent="0.25">
      <c r="A241" s="6" t="s">
        <v>308</v>
      </c>
      <c r="B241" s="6" t="s">
        <v>309</v>
      </c>
      <c r="C241" s="1">
        <f>VALUE("2016")</f>
        <v>2016</v>
      </c>
      <c r="D241" t="s">
        <v>298</v>
      </c>
      <c r="E241" s="1">
        <f>VALUE("6125")</f>
        <v>6125</v>
      </c>
    </row>
    <row r="242" spans="1:5" x14ac:dyDescent="0.25">
      <c r="A242" s="6" t="s">
        <v>299</v>
      </c>
      <c r="B242" s="6" t="s">
        <v>297</v>
      </c>
      <c r="C242" s="1">
        <f>VALUE("2016")</f>
        <v>2016</v>
      </c>
      <c r="D242" t="s">
        <v>298</v>
      </c>
      <c r="E242" s="1">
        <f>VALUE("6125")</f>
        <v>6125</v>
      </c>
    </row>
    <row r="243" spans="1:5" x14ac:dyDescent="0.25">
      <c r="A243" s="6" t="s">
        <v>300</v>
      </c>
      <c r="B243" s="6" t="s">
        <v>297</v>
      </c>
      <c r="C243" s="1">
        <f>VALUE("2017")</f>
        <v>2017</v>
      </c>
      <c r="D243" t="s">
        <v>298</v>
      </c>
      <c r="E243" s="1">
        <f>VALUE("6125")</f>
        <v>6125</v>
      </c>
    </row>
    <row r="244" spans="1:5" x14ac:dyDescent="0.25">
      <c r="A244" s="6" t="s">
        <v>296</v>
      </c>
      <c r="B244" s="6" t="s">
        <v>297</v>
      </c>
      <c r="C244" s="1">
        <f>VALUE("2018")</f>
        <v>2018</v>
      </c>
      <c r="D244" t="s">
        <v>298</v>
      </c>
      <c r="E244" s="1">
        <f>VALUE("6125")</f>
        <v>6125</v>
      </c>
    </row>
    <row r="245" spans="1:5" x14ac:dyDescent="0.25">
      <c r="A245" s="6" t="s">
        <v>311</v>
      </c>
      <c r="B245" s="6" t="s">
        <v>309</v>
      </c>
      <c r="C245" s="1">
        <f>VALUE("2018")</f>
        <v>2018</v>
      </c>
      <c r="D245" t="s">
        <v>298</v>
      </c>
      <c r="E245" s="1">
        <f>VALUE("6125")</f>
        <v>6125</v>
      </c>
    </row>
    <row r="246" spans="1:5" x14ac:dyDescent="0.25">
      <c r="A246" s="6" t="s">
        <v>315</v>
      </c>
      <c r="B246" s="6" t="s">
        <v>316</v>
      </c>
      <c r="C246" s="1">
        <f>VALUE("2011")</f>
        <v>2011</v>
      </c>
      <c r="D246" t="s">
        <v>317</v>
      </c>
      <c r="E246" s="1">
        <f>VALUE("6126")</f>
        <v>6126</v>
      </c>
    </row>
    <row r="247" spans="1:5" x14ac:dyDescent="0.25">
      <c r="A247" s="6" t="s">
        <v>2566</v>
      </c>
      <c r="B247" s="6" t="s">
        <v>318</v>
      </c>
      <c r="C247" s="1">
        <f>VALUE("2012")</f>
        <v>2012</v>
      </c>
      <c r="D247" t="s">
        <v>319</v>
      </c>
      <c r="E247" s="1">
        <f>VALUE("6126")</f>
        <v>6126</v>
      </c>
    </row>
    <row r="248" spans="1:5" x14ac:dyDescent="0.25">
      <c r="A248" s="6" t="s">
        <v>312</v>
      </c>
      <c r="B248" s="6" t="s">
        <v>313</v>
      </c>
      <c r="C248" s="1">
        <f>VALUE("2013")</f>
        <v>2013</v>
      </c>
      <c r="D248" t="s">
        <v>314</v>
      </c>
      <c r="E248" s="1">
        <f>VALUE("6126")</f>
        <v>6126</v>
      </c>
    </row>
    <row r="249" spans="1:5" x14ac:dyDescent="0.25">
      <c r="A249" s="12" t="s">
        <v>2459</v>
      </c>
      <c r="B249" s="12" t="s">
        <v>2460</v>
      </c>
      <c r="C249" s="10">
        <v>2008</v>
      </c>
      <c r="D249" s="11"/>
      <c r="E249" s="10">
        <v>6128</v>
      </c>
    </row>
    <row r="250" spans="1:5" x14ac:dyDescent="0.25">
      <c r="A250" s="6" t="s">
        <v>320</v>
      </c>
      <c r="B250" s="6" t="s">
        <v>321</v>
      </c>
      <c r="C250" s="1">
        <f>VALUE("2010")</f>
        <v>2010</v>
      </c>
      <c r="D250" t="s">
        <v>322</v>
      </c>
      <c r="E250" s="1">
        <f>VALUE("6129")</f>
        <v>6129</v>
      </c>
    </row>
    <row r="251" spans="1:5" x14ac:dyDescent="0.25">
      <c r="A251" s="6" t="s">
        <v>325</v>
      </c>
      <c r="B251" s="6" t="s">
        <v>326</v>
      </c>
      <c r="C251" s="1">
        <f>VALUE("2013")</f>
        <v>2013</v>
      </c>
      <c r="D251" t="s">
        <v>327</v>
      </c>
      <c r="E251" s="1">
        <f>VALUE("6129")</f>
        <v>6129</v>
      </c>
    </row>
    <row r="252" spans="1:5" x14ac:dyDescent="0.25">
      <c r="A252" s="6" t="s">
        <v>328</v>
      </c>
      <c r="B252" s="6" t="s">
        <v>329</v>
      </c>
      <c r="C252" s="1">
        <f>VALUE("2013")</f>
        <v>2013</v>
      </c>
      <c r="D252" t="s">
        <v>322</v>
      </c>
      <c r="E252" s="1">
        <f>VALUE("6129")</f>
        <v>6129</v>
      </c>
    </row>
    <row r="253" spans="1:5" x14ac:dyDescent="0.25">
      <c r="A253" s="6" t="s">
        <v>323</v>
      </c>
      <c r="B253" s="6" t="s">
        <v>324</v>
      </c>
      <c r="D253" t="s">
        <v>324</v>
      </c>
      <c r="E253" s="1">
        <f>VALUE("6129")</f>
        <v>6129</v>
      </c>
    </row>
    <row r="254" spans="1:5" x14ac:dyDescent="0.25">
      <c r="A254" s="6" t="s">
        <v>330</v>
      </c>
      <c r="B254" s="6" t="s">
        <v>331</v>
      </c>
      <c r="C254" s="1">
        <f>VALUE("2013")</f>
        <v>2013</v>
      </c>
      <c r="D254" t="s">
        <v>332</v>
      </c>
      <c r="E254" s="1">
        <f>VALUE("6130")</f>
        <v>6130</v>
      </c>
    </row>
    <row r="255" spans="1:5" x14ac:dyDescent="0.25">
      <c r="A255" s="6" t="s">
        <v>333</v>
      </c>
      <c r="B255" s="6" t="s">
        <v>334</v>
      </c>
      <c r="C255" s="1">
        <f>VALUE("2013")</f>
        <v>2013</v>
      </c>
      <c r="D255" t="s">
        <v>335</v>
      </c>
      <c r="E255" s="1">
        <f>VALUE("6130")</f>
        <v>6130</v>
      </c>
    </row>
    <row r="256" spans="1:5" x14ac:dyDescent="0.25">
      <c r="A256" s="6" t="s">
        <v>336</v>
      </c>
      <c r="B256" s="6" t="s">
        <v>337</v>
      </c>
      <c r="C256" s="1">
        <f>VALUE("2013")</f>
        <v>2013</v>
      </c>
      <c r="D256" t="s">
        <v>338</v>
      </c>
      <c r="E256" s="1">
        <f>VALUE("6130")</f>
        <v>6130</v>
      </c>
    </row>
    <row r="257" spans="1:5" x14ac:dyDescent="0.25">
      <c r="A257" s="6" t="s">
        <v>339</v>
      </c>
      <c r="B257" s="6" t="s">
        <v>340</v>
      </c>
      <c r="C257" s="1">
        <f>VALUE("2013")</f>
        <v>2013</v>
      </c>
      <c r="D257" t="s">
        <v>341</v>
      </c>
      <c r="E257" s="1">
        <f>VALUE("6130")</f>
        <v>6130</v>
      </c>
    </row>
    <row r="258" spans="1:5" x14ac:dyDescent="0.25">
      <c r="A258" s="6" t="s">
        <v>342</v>
      </c>
      <c r="B258" s="6" t="s">
        <v>343</v>
      </c>
      <c r="C258" s="1">
        <f>VALUE("2014")</f>
        <v>2014</v>
      </c>
      <c r="D258" t="s">
        <v>344</v>
      </c>
      <c r="E258" s="1">
        <f>VALUE("6130")</f>
        <v>6130</v>
      </c>
    </row>
    <row r="259" spans="1:5" x14ac:dyDescent="0.25">
      <c r="A259" s="6" t="s">
        <v>351</v>
      </c>
      <c r="B259" s="6" t="s">
        <v>352</v>
      </c>
      <c r="C259" s="1">
        <f>VALUE("2015")</f>
        <v>2015</v>
      </c>
      <c r="D259" t="s">
        <v>353</v>
      </c>
      <c r="E259" s="1">
        <f>VALUE("6130")</f>
        <v>6130</v>
      </c>
    </row>
    <row r="260" spans="1:5" x14ac:dyDescent="0.25">
      <c r="A260" s="6" t="s">
        <v>345</v>
      </c>
      <c r="B260" s="6" t="s">
        <v>346</v>
      </c>
      <c r="C260" s="1">
        <f>VALUE("2015")</f>
        <v>2015</v>
      </c>
      <c r="D260" t="s">
        <v>347</v>
      </c>
      <c r="E260" s="1">
        <f>VALUE("6130")</f>
        <v>6130</v>
      </c>
    </row>
    <row r="261" spans="1:5" x14ac:dyDescent="0.25">
      <c r="A261" s="6" t="s">
        <v>348</v>
      </c>
      <c r="B261" s="6" t="s">
        <v>349</v>
      </c>
      <c r="C261" s="1">
        <f>VALUE("2015")</f>
        <v>2015</v>
      </c>
      <c r="D261" t="s">
        <v>350</v>
      </c>
      <c r="E261" s="1">
        <f>VALUE("6130")</f>
        <v>6130</v>
      </c>
    </row>
    <row r="262" spans="1:5" x14ac:dyDescent="0.25">
      <c r="A262" s="6" t="s">
        <v>354</v>
      </c>
      <c r="B262" s="6" t="s">
        <v>355</v>
      </c>
      <c r="C262" s="1">
        <f>VALUE("2016")</f>
        <v>2016</v>
      </c>
      <c r="D262" t="s">
        <v>356</v>
      </c>
      <c r="E262" s="1">
        <f>VALUE("6130")</f>
        <v>6130</v>
      </c>
    </row>
    <row r="263" spans="1:5" x14ac:dyDescent="0.25">
      <c r="A263" s="6" t="s">
        <v>357</v>
      </c>
      <c r="B263" s="6" t="s">
        <v>358</v>
      </c>
      <c r="C263" s="1">
        <f>VALUE("2013")</f>
        <v>2013</v>
      </c>
      <c r="D263" t="s">
        <v>359</v>
      </c>
      <c r="E263" s="1">
        <f>VALUE("6132")</f>
        <v>6132</v>
      </c>
    </row>
    <row r="264" spans="1:5" x14ac:dyDescent="0.25">
      <c r="A264" s="6" t="s">
        <v>360</v>
      </c>
      <c r="B264" s="6" t="s">
        <v>361</v>
      </c>
      <c r="C264" s="1">
        <f>VALUE("2013")</f>
        <v>2013</v>
      </c>
      <c r="D264" t="s">
        <v>362</v>
      </c>
      <c r="E264" s="1">
        <f>VALUE("6132")</f>
        <v>6132</v>
      </c>
    </row>
    <row r="265" spans="1:5" x14ac:dyDescent="0.25">
      <c r="A265" s="6" t="s">
        <v>363</v>
      </c>
      <c r="B265" s="6" t="s">
        <v>364</v>
      </c>
      <c r="C265" s="1">
        <f>VALUE("2012")</f>
        <v>2012</v>
      </c>
      <c r="D265" t="s">
        <v>365</v>
      </c>
      <c r="E265" s="1">
        <f>VALUE("6136")</f>
        <v>6136</v>
      </c>
    </row>
    <row r="266" spans="1:5" x14ac:dyDescent="0.25">
      <c r="A266" s="12" t="s">
        <v>2461</v>
      </c>
      <c r="B266" s="12" t="s">
        <v>2462</v>
      </c>
      <c r="C266" s="10">
        <v>2010</v>
      </c>
      <c r="D266" s="11" t="s">
        <v>640</v>
      </c>
      <c r="E266" s="10">
        <v>6139</v>
      </c>
    </row>
    <row r="267" spans="1:5" x14ac:dyDescent="0.25">
      <c r="A267" s="12" t="s">
        <v>2463</v>
      </c>
      <c r="B267" s="12" t="s">
        <v>2464</v>
      </c>
      <c r="C267" s="10">
        <v>2011</v>
      </c>
      <c r="D267" s="11" t="s">
        <v>640</v>
      </c>
      <c r="E267" s="10">
        <v>6139</v>
      </c>
    </row>
    <row r="268" spans="1:5" x14ac:dyDescent="0.25">
      <c r="A268" s="12" t="s">
        <v>2465</v>
      </c>
      <c r="B268" s="12" t="s">
        <v>2466</v>
      </c>
      <c r="C268" s="10">
        <v>2009</v>
      </c>
      <c r="D268" s="11" t="s">
        <v>598</v>
      </c>
      <c r="E268" s="10">
        <v>6140</v>
      </c>
    </row>
    <row r="269" spans="1:5" x14ac:dyDescent="0.25">
      <c r="A269" s="12" t="s">
        <v>2467</v>
      </c>
      <c r="B269" s="12" t="s">
        <v>2468</v>
      </c>
      <c r="C269" s="10">
        <v>2010</v>
      </c>
      <c r="D269" s="11"/>
      <c r="E269" s="10">
        <v>6141</v>
      </c>
    </row>
    <row r="270" spans="1:5" x14ac:dyDescent="0.25">
      <c r="A270" s="12" t="s">
        <v>2469</v>
      </c>
      <c r="B270" s="12" t="s">
        <v>2468</v>
      </c>
      <c r="C270" s="10">
        <v>2010</v>
      </c>
      <c r="D270" s="11"/>
      <c r="E270" s="10">
        <v>6141</v>
      </c>
    </row>
    <row r="271" spans="1:5" x14ac:dyDescent="0.25">
      <c r="A271" s="12" t="s">
        <v>2470</v>
      </c>
      <c r="B271" s="12" t="s">
        <v>2471</v>
      </c>
      <c r="C271" s="10">
        <v>2009</v>
      </c>
      <c r="D271" s="11"/>
      <c r="E271" s="10">
        <v>6143</v>
      </c>
    </row>
    <row r="272" spans="1:5" x14ac:dyDescent="0.25">
      <c r="A272" s="6" t="s">
        <v>366</v>
      </c>
      <c r="B272" s="6" t="s">
        <v>367</v>
      </c>
      <c r="C272" s="1">
        <f>VALUE("2014")</f>
        <v>2014</v>
      </c>
      <c r="D272" t="s">
        <v>368</v>
      </c>
      <c r="E272" s="1">
        <f>VALUE("6145")</f>
        <v>6145</v>
      </c>
    </row>
    <row r="273" spans="1:5" x14ac:dyDescent="0.25">
      <c r="A273" s="12" t="s">
        <v>2472</v>
      </c>
      <c r="B273" s="12" t="s">
        <v>2473</v>
      </c>
      <c r="C273" s="10">
        <v>2009</v>
      </c>
      <c r="D273" s="11" t="s">
        <v>598</v>
      </c>
      <c r="E273" s="10">
        <v>6146</v>
      </c>
    </row>
    <row r="274" spans="1:5" x14ac:dyDescent="0.25">
      <c r="A274" s="12" t="s">
        <v>2474</v>
      </c>
      <c r="B274" s="12" t="s">
        <v>2475</v>
      </c>
      <c r="C274" s="10">
        <v>2009</v>
      </c>
      <c r="D274" s="11"/>
      <c r="E274" s="10">
        <v>6149</v>
      </c>
    </row>
    <row r="275" spans="1:5" x14ac:dyDescent="0.25">
      <c r="A275" s="6" t="s">
        <v>372</v>
      </c>
      <c r="B275" s="6" t="s">
        <v>373</v>
      </c>
      <c r="C275" s="1">
        <v>2011</v>
      </c>
      <c r="D275" t="s">
        <v>374</v>
      </c>
      <c r="E275" s="1">
        <f>VALUE("6152")</f>
        <v>6152</v>
      </c>
    </row>
    <row r="276" spans="1:5" x14ac:dyDescent="0.25">
      <c r="A276" s="6" t="s">
        <v>369</v>
      </c>
      <c r="B276" s="6" t="s">
        <v>370</v>
      </c>
      <c r="C276" s="1">
        <f>VALUE("2013")</f>
        <v>2013</v>
      </c>
      <c r="D276" t="s">
        <v>371</v>
      </c>
      <c r="E276" s="1">
        <f>VALUE("6152")</f>
        <v>6152</v>
      </c>
    </row>
    <row r="277" spans="1:5" x14ac:dyDescent="0.25">
      <c r="A277" s="6" t="s">
        <v>2541</v>
      </c>
      <c r="B277" s="6" t="s">
        <v>375</v>
      </c>
      <c r="C277" s="1">
        <f>VALUE("2013")</f>
        <v>2013</v>
      </c>
      <c r="D277" t="s">
        <v>376</v>
      </c>
      <c r="E277" s="1">
        <f>VALUE("6157")</f>
        <v>6157</v>
      </c>
    </row>
    <row r="278" spans="1:5" x14ac:dyDescent="0.25">
      <c r="A278" s="12" t="s">
        <v>2476</v>
      </c>
      <c r="B278" s="12" t="s">
        <v>2477</v>
      </c>
      <c r="C278" s="10">
        <v>2011</v>
      </c>
      <c r="D278" s="11" t="s">
        <v>101</v>
      </c>
      <c r="E278" s="10">
        <v>6161</v>
      </c>
    </row>
    <row r="279" spans="1:5" x14ac:dyDescent="0.25">
      <c r="A279" s="12" t="s">
        <v>2478</v>
      </c>
      <c r="B279" s="12" t="s">
        <v>2477</v>
      </c>
      <c r="C279" s="10">
        <v>2011</v>
      </c>
      <c r="D279" s="11" t="s">
        <v>2479</v>
      </c>
      <c r="E279" s="10">
        <v>6161</v>
      </c>
    </row>
    <row r="280" spans="1:5" x14ac:dyDescent="0.25">
      <c r="A280" s="12" t="s">
        <v>2480</v>
      </c>
      <c r="B280" s="12" t="s">
        <v>2481</v>
      </c>
      <c r="C280" s="10">
        <v>2009</v>
      </c>
      <c r="D280" s="11"/>
      <c r="E280" s="10">
        <v>6163</v>
      </c>
    </row>
    <row r="281" spans="1:5" x14ac:dyDescent="0.25">
      <c r="A281" s="6" t="s">
        <v>377</v>
      </c>
      <c r="B281" s="6" t="s">
        <v>378</v>
      </c>
      <c r="C281" s="1">
        <f>VALUE("2011")</f>
        <v>2011</v>
      </c>
      <c r="D281" t="s">
        <v>379</v>
      </c>
      <c r="E281" s="1">
        <f>VALUE("6166")</f>
        <v>6166</v>
      </c>
    </row>
    <row r="282" spans="1:5" x14ac:dyDescent="0.25">
      <c r="A282" s="6" t="s">
        <v>380</v>
      </c>
      <c r="B282" s="6" t="s">
        <v>381</v>
      </c>
      <c r="C282" s="1">
        <f>VALUE("2012")</f>
        <v>2012</v>
      </c>
      <c r="D282" t="s">
        <v>382</v>
      </c>
      <c r="E282" s="1">
        <f>VALUE("6168")</f>
        <v>6168</v>
      </c>
    </row>
    <row r="283" spans="1:5" x14ac:dyDescent="0.25">
      <c r="A283" s="12" t="s">
        <v>2679</v>
      </c>
      <c r="B283" s="12" t="s">
        <v>2482</v>
      </c>
      <c r="C283" s="10">
        <v>2010</v>
      </c>
      <c r="D283" s="11" t="s">
        <v>1033</v>
      </c>
      <c r="E283" s="10">
        <v>6171</v>
      </c>
    </row>
    <row r="284" spans="1:5" x14ac:dyDescent="0.25">
      <c r="A284" s="9" t="s">
        <v>2483</v>
      </c>
      <c r="B284" s="9" t="s">
        <v>2484</v>
      </c>
      <c r="C284" s="13">
        <v>2010</v>
      </c>
      <c r="D284" s="14" t="s">
        <v>508</v>
      </c>
      <c r="E284" s="13">
        <v>6175</v>
      </c>
    </row>
    <row r="285" spans="1:5" x14ac:dyDescent="0.25">
      <c r="A285" s="9" t="s">
        <v>2487</v>
      </c>
      <c r="B285" s="9" t="s">
        <v>2488</v>
      </c>
      <c r="C285" s="13">
        <v>2011</v>
      </c>
      <c r="D285" s="14" t="s">
        <v>2489</v>
      </c>
      <c r="E285" s="13">
        <v>6175</v>
      </c>
    </row>
    <row r="286" spans="1:5" x14ac:dyDescent="0.25">
      <c r="A286" s="9" t="s">
        <v>2485</v>
      </c>
      <c r="B286" s="9" t="s">
        <v>2486</v>
      </c>
      <c r="C286" s="13">
        <v>2013</v>
      </c>
      <c r="D286" s="14" t="s">
        <v>577</v>
      </c>
      <c r="E286" s="13">
        <v>6175</v>
      </c>
    </row>
    <row r="287" spans="1:5" x14ac:dyDescent="0.25">
      <c r="A287" s="6" t="s">
        <v>383</v>
      </c>
      <c r="B287" s="6" t="s">
        <v>384</v>
      </c>
      <c r="C287" s="1">
        <f>VALUE("2012")</f>
        <v>2012</v>
      </c>
      <c r="D287" t="s">
        <v>384</v>
      </c>
      <c r="E287" s="1">
        <f>VALUE("6179")</f>
        <v>6179</v>
      </c>
    </row>
    <row r="288" spans="1:5" x14ac:dyDescent="0.25">
      <c r="A288" s="6" t="s">
        <v>385</v>
      </c>
      <c r="B288" s="6" t="s">
        <v>386</v>
      </c>
      <c r="C288" s="1">
        <f>VALUE("2012")</f>
        <v>2012</v>
      </c>
      <c r="D288" t="s">
        <v>387</v>
      </c>
      <c r="E288" s="1">
        <f>VALUE("6184")</f>
        <v>6184</v>
      </c>
    </row>
    <row r="289" spans="1:5" x14ac:dyDescent="0.25">
      <c r="A289" s="6" t="s">
        <v>391</v>
      </c>
      <c r="B289" s="6" t="s">
        <v>392</v>
      </c>
      <c r="C289" s="1">
        <f>VALUE("2012")</f>
        <v>2012</v>
      </c>
      <c r="D289" t="s">
        <v>393</v>
      </c>
      <c r="E289" s="1">
        <f>VALUE("6184")</f>
        <v>6184</v>
      </c>
    </row>
    <row r="290" spans="1:5" x14ac:dyDescent="0.25">
      <c r="A290" s="6" t="s">
        <v>394</v>
      </c>
      <c r="B290" s="6" t="s">
        <v>389</v>
      </c>
      <c r="C290" s="1">
        <f>VALUE("2012")</f>
        <v>2012</v>
      </c>
      <c r="D290" t="s">
        <v>395</v>
      </c>
      <c r="E290" s="1">
        <f>VALUE("6184")</f>
        <v>6184</v>
      </c>
    </row>
    <row r="291" spans="1:5" x14ac:dyDescent="0.25">
      <c r="A291" s="6" t="s">
        <v>388</v>
      </c>
      <c r="B291" s="6" t="s">
        <v>389</v>
      </c>
      <c r="C291" s="1">
        <v>2013</v>
      </c>
      <c r="D291" t="s">
        <v>390</v>
      </c>
      <c r="E291" s="1">
        <f>VALUE("6184")</f>
        <v>6184</v>
      </c>
    </row>
    <row r="292" spans="1:5" x14ac:dyDescent="0.25">
      <c r="A292" s="12" t="s">
        <v>2490</v>
      </c>
      <c r="B292" s="12" t="s">
        <v>2491</v>
      </c>
      <c r="C292" s="10">
        <v>2010</v>
      </c>
      <c r="D292" s="11"/>
      <c r="E292" s="10">
        <v>6187</v>
      </c>
    </row>
    <row r="293" spans="1:5" x14ac:dyDescent="0.25">
      <c r="A293" s="12" t="s">
        <v>2492</v>
      </c>
      <c r="B293" s="12" t="s">
        <v>2491</v>
      </c>
      <c r="C293" s="10">
        <v>2010</v>
      </c>
      <c r="D293" s="11"/>
      <c r="E293" s="10">
        <v>6187</v>
      </c>
    </row>
    <row r="294" spans="1:5" x14ac:dyDescent="0.25">
      <c r="A294" s="6" t="s">
        <v>2567</v>
      </c>
      <c r="B294" s="6" t="s">
        <v>396</v>
      </c>
      <c r="C294" s="1">
        <f>VALUE("2014")</f>
        <v>2014</v>
      </c>
      <c r="D294" t="s">
        <v>397</v>
      </c>
      <c r="E294" s="1">
        <f>VALUE("6191")</f>
        <v>6191</v>
      </c>
    </row>
    <row r="295" spans="1:5" x14ac:dyDescent="0.25">
      <c r="A295" s="6" t="s">
        <v>398</v>
      </c>
      <c r="B295" s="6" t="s">
        <v>399</v>
      </c>
      <c r="C295" s="1">
        <f>VALUE("2014")</f>
        <v>2014</v>
      </c>
      <c r="D295" t="s">
        <v>400</v>
      </c>
      <c r="E295" s="1">
        <f>VALUE("6191")</f>
        <v>6191</v>
      </c>
    </row>
    <row r="296" spans="1:5" x14ac:dyDescent="0.25">
      <c r="A296" s="6" t="s">
        <v>401</v>
      </c>
      <c r="B296" s="6" t="s">
        <v>402</v>
      </c>
      <c r="C296" s="1">
        <f>VALUE("2014")</f>
        <v>2014</v>
      </c>
      <c r="D296" t="s">
        <v>403</v>
      </c>
      <c r="E296" s="1">
        <f>VALUE("6191")</f>
        <v>6191</v>
      </c>
    </row>
    <row r="297" spans="1:5" x14ac:dyDescent="0.25">
      <c r="A297" s="6" t="s">
        <v>404</v>
      </c>
      <c r="B297" s="6" t="s">
        <v>405</v>
      </c>
      <c r="C297" s="1">
        <f>VALUE("2014")</f>
        <v>2014</v>
      </c>
      <c r="D297" t="s">
        <v>406</v>
      </c>
      <c r="E297" s="1">
        <f>VALUE("6191")</f>
        <v>6191</v>
      </c>
    </row>
    <row r="298" spans="1:5" x14ac:dyDescent="0.25">
      <c r="A298" s="6" t="s">
        <v>407</v>
      </c>
      <c r="B298" s="6" t="s">
        <v>396</v>
      </c>
      <c r="C298" s="1">
        <f>VALUE("2014")</f>
        <v>2014</v>
      </c>
      <c r="D298" t="s">
        <v>408</v>
      </c>
      <c r="E298" s="1">
        <f>VALUE("6191")</f>
        <v>6191</v>
      </c>
    </row>
    <row r="299" spans="1:5" x14ac:dyDescent="0.25">
      <c r="A299" s="12" t="s">
        <v>2493</v>
      </c>
      <c r="B299" s="12" t="s">
        <v>2494</v>
      </c>
      <c r="C299" s="10">
        <v>2009</v>
      </c>
      <c r="D299" s="11"/>
      <c r="E299" s="10">
        <v>6200</v>
      </c>
    </row>
    <row r="300" spans="1:5" x14ac:dyDescent="0.25">
      <c r="A300" s="12" t="s">
        <v>2495</v>
      </c>
      <c r="B300" s="12" t="s">
        <v>2496</v>
      </c>
      <c r="C300" s="10">
        <v>2011</v>
      </c>
      <c r="D300" s="11"/>
      <c r="E300" s="10">
        <v>7004</v>
      </c>
    </row>
    <row r="301" spans="1:5" x14ac:dyDescent="0.25">
      <c r="A301" s="6" t="s">
        <v>409</v>
      </c>
      <c r="B301" s="6" t="s">
        <v>410</v>
      </c>
      <c r="C301" s="1">
        <f>VALUE("2014")</f>
        <v>2014</v>
      </c>
      <c r="D301" t="s">
        <v>411</v>
      </c>
      <c r="E301" s="1">
        <f>VALUE("7008")</f>
        <v>7008</v>
      </c>
    </row>
    <row r="302" spans="1:5" x14ac:dyDescent="0.25">
      <c r="A302" s="6" t="s">
        <v>412</v>
      </c>
      <c r="B302" s="6" t="s">
        <v>413</v>
      </c>
      <c r="C302" s="1">
        <f>VALUE("2015")</f>
        <v>2015</v>
      </c>
      <c r="D302" t="s">
        <v>411</v>
      </c>
      <c r="E302" s="1">
        <f>VALUE("7008")</f>
        <v>7008</v>
      </c>
    </row>
    <row r="303" spans="1:5" x14ac:dyDescent="0.25">
      <c r="A303" s="6" t="s">
        <v>2568</v>
      </c>
      <c r="B303" s="6" t="s">
        <v>416</v>
      </c>
      <c r="C303" s="1">
        <f>VALUE("2015")</f>
        <v>2015</v>
      </c>
      <c r="D303" t="s">
        <v>417</v>
      </c>
      <c r="E303" s="1">
        <f>VALUE("7008")</f>
        <v>7008</v>
      </c>
    </row>
    <row r="304" spans="1:5" x14ac:dyDescent="0.25">
      <c r="A304" s="6" t="s">
        <v>414</v>
      </c>
      <c r="B304" s="6" t="s">
        <v>415</v>
      </c>
      <c r="C304" s="1">
        <v>2018</v>
      </c>
      <c r="D304" t="s">
        <v>411</v>
      </c>
      <c r="E304" s="1">
        <f>VALUE("7008")</f>
        <v>7008</v>
      </c>
    </row>
    <row r="305" spans="1:5" x14ac:dyDescent="0.25">
      <c r="A305" s="6" t="s">
        <v>418</v>
      </c>
      <c r="B305" s="6" t="s">
        <v>419</v>
      </c>
      <c r="C305" s="1">
        <f>VALUE("2014")</f>
        <v>2014</v>
      </c>
      <c r="D305" t="s">
        <v>420</v>
      </c>
      <c r="E305" s="1">
        <f>VALUE("7012")</f>
        <v>7012</v>
      </c>
    </row>
    <row r="306" spans="1:5" x14ac:dyDescent="0.25">
      <c r="A306" s="6" t="s">
        <v>421</v>
      </c>
      <c r="B306" s="6" t="s">
        <v>422</v>
      </c>
      <c r="C306" s="1">
        <f>VALUE("2014")</f>
        <v>2014</v>
      </c>
      <c r="D306" t="s">
        <v>423</v>
      </c>
      <c r="E306" s="1">
        <f>VALUE("7012")</f>
        <v>7012</v>
      </c>
    </row>
    <row r="307" spans="1:5" x14ac:dyDescent="0.25">
      <c r="A307" s="6" t="s">
        <v>424</v>
      </c>
      <c r="B307" s="6" t="s">
        <v>425</v>
      </c>
      <c r="C307" s="1">
        <f>VALUE("2017")</f>
        <v>2017</v>
      </c>
      <c r="D307" t="s">
        <v>426</v>
      </c>
      <c r="E307" s="1">
        <f>VALUE("7012")</f>
        <v>7012</v>
      </c>
    </row>
    <row r="308" spans="1:5" x14ac:dyDescent="0.25">
      <c r="A308" s="6" t="s">
        <v>427</v>
      </c>
      <c r="B308" s="6" t="s">
        <v>428</v>
      </c>
      <c r="C308" s="1">
        <f>VALUE("2011")</f>
        <v>2011</v>
      </c>
      <c r="E308" s="1">
        <f>VALUE("7014")</f>
        <v>7014</v>
      </c>
    </row>
    <row r="309" spans="1:5" x14ac:dyDescent="0.25">
      <c r="A309" s="6" t="s">
        <v>429</v>
      </c>
      <c r="B309" s="6" t="s">
        <v>430</v>
      </c>
      <c r="C309" s="1">
        <f>VALUE("2013")</f>
        <v>2013</v>
      </c>
      <c r="D309" t="s">
        <v>69</v>
      </c>
      <c r="E309" s="1">
        <f>VALUE("7015")</f>
        <v>7015</v>
      </c>
    </row>
    <row r="310" spans="1:5" x14ac:dyDescent="0.25">
      <c r="A310" s="6" t="s">
        <v>431</v>
      </c>
      <c r="B310" s="6" t="s">
        <v>432</v>
      </c>
      <c r="C310" s="1">
        <f>VALUE("2013")</f>
        <v>2013</v>
      </c>
      <c r="D310" t="s">
        <v>69</v>
      </c>
      <c r="E310" s="1">
        <f>VALUE("7015")</f>
        <v>7015</v>
      </c>
    </row>
    <row r="311" spans="1:5" x14ac:dyDescent="0.25">
      <c r="A311" s="6" t="s">
        <v>2569</v>
      </c>
      <c r="B311" s="6" t="s">
        <v>433</v>
      </c>
      <c r="C311" s="1">
        <f>VALUE("2013")</f>
        <v>2013</v>
      </c>
      <c r="D311" t="s">
        <v>69</v>
      </c>
      <c r="E311" s="1">
        <f>VALUE("7015")</f>
        <v>7015</v>
      </c>
    </row>
    <row r="312" spans="1:5" x14ac:dyDescent="0.25">
      <c r="A312" s="6" t="s">
        <v>435</v>
      </c>
      <c r="B312" s="6" t="s">
        <v>436</v>
      </c>
      <c r="C312" s="1">
        <f>VALUE("2011")</f>
        <v>2011</v>
      </c>
      <c r="D312" t="s">
        <v>437</v>
      </c>
      <c r="E312" s="1">
        <f>VALUE("7017")</f>
        <v>7017</v>
      </c>
    </row>
    <row r="313" spans="1:5" x14ac:dyDescent="0.25">
      <c r="A313" s="6" t="s">
        <v>2542</v>
      </c>
      <c r="B313" s="6" t="s">
        <v>438</v>
      </c>
      <c r="C313" s="1">
        <f>VALUE("2012")</f>
        <v>2012</v>
      </c>
      <c r="D313" t="s">
        <v>439</v>
      </c>
      <c r="E313" s="1">
        <f>VALUE("7017")</f>
        <v>7017</v>
      </c>
    </row>
    <row r="314" spans="1:5" x14ac:dyDescent="0.25">
      <c r="A314" s="6" t="s">
        <v>2570</v>
      </c>
      <c r="B314" s="6" t="s">
        <v>434</v>
      </c>
      <c r="C314" s="1">
        <f>VALUE("2013")</f>
        <v>2013</v>
      </c>
      <c r="D314" t="s">
        <v>101</v>
      </c>
      <c r="E314" s="1">
        <f>VALUE("7017")</f>
        <v>7017</v>
      </c>
    </row>
    <row r="315" spans="1:5" x14ac:dyDescent="0.25">
      <c r="A315" s="12" t="s">
        <v>2497</v>
      </c>
      <c r="B315" s="12" t="s">
        <v>2498</v>
      </c>
      <c r="C315" s="10">
        <v>2010</v>
      </c>
      <c r="D315" s="11"/>
      <c r="E315" s="10">
        <v>7019</v>
      </c>
    </row>
    <row r="316" spans="1:5" x14ac:dyDescent="0.25">
      <c r="A316" s="6" t="s">
        <v>440</v>
      </c>
      <c r="B316" s="6" t="s">
        <v>441</v>
      </c>
      <c r="C316" s="1">
        <f>VALUE("2015")</f>
        <v>2015</v>
      </c>
      <c r="D316" t="s">
        <v>442</v>
      </c>
      <c r="E316" s="1">
        <f>VALUE("7020")</f>
        <v>7020</v>
      </c>
    </row>
    <row r="317" spans="1:5" x14ac:dyDescent="0.25">
      <c r="A317" s="6" t="s">
        <v>2571</v>
      </c>
      <c r="B317" s="6" t="s">
        <v>455</v>
      </c>
      <c r="C317" s="1">
        <v>2012</v>
      </c>
      <c r="D317" t="s">
        <v>456</v>
      </c>
      <c r="E317" s="1">
        <f>VALUE("7022")</f>
        <v>7022</v>
      </c>
    </row>
    <row r="318" spans="1:5" x14ac:dyDescent="0.25">
      <c r="A318" s="6" t="s">
        <v>446</v>
      </c>
      <c r="B318" s="6" t="s">
        <v>447</v>
      </c>
      <c r="C318" s="1">
        <f>VALUE("2015")</f>
        <v>2015</v>
      </c>
      <c r="D318" t="s">
        <v>448</v>
      </c>
      <c r="E318" s="1">
        <f>VALUE("7022")</f>
        <v>7022</v>
      </c>
    </row>
    <row r="319" spans="1:5" x14ac:dyDescent="0.25">
      <c r="A319" s="6" t="s">
        <v>443</v>
      </c>
      <c r="B319" s="6" t="s">
        <v>444</v>
      </c>
      <c r="C319" s="1">
        <f>VALUE("2015")</f>
        <v>2015</v>
      </c>
      <c r="D319" t="s">
        <v>445</v>
      </c>
      <c r="E319" s="1">
        <f>VALUE("7022")</f>
        <v>7022</v>
      </c>
    </row>
    <row r="320" spans="1:5" x14ac:dyDescent="0.25">
      <c r="A320" s="6" t="s">
        <v>452</v>
      </c>
      <c r="B320" s="6" t="s">
        <v>453</v>
      </c>
      <c r="C320" s="1">
        <f>VALUE("2016")</f>
        <v>2016</v>
      </c>
      <c r="D320" t="s">
        <v>454</v>
      </c>
      <c r="E320" s="1">
        <f>VALUE("7022")</f>
        <v>7022</v>
      </c>
    </row>
    <row r="321" spans="1:5" x14ac:dyDescent="0.25">
      <c r="A321" s="6" t="s">
        <v>449</v>
      </c>
      <c r="B321" s="6" t="s">
        <v>450</v>
      </c>
      <c r="C321" s="1">
        <f>VALUE("2017")</f>
        <v>2017</v>
      </c>
      <c r="D321" t="s">
        <v>451</v>
      </c>
      <c r="E321" s="1">
        <f>VALUE("7022")</f>
        <v>7022</v>
      </c>
    </row>
    <row r="322" spans="1:5" x14ac:dyDescent="0.25">
      <c r="A322" s="6" t="s">
        <v>2572</v>
      </c>
      <c r="B322" s="6" t="s">
        <v>467</v>
      </c>
      <c r="C322" s="1">
        <f>VALUE("2012")</f>
        <v>2012</v>
      </c>
      <c r="D322" t="s">
        <v>468</v>
      </c>
      <c r="E322" s="1">
        <f>VALUE("7024")</f>
        <v>7024</v>
      </c>
    </row>
    <row r="323" spans="1:5" x14ac:dyDescent="0.25">
      <c r="A323" s="6" t="s">
        <v>459</v>
      </c>
      <c r="B323" s="6" t="s">
        <v>460</v>
      </c>
      <c r="C323" s="1">
        <v>2013</v>
      </c>
      <c r="D323" t="s">
        <v>461</v>
      </c>
      <c r="E323" s="1">
        <f>VALUE("7024")</f>
        <v>7024</v>
      </c>
    </row>
    <row r="324" spans="1:5" x14ac:dyDescent="0.25">
      <c r="A324" s="6" t="s">
        <v>2573</v>
      </c>
      <c r="B324" s="6" t="s">
        <v>465</v>
      </c>
      <c r="C324" s="1">
        <f>VALUE("2013")</f>
        <v>2013</v>
      </c>
      <c r="D324" t="s">
        <v>466</v>
      </c>
      <c r="E324" s="1">
        <f>VALUE("7024")</f>
        <v>7024</v>
      </c>
    </row>
    <row r="325" spans="1:5" x14ac:dyDescent="0.25">
      <c r="A325" s="6" t="s">
        <v>457</v>
      </c>
      <c r="B325" s="6" t="s">
        <v>458</v>
      </c>
      <c r="C325" s="1">
        <f>VALUE("2014")</f>
        <v>2014</v>
      </c>
      <c r="D325" t="s">
        <v>144</v>
      </c>
      <c r="E325" s="1">
        <f>VALUE("7024")</f>
        <v>7024</v>
      </c>
    </row>
    <row r="326" spans="1:5" x14ac:dyDescent="0.25">
      <c r="A326" s="6" t="s">
        <v>462</v>
      </c>
      <c r="B326" s="6" t="s">
        <v>463</v>
      </c>
      <c r="C326" s="1">
        <f>VALUE("2014")</f>
        <v>2014</v>
      </c>
      <c r="D326" t="s">
        <v>464</v>
      </c>
      <c r="E326" s="1">
        <f>VALUE("7024")</f>
        <v>7024</v>
      </c>
    </row>
    <row r="327" spans="1:5" x14ac:dyDescent="0.25">
      <c r="A327" s="6" t="s">
        <v>469</v>
      </c>
      <c r="B327" s="6" t="s">
        <v>470</v>
      </c>
      <c r="C327" s="1">
        <f>VALUE("2019")</f>
        <v>2019</v>
      </c>
      <c r="D327" t="s">
        <v>471</v>
      </c>
      <c r="E327" s="1">
        <f>VALUE("7024")</f>
        <v>7024</v>
      </c>
    </row>
    <row r="328" spans="1:5" x14ac:dyDescent="0.25">
      <c r="A328" s="6" t="s">
        <v>315</v>
      </c>
      <c r="B328" s="6" t="s">
        <v>316</v>
      </c>
      <c r="C328" s="1">
        <v>2011</v>
      </c>
      <c r="D328" t="s">
        <v>477</v>
      </c>
      <c r="E328" s="1">
        <f>VALUE("7027")</f>
        <v>7027</v>
      </c>
    </row>
    <row r="329" spans="1:5" x14ac:dyDescent="0.25">
      <c r="A329" s="6" t="s">
        <v>2574</v>
      </c>
      <c r="B329" s="6" t="s">
        <v>475</v>
      </c>
      <c r="C329" s="1">
        <f>VALUE("2012")</f>
        <v>2012</v>
      </c>
      <c r="D329" t="s">
        <v>476</v>
      </c>
      <c r="E329" s="1">
        <f>VALUE("7027")</f>
        <v>7027</v>
      </c>
    </row>
    <row r="330" spans="1:5" x14ac:dyDescent="0.25">
      <c r="A330" s="6" t="s">
        <v>2566</v>
      </c>
      <c r="B330" s="6" t="s">
        <v>478</v>
      </c>
      <c r="C330" s="1">
        <f>VALUE("2012")</f>
        <v>2012</v>
      </c>
      <c r="D330" t="s">
        <v>319</v>
      </c>
      <c r="E330" s="1">
        <f>VALUE("7027")</f>
        <v>7027</v>
      </c>
    </row>
    <row r="331" spans="1:5" x14ac:dyDescent="0.25">
      <c r="A331" s="6" t="s">
        <v>472</v>
      </c>
      <c r="B331" s="6" t="s">
        <v>473</v>
      </c>
      <c r="C331" s="1">
        <f>VALUE("2013")</f>
        <v>2013</v>
      </c>
      <c r="D331" t="s">
        <v>474</v>
      </c>
      <c r="E331" s="1">
        <f>VALUE("7027")</f>
        <v>7027</v>
      </c>
    </row>
    <row r="332" spans="1:5" x14ac:dyDescent="0.25">
      <c r="A332" s="6" t="s">
        <v>2575</v>
      </c>
      <c r="B332" s="6" t="s">
        <v>479</v>
      </c>
      <c r="C332" s="1">
        <f>VALUE("2014")</f>
        <v>2014</v>
      </c>
      <c r="D332" t="s">
        <v>479</v>
      </c>
      <c r="E332" s="1">
        <f>VALUE("7028")</f>
        <v>7028</v>
      </c>
    </row>
    <row r="333" spans="1:5" x14ac:dyDescent="0.25">
      <c r="A333" s="12" t="s">
        <v>2499</v>
      </c>
      <c r="B333" s="12" t="s">
        <v>2500</v>
      </c>
      <c r="C333" s="10">
        <v>2010</v>
      </c>
      <c r="D333" s="11"/>
      <c r="E333" s="10">
        <v>7034</v>
      </c>
    </row>
    <row r="334" spans="1:5" x14ac:dyDescent="0.25">
      <c r="A334" s="6" t="s">
        <v>483</v>
      </c>
      <c r="B334" s="6" t="s">
        <v>484</v>
      </c>
      <c r="C334" s="1">
        <f>VALUE("2015")</f>
        <v>2015</v>
      </c>
      <c r="D334" t="s">
        <v>485</v>
      </c>
      <c r="E334" s="1">
        <f>VALUE("7035")</f>
        <v>7035</v>
      </c>
    </row>
    <row r="335" spans="1:5" x14ac:dyDescent="0.25">
      <c r="A335" s="6" t="s">
        <v>480</v>
      </c>
      <c r="B335" s="6" t="s">
        <v>481</v>
      </c>
      <c r="C335" s="1">
        <f>VALUE("2015")</f>
        <v>2015</v>
      </c>
      <c r="D335" t="s">
        <v>482</v>
      </c>
      <c r="E335" s="1">
        <f>VALUE("7035")</f>
        <v>7035</v>
      </c>
    </row>
    <row r="336" spans="1:5" x14ac:dyDescent="0.25">
      <c r="A336" s="6" t="s">
        <v>2576</v>
      </c>
      <c r="B336" s="6" t="s">
        <v>486</v>
      </c>
      <c r="C336" s="1">
        <f>VALUE("2012")</f>
        <v>2012</v>
      </c>
      <c r="D336" t="s">
        <v>487</v>
      </c>
      <c r="E336" s="1">
        <f>VALUE("7036")</f>
        <v>7036</v>
      </c>
    </row>
    <row r="337" spans="1:5" x14ac:dyDescent="0.25">
      <c r="A337" s="6" t="s">
        <v>2577</v>
      </c>
      <c r="B337" s="6" t="s">
        <v>488</v>
      </c>
      <c r="C337" s="1">
        <f>VALUE("2013")</f>
        <v>2013</v>
      </c>
      <c r="D337" t="s">
        <v>489</v>
      </c>
      <c r="E337" s="1">
        <f>VALUE("7036")</f>
        <v>7036</v>
      </c>
    </row>
    <row r="338" spans="1:5" x14ac:dyDescent="0.25">
      <c r="A338" s="6" t="s">
        <v>490</v>
      </c>
      <c r="B338" s="6" t="s">
        <v>486</v>
      </c>
      <c r="C338" s="1">
        <f>VALUE("2015")</f>
        <v>2015</v>
      </c>
      <c r="D338" t="s">
        <v>491</v>
      </c>
      <c r="E338" s="1">
        <f>VALUE("7036")</f>
        <v>7036</v>
      </c>
    </row>
    <row r="339" spans="1:5" x14ac:dyDescent="0.25">
      <c r="A339" s="6" t="s">
        <v>2578</v>
      </c>
      <c r="B339" s="6" t="s">
        <v>492</v>
      </c>
      <c r="C339" s="1">
        <f>VALUE("2016")</f>
        <v>2016</v>
      </c>
      <c r="D339" t="s">
        <v>493</v>
      </c>
      <c r="E339" s="1">
        <f>VALUE("7036")</f>
        <v>7036</v>
      </c>
    </row>
    <row r="340" spans="1:5" x14ac:dyDescent="0.25">
      <c r="A340" s="6" t="s">
        <v>2579</v>
      </c>
      <c r="B340" s="6" t="s">
        <v>494</v>
      </c>
      <c r="C340" s="1">
        <f>VALUE("2013")</f>
        <v>2013</v>
      </c>
      <c r="D340" t="s">
        <v>495</v>
      </c>
      <c r="E340" s="1">
        <f>VALUE("7039")</f>
        <v>7039</v>
      </c>
    </row>
    <row r="341" spans="1:5" x14ac:dyDescent="0.25">
      <c r="A341" s="6" t="s">
        <v>2580</v>
      </c>
      <c r="B341" s="6" t="s">
        <v>496</v>
      </c>
      <c r="C341" s="1">
        <f>VALUE("2014")</f>
        <v>2014</v>
      </c>
      <c r="D341" t="s">
        <v>497</v>
      </c>
      <c r="E341" s="1">
        <f>VALUE("7039")</f>
        <v>7039</v>
      </c>
    </row>
    <row r="342" spans="1:5" x14ac:dyDescent="0.25">
      <c r="A342" s="6" t="s">
        <v>498</v>
      </c>
      <c r="B342" s="6" t="s">
        <v>499</v>
      </c>
      <c r="C342" s="1">
        <f>VALUE("2012")</f>
        <v>2012</v>
      </c>
      <c r="D342" t="s">
        <v>500</v>
      </c>
      <c r="E342" s="1">
        <f>VALUE("7040")</f>
        <v>7040</v>
      </c>
    </row>
    <row r="343" spans="1:5" x14ac:dyDescent="0.25">
      <c r="A343" s="12" t="s">
        <v>2501</v>
      </c>
      <c r="B343" s="12" t="s">
        <v>2502</v>
      </c>
      <c r="C343" s="10">
        <v>2011</v>
      </c>
      <c r="D343" s="11" t="s">
        <v>2503</v>
      </c>
      <c r="E343" s="10">
        <v>7043</v>
      </c>
    </row>
    <row r="344" spans="1:5" x14ac:dyDescent="0.25">
      <c r="A344" s="12" t="s">
        <v>2504</v>
      </c>
      <c r="B344" s="12" t="s">
        <v>2505</v>
      </c>
      <c r="C344" s="10">
        <v>2010</v>
      </c>
      <c r="D344" s="11"/>
      <c r="E344" s="10">
        <v>7044</v>
      </c>
    </row>
    <row r="345" spans="1:5" x14ac:dyDescent="0.25">
      <c r="A345" s="6" t="s">
        <v>501</v>
      </c>
      <c r="B345" s="6" t="s">
        <v>502</v>
      </c>
      <c r="C345" s="1">
        <v>2015</v>
      </c>
      <c r="D345" t="s">
        <v>503</v>
      </c>
      <c r="E345" s="1">
        <f>VALUE("7046")</f>
        <v>7046</v>
      </c>
    </row>
    <row r="346" spans="1:5" x14ac:dyDescent="0.25">
      <c r="A346" s="6" t="s">
        <v>504</v>
      </c>
      <c r="B346" s="6" t="s">
        <v>505</v>
      </c>
      <c r="C346" s="1">
        <f>VALUE("2012")</f>
        <v>2012</v>
      </c>
      <c r="D346" t="s">
        <v>506</v>
      </c>
      <c r="E346" s="1">
        <f>VALUE("7047")</f>
        <v>7047</v>
      </c>
    </row>
    <row r="347" spans="1:5" x14ac:dyDescent="0.25">
      <c r="A347" s="12" t="s">
        <v>2510</v>
      </c>
      <c r="B347" s="12" t="s">
        <v>2511</v>
      </c>
      <c r="C347" s="10">
        <v>2011</v>
      </c>
      <c r="D347" s="11" t="s">
        <v>1212</v>
      </c>
      <c r="E347" s="10">
        <v>7048</v>
      </c>
    </row>
    <row r="348" spans="1:5" x14ac:dyDescent="0.25">
      <c r="A348" s="12" t="s">
        <v>2506</v>
      </c>
      <c r="B348" s="15" t="s">
        <v>2507</v>
      </c>
      <c r="C348" s="10">
        <v>2011</v>
      </c>
      <c r="D348" s="11" t="s">
        <v>1212</v>
      </c>
      <c r="E348" s="10">
        <v>7048</v>
      </c>
    </row>
    <row r="349" spans="1:5" x14ac:dyDescent="0.25">
      <c r="A349" s="12" t="s">
        <v>2512</v>
      </c>
      <c r="B349" s="12" t="s">
        <v>1212</v>
      </c>
      <c r="C349" s="10">
        <v>2011</v>
      </c>
      <c r="D349" s="11" t="s">
        <v>1212</v>
      </c>
      <c r="E349" s="10">
        <v>7048</v>
      </c>
    </row>
    <row r="350" spans="1:5" x14ac:dyDescent="0.25">
      <c r="A350" s="12" t="s">
        <v>2508</v>
      </c>
      <c r="B350" s="12" t="s">
        <v>2509</v>
      </c>
      <c r="C350" s="10">
        <v>2011</v>
      </c>
      <c r="D350" s="11" t="s">
        <v>2543</v>
      </c>
      <c r="E350" s="10">
        <v>7048</v>
      </c>
    </row>
    <row r="351" spans="1:5" x14ac:dyDescent="0.25">
      <c r="A351" s="12" t="s">
        <v>2513</v>
      </c>
      <c r="B351" s="12" t="s">
        <v>138</v>
      </c>
      <c r="C351" s="10">
        <v>2010</v>
      </c>
      <c r="D351" s="11"/>
      <c r="E351" s="10">
        <v>7049</v>
      </c>
    </row>
    <row r="352" spans="1:5" x14ac:dyDescent="0.25">
      <c r="A352" s="6" t="s">
        <v>507</v>
      </c>
      <c r="B352" s="6" t="s">
        <v>508</v>
      </c>
      <c r="C352" s="1">
        <f>VALUE("2010")</f>
        <v>2010</v>
      </c>
      <c r="D352" t="s">
        <v>508</v>
      </c>
      <c r="E352" s="1">
        <f>VALUE("7051")</f>
        <v>7051</v>
      </c>
    </row>
    <row r="353" spans="1:5" x14ac:dyDescent="0.25">
      <c r="A353" s="12" t="s">
        <v>2514</v>
      </c>
      <c r="B353" s="16" t="s">
        <v>2515</v>
      </c>
      <c r="C353" s="10">
        <v>2010</v>
      </c>
      <c r="D353" s="11" t="s">
        <v>598</v>
      </c>
      <c r="E353" s="10">
        <v>7052</v>
      </c>
    </row>
    <row r="354" spans="1:5" x14ac:dyDescent="0.25">
      <c r="A354" s="6" t="s">
        <v>516</v>
      </c>
      <c r="B354" s="6" t="s">
        <v>517</v>
      </c>
      <c r="C354" s="1">
        <v>2013</v>
      </c>
      <c r="D354" t="s">
        <v>518</v>
      </c>
      <c r="E354" s="1">
        <f>VALUE("7055")</f>
        <v>7055</v>
      </c>
    </row>
    <row r="355" spans="1:5" x14ac:dyDescent="0.25">
      <c r="A355" s="6" t="s">
        <v>2581</v>
      </c>
      <c r="B355" s="6" t="s">
        <v>509</v>
      </c>
      <c r="C355" s="1">
        <f>VALUE("2014")</f>
        <v>2014</v>
      </c>
      <c r="D355" t="s">
        <v>510</v>
      </c>
      <c r="E355" s="1">
        <f>VALUE("7055")</f>
        <v>7055</v>
      </c>
    </row>
    <row r="356" spans="1:5" x14ac:dyDescent="0.25">
      <c r="A356" s="6" t="s">
        <v>511</v>
      </c>
      <c r="B356" s="6" t="s">
        <v>512</v>
      </c>
      <c r="C356" s="1">
        <f>VALUE("2014")</f>
        <v>2014</v>
      </c>
      <c r="D356" t="s">
        <v>513</v>
      </c>
      <c r="E356" s="1">
        <f>VALUE("7055")</f>
        <v>7055</v>
      </c>
    </row>
    <row r="357" spans="1:5" x14ac:dyDescent="0.25">
      <c r="A357" s="6" t="s">
        <v>2582</v>
      </c>
      <c r="B357" s="6" t="s">
        <v>514</v>
      </c>
      <c r="C357" s="1">
        <f>VALUE("2014")</f>
        <v>2014</v>
      </c>
      <c r="D357" t="s">
        <v>515</v>
      </c>
      <c r="E357" s="1">
        <f>VALUE("7055")</f>
        <v>7055</v>
      </c>
    </row>
    <row r="358" spans="1:5" x14ac:dyDescent="0.25">
      <c r="A358" s="6" t="s">
        <v>519</v>
      </c>
      <c r="B358" s="6" t="s">
        <v>520</v>
      </c>
      <c r="C358" s="1">
        <f>VALUE("2014")</f>
        <v>2014</v>
      </c>
      <c r="D358" t="s">
        <v>521</v>
      </c>
      <c r="E358" s="1">
        <f>VALUE("7055")</f>
        <v>7055</v>
      </c>
    </row>
    <row r="359" spans="1:5" x14ac:dyDescent="0.25">
      <c r="A359" s="12" t="s">
        <v>2516</v>
      </c>
      <c r="B359" s="12" t="s">
        <v>2517</v>
      </c>
      <c r="C359" s="10">
        <v>2011</v>
      </c>
      <c r="D359" s="11" t="s">
        <v>640</v>
      </c>
      <c r="E359" s="10">
        <v>7057</v>
      </c>
    </row>
    <row r="360" spans="1:5" x14ac:dyDescent="0.25">
      <c r="A360" s="12" t="s">
        <v>2524</v>
      </c>
      <c r="B360" s="12" t="s">
        <v>2525</v>
      </c>
      <c r="C360" s="10">
        <v>2007</v>
      </c>
      <c r="D360" s="11" t="s">
        <v>640</v>
      </c>
      <c r="E360" s="10">
        <v>7058</v>
      </c>
    </row>
    <row r="361" spans="1:5" x14ac:dyDescent="0.25">
      <c r="A361" s="12" t="s">
        <v>2520</v>
      </c>
      <c r="B361" s="12" t="s">
        <v>2521</v>
      </c>
      <c r="C361" s="10">
        <v>2010</v>
      </c>
      <c r="D361" s="11" t="s">
        <v>640</v>
      </c>
      <c r="E361" s="10">
        <v>7058</v>
      </c>
    </row>
    <row r="362" spans="1:5" x14ac:dyDescent="0.25">
      <c r="A362" s="12" t="s">
        <v>2518</v>
      </c>
      <c r="B362" s="12" t="s">
        <v>2519</v>
      </c>
      <c r="C362" s="10">
        <v>2010</v>
      </c>
      <c r="D362" s="11" t="s">
        <v>640</v>
      </c>
      <c r="E362" s="10">
        <v>7058</v>
      </c>
    </row>
    <row r="363" spans="1:5" x14ac:dyDescent="0.25">
      <c r="A363" s="12" t="s">
        <v>2522</v>
      </c>
      <c r="B363" s="12" t="s">
        <v>2523</v>
      </c>
      <c r="C363" s="10">
        <v>2011</v>
      </c>
      <c r="D363" s="11" t="s">
        <v>640</v>
      </c>
      <c r="E363" s="10">
        <v>7058</v>
      </c>
    </row>
    <row r="364" spans="1:5" x14ac:dyDescent="0.25">
      <c r="A364" s="6" t="s">
        <v>522</v>
      </c>
      <c r="B364" s="6" t="s">
        <v>523</v>
      </c>
      <c r="C364" s="1">
        <f>VALUE("2015")</f>
        <v>2015</v>
      </c>
      <c r="D364" t="s">
        <v>524</v>
      </c>
      <c r="E364" s="1">
        <f>VALUE("7060")</f>
        <v>7060</v>
      </c>
    </row>
    <row r="365" spans="1:5" x14ac:dyDescent="0.25">
      <c r="A365" s="6" t="s">
        <v>525</v>
      </c>
      <c r="B365" s="6" t="s">
        <v>526</v>
      </c>
      <c r="C365" s="1">
        <v>2013</v>
      </c>
      <c r="D365" t="s">
        <v>527</v>
      </c>
      <c r="E365" s="1">
        <f>VALUE("7062")</f>
        <v>7062</v>
      </c>
    </row>
    <row r="366" spans="1:5" x14ac:dyDescent="0.25">
      <c r="A366" s="12" t="s">
        <v>2526</v>
      </c>
      <c r="B366" s="12" t="s">
        <v>2527</v>
      </c>
      <c r="C366" s="10">
        <v>2011</v>
      </c>
      <c r="D366" s="11" t="s">
        <v>598</v>
      </c>
      <c r="E366" s="10">
        <v>7066</v>
      </c>
    </row>
    <row r="367" spans="1:5" x14ac:dyDescent="0.25">
      <c r="A367" s="6" t="s">
        <v>528</v>
      </c>
      <c r="B367" s="6" t="s">
        <v>529</v>
      </c>
      <c r="C367" s="1">
        <f>VALUE("2015")</f>
        <v>2015</v>
      </c>
      <c r="D367" t="s">
        <v>530</v>
      </c>
      <c r="E367" s="1">
        <f>VALUE("7066")</f>
        <v>7066</v>
      </c>
    </row>
    <row r="368" spans="1:5" x14ac:dyDescent="0.25">
      <c r="A368" s="6" t="s">
        <v>2583</v>
      </c>
      <c r="B368" s="6" t="s">
        <v>531</v>
      </c>
      <c r="C368" s="1">
        <f>VALUE("2018")</f>
        <v>2018</v>
      </c>
      <c r="D368" t="s">
        <v>530</v>
      </c>
      <c r="E368" s="1">
        <f>VALUE("7066")</f>
        <v>7066</v>
      </c>
    </row>
    <row r="369" spans="1:5" x14ac:dyDescent="0.25">
      <c r="A369" s="6" t="s">
        <v>532</v>
      </c>
      <c r="B369" s="6" t="s">
        <v>533</v>
      </c>
      <c r="C369" s="1">
        <f>VALUE("2012")</f>
        <v>2012</v>
      </c>
      <c r="D369" t="s">
        <v>534</v>
      </c>
      <c r="E369" s="1">
        <f>VALUE("7067")</f>
        <v>7067</v>
      </c>
    </row>
    <row r="370" spans="1:5" x14ac:dyDescent="0.25">
      <c r="A370" s="6" t="s">
        <v>538</v>
      </c>
      <c r="B370" s="6" t="s">
        <v>539</v>
      </c>
      <c r="C370" s="1">
        <f>VALUE("2013")</f>
        <v>2013</v>
      </c>
      <c r="D370" t="s">
        <v>537</v>
      </c>
      <c r="E370" s="1">
        <f>VALUE("7067")</f>
        <v>7067</v>
      </c>
    </row>
    <row r="371" spans="1:5" x14ac:dyDescent="0.25">
      <c r="A371" s="6" t="s">
        <v>535</v>
      </c>
      <c r="B371" s="6" t="s">
        <v>536</v>
      </c>
      <c r="C371" s="1">
        <f>VALUE("2013")</f>
        <v>2013</v>
      </c>
      <c r="D371" t="s">
        <v>537</v>
      </c>
      <c r="E371" s="1">
        <f>VALUE("7067")</f>
        <v>7067</v>
      </c>
    </row>
    <row r="372" spans="1:5" x14ac:dyDescent="0.25">
      <c r="A372" s="6" t="s">
        <v>540</v>
      </c>
      <c r="B372" s="6" t="s">
        <v>541</v>
      </c>
      <c r="C372" s="1">
        <f>VALUE("2014")</f>
        <v>2014</v>
      </c>
      <c r="D372" t="s">
        <v>542</v>
      </c>
      <c r="E372" s="1">
        <f>VALUE("7067")</f>
        <v>7067</v>
      </c>
    </row>
    <row r="373" spans="1:5" x14ac:dyDescent="0.25">
      <c r="A373" s="6" t="s">
        <v>543</v>
      </c>
      <c r="B373" s="6" t="s">
        <v>544</v>
      </c>
      <c r="C373" s="1">
        <f>VALUE("2015")</f>
        <v>2015</v>
      </c>
      <c r="D373" t="s">
        <v>545</v>
      </c>
      <c r="E373" s="1">
        <f>VALUE("7067")</f>
        <v>7067</v>
      </c>
    </row>
    <row r="374" spans="1:5" x14ac:dyDescent="0.25">
      <c r="A374" s="6" t="s">
        <v>546</v>
      </c>
      <c r="B374" s="6" t="s">
        <v>547</v>
      </c>
      <c r="C374" s="1">
        <f>VALUE("2016")</f>
        <v>2016</v>
      </c>
      <c r="D374" t="s">
        <v>548</v>
      </c>
      <c r="E374" s="1">
        <f>VALUE("7067")</f>
        <v>7067</v>
      </c>
    </row>
    <row r="375" spans="1:5" x14ac:dyDescent="0.25">
      <c r="A375" s="6" t="s">
        <v>549</v>
      </c>
      <c r="B375" s="6" t="s">
        <v>550</v>
      </c>
      <c r="C375" s="1">
        <f>VALUE("2014")</f>
        <v>2014</v>
      </c>
      <c r="D375" t="s">
        <v>551</v>
      </c>
      <c r="E375" s="1">
        <f>VALUE("7068")</f>
        <v>7068</v>
      </c>
    </row>
    <row r="376" spans="1:5" x14ac:dyDescent="0.25">
      <c r="A376" s="12" t="s">
        <v>2528</v>
      </c>
      <c r="B376" s="12" t="s">
        <v>1388</v>
      </c>
      <c r="C376" s="10">
        <v>2010</v>
      </c>
      <c r="D376" s="11" t="s">
        <v>1125</v>
      </c>
      <c r="E376" s="10">
        <v>7075</v>
      </c>
    </row>
    <row r="377" spans="1:5" x14ac:dyDescent="0.25">
      <c r="A377" s="6" t="s">
        <v>555</v>
      </c>
      <c r="B377" s="6" t="s">
        <v>556</v>
      </c>
      <c r="C377" s="1">
        <v>2011</v>
      </c>
      <c r="D377" t="s">
        <v>557</v>
      </c>
      <c r="E377" s="1">
        <f>VALUE("7080")</f>
        <v>7080</v>
      </c>
    </row>
    <row r="378" spans="1:5" x14ac:dyDescent="0.25">
      <c r="A378" s="6" t="s">
        <v>552</v>
      </c>
      <c r="B378" s="6" t="s">
        <v>553</v>
      </c>
      <c r="C378" s="1">
        <f>VALUE("2012")</f>
        <v>2012</v>
      </c>
      <c r="D378" t="s">
        <v>554</v>
      </c>
      <c r="E378" s="1">
        <f>VALUE("7080")</f>
        <v>7080</v>
      </c>
    </row>
    <row r="379" spans="1:5" x14ac:dyDescent="0.25">
      <c r="A379" s="6" t="s">
        <v>558</v>
      </c>
      <c r="B379" s="6" t="s">
        <v>559</v>
      </c>
      <c r="C379" s="1">
        <f>VALUE("2012")</f>
        <v>2012</v>
      </c>
      <c r="D379" t="s">
        <v>557</v>
      </c>
      <c r="E379" s="1">
        <f>VALUE("7080")</f>
        <v>7080</v>
      </c>
    </row>
    <row r="380" spans="1:5" x14ac:dyDescent="0.25">
      <c r="A380" s="6" t="s">
        <v>560</v>
      </c>
      <c r="B380" s="6" t="s">
        <v>561</v>
      </c>
      <c r="C380" s="1">
        <f>VALUE("2012")</f>
        <v>2012</v>
      </c>
      <c r="D380" t="s">
        <v>562</v>
      </c>
      <c r="E380" s="1">
        <f>VALUE("7080")</f>
        <v>7080</v>
      </c>
    </row>
    <row r="381" spans="1:5" x14ac:dyDescent="0.25">
      <c r="A381" s="6" t="s">
        <v>569</v>
      </c>
      <c r="B381" s="6" t="s">
        <v>570</v>
      </c>
      <c r="C381" s="1">
        <f>VALUE("2013")</f>
        <v>2013</v>
      </c>
      <c r="D381" t="s">
        <v>571</v>
      </c>
      <c r="E381" s="1">
        <f>VALUE("7081")</f>
        <v>7081</v>
      </c>
    </row>
    <row r="382" spans="1:5" x14ac:dyDescent="0.25">
      <c r="A382" s="6" t="s">
        <v>563</v>
      </c>
      <c r="B382" s="6" t="s">
        <v>564</v>
      </c>
      <c r="C382" s="1">
        <f>VALUE("2014")</f>
        <v>2014</v>
      </c>
      <c r="D382" t="s">
        <v>565</v>
      </c>
      <c r="E382" s="1">
        <f>VALUE("7081")</f>
        <v>7081</v>
      </c>
    </row>
    <row r="383" spans="1:5" x14ac:dyDescent="0.25">
      <c r="A383" s="6" t="s">
        <v>566</v>
      </c>
      <c r="B383" s="6" t="s">
        <v>567</v>
      </c>
      <c r="C383" s="1">
        <f>VALUE("2014")</f>
        <v>2014</v>
      </c>
      <c r="D383" t="s">
        <v>568</v>
      </c>
      <c r="E383" s="1">
        <f>VALUE("7081")</f>
        <v>7081</v>
      </c>
    </row>
    <row r="384" spans="1:5" x14ac:dyDescent="0.25">
      <c r="A384" s="6" t="s">
        <v>572</v>
      </c>
      <c r="B384" s="6" t="s">
        <v>573</v>
      </c>
      <c r="C384" s="1">
        <f>VALUE("2013")</f>
        <v>2013</v>
      </c>
      <c r="D384" t="s">
        <v>574</v>
      </c>
      <c r="E384" s="1">
        <f>VALUE("7084")</f>
        <v>7084</v>
      </c>
    </row>
    <row r="385" spans="1:5" x14ac:dyDescent="0.25">
      <c r="A385" s="6" t="s">
        <v>575</v>
      </c>
      <c r="B385" s="6" t="s">
        <v>576</v>
      </c>
      <c r="C385" s="1">
        <f>VALUE("2013")</f>
        <v>2013</v>
      </c>
      <c r="D385" t="s">
        <v>577</v>
      </c>
      <c r="E385" s="1">
        <f>VALUE("7085")</f>
        <v>7085</v>
      </c>
    </row>
    <row r="386" spans="1:5" x14ac:dyDescent="0.25">
      <c r="A386" s="6" t="s">
        <v>581</v>
      </c>
      <c r="B386" s="6" t="s">
        <v>582</v>
      </c>
      <c r="C386" s="1">
        <f>VALUE("2012")</f>
        <v>2012</v>
      </c>
      <c r="D386" t="s">
        <v>583</v>
      </c>
      <c r="E386" s="1">
        <f>VALUE("7086")</f>
        <v>7086</v>
      </c>
    </row>
    <row r="387" spans="1:5" x14ac:dyDescent="0.25">
      <c r="A387" s="6" t="s">
        <v>585</v>
      </c>
      <c r="B387" s="6" t="s">
        <v>582</v>
      </c>
      <c r="C387" s="1">
        <f>VALUE("2012")</f>
        <v>2012</v>
      </c>
      <c r="D387" t="s">
        <v>586</v>
      </c>
      <c r="E387" s="1">
        <f>VALUE("7086")</f>
        <v>7086</v>
      </c>
    </row>
    <row r="388" spans="1:5" x14ac:dyDescent="0.25">
      <c r="A388" s="6" t="s">
        <v>587</v>
      </c>
      <c r="B388" s="6" t="s">
        <v>588</v>
      </c>
      <c r="C388" s="1">
        <f>VALUE("2013")</f>
        <v>2013</v>
      </c>
      <c r="D388" t="s">
        <v>589</v>
      </c>
      <c r="E388" s="1">
        <f>VALUE("7086")</f>
        <v>7086</v>
      </c>
    </row>
    <row r="389" spans="1:5" x14ac:dyDescent="0.25">
      <c r="A389" s="6" t="s">
        <v>584</v>
      </c>
      <c r="B389" s="6" t="s">
        <v>582</v>
      </c>
      <c r="C389" s="1">
        <v>2014</v>
      </c>
      <c r="D389" t="s">
        <v>583</v>
      </c>
      <c r="E389" s="1">
        <f>VALUE("7086")</f>
        <v>7086</v>
      </c>
    </row>
    <row r="390" spans="1:5" x14ac:dyDescent="0.25">
      <c r="A390" s="6" t="s">
        <v>578</v>
      </c>
      <c r="B390" s="6" t="s">
        <v>579</v>
      </c>
      <c r="C390" s="1">
        <f>VALUE("2015")</f>
        <v>2015</v>
      </c>
      <c r="D390" t="s">
        <v>580</v>
      </c>
      <c r="E390" s="1">
        <f>VALUE("7086")</f>
        <v>7086</v>
      </c>
    </row>
    <row r="391" spans="1:5" x14ac:dyDescent="0.25">
      <c r="A391" s="6" t="s">
        <v>590</v>
      </c>
      <c r="B391" s="6" t="s">
        <v>591</v>
      </c>
      <c r="C391" s="1">
        <v>2019</v>
      </c>
      <c r="D391" t="s">
        <v>592</v>
      </c>
      <c r="E391" s="1">
        <f>VALUE("7086")</f>
        <v>7086</v>
      </c>
    </row>
    <row r="392" spans="1:5" x14ac:dyDescent="0.25">
      <c r="A392" s="6" t="s">
        <v>593</v>
      </c>
      <c r="B392" s="6" t="s">
        <v>594</v>
      </c>
      <c r="C392" s="1">
        <f>VALUE("2015")</f>
        <v>2015</v>
      </c>
      <c r="D392" t="s">
        <v>595</v>
      </c>
      <c r="E392" s="1">
        <f>VALUE("7092")</f>
        <v>7092</v>
      </c>
    </row>
    <row r="393" spans="1:5" x14ac:dyDescent="0.25">
      <c r="A393" s="12" t="s">
        <v>2529</v>
      </c>
      <c r="B393" s="12" t="s">
        <v>2530</v>
      </c>
      <c r="C393" s="10">
        <v>2011</v>
      </c>
      <c r="D393" s="11" t="s">
        <v>2531</v>
      </c>
      <c r="E393" s="10">
        <v>7093</v>
      </c>
    </row>
    <row r="394" spans="1:5" x14ac:dyDescent="0.25">
      <c r="A394" s="6" t="s">
        <v>596</v>
      </c>
      <c r="B394" s="6" t="s">
        <v>597</v>
      </c>
      <c r="C394" s="1">
        <f>VALUE("2013")</f>
        <v>2013</v>
      </c>
      <c r="D394" t="s">
        <v>598</v>
      </c>
      <c r="E394" s="1">
        <f>VALUE("7095")</f>
        <v>7095</v>
      </c>
    </row>
    <row r="395" spans="1:5" x14ac:dyDescent="0.25">
      <c r="A395" s="6" t="s">
        <v>2584</v>
      </c>
      <c r="B395" s="6" t="s">
        <v>599</v>
      </c>
      <c r="C395" s="1">
        <f>VALUE("2012")</f>
        <v>2012</v>
      </c>
      <c r="D395" t="s">
        <v>598</v>
      </c>
      <c r="E395" s="1">
        <f>VALUE("7097")</f>
        <v>7097</v>
      </c>
    </row>
    <row r="396" spans="1:5" x14ac:dyDescent="0.25">
      <c r="A396" s="6" t="s">
        <v>600</v>
      </c>
      <c r="B396" s="6" t="s">
        <v>601</v>
      </c>
      <c r="C396" s="1">
        <f>VALUE("2011")</f>
        <v>2011</v>
      </c>
      <c r="D396" t="s">
        <v>602</v>
      </c>
      <c r="E396" s="1">
        <f>VALUE("7099")</f>
        <v>7099</v>
      </c>
    </row>
    <row r="397" spans="1:5" x14ac:dyDescent="0.25">
      <c r="A397" s="6" t="s">
        <v>603</v>
      </c>
      <c r="B397" s="6" t="s">
        <v>604</v>
      </c>
      <c r="C397" s="1">
        <f>VALUE("2014")</f>
        <v>2014</v>
      </c>
      <c r="D397" t="s">
        <v>605</v>
      </c>
      <c r="E397" s="1">
        <f>VALUE("7100")</f>
        <v>7100</v>
      </c>
    </row>
    <row r="398" spans="1:5" x14ac:dyDescent="0.25">
      <c r="A398" s="6" t="s">
        <v>606</v>
      </c>
      <c r="B398" s="6" t="s">
        <v>607</v>
      </c>
      <c r="C398" s="1">
        <f>VALUE("2014")</f>
        <v>2014</v>
      </c>
      <c r="D398" t="s">
        <v>608</v>
      </c>
      <c r="E398" s="1">
        <f>VALUE("7102")</f>
        <v>7102</v>
      </c>
    </row>
    <row r="399" spans="1:5" x14ac:dyDescent="0.25">
      <c r="A399" s="6" t="s">
        <v>609</v>
      </c>
      <c r="B399" s="6" t="s">
        <v>610</v>
      </c>
      <c r="C399" s="1">
        <f>VALUE("2015")</f>
        <v>2015</v>
      </c>
      <c r="D399" t="s">
        <v>611</v>
      </c>
      <c r="E399" s="1">
        <f>VALUE("7102")</f>
        <v>7102</v>
      </c>
    </row>
    <row r="400" spans="1:5" x14ac:dyDescent="0.25">
      <c r="A400" s="6" t="s">
        <v>624</v>
      </c>
      <c r="B400" s="6" t="s">
        <v>625</v>
      </c>
      <c r="C400" s="1">
        <f>VALUE("2011")</f>
        <v>2011</v>
      </c>
      <c r="D400" t="s">
        <v>626</v>
      </c>
      <c r="E400" s="1">
        <f>VALUE("7108")</f>
        <v>7108</v>
      </c>
    </row>
    <row r="401" spans="1:5" x14ac:dyDescent="0.25">
      <c r="A401" s="6" t="s">
        <v>612</v>
      </c>
      <c r="B401" s="6" t="s">
        <v>613</v>
      </c>
      <c r="C401" s="1">
        <f>VALUE("2012")</f>
        <v>2012</v>
      </c>
      <c r="D401" t="s">
        <v>614</v>
      </c>
      <c r="E401" s="1">
        <f>VALUE("7108")</f>
        <v>7108</v>
      </c>
    </row>
    <row r="402" spans="1:5" x14ac:dyDescent="0.25">
      <c r="A402" s="6" t="s">
        <v>615</v>
      </c>
      <c r="B402" s="6" t="s">
        <v>616</v>
      </c>
      <c r="C402" s="1">
        <f>VALUE("2012")</f>
        <v>2012</v>
      </c>
      <c r="D402" t="s">
        <v>617</v>
      </c>
      <c r="E402" s="1">
        <f>VALUE("7108")</f>
        <v>7108</v>
      </c>
    </row>
    <row r="403" spans="1:5" x14ac:dyDescent="0.25">
      <c r="A403" s="6" t="s">
        <v>618</v>
      </c>
      <c r="B403" s="6" t="s">
        <v>619</v>
      </c>
      <c r="C403" s="1">
        <f>VALUE("2012")</f>
        <v>2012</v>
      </c>
      <c r="D403" t="s">
        <v>620</v>
      </c>
      <c r="E403" s="1">
        <f>VALUE("7108")</f>
        <v>7108</v>
      </c>
    </row>
    <row r="404" spans="1:5" x14ac:dyDescent="0.25">
      <c r="A404" s="6" t="s">
        <v>621</v>
      </c>
      <c r="B404" s="6" t="s">
        <v>622</v>
      </c>
      <c r="C404" s="1">
        <f>VALUE("2012")</f>
        <v>2012</v>
      </c>
      <c r="D404" t="s">
        <v>623</v>
      </c>
      <c r="E404" s="1">
        <f>VALUE("7108")</f>
        <v>7108</v>
      </c>
    </row>
    <row r="405" spans="1:5" x14ac:dyDescent="0.25">
      <c r="A405" s="6" t="s">
        <v>627</v>
      </c>
      <c r="B405" s="6" t="s">
        <v>616</v>
      </c>
      <c r="C405" s="1">
        <v>2013</v>
      </c>
      <c r="D405" t="s">
        <v>628</v>
      </c>
      <c r="E405" s="1">
        <f>VALUE("7108")</f>
        <v>7108</v>
      </c>
    </row>
    <row r="406" spans="1:5" x14ac:dyDescent="0.25">
      <c r="A406" s="6" t="s">
        <v>632</v>
      </c>
      <c r="B406" s="6" t="s">
        <v>633</v>
      </c>
      <c r="C406" s="1">
        <f>VALUE("2010")</f>
        <v>2010</v>
      </c>
      <c r="D406" t="s">
        <v>634</v>
      </c>
      <c r="E406" s="1">
        <f>VALUE("7109")</f>
        <v>7109</v>
      </c>
    </row>
    <row r="407" spans="1:5" x14ac:dyDescent="0.25">
      <c r="A407" s="6" t="s">
        <v>629</v>
      </c>
      <c r="B407" s="6" t="s">
        <v>630</v>
      </c>
      <c r="C407" s="1">
        <f>VALUE("2011")</f>
        <v>2011</v>
      </c>
      <c r="D407" t="s">
        <v>631</v>
      </c>
      <c r="E407" s="1">
        <f>VALUE("7109")</f>
        <v>7109</v>
      </c>
    </row>
    <row r="408" spans="1:5" x14ac:dyDescent="0.25">
      <c r="A408" s="6" t="s">
        <v>641</v>
      </c>
      <c r="B408" s="6" t="s">
        <v>642</v>
      </c>
      <c r="C408" s="1">
        <f>VALUE("2011")</f>
        <v>2011</v>
      </c>
      <c r="D408" t="s">
        <v>634</v>
      </c>
      <c r="E408" s="1">
        <f>VALUE("7109")</f>
        <v>7109</v>
      </c>
    </row>
    <row r="409" spans="1:5" x14ac:dyDescent="0.25">
      <c r="A409" s="6" t="s">
        <v>643</v>
      </c>
      <c r="B409" s="6" t="s">
        <v>644</v>
      </c>
      <c r="C409" s="1">
        <f>VALUE("2011")</f>
        <v>2011</v>
      </c>
      <c r="D409" t="s">
        <v>645</v>
      </c>
      <c r="E409" s="1">
        <f>VALUE("7109")</f>
        <v>7109</v>
      </c>
    </row>
    <row r="410" spans="1:5" x14ac:dyDescent="0.25">
      <c r="A410" s="6" t="s">
        <v>638</v>
      </c>
      <c r="B410" s="6" t="s">
        <v>639</v>
      </c>
      <c r="C410" s="1">
        <f>VALUE("2013")</f>
        <v>2013</v>
      </c>
      <c r="D410" t="s">
        <v>640</v>
      </c>
      <c r="E410" s="1">
        <f>VALUE("7109")</f>
        <v>7109</v>
      </c>
    </row>
    <row r="411" spans="1:5" x14ac:dyDescent="0.25">
      <c r="A411" s="6" t="s">
        <v>635</v>
      </c>
      <c r="B411" s="6" t="s">
        <v>636</v>
      </c>
      <c r="C411" s="1">
        <f>VALUE("2014")</f>
        <v>2014</v>
      </c>
      <c r="D411" t="s">
        <v>637</v>
      </c>
      <c r="E411" s="1">
        <f>VALUE("7109")</f>
        <v>7109</v>
      </c>
    </row>
    <row r="412" spans="1:5" x14ac:dyDescent="0.25">
      <c r="A412" s="6" t="s">
        <v>2585</v>
      </c>
      <c r="B412" s="6" t="s">
        <v>646</v>
      </c>
      <c r="C412" s="1">
        <f>VALUE("2014")</f>
        <v>2014</v>
      </c>
      <c r="D412" t="s">
        <v>647</v>
      </c>
      <c r="E412" s="1">
        <f>VALUE("7110")</f>
        <v>7110</v>
      </c>
    </row>
    <row r="413" spans="1:5" x14ac:dyDescent="0.25">
      <c r="A413" s="6" t="s">
        <v>660</v>
      </c>
      <c r="B413" s="6" t="s">
        <v>661</v>
      </c>
      <c r="C413" s="1">
        <v>2017</v>
      </c>
      <c r="D413" t="s">
        <v>647</v>
      </c>
      <c r="E413" s="1">
        <f>VALUE("7110")</f>
        <v>7110</v>
      </c>
    </row>
    <row r="414" spans="1:5" x14ac:dyDescent="0.25">
      <c r="A414" s="6" t="s">
        <v>648</v>
      </c>
      <c r="B414" s="6" t="s">
        <v>297</v>
      </c>
      <c r="C414" s="1">
        <f>VALUE("2017")</f>
        <v>2017</v>
      </c>
      <c r="D414" t="s">
        <v>647</v>
      </c>
      <c r="E414" s="1">
        <f>VALUE("7110")</f>
        <v>7110</v>
      </c>
    </row>
    <row r="415" spans="1:5" x14ac:dyDescent="0.25">
      <c r="A415" s="6" t="s">
        <v>664</v>
      </c>
      <c r="C415" s="1">
        <v>2017</v>
      </c>
      <c r="D415" t="s">
        <v>647</v>
      </c>
      <c r="E415" s="1">
        <f>VALUE("7110")</f>
        <v>7110</v>
      </c>
    </row>
    <row r="416" spans="1:5" x14ac:dyDescent="0.25">
      <c r="A416" s="6" t="s">
        <v>653</v>
      </c>
      <c r="B416" s="6" t="s">
        <v>297</v>
      </c>
      <c r="C416" s="1">
        <f>VALUE("2017")</f>
        <v>2017</v>
      </c>
      <c r="D416" t="s">
        <v>647</v>
      </c>
      <c r="E416" s="1">
        <f>VALUE("7110")</f>
        <v>7110</v>
      </c>
    </row>
    <row r="417" spans="1:5" x14ac:dyDescent="0.25">
      <c r="A417" s="6" t="s">
        <v>651</v>
      </c>
      <c r="B417" s="6" t="s">
        <v>297</v>
      </c>
      <c r="C417" s="1">
        <f>VALUE("2017")</f>
        <v>2017</v>
      </c>
      <c r="D417" t="s">
        <v>647</v>
      </c>
      <c r="E417" s="1">
        <f>VALUE("7110")</f>
        <v>7110</v>
      </c>
    </row>
    <row r="418" spans="1:5" x14ac:dyDescent="0.25">
      <c r="A418" s="6" t="s">
        <v>654</v>
      </c>
      <c r="B418" s="6" t="s">
        <v>297</v>
      </c>
      <c r="C418" s="1">
        <f>VALUE("2017")</f>
        <v>2017</v>
      </c>
      <c r="D418" t="s">
        <v>647</v>
      </c>
      <c r="E418" s="1">
        <f>VALUE("7110")</f>
        <v>7110</v>
      </c>
    </row>
    <row r="419" spans="1:5" x14ac:dyDescent="0.25">
      <c r="A419" s="6" t="s">
        <v>652</v>
      </c>
      <c r="B419" s="6" t="s">
        <v>297</v>
      </c>
      <c r="C419" s="1">
        <f>VALUE("2017")</f>
        <v>2017</v>
      </c>
      <c r="D419" t="s">
        <v>647</v>
      </c>
      <c r="E419" s="1">
        <f>VALUE("7110")</f>
        <v>7110</v>
      </c>
    </row>
    <row r="420" spans="1:5" x14ac:dyDescent="0.25">
      <c r="A420" s="6" t="s">
        <v>655</v>
      </c>
      <c r="B420" s="6" t="s">
        <v>297</v>
      </c>
      <c r="C420" s="1">
        <f>VALUE("2017")</f>
        <v>2017</v>
      </c>
      <c r="D420" t="s">
        <v>647</v>
      </c>
      <c r="E420" s="1">
        <f>VALUE("7110")</f>
        <v>7110</v>
      </c>
    </row>
    <row r="421" spans="1:5" x14ac:dyDescent="0.25">
      <c r="A421" s="6" t="s">
        <v>656</v>
      </c>
      <c r="B421" s="6" t="s">
        <v>297</v>
      </c>
      <c r="C421" s="1">
        <f>VALUE("2017")</f>
        <v>2017</v>
      </c>
      <c r="D421" t="s">
        <v>647</v>
      </c>
      <c r="E421" s="1">
        <f>VALUE("7110")</f>
        <v>7110</v>
      </c>
    </row>
    <row r="422" spans="1:5" x14ac:dyDescent="0.25">
      <c r="A422" s="6" t="s">
        <v>649</v>
      </c>
      <c r="B422" s="6" t="s">
        <v>297</v>
      </c>
      <c r="C422" s="1">
        <f>VALUE("2017")</f>
        <v>2017</v>
      </c>
      <c r="D422" t="s">
        <v>647</v>
      </c>
      <c r="E422" s="1">
        <f>VALUE("7110")</f>
        <v>7110</v>
      </c>
    </row>
    <row r="423" spans="1:5" x14ac:dyDescent="0.25">
      <c r="A423" s="6" t="s">
        <v>650</v>
      </c>
      <c r="B423" s="6" t="s">
        <v>297</v>
      </c>
      <c r="C423" s="1">
        <f>VALUE("2017")</f>
        <v>2017</v>
      </c>
      <c r="D423" t="s">
        <v>647</v>
      </c>
      <c r="E423" s="1">
        <f>VALUE("7110")</f>
        <v>7110</v>
      </c>
    </row>
    <row r="424" spans="1:5" x14ac:dyDescent="0.25">
      <c r="A424" s="6" t="s">
        <v>657</v>
      </c>
      <c r="B424" s="6" t="s">
        <v>297</v>
      </c>
      <c r="C424" s="1">
        <f>VALUE("2017")</f>
        <v>2017</v>
      </c>
      <c r="D424" t="s">
        <v>647</v>
      </c>
      <c r="E424" s="1">
        <f>VALUE("7110")</f>
        <v>7110</v>
      </c>
    </row>
    <row r="425" spans="1:5" x14ac:dyDescent="0.25">
      <c r="A425" s="6" t="s">
        <v>659</v>
      </c>
      <c r="B425" s="6" t="s">
        <v>297</v>
      </c>
      <c r="C425" s="1">
        <f>VALUE("2018")</f>
        <v>2018</v>
      </c>
      <c r="D425" t="s">
        <v>647</v>
      </c>
      <c r="E425" s="1">
        <f>VALUE("7110")</f>
        <v>7110</v>
      </c>
    </row>
    <row r="426" spans="1:5" x14ac:dyDescent="0.25">
      <c r="A426" s="6" t="s">
        <v>667</v>
      </c>
      <c r="B426" s="6" t="s">
        <v>663</v>
      </c>
      <c r="C426" s="1">
        <f>VALUE("2018")</f>
        <v>2018</v>
      </c>
      <c r="D426" t="s">
        <v>647</v>
      </c>
      <c r="E426" s="1">
        <f>VALUE("7110")</f>
        <v>7110</v>
      </c>
    </row>
    <row r="427" spans="1:5" x14ac:dyDescent="0.25">
      <c r="A427" s="6" t="s">
        <v>662</v>
      </c>
      <c r="B427" s="6" t="s">
        <v>663</v>
      </c>
      <c r="C427" s="1">
        <f>VALUE("2018")</f>
        <v>2018</v>
      </c>
      <c r="D427" t="s">
        <v>647</v>
      </c>
      <c r="E427" s="1">
        <f>VALUE("7110")</f>
        <v>7110</v>
      </c>
    </row>
    <row r="428" spans="1:5" x14ac:dyDescent="0.25">
      <c r="A428" s="6" t="s">
        <v>665</v>
      </c>
      <c r="B428" s="6" t="s">
        <v>666</v>
      </c>
      <c r="C428" s="1">
        <f>VALUE("2018")</f>
        <v>2018</v>
      </c>
      <c r="D428" t="s">
        <v>647</v>
      </c>
      <c r="E428" s="1">
        <f>VALUE("7110")</f>
        <v>7110</v>
      </c>
    </row>
    <row r="429" spans="1:5" x14ac:dyDescent="0.25">
      <c r="A429" s="6" t="s">
        <v>658</v>
      </c>
      <c r="B429" s="6" t="s">
        <v>297</v>
      </c>
      <c r="C429" s="1">
        <f>VALUE("2018")</f>
        <v>2018</v>
      </c>
      <c r="D429" t="s">
        <v>647</v>
      </c>
      <c r="E429" s="1">
        <f>VALUE("7110")</f>
        <v>7110</v>
      </c>
    </row>
    <row r="430" spans="1:5" x14ac:dyDescent="0.25">
      <c r="A430" s="6" t="s">
        <v>668</v>
      </c>
      <c r="B430" s="6" t="s">
        <v>297</v>
      </c>
      <c r="C430" s="1">
        <f>VALUE("2018")</f>
        <v>2018</v>
      </c>
      <c r="D430" t="s">
        <v>647</v>
      </c>
      <c r="E430" s="1">
        <f>VALUE("7110")</f>
        <v>7110</v>
      </c>
    </row>
    <row r="431" spans="1:5" x14ac:dyDescent="0.25">
      <c r="A431" s="6" t="s">
        <v>670</v>
      </c>
      <c r="B431" s="6" t="s">
        <v>663</v>
      </c>
      <c r="C431" s="1">
        <f>VALUE("2019")</f>
        <v>2019</v>
      </c>
      <c r="D431" t="s">
        <v>647</v>
      </c>
      <c r="E431" s="1">
        <f>VALUE("7110")</f>
        <v>7110</v>
      </c>
    </row>
    <row r="432" spans="1:5" x14ac:dyDescent="0.25">
      <c r="A432" s="6" t="s">
        <v>669</v>
      </c>
      <c r="B432" s="6" t="s">
        <v>297</v>
      </c>
      <c r="C432" s="1">
        <f>VALUE("2019")</f>
        <v>2019</v>
      </c>
      <c r="D432" t="s">
        <v>647</v>
      </c>
      <c r="E432" s="1">
        <f>VALUE("7110")</f>
        <v>7110</v>
      </c>
    </row>
    <row r="433" spans="1:5" x14ac:dyDescent="0.25">
      <c r="A433" s="6" t="s">
        <v>674</v>
      </c>
      <c r="B433" s="6" t="s">
        <v>675</v>
      </c>
      <c r="C433" s="1">
        <f>VALUE("2019")</f>
        <v>2019</v>
      </c>
      <c r="D433" t="s">
        <v>647</v>
      </c>
      <c r="E433" s="1">
        <f>VALUE("7110")</f>
        <v>7110</v>
      </c>
    </row>
    <row r="434" spans="1:5" x14ac:dyDescent="0.25">
      <c r="A434" s="6" t="s">
        <v>673</v>
      </c>
      <c r="B434" s="6" t="s">
        <v>297</v>
      </c>
      <c r="C434" s="1">
        <f>VALUE("2019")</f>
        <v>2019</v>
      </c>
      <c r="D434" t="s">
        <v>647</v>
      </c>
      <c r="E434" s="1">
        <f>VALUE("7110")</f>
        <v>7110</v>
      </c>
    </row>
    <row r="435" spans="1:5" x14ac:dyDescent="0.25">
      <c r="A435" s="6" t="s">
        <v>671</v>
      </c>
      <c r="B435" s="6" t="s">
        <v>672</v>
      </c>
      <c r="C435" s="1">
        <f>VALUE("2019")</f>
        <v>2019</v>
      </c>
      <c r="D435" t="s">
        <v>647</v>
      </c>
      <c r="E435" s="1">
        <f>VALUE("7110")</f>
        <v>7110</v>
      </c>
    </row>
    <row r="436" spans="1:5" x14ac:dyDescent="0.25">
      <c r="A436" s="6" t="s">
        <v>698</v>
      </c>
      <c r="B436" s="6" t="s">
        <v>684</v>
      </c>
      <c r="C436" s="1">
        <f>VALUE("2007")</f>
        <v>2007</v>
      </c>
      <c r="D436" t="s">
        <v>699</v>
      </c>
      <c r="E436" s="1">
        <f>VALUE("7118")</f>
        <v>7118</v>
      </c>
    </row>
    <row r="437" spans="1:5" x14ac:dyDescent="0.25">
      <c r="A437" s="6" t="s">
        <v>680</v>
      </c>
      <c r="B437" s="6" t="s">
        <v>681</v>
      </c>
      <c r="C437" s="1">
        <f>VALUE("2008")</f>
        <v>2008</v>
      </c>
      <c r="D437" t="s">
        <v>682</v>
      </c>
      <c r="E437" s="1">
        <f>VALUE("7118")</f>
        <v>7118</v>
      </c>
    </row>
    <row r="438" spans="1:5" x14ac:dyDescent="0.25">
      <c r="A438" s="6" t="s">
        <v>691</v>
      </c>
      <c r="B438" s="6" t="s">
        <v>692</v>
      </c>
      <c r="C438" s="1">
        <v>2008</v>
      </c>
      <c r="D438" t="s">
        <v>693</v>
      </c>
      <c r="E438" s="1">
        <f>VALUE("7118")</f>
        <v>7118</v>
      </c>
    </row>
    <row r="439" spans="1:5" x14ac:dyDescent="0.25">
      <c r="A439" s="6" t="s">
        <v>2588</v>
      </c>
      <c r="B439" s="6" t="s">
        <v>700</v>
      </c>
      <c r="C439" s="1">
        <f>VALUE("2008")</f>
        <v>2008</v>
      </c>
      <c r="D439" t="s">
        <v>14</v>
      </c>
      <c r="E439" s="1">
        <f>VALUE("7118")</f>
        <v>7118</v>
      </c>
    </row>
    <row r="440" spans="1:5" x14ac:dyDescent="0.25">
      <c r="A440" s="6" t="s">
        <v>2587</v>
      </c>
      <c r="B440" s="6" t="s">
        <v>684</v>
      </c>
      <c r="C440" s="1">
        <f>VALUE("2010")</f>
        <v>2010</v>
      </c>
      <c r="D440" t="s">
        <v>14</v>
      </c>
      <c r="E440" s="1">
        <f>VALUE("7118")</f>
        <v>7118</v>
      </c>
    </row>
    <row r="441" spans="1:5" x14ac:dyDescent="0.25">
      <c r="A441" s="6" t="s">
        <v>2586</v>
      </c>
      <c r="B441" s="6" t="s">
        <v>676</v>
      </c>
      <c r="C441" s="1">
        <f>VALUE("2011")</f>
        <v>2011</v>
      </c>
      <c r="D441" t="s">
        <v>14</v>
      </c>
      <c r="E441" s="1">
        <f>VALUE("7118")</f>
        <v>7118</v>
      </c>
    </row>
    <row r="442" spans="1:5" x14ac:dyDescent="0.25">
      <c r="A442" s="6" t="s">
        <v>683</v>
      </c>
      <c r="B442" s="6" t="s">
        <v>684</v>
      </c>
      <c r="C442" s="1">
        <f>VALUE("2011")</f>
        <v>2011</v>
      </c>
      <c r="D442" t="s">
        <v>685</v>
      </c>
      <c r="E442" s="1">
        <f>VALUE("7118")</f>
        <v>7118</v>
      </c>
    </row>
    <row r="443" spans="1:5" x14ac:dyDescent="0.25">
      <c r="A443" s="6" t="s">
        <v>688</v>
      </c>
      <c r="B443" s="6" t="s">
        <v>684</v>
      </c>
      <c r="C443" s="1">
        <f>VALUE("2011")</f>
        <v>2011</v>
      </c>
      <c r="D443" t="s">
        <v>690</v>
      </c>
      <c r="E443" s="1">
        <f>VALUE("7118")</f>
        <v>7118</v>
      </c>
    </row>
    <row r="444" spans="1:5" x14ac:dyDescent="0.25">
      <c r="A444" s="6" t="s">
        <v>694</v>
      </c>
      <c r="B444" s="6" t="s">
        <v>684</v>
      </c>
      <c r="C444" s="1">
        <f>VALUE("2011")</f>
        <v>2011</v>
      </c>
      <c r="D444" t="s">
        <v>695</v>
      </c>
      <c r="E444" s="1">
        <f>VALUE("7118")</f>
        <v>7118</v>
      </c>
    </row>
    <row r="445" spans="1:5" x14ac:dyDescent="0.25">
      <c r="A445" s="6" t="s">
        <v>677</v>
      </c>
      <c r="B445" s="6" t="s">
        <v>678</v>
      </c>
      <c r="C445" s="1">
        <f>VALUE("2012")</f>
        <v>2012</v>
      </c>
      <c r="D445" t="s">
        <v>679</v>
      </c>
      <c r="E445" s="1">
        <f>VALUE("7118")</f>
        <v>7118</v>
      </c>
    </row>
    <row r="446" spans="1:5" x14ac:dyDescent="0.25">
      <c r="A446" s="6" t="s">
        <v>688</v>
      </c>
      <c r="B446" s="6" t="s">
        <v>684</v>
      </c>
      <c r="C446" s="1">
        <f>VALUE("2012")</f>
        <v>2012</v>
      </c>
      <c r="D446" t="s">
        <v>689</v>
      </c>
      <c r="E446" s="1">
        <f>VALUE("7118")</f>
        <v>7118</v>
      </c>
    </row>
    <row r="447" spans="1:5" x14ac:dyDescent="0.25">
      <c r="A447" s="6" t="s">
        <v>686</v>
      </c>
      <c r="B447" s="6" t="s">
        <v>684</v>
      </c>
      <c r="C447" s="1">
        <f>VALUE("2013")</f>
        <v>2013</v>
      </c>
      <c r="D447" t="s">
        <v>687</v>
      </c>
      <c r="E447" s="1">
        <f>VALUE("7118")</f>
        <v>7118</v>
      </c>
    </row>
    <row r="448" spans="1:5" x14ac:dyDescent="0.25">
      <c r="A448" s="6" t="s">
        <v>696</v>
      </c>
      <c r="B448" s="6" t="s">
        <v>684</v>
      </c>
      <c r="C448" s="1">
        <f>VALUE("2013")</f>
        <v>2013</v>
      </c>
      <c r="D448" t="s">
        <v>697</v>
      </c>
      <c r="E448" s="1">
        <f>VALUE("7118")</f>
        <v>7118</v>
      </c>
    </row>
    <row r="449" spans="1:5" x14ac:dyDescent="0.25">
      <c r="A449" s="6" t="s">
        <v>701</v>
      </c>
      <c r="B449" s="6" t="s">
        <v>702</v>
      </c>
      <c r="C449" s="1">
        <v>2012</v>
      </c>
      <c r="D449" t="s">
        <v>703</v>
      </c>
      <c r="E449" s="1">
        <f>VALUE("7119")</f>
        <v>7119</v>
      </c>
    </row>
    <row r="450" spans="1:5" x14ac:dyDescent="0.25">
      <c r="A450" s="6" t="s">
        <v>704</v>
      </c>
      <c r="B450" s="6" t="s">
        <v>705</v>
      </c>
      <c r="C450" s="1">
        <f>VALUE("2013")</f>
        <v>2013</v>
      </c>
      <c r="D450" t="s">
        <v>706</v>
      </c>
      <c r="E450" s="1">
        <f>VALUE("7121")</f>
        <v>7121</v>
      </c>
    </row>
    <row r="451" spans="1:5" x14ac:dyDescent="0.25">
      <c r="A451" s="6" t="s">
        <v>707</v>
      </c>
      <c r="B451" s="6" t="s">
        <v>708</v>
      </c>
      <c r="C451" s="1">
        <f>VALUE("2014")</f>
        <v>2014</v>
      </c>
      <c r="D451" t="s">
        <v>709</v>
      </c>
      <c r="E451" s="1">
        <f>VALUE("7121")</f>
        <v>7121</v>
      </c>
    </row>
    <row r="452" spans="1:5" x14ac:dyDescent="0.25">
      <c r="A452" s="6" t="s">
        <v>710</v>
      </c>
      <c r="B452" s="6" t="s">
        <v>705</v>
      </c>
      <c r="C452" s="1">
        <f>VALUE("2015")</f>
        <v>2015</v>
      </c>
      <c r="D452" t="s">
        <v>711</v>
      </c>
      <c r="E452" s="1">
        <f>VALUE("7121")</f>
        <v>7121</v>
      </c>
    </row>
    <row r="453" spans="1:5" x14ac:dyDescent="0.25">
      <c r="A453" s="6" t="s">
        <v>712</v>
      </c>
      <c r="B453" s="6" t="s">
        <v>713</v>
      </c>
      <c r="C453" s="1">
        <f>VALUE("2017")</f>
        <v>2017</v>
      </c>
      <c r="D453" t="s">
        <v>714</v>
      </c>
      <c r="E453" s="1">
        <f>VALUE("7121")</f>
        <v>7121</v>
      </c>
    </row>
    <row r="454" spans="1:5" x14ac:dyDescent="0.25">
      <c r="A454" s="6" t="s">
        <v>2590</v>
      </c>
      <c r="B454" s="6" t="s">
        <v>717</v>
      </c>
      <c r="C454" s="1">
        <v>2013</v>
      </c>
      <c r="D454" t="s">
        <v>718</v>
      </c>
      <c r="E454" s="1">
        <f>VALUE("7123")</f>
        <v>7123</v>
      </c>
    </row>
    <row r="455" spans="1:5" x14ac:dyDescent="0.25">
      <c r="A455" s="6" t="s">
        <v>2589</v>
      </c>
      <c r="B455" s="6" t="s">
        <v>715</v>
      </c>
      <c r="C455" s="1">
        <f>VALUE("2014")</f>
        <v>2014</v>
      </c>
      <c r="D455" t="s">
        <v>716</v>
      </c>
      <c r="E455" s="1">
        <f>VALUE("7123")</f>
        <v>7123</v>
      </c>
    </row>
    <row r="456" spans="1:5" x14ac:dyDescent="0.25">
      <c r="A456" s="6" t="s">
        <v>2592</v>
      </c>
      <c r="B456" s="6" t="s">
        <v>719</v>
      </c>
      <c r="C456" s="1">
        <f>VALUE("2014")</f>
        <v>2014</v>
      </c>
      <c r="D456" t="s">
        <v>720</v>
      </c>
      <c r="E456" s="1">
        <f>VALUE("7123")</f>
        <v>7123</v>
      </c>
    </row>
    <row r="457" spans="1:5" x14ac:dyDescent="0.25">
      <c r="A457" s="12" t="s">
        <v>2532</v>
      </c>
      <c r="B457" s="9" t="s">
        <v>2533</v>
      </c>
      <c r="C457" s="10">
        <v>2010</v>
      </c>
      <c r="D457" s="11"/>
      <c r="E457" s="10">
        <v>7126</v>
      </c>
    </row>
    <row r="458" spans="1:5" x14ac:dyDescent="0.25">
      <c r="A458" s="12" t="s">
        <v>2534</v>
      </c>
      <c r="B458" s="12" t="s">
        <v>2535</v>
      </c>
      <c r="C458" s="10">
        <v>2011</v>
      </c>
      <c r="D458" s="11"/>
      <c r="E458" s="10">
        <v>7126</v>
      </c>
    </row>
    <row r="459" spans="1:5" x14ac:dyDescent="0.25">
      <c r="A459" s="6" t="s">
        <v>2591</v>
      </c>
      <c r="B459" s="6" t="s">
        <v>721</v>
      </c>
      <c r="C459" s="1">
        <f>VALUE("2013")</f>
        <v>2013</v>
      </c>
      <c r="D459" t="s">
        <v>221</v>
      </c>
      <c r="E459" s="1">
        <f>VALUE("7129")</f>
        <v>7129</v>
      </c>
    </row>
    <row r="460" spans="1:5" x14ac:dyDescent="0.25">
      <c r="A460" s="6" t="s">
        <v>722</v>
      </c>
      <c r="B460" s="6" t="s">
        <v>723</v>
      </c>
      <c r="C460" s="1">
        <f>VALUE("2012")</f>
        <v>2012</v>
      </c>
      <c r="D460" t="s">
        <v>724</v>
      </c>
      <c r="E460" s="1">
        <f>VALUE("7131")</f>
        <v>7131</v>
      </c>
    </row>
    <row r="461" spans="1:5" x14ac:dyDescent="0.25">
      <c r="A461" s="6" t="s">
        <v>2594</v>
      </c>
      <c r="B461" s="6" t="s">
        <v>478</v>
      </c>
      <c r="C461" s="1">
        <f>VALUE("2012")</f>
        <v>2012</v>
      </c>
      <c r="D461" t="s">
        <v>730</v>
      </c>
      <c r="E461" s="1">
        <f>VALUE("7131")</f>
        <v>7131</v>
      </c>
    </row>
    <row r="462" spans="1:5" x14ac:dyDescent="0.25">
      <c r="A462" s="6" t="s">
        <v>2593</v>
      </c>
      <c r="B462" s="6" t="s">
        <v>728</v>
      </c>
      <c r="C462" s="1">
        <f>VALUE("2013")</f>
        <v>2013</v>
      </c>
      <c r="D462" t="s">
        <v>729</v>
      </c>
      <c r="E462" s="1">
        <f>VALUE("7131")</f>
        <v>7131</v>
      </c>
    </row>
    <row r="463" spans="1:5" x14ac:dyDescent="0.25">
      <c r="A463" s="6" t="s">
        <v>725</v>
      </c>
      <c r="B463" s="6" t="s">
        <v>726</v>
      </c>
      <c r="C463" s="1">
        <f>VALUE("2014")</f>
        <v>2014</v>
      </c>
      <c r="D463" t="s">
        <v>727</v>
      </c>
      <c r="E463" s="1">
        <f>VALUE("7131")</f>
        <v>7131</v>
      </c>
    </row>
    <row r="464" spans="1:5" x14ac:dyDescent="0.25">
      <c r="A464" s="6" t="s">
        <v>731</v>
      </c>
      <c r="B464" s="6" t="s">
        <v>732</v>
      </c>
      <c r="C464" s="1">
        <f>VALUE("2016")</f>
        <v>2016</v>
      </c>
      <c r="D464" t="s">
        <v>733</v>
      </c>
      <c r="E464" s="1">
        <f>VALUE("7131")</f>
        <v>7131</v>
      </c>
    </row>
    <row r="465" spans="1:5" x14ac:dyDescent="0.25">
      <c r="A465" s="6" t="s">
        <v>740</v>
      </c>
      <c r="B465" s="6" t="s">
        <v>741</v>
      </c>
      <c r="C465" s="1">
        <f>VALUE("2012")</f>
        <v>2012</v>
      </c>
      <c r="D465" t="s">
        <v>742</v>
      </c>
      <c r="E465" s="1">
        <f>VALUE("7134")</f>
        <v>7134</v>
      </c>
    </row>
    <row r="466" spans="1:5" x14ac:dyDescent="0.25">
      <c r="A466" s="6" t="s">
        <v>2595</v>
      </c>
      <c r="B466" s="6" t="s">
        <v>743</v>
      </c>
      <c r="C466" s="1">
        <f>VALUE("2012")</f>
        <v>2012</v>
      </c>
      <c r="D466" t="s">
        <v>744</v>
      </c>
      <c r="E466" s="1">
        <f>VALUE("7134")</f>
        <v>7134</v>
      </c>
    </row>
    <row r="467" spans="1:5" x14ac:dyDescent="0.25">
      <c r="A467" s="6" t="s">
        <v>734</v>
      </c>
      <c r="B467" s="6" t="s">
        <v>735</v>
      </c>
      <c r="C467" s="1">
        <f>VALUE("2013")</f>
        <v>2013</v>
      </c>
      <c r="D467" t="s">
        <v>736</v>
      </c>
      <c r="E467" s="1">
        <f>VALUE("7134")</f>
        <v>7134</v>
      </c>
    </row>
    <row r="468" spans="1:5" x14ac:dyDescent="0.25">
      <c r="A468" s="6" t="s">
        <v>737</v>
      </c>
      <c r="B468" s="6" t="s">
        <v>738</v>
      </c>
      <c r="C468" s="1">
        <f>VALUE("2013")</f>
        <v>2013</v>
      </c>
      <c r="D468" t="s">
        <v>739</v>
      </c>
      <c r="E468" s="1">
        <f>VALUE("7134")</f>
        <v>7134</v>
      </c>
    </row>
    <row r="469" spans="1:5" x14ac:dyDescent="0.25">
      <c r="A469" s="6" t="s">
        <v>745</v>
      </c>
      <c r="B469" s="6" t="s">
        <v>746</v>
      </c>
      <c r="D469" t="s">
        <v>228</v>
      </c>
      <c r="E469" s="1">
        <f>VALUE("7134")</f>
        <v>7134</v>
      </c>
    </row>
    <row r="470" spans="1:5" x14ac:dyDescent="0.25">
      <c r="A470" s="6" t="s">
        <v>2596</v>
      </c>
      <c r="B470" s="6" t="s">
        <v>747</v>
      </c>
      <c r="C470" s="1">
        <f>VALUE("2012")</f>
        <v>2012</v>
      </c>
      <c r="D470" t="s">
        <v>748</v>
      </c>
      <c r="E470" s="1">
        <f>VALUE("7135")</f>
        <v>7135</v>
      </c>
    </row>
    <row r="471" spans="1:5" x14ac:dyDescent="0.25">
      <c r="A471" s="6" t="s">
        <v>2597</v>
      </c>
      <c r="B471" s="6" t="s">
        <v>747</v>
      </c>
      <c r="C471" s="1">
        <f>VALUE("2014")</f>
        <v>2014</v>
      </c>
      <c r="D471" t="s">
        <v>748</v>
      </c>
      <c r="E471" s="1">
        <f>VALUE("7135")</f>
        <v>7135</v>
      </c>
    </row>
    <row r="472" spans="1:5" x14ac:dyDescent="0.25">
      <c r="A472" s="6" t="s">
        <v>749</v>
      </c>
      <c r="B472" s="6" t="s">
        <v>750</v>
      </c>
      <c r="C472" s="1">
        <f>VALUE("2013")</f>
        <v>2013</v>
      </c>
      <c r="D472" t="s">
        <v>751</v>
      </c>
      <c r="E472" s="1">
        <f>VALUE("7136")</f>
        <v>7136</v>
      </c>
    </row>
    <row r="473" spans="1:5" x14ac:dyDescent="0.25">
      <c r="A473" s="6" t="s">
        <v>2598</v>
      </c>
      <c r="B473" s="6" t="s">
        <v>752</v>
      </c>
      <c r="C473" s="1">
        <f>VALUE("2013")</f>
        <v>2013</v>
      </c>
      <c r="D473" t="s">
        <v>753</v>
      </c>
      <c r="E473" s="1">
        <f>VALUE("7136")</f>
        <v>7136</v>
      </c>
    </row>
    <row r="474" spans="1:5" x14ac:dyDescent="0.25">
      <c r="A474" s="6" t="s">
        <v>754</v>
      </c>
      <c r="B474" s="6" t="s">
        <v>755</v>
      </c>
      <c r="C474" s="1">
        <v>2018</v>
      </c>
      <c r="D474" t="s">
        <v>756</v>
      </c>
      <c r="E474" s="1">
        <f>VALUE("7136")</f>
        <v>7136</v>
      </c>
    </row>
    <row r="475" spans="1:5" x14ac:dyDescent="0.25">
      <c r="A475" s="12" t="s">
        <v>2536</v>
      </c>
      <c r="B475" s="12" t="s">
        <v>2537</v>
      </c>
      <c r="C475" s="10">
        <v>2011</v>
      </c>
      <c r="D475" s="11" t="s">
        <v>2182</v>
      </c>
      <c r="E475" s="10">
        <v>7140</v>
      </c>
    </row>
    <row r="476" spans="1:5" x14ac:dyDescent="0.25">
      <c r="A476" s="6" t="s">
        <v>757</v>
      </c>
      <c r="B476" s="6" t="s">
        <v>758</v>
      </c>
      <c r="C476" s="1">
        <f>VALUE("2013")</f>
        <v>2013</v>
      </c>
      <c r="D476" t="s">
        <v>759</v>
      </c>
      <c r="E476" s="1">
        <f>VALUE("7141")</f>
        <v>7141</v>
      </c>
    </row>
    <row r="477" spans="1:5" x14ac:dyDescent="0.25">
      <c r="A477" s="6" t="s">
        <v>2599</v>
      </c>
      <c r="B477" s="6" t="s">
        <v>760</v>
      </c>
      <c r="C477" s="1">
        <f>VALUE("2015")</f>
        <v>2015</v>
      </c>
      <c r="D477" t="s">
        <v>761</v>
      </c>
      <c r="E477" s="1">
        <f>VALUE("7149")</f>
        <v>7149</v>
      </c>
    </row>
    <row r="478" spans="1:5" x14ac:dyDescent="0.25">
      <c r="A478" s="6" t="s">
        <v>765</v>
      </c>
      <c r="B478" s="6" t="s">
        <v>766</v>
      </c>
      <c r="C478" s="1">
        <f>VALUE("2014")</f>
        <v>2014</v>
      </c>
      <c r="D478" t="s">
        <v>764</v>
      </c>
      <c r="E478" s="1">
        <f>VALUE("7150")</f>
        <v>7150</v>
      </c>
    </row>
    <row r="479" spans="1:5" x14ac:dyDescent="0.25">
      <c r="A479" s="6" t="s">
        <v>762</v>
      </c>
      <c r="B479" s="6" t="s">
        <v>763</v>
      </c>
      <c r="C479" s="1">
        <f>VALUE("2016")</f>
        <v>2016</v>
      </c>
      <c r="D479" t="s">
        <v>764</v>
      </c>
      <c r="E479" s="1">
        <f>VALUE("7150")</f>
        <v>7150</v>
      </c>
    </row>
    <row r="480" spans="1:5" x14ac:dyDescent="0.25">
      <c r="A480" s="6" t="s">
        <v>767</v>
      </c>
      <c r="B480" s="6" t="s">
        <v>768</v>
      </c>
      <c r="C480" s="1">
        <f>VALUE("2015")</f>
        <v>2015</v>
      </c>
      <c r="D480" t="s">
        <v>769</v>
      </c>
      <c r="E480" s="1">
        <f>VALUE("7151")</f>
        <v>7151</v>
      </c>
    </row>
    <row r="481" spans="1:5" x14ac:dyDescent="0.25">
      <c r="A481" s="6" t="s">
        <v>773</v>
      </c>
      <c r="B481" s="6" t="s">
        <v>774</v>
      </c>
      <c r="C481" s="1">
        <f>VALUE("2015")</f>
        <v>2015</v>
      </c>
      <c r="D481" t="s">
        <v>775</v>
      </c>
      <c r="E481" s="1">
        <f>VALUE("7151")</f>
        <v>7151</v>
      </c>
    </row>
    <row r="482" spans="1:5" x14ac:dyDescent="0.25">
      <c r="A482" s="6" t="s">
        <v>770</v>
      </c>
      <c r="B482" s="6" t="s">
        <v>771</v>
      </c>
      <c r="C482" s="1">
        <v>2016</v>
      </c>
      <c r="D482" t="s">
        <v>772</v>
      </c>
      <c r="E482" s="1">
        <f>VALUE("7151")</f>
        <v>7151</v>
      </c>
    </row>
    <row r="483" spans="1:5" x14ac:dyDescent="0.25">
      <c r="A483" s="6" t="s">
        <v>776</v>
      </c>
      <c r="B483" s="6" t="s">
        <v>777</v>
      </c>
      <c r="C483" s="1">
        <f>VALUE("2013")</f>
        <v>2013</v>
      </c>
      <c r="D483" t="s">
        <v>25</v>
      </c>
      <c r="E483" s="1">
        <f>VALUE("7152")</f>
        <v>7152</v>
      </c>
    </row>
    <row r="484" spans="1:5" x14ac:dyDescent="0.25">
      <c r="A484" s="6" t="s">
        <v>778</v>
      </c>
      <c r="B484" s="6" t="s">
        <v>779</v>
      </c>
      <c r="C484" s="1">
        <v>2012</v>
      </c>
      <c r="E484" s="1">
        <f>VALUE("7153")</f>
        <v>7153</v>
      </c>
    </row>
    <row r="485" spans="1:5" x14ac:dyDescent="0.25">
      <c r="A485" s="6" t="s">
        <v>780</v>
      </c>
      <c r="B485" s="6" t="s">
        <v>781</v>
      </c>
      <c r="C485" s="1">
        <f>VALUE("2013")</f>
        <v>2013</v>
      </c>
      <c r="D485" t="s">
        <v>640</v>
      </c>
      <c r="E485" s="1">
        <f>VALUE("7158")</f>
        <v>7158</v>
      </c>
    </row>
    <row r="486" spans="1:5" x14ac:dyDescent="0.25">
      <c r="A486" s="6" t="s">
        <v>782</v>
      </c>
      <c r="B486" s="6" t="s">
        <v>783</v>
      </c>
      <c r="C486" s="1">
        <f>VALUE("2016")</f>
        <v>2016</v>
      </c>
      <c r="D486" t="s">
        <v>772</v>
      </c>
      <c r="E486" s="1">
        <f>VALUE("7159")</f>
        <v>7159</v>
      </c>
    </row>
    <row r="487" spans="1:5" x14ac:dyDescent="0.25">
      <c r="A487" s="6" t="s">
        <v>787</v>
      </c>
      <c r="B487" s="6" t="s">
        <v>788</v>
      </c>
      <c r="C487" s="1">
        <f>VALUE("2007")</f>
        <v>2007</v>
      </c>
      <c r="D487" t="s">
        <v>786</v>
      </c>
      <c r="E487" s="1">
        <f>VALUE("7160")</f>
        <v>7160</v>
      </c>
    </row>
    <row r="488" spans="1:5" x14ac:dyDescent="0.25">
      <c r="A488" s="6" t="s">
        <v>784</v>
      </c>
      <c r="B488" s="6" t="s">
        <v>785</v>
      </c>
      <c r="C488" s="1">
        <f>VALUE("2011")</f>
        <v>2011</v>
      </c>
      <c r="D488" t="s">
        <v>786</v>
      </c>
      <c r="E488" s="1">
        <f>VALUE("7160")</f>
        <v>7160</v>
      </c>
    </row>
    <row r="489" spans="1:5" x14ac:dyDescent="0.25">
      <c r="A489" s="6" t="s">
        <v>789</v>
      </c>
      <c r="B489" s="6" t="s">
        <v>790</v>
      </c>
      <c r="C489" s="1">
        <f>VALUE("2015")</f>
        <v>2015</v>
      </c>
      <c r="D489" t="s">
        <v>791</v>
      </c>
      <c r="E489" s="1">
        <f>VALUE("7162")</f>
        <v>7162</v>
      </c>
    </row>
    <row r="490" spans="1:5" x14ac:dyDescent="0.25">
      <c r="A490" s="6" t="s">
        <v>2600</v>
      </c>
      <c r="B490" s="6" t="s">
        <v>792</v>
      </c>
      <c r="C490" s="1">
        <f>VALUE("2012")</f>
        <v>2012</v>
      </c>
      <c r="D490" t="s">
        <v>793</v>
      </c>
      <c r="E490" s="1">
        <f>VALUE("7165")</f>
        <v>7165</v>
      </c>
    </row>
    <row r="491" spans="1:5" x14ac:dyDescent="0.25">
      <c r="A491" s="6" t="s">
        <v>794</v>
      </c>
      <c r="B491" s="6" t="s">
        <v>795</v>
      </c>
      <c r="C491" s="1">
        <f>VALUE("2014")</f>
        <v>2014</v>
      </c>
      <c r="D491" t="s">
        <v>795</v>
      </c>
      <c r="E491" s="1">
        <f>VALUE("7169")</f>
        <v>7169</v>
      </c>
    </row>
    <row r="492" spans="1:5" x14ac:dyDescent="0.25">
      <c r="A492" s="6" t="s">
        <v>796</v>
      </c>
      <c r="B492" s="6" t="s">
        <v>797</v>
      </c>
      <c r="C492" s="1">
        <f>VALUE("2014")</f>
        <v>2014</v>
      </c>
      <c r="D492" t="s">
        <v>221</v>
      </c>
      <c r="E492" s="1">
        <f>VALUE("7169")</f>
        <v>7169</v>
      </c>
    </row>
    <row r="493" spans="1:5" x14ac:dyDescent="0.25">
      <c r="A493" s="6" t="s">
        <v>798</v>
      </c>
      <c r="B493" s="6" t="s">
        <v>799</v>
      </c>
      <c r="C493" s="1">
        <f>VALUE("2012")</f>
        <v>2012</v>
      </c>
      <c r="D493" t="s">
        <v>800</v>
      </c>
      <c r="E493" s="1">
        <f>VALUE("7170")</f>
        <v>7170</v>
      </c>
    </row>
    <row r="494" spans="1:5" x14ac:dyDescent="0.25">
      <c r="A494" s="6" t="s">
        <v>801</v>
      </c>
      <c r="B494" s="6" t="s">
        <v>802</v>
      </c>
      <c r="C494" s="1">
        <f>VALUE("2013")</f>
        <v>2013</v>
      </c>
      <c r="D494" t="s">
        <v>803</v>
      </c>
      <c r="E494" s="1">
        <f>VALUE("7171")</f>
        <v>7171</v>
      </c>
    </row>
    <row r="495" spans="1:5" x14ac:dyDescent="0.25">
      <c r="A495" s="6" t="s">
        <v>806</v>
      </c>
      <c r="B495" s="6" t="s">
        <v>807</v>
      </c>
      <c r="C495" s="1">
        <v>2010</v>
      </c>
      <c r="D495" t="s">
        <v>808</v>
      </c>
      <c r="E495" s="1">
        <f>VALUE("7172")</f>
        <v>7172</v>
      </c>
    </row>
    <row r="496" spans="1:5" x14ac:dyDescent="0.25">
      <c r="A496" s="6" t="s">
        <v>2601</v>
      </c>
      <c r="B496" s="6" t="s">
        <v>804</v>
      </c>
      <c r="C496" s="1">
        <v>2014</v>
      </c>
      <c r="D496" t="s">
        <v>805</v>
      </c>
      <c r="E496" s="1">
        <v>7172</v>
      </c>
    </row>
    <row r="497" spans="1:5" x14ac:dyDescent="0.25">
      <c r="A497" s="6" t="s">
        <v>2602</v>
      </c>
      <c r="B497" s="6" t="s">
        <v>809</v>
      </c>
      <c r="C497" s="1">
        <f>VALUE("2013")</f>
        <v>2013</v>
      </c>
      <c r="D497" t="s">
        <v>810</v>
      </c>
      <c r="E497" s="1">
        <f>VALUE("7176")</f>
        <v>7176</v>
      </c>
    </row>
    <row r="498" spans="1:5" x14ac:dyDescent="0.25">
      <c r="A498" s="6" t="s">
        <v>2603</v>
      </c>
      <c r="B498" s="6" t="s">
        <v>811</v>
      </c>
      <c r="C498" s="1">
        <f>VALUE("2011")</f>
        <v>2011</v>
      </c>
      <c r="E498" s="1">
        <f>VALUE("7182")</f>
        <v>7182</v>
      </c>
    </row>
    <row r="499" spans="1:5" x14ac:dyDescent="0.25">
      <c r="A499" s="6" t="s">
        <v>812</v>
      </c>
      <c r="B499" s="6" t="s">
        <v>813</v>
      </c>
      <c r="C499" s="1">
        <f>VALUE("2012")</f>
        <v>2012</v>
      </c>
      <c r="D499" t="s">
        <v>814</v>
      </c>
      <c r="E499" s="1">
        <f>VALUE("7184")</f>
        <v>7184</v>
      </c>
    </row>
    <row r="500" spans="1:5" x14ac:dyDescent="0.25">
      <c r="A500" s="6" t="s">
        <v>815</v>
      </c>
      <c r="B500" s="6" t="s">
        <v>816</v>
      </c>
      <c r="C500" s="1">
        <f>VALUE("2018")</f>
        <v>2018</v>
      </c>
      <c r="D500" t="s">
        <v>817</v>
      </c>
      <c r="E500" s="1">
        <f>VALUE("7188")</f>
        <v>7188</v>
      </c>
    </row>
    <row r="501" spans="1:5" x14ac:dyDescent="0.25">
      <c r="A501" s="6" t="s">
        <v>2604</v>
      </c>
      <c r="B501" s="6" t="s">
        <v>818</v>
      </c>
      <c r="C501" s="1">
        <f>VALUE("2013")</f>
        <v>2013</v>
      </c>
      <c r="D501" t="s">
        <v>819</v>
      </c>
      <c r="E501" s="1">
        <f>VALUE("7190")</f>
        <v>7190</v>
      </c>
    </row>
    <row r="502" spans="1:5" x14ac:dyDescent="0.25">
      <c r="A502" s="6" t="s">
        <v>820</v>
      </c>
      <c r="B502" s="6" t="s">
        <v>821</v>
      </c>
      <c r="C502" s="1">
        <f>VALUE("2014")</f>
        <v>2014</v>
      </c>
      <c r="D502" t="s">
        <v>822</v>
      </c>
      <c r="E502" s="1">
        <f>VALUE("7194")</f>
        <v>7194</v>
      </c>
    </row>
    <row r="503" spans="1:5" x14ac:dyDescent="0.25">
      <c r="A503" s="6" t="s">
        <v>823</v>
      </c>
      <c r="B503" s="6" t="s">
        <v>824</v>
      </c>
      <c r="C503" s="1">
        <f>VALUE("2012")</f>
        <v>2012</v>
      </c>
      <c r="D503" t="s">
        <v>14</v>
      </c>
      <c r="E503" s="1">
        <f>VALUE("7197")</f>
        <v>7197</v>
      </c>
    </row>
    <row r="504" spans="1:5" x14ac:dyDescent="0.25">
      <c r="A504" s="6" t="s">
        <v>825</v>
      </c>
      <c r="B504" s="6" t="s">
        <v>826</v>
      </c>
      <c r="C504" s="1">
        <v>2013</v>
      </c>
      <c r="D504" t="s">
        <v>827</v>
      </c>
      <c r="E504" s="1">
        <f>VALUE("7197")</f>
        <v>7197</v>
      </c>
    </row>
    <row r="505" spans="1:5" x14ac:dyDescent="0.25">
      <c r="A505" s="6" t="s">
        <v>833</v>
      </c>
      <c r="B505" s="6" t="s">
        <v>834</v>
      </c>
      <c r="C505" s="1">
        <f>VALUE("2012")</f>
        <v>2012</v>
      </c>
      <c r="D505" t="s">
        <v>835</v>
      </c>
      <c r="E505" s="1">
        <f>VALUE("7200")</f>
        <v>7200</v>
      </c>
    </row>
    <row r="506" spans="1:5" x14ac:dyDescent="0.25">
      <c r="A506" s="6" t="s">
        <v>2605</v>
      </c>
      <c r="B506" s="6" t="s">
        <v>828</v>
      </c>
      <c r="C506" s="1">
        <f>VALUE("2015")</f>
        <v>2015</v>
      </c>
      <c r="D506" t="s">
        <v>829</v>
      </c>
      <c r="E506" s="1">
        <f>VALUE("7200")</f>
        <v>7200</v>
      </c>
    </row>
    <row r="507" spans="1:5" x14ac:dyDescent="0.25">
      <c r="A507" s="6" t="s">
        <v>830</v>
      </c>
      <c r="B507" s="6" t="s">
        <v>831</v>
      </c>
      <c r="C507" s="1">
        <f>VALUE("2015")</f>
        <v>2015</v>
      </c>
      <c r="D507" t="s">
        <v>832</v>
      </c>
      <c r="E507" s="1">
        <f>VALUE("7200")</f>
        <v>7200</v>
      </c>
    </row>
    <row r="508" spans="1:5" x14ac:dyDescent="0.25">
      <c r="A508" s="6" t="s">
        <v>838</v>
      </c>
      <c r="B508" s="6" t="s">
        <v>839</v>
      </c>
      <c r="C508" s="1">
        <f>VALUE("2013")</f>
        <v>2013</v>
      </c>
      <c r="D508" t="s">
        <v>640</v>
      </c>
      <c r="E508" s="1">
        <f>VALUE("7204")</f>
        <v>7204</v>
      </c>
    </row>
    <row r="509" spans="1:5" x14ac:dyDescent="0.25">
      <c r="A509" s="6" t="s">
        <v>836</v>
      </c>
      <c r="B509" s="6" t="s">
        <v>837</v>
      </c>
      <c r="C509" s="1">
        <f>VALUE("2013")</f>
        <v>2013</v>
      </c>
      <c r="D509" t="s">
        <v>640</v>
      </c>
      <c r="E509" s="1">
        <f>VALUE("7204")</f>
        <v>7204</v>
      </c>
    </row>
    <row r="510" spans="1:5" x14ac:dyDescent="0.25">
      <c r="A510" s="6" t="s">
        <v>840</v>
      </c>
      <c r="B510" s="6" t="s">
        <v>841</v>
      </c>
      <c r="C510" s="1">
        <f>VALUE("2014")</f>
        <v>2014</v>
      </c>
      <c r="D510" t="s">
        <v>640</v>
      </c>
      <c r="E510" s="1">
        <f>VALUE("7204")</f>
        <v>7204</v>
      </c>
    </row>
    <row r="511" spans="1:5" x14ac:dyDescent="0.25">
      <c r="A511" s="6" t="s">
        <v>842</v>
      </c>
      <c r="B511" s="6" t="s">
        <v>843</v>
      </c>
      <c r="C511" s="1">
        <f>VALUE("2011")</f>
        <v>2011</v>
      </c>
      <c r="D511" t="s">
        <v>101</v>
      </c>
      <c r="E511" s="1">
        <f>VALUE("7207")</f>
        <v>7207</v>
      </c>
    </row>
    <row r="512" spans="1:5" x14ac:dyDescent="0.25">
      <c r="A512" s="6" t="s">
        <v>844</v>
      </c>
      <c r="B512" s="6" t="s">
        <v>845</v>
      </c>
      <c r="C512" s="1">
        <f>VALUE("2012")</f>
        <v>2012</v>
      </c>
      <c r="D512" t="s">
        <v>846</v>
      </c>
      <c r="E512" s="1">
        <f>VALUE("7209")</f>
        <v>7209</v>
      </c>
    </row>
    <row r="513" spans="1:5" x14ac:dyDescent="0.25">
      <c r="A513" s="6" t="s">
        <v>847</v>
      </c>
      <c r="B513" s="6" t="s">
        <v>848</v>
      </c>
      <c r="C513" s="1">
        <f>VALUE("2013")</f>
        <v>2013</v>
      </c>
      <c r="D513" t="s">
        <v>849</v>
      </c>
      <c r="E513" s="1">
        <f>VALUE("7210")</f>
        <v>7210</v>
      </c>
    </row>
    <row r="514" spans="1:5" x14ac:dyDescent="0.25">
      <c r="A514" s="6" t="s">
        <v>850</v>
      </c>
      <c r="B514" s="6" t="s">
        <v>851</v>
      </c>
      <c r="C514" s="1">
        <f>VALUE("2013")</f>
        <v>2013</v>
      </c>
      <c r="D514" t="s">
        <v>852</v>
      </c>
      <c r="E514" s="1">
        <f>VALUE("7215")</f>
        <v>7215</v>
      </c>
    </row>
    <row r="515" spans="1:5" x14ac:dyDescent="0.25">
      <c r="A515" s="12" t="s">
        <v>2528</v>
      </c>
      <c r="B515" s="12" t="s">
        <v>1388</v>
      </c>
      <c r="C515" s="10">
        <v>2011</v>
      </c>
      <c r="D515" s="11" t="s">
        <v>1125</v>
      </c>
      <c r="E515" s="10">
        <v>7216</v>
      </c>
    </row>
    <row r="516" spans="1:5" x14ac:dyDescent="0.25">
      <c r="A516" s="6" t="s">
        <v>2606</v>
      </c>
      <c r="B516" s="6" t="s">
        <v>853</v>
      </c>
      <c r="C516" s="1">
        <f>VALUE("2013")</f>
        <v>2013</v>
      </c>
      <c r="D516" t="s">
        <v>814</v>
      </c>
      <c r="E516" s="1">
        <f>VALUE("7217")</f>
        <v>7217</v>
      </c>
    </row>
    <row r="517" spans="1:5" x14ac:dyDescent="0.25">
      <c r="A517" s="6" t="s">
        <v>854</v>
      </c>
      <c r="B517" s="6" t="s">
        <v>855</v>
      </c>
      <c r="C517" s="1">
        <f>VALUE("2015")</f>
        <v>2015</v>
      </c>
      <c r="D517" t="s">
        <v>856</v>
      </c>
      <c r="E517" s="1">
        <f>VALUE("7218")</f>
        <v>7218</v>
      </c>
    </row>
    <row r="518" spans="1:5" x14ac:dyDescent="0.25">
      <c r="A518" s="6" t="s">
        <v>857</v>
      </c>
      <c r="B518" s="6" t="s">
        <v>858</v>
      </c>
      <c r="C518" s="1">
        <f>VALUE("2012")</f>
        <v>2012</v>
      </c>
      <c r="D518" t="s">
        <v>859</v>
      </c>
      <c r="E518" s="1">
        <f>VALUE("7220")</f>
        <v>7220</v>
      </c>
    </row>
    <row r="519" spans="1:5" x14ac:dyDescent="0.25">
      <c r="A519" s="6" t="s">
        <v>2607</v>
      </c>
      <c r="B519" s="6" t="s">
        <v>860</v>
      </c>
      <c r="C519" s="1">
        <f>VALUE("2012")</f>
        <v>2012</v>
      </c>
      <c r="D519" t="s">
        <v>861</v>
      </c>
      <c r="E519" s="1">
        <f>VALUE("7222")</f>
        <v>7222</v>
      </c>
    </row>
    <row r="520" spans="1:5" x14ac:dyDescent="0.25">
      <c r="A520" s="6" t="s">
        <v>862</v>
      </c>
      <c r="B520" s="6" t="s">
        <v>863</v>
      </c>
      <c r="C520" s="1">
        <f>VALUE("2012")</f>
        <v>2012</v>
      </c>
      <c r="D520" t="s">
        <v>863</v>
      </c>
      <c r="E520" s="1">
        <f>VALUE("7223")</f>
        <v>7223</v>
      </c>
    </row>
    <row r="521" spans="1:5" x14ac:dyDescent="0.25">
      <c r="A521" s="6" t="s">
        <v>864</v>
      </c>
      <c r="B521" s="6" t="s">
        <v>865</v>
      </c>
      <c r="C521" s="1">
        <f>VALUE("2011")</f>
        <v>2011</v>
      </c>
      <c r="D521" t="s">
        <v>598</v>
      </c>
      <c r="E521" s="1">
        <f>VALUE("7225")</f>
        <v>7225</v>
      </c>
    </row>
    <row r="522" spans="1:5" x14ac:dyDescent="0.25">
      <c r="A522" s="6" t="s">
        <v>866</v>
      </c>
      <c r="B522" s="6" t="s">
        <v>867</v>
      </c>
      <c r="C522" s="1">
        <f>VALUE("2009")</f>
        <v>2009</v>
      </c>
      <c r="E522" s="1">
        <f>VALUE("7228")</f>
        <v>7228</v>
      </c>
    </row>
    <row r="523" spans="1:5" x14ac:dyDescent="0.25">
      <c r="A523" s="6" t="s">
        <v>868</v>
      </c>
      <c r="B523" s="6" t="s">
        <v>869</v>
      </c>
      <c r="C523" s="1">
        <f>VALUE("2012")</f>
        <v>2012</v>
      </c>
      <c r="D523" t="s">
        <v>870</v>
      </c>
      <c r="E523" s="1">
        <f>VALUE("7229")</f>
        <v>7229</v>
      </c>
    </row>
    <row r="524" spans="1:5" x14ac:dyDescent="0.25">
      <c r="A524" s="6" t="s">
        <v>2608</v>
      </c>
      <c r="B524" s="6" t="s">
        <v>871</v>
      </c>
      <c r="C524" s="1">
        <f>VALUE("2014")</f>
        <v>2014</v>
      </c>
      <c r="D524" t="s">
        <v>872</v>
      </c>
      <c r="E524" s="1">
        <f>VALUE("7230")</f>
        <v>7230</v>
      </c>
    </row>
    <row r="525" spans="1:5" x14ac:dyDescent="0.25">
      <c r="A525" s="6" t="s">
        <v>873</v>
      </c>
      <c r="B525" s="6" t="s">
        <v>876</v>
      </c>
      <c r="C525" s="1">
        <v>2013</v>
      </c>
      <c r="D525" t="s">
        <v>877</v>
      </c>
      <c r="E525" s="1">
        <f>VALUE("7232")</f>
        <v>7232</v>
      </c>
    </row>
    <row r="526" spans="1:5" x14ac:dyDescent="0.25">
      <c r="A526" s="6" t="s">
        <v>873</v>
      </c>
      <c r="B526" s="6" t="s">
        <v>874</v>
      </c>
      <c r="C526" s="1">
        <f>VALUE("2014")</f>
        <v>2014</v>
      </c>
      <c r="D526" t="s">
        <v>875</v>
      </c>
      <c r="E526" s="1">
        <f>VALUE("7232")</f>
        <v>7232</v>
      </c>
    </row>
    <row r="527" spans="1:5" x14ac:dyDescent="0.25">
      <c r="A527" s="6" t="s">
        <v>2609</v>
      </c>
      <c r="B527" s="6" t="s">
        <v>874</v>
      </c>
      <c r="C527" s="1">
        <f>VALUE("2014")</f>
        <v>2014</v>
      </c>
      <c r="D527" t="s">
        <v>878</v>
      </c>
      <c r="E527" s="1">
        <f>VALUE("7232")</f>
        <v>7232</v>
      </c>
    </row>
    <row r="528" spans="1:5" x14ac:dyDescent="0.25">
      <c r="A528" s="6" t="s">
        <v>2611</v>
      </c>
      <c r="B528" s="6" t="s">
        <v>879</v>
      </c>
      <c r="C528" s="1">
        <v>2012</v>
      </c>
      <c r="D528" t="s">
        <v>880</v>
      </c>
      <c r="E528" s="1">
        <f>VALUE("7233")</f>
        <v>7233</v>
      </c>
    </row>
    <row r="529" spans="1:5" x14ac:dyDescent="0.25">
      <c r="A529" s="6" t="s">
        <v>2610</v>
      </c>
      <c r="B529" s="6" t="s">
        <v>881</v>
      </c>
      <c r="C529" s="1">
        <f>VALUE("2014")</f>
        <v>2014</v>
      </c>
      <c r="D529" t="s">
        <v>882</v>
      </c>
      <c r="E529" s="1">
        <f>VALUE("7238")</f>
        <v>7238</v>
      </c>
    </row>
    <row r="530" spans="1:5" x14ac:dyDescent="0.25">
      <c r="A530" s="6" t="s">
        <v>883</v>
      </c>
      <c r="B530" s="6" t="s">
        <v>884</v>
      </c>
      <c r="C530" s="1">
        <f>VALUE("2014")</f>
        <v>2014</v>
      </c>
      <c r="D530" t="s">
        <v>885</v>
      </c>
      <c r="E530" s="1">
        <f>VALUE("7238")</f>
        <v>7238</v>
      </c>
    </row>
    <row r="531" spans="1:5" x14ac:dyDescent="0.25">
      <c r="A531" s="6" t="s">
        <v>886</v>
      </c>
      <c r="B531" s="6" t="s">
        <v>887</v>
      </c>
      <c r="C531" s="1">
        <f>VALUE("2012")</f>
        <v>2012</v>
      </c>
      <c r="E531" s="1">
        <f>VALUE("7241")</f>
        <v>7241</v>
      </c>
    </row>
    <row r="532" spans="1:5" x14ac:dyDescent="0.25">
      <c r="A532" s="6" t="s">
        <v>888</v>
      </c>
      <c r="B532" s="6" t="s">
        <v>889</v>
      </c>
      <c r="C532" s="1">
        <f>VALUE("2013")</f>
        <v>2013</v>
      </c>
      <c r="D532" t="s">
        <v>890</v>
      </c>
      <c r="E532" s="1">
        <f>VALUE("7243")</f>
        <v>7243</v>
      </c>
    </row>
    <row r="533" spans="1:5" x14ac:dyDescent="0.25">
      <c r="A533" s="6" t="s">
        <v>891</v>
      </c>
      <c r="B533" s="6" t="s">
        <v>892</v>
      </c>
      <c r="C533" s="1">
        <f>VALUE("2011")</f>
        <v>2011</v>
      </c>
      <c r="D533" t="s">
        <v>892</v>
      </c>
      <c r="E533" s="1">
        <f>VALUE("7245")</f>
        <v>7245</v>
      </c>
    </row>
    <row r="534" spans="1:5" x14ac:dyDescent="0.25">
      <c r="A534" s="6" t="s">
        <v>893</v>
      </c>
      <c r="B534" s="6" t="s">
        <v>894</v>
      </c>
      <c r="C534" s="1">
        <f>VALUE("2012")</f>
        <v>2012</v>
      </c>
      <c r="E534" s="1">
        <f>VALUE("7246")</f>
        <v>7246</v>
      </c>
    </row>
    <row r="535" spans="1:5" x14ac:dyDescent="0.25">
      <c r="A535" s="6" t="s">
        <v>895</v>
      </c>
      <c r="B535" s="6" t="s">
        <v>896</v>
      </c>
      <c r="C535" s="1">
        <f>VALUE("2012")</f>
        <v>2012</v>
      </c>
      <c r="E535" s="1">
        <f>VALUE("7246")</f>
        <v>7246</v>
      </c>
    </row>
    <row r="536" spans="1:5" x14ac:dyDescent="0.25">
      <c r="A536" s="6" t="s">
        <v>897</v>
      </c>
      <c r="B536" s="6" t="s">
        <v>896</v>
      </c>
      <c r="C536" s="1">
        <f>VALUE("2012")</f>
        <v>2012</v>
      </c>
      <c r="E536" s="1">
        <f>VALUE("7246")</f>
        <v>7246</v>
      </c>
    </row>
    <row r="537" spans="1:5" x14ac:dyDescent="0.25">
      <c r="A537" s="6" t="s">
        <v>2612</v>
      </c>
      <c r="B537" s="6" t="s">
        <v>898</v>
      </c>
      <c r="C537" s="1">
        <f>VALUE("2013")</f>
        <v>2013</v>
      </c>
      <c r="D537" t="s">
        <v>899</v>
      </c>
      <c r="E537" s="1">
        <f>VALUE("7249")</f>
        <v>7249</v>
      </c>
    </row>
    <row r="538" spans="1:5" x14ac:dyDescent="0.25">
      <c r="A538" s="6" t="s">
        <v>900</v>
      </c>
      <c r="B538" s="6" t="s">
        <v>901</v>
      </c>
      <c r="C538" s="1">
        <f>VALUE("2015")</f>
        <v>2015</v>
      </c>
      <c r="D538" t="s">
        <v>902</v>
      </c>
      <c r="E538" s="1">
        <f>VALUE("7249")</f>
        <v>7249</v>
      </c>
    </row>
    <row r="539" spans="1:5" x14ac:dyDescent="0.25">
      <c r="A539" s="6" t="s">
        <v>2613</v>
      </c>
      <c r="B539" s="6" t="s">
        <v>903</v>
      </c>
      <c r="C539" s="1">
        <f>VALUE("2012")</f>
        <v>2012</v>
      </c>
      <c r="D539" t="s">
        <v>904</v>
      </c>
      <c r="E539" s="1">
        <f>VALUE("7254")</f>
        <v>7254</v>
      </c>
    </row>
    <row r="540" spans="1:5" x14ac:dyDescent="0.25">
      <c r="A540" s="6" t="s">
        <v>2614</v>
      </c>
      <c r="B540" s="6" t="s">
        <v>905</v>
      </c>
      <c r="C540" s="1">
        <f>VALUE("2013")</f>
        <v>2013</v>
      </c>
      <c r="D540" t="s">
        <v>906</v>
      </c>
      <c r="E540" s="1">
        <f>VALUE("7255")</f>
        <v>7255</v>
      </c>
    </row>
    <row r="541" spans="1:5" x14ac:dyDescent="0.25">
      <c r="A541" s="6" t="s">
        <v>907</v>
      </c>
      <c r="B541" s="6" t="s">
        <v>908</v>
      </c>
      <c r="C541" s="1">
        <f>VALUE("2015")</f>
        <v>2015</v>
      </c>
      <c r="D541" t="s">
        <v>909</v>
      </c>
      <c r="E541" s="1">
        <f>VALUE("7256")</f>
        <v>7256</v>
      </c>
    </row>
    <row r="542" spans="1:5" x14ac:dyDescent="0.25">
      <c r="A542" s="6" t="s">
        <v>910</v>
      </c>
      <c r="B542" s="6" t="s">
        <v>911</v>
      </c>
      <c r="C542" s="1">
        <f>VALUE("2016")</f>
        <v>2016</v>
      </c>
      <c r="D542" t="s">
        <v>912</v>
      </c>
      <c r="E542" s="1">
        <f>VALUE("7256")</f>
        <v>7256</v>
      </c>
    </row>
    <row r="543" spans="1:5" x14ac:dyDescent="0.25">
      <c r="A543" s="6" t="s">
        <v>913</v>
      </c>
      <c r="B543" s="6" t="s">
        <v>914</v>
      </c>
      <c r="C543" s="1">
        <f>VALUE("2014")</f>
        <v>2014</v>
      </c>
      <c r="D543" t="s">
        <v>915</v>
      </c>
      <c r="E543" s="1">
        <f>VALUE("7257")</f>
        <v>7257</v>
      </c>
    </row>
    <row r="544" spans="1:5" x14ac:dyDescent="0.25">
      <c r="A544" s="6" t="s">
        <v>916</v>
      </c>
      <c r="B544" s="6" t="s">
        <v>917</v>
      </c>
      <c r="C544" s="1">
        <f>VALUE("2013")</f>
        <v>2013</v>
      </c>
      <c r="D544" t="s">
        <v>918</v>
      </c>
      <c r="E544" s="1">
        <f>VALUE("7258")</f>
        <v>7258</v>
      </c>
    </row>
    <row r="545" spans="1:5" x14ac:dyDescent="0.25">
      <c r="A545" s="6" t="s">
        <v>919</v>
      </c>
      <c r="B545" s="6" t="s">
        <v>920</v>
      </c>
      <c r="C545" s="1">
        <f>VALUE("2013")</f>
        <v>2013</v>
      </c>
      <c r="D545" t="s">
        <v>921</v>
      </c>
      <c r="E545" s="1">
        <f>VALUE("7258")</f>
        <v>7258</v>
      </c>
    </row>
    <row r="546" spans="1:5" x14ac:dyDescent="0.25">
      <c r="A546" s="6" t="s">
        <v>922</v>
      </c>
      <c r="B546" s="6" t="s">
        <v>923</v>
      </c>
      <c r="C546" s="1">
        <f>VALUE("2014")</f>
        <v>2014</v>
      </c>
      <c r="D546" t="s">
        <v>924</v>
      </c>
      <c r="E546" s="1">
        <f>VALUE("7258")</f>
        <v>7258</v>
      </c>
    </row>
    <row r="547" spans="1:5" x14ac:dyDescent="0.25">
      <c r="A547" s="6" t="s">
        <v>925</v>
      </c>
      <c r="B547" s="6" t="s">
        <v>926</v>
      </c>
      <c r="C547" s="1">
        <v>2012</v>
      </c>
      <c r="D547" t="s">
        <v>927</v>
      </c>
      <c r="E547" s="1">
        <f>VALUE("7260")</f>
        <v>7260</v>
      </c>
    </row>
    <row r="548" spans="1:5" x14ac:dyDescent="0.25">
      <c r="A548" s="6" t="s">
        <v>928</v>
      </c>
      <c r="B548" s="6" t="s">
        <v>929</v>
      </c>
      <c r="C548" s="1">
        <f>VALUE("2014")</f>
        <v>2014</v>
      </c>
      <c r="D548" t="s">
        <v>930</v>
      </c>
      <c r="E548" s="1">
        <f>VALUE("7261")</f>
        <v>7261</v>
      </c>
    </row>
    <row r="549" spans="1:5" x14ac:dyDescent="0.25">
      <c r="A549" s="6" t="s">
        <v>931</v>
      </c>
      <c r="B549" s="6" t="s">
        <v>932</v>
      </c>
      <c r="C549" s="1">
        <f>VALUE("2013")</f>
        <v>2013</v>
      </c>
      <c r="D549" t="s">
        <v>933</v>
      </c>
      <c r="E549" s="1">
        <f>VALUE("7262")</f>
        <v>7262</v>
      </c>
    </row>
    <row r="550" spans="1:5" x14ac:dyDescent="0.25">
      <c r="A550" s="6" t="s">
        <v>934</v>
      </c>
      <c r="B550" s="6" t="s">
        <v>935</v>
      </c>
      <c r="C550" s="1">
        <f>VALUE("2013")</f>
        <v>2013</v>
      </c>
      <c r="D550" t="s">
        <v>936</v>
      </c>
      <c r="E550" s="1">
        <f>VALUE("7262")</f>
        <v>7262</v>
      </c>
    </row>
    <row r="551" spans="1:5" x14ac:dyDescent="0.25">
      <c r="A551" s="6" t="s">
        <v>937</v>
      </c>
      <c r="B551" s="6" t="s">
        <v>938</v>
      </c>
      <c r="C551" s="1">
        <f>VALUE("2013")</f>
        <v>2013</v>
      </c>
      <c r="D551" t="s">
        <v>939</v>
      </c>
      <c r="E551" s="1">
        <f>VALUE("7262")</f>
        <v>7262</v>
      </c>
    </row>
    <row r="552" spans="1:5" x14ac:dyDescent="0.25">
      <c r="A552" s="6" t="s">
        <v>940</v>
      </c>
      <c r="B552" s="6" t="s">
        <v>941</v>
      </c>
      <c r="C552" s="1">
        <f>VALUE("2013")</f>
        <v>2013</v>
      </c>
      <c r="D552" t="s">
        <v>942</v>
      </c>
      <c r="E552" s="1">
        <f>VALUE("7262")</f>
        <v>7262</v>
      </c>
    </row>
    <row r="553" spans="1:5" x14ac:dyDescent="0.25">
      <c r="A553" s="6" t="s">
        <v>943</v>
      </c>
      <c r="B553" s="6" t="s">
        <v>944</v>
      </c>
      <c r="C553" s="1">
        <f>VALUE("2013")</f>
        <v>2013</v>
      </c>
      <c r="D553" t="s">
        <v>945</v>
      </c>
      <c r="E553" s="1">
        <f>VALUE("7262")</f>
        <v>7262</v>
      </c>
    </row>
    <row r="554" spans="1:5" x14ac:dyDescent="0.25">
      <c r="A554" s="6" t="s">
        <v>949</v>
      </c>
      <c r="B554" s="6" t="s">
        <v>950</v>
      </c>
      <c r="C554" s="1">
        <f>VALUE("2014")</f>
        <v>2014</v>
      </c>
      <c r="D554" t="s">
        <v>951</v>
      </c>
      <c r="E554" s="1">
        <f>VALUE("7262")</f>
        <v>7262</v>
      </c>
    </row>
    <row r="555" spans="1:5" x14ac:dyDescent="0.25">
      <c r="A555" s="6" t="s">
        <v>952</v>
      </c>
      <c r="B555" s="6" t="s">
        <v>953</v>
      </c>
      <c r="C555" s="1">
        <f>VALUE("2015")</f>
        <v>2015</v>
      </c>
      <c r="D555" t="s">
        <v>951</v>
      </c>
      <c r="E555" s="1">
        <f>VALUE("7262")</f>
        <v>7262</v>
      </c>
    </row>
    <row r="556" spans="1:5" x14ac:dyDescent="0.25">
      <c r="A556" s="6" t="s">
        <v>954</v>
      </c>
      <c r="B556" s="6" t="s">
        <v>955</v>
      </c>
      <c r="C556" s="1">
        <f>VALUE("2016")</f>
        <v>2016</v>
      </c>
      <c r="D556" t="s">
        <v>951</v>
      </c>
      <c r="E556" s="1">
        <f>VALUE("7262")</f>
        <v>7262</v>
      </c>
    </row>
    <row r="557" spans="1:5" x14ac:dyDescent="0.25">
      <c r="A557" s="6" t="s">
        <v>956</v>
      </c>
      <c r="B557" s="6" t="s">
        <v>957</v>
      </c>
      <c r="C557" s="1">
        <f>VALUE("2017")</f>
        <v>2017</v>
      </c>
      <c r="D557" t="s">
        <v>951</v>
      </c>
      <c r="E557" s="1">
        <f>VALUE("7262")</f>
        <v>7262</v>
      </c>
    </row>
    <row r="558" spans="1:5" x14ac:dyDescent="0.25">
      <c r="A558" s="6" t="s">
        <v>946</v>
      </c>
      <c r="B558" s="6" t="s">
        <v>947</v>
      </c>
      <c r="C558" s="1">
        <f>VALUE("2017")</f>
        <v>2017</v>
      </c>
      <c r="D558" t="s">
        <v>948</v>
      </c>
      <c r="E558" s="1">
        <f>VALUE("7262")</f>
        <v>7262</v>
      </c>
    </row>
    <row r="559" spans="1:5" x14ac:dyDescent="0.25">
      <c r="A559" s="6" t="s">
        <v>958</v>
      </c>
      <c r="B559" s="6" t="s">
        <v>959</v>
      </c>
      <c r="C559" s="1">
        <f>VALUE("2013")</f>
        <v>2013</v>
      </c>
      <c r="D559" t="s">
        <v>960</v>
      </c>
      <c r="E559" s="1">
        <f>VALUE("7264")</f>
        <v>7264</v>
      </c>
    </row>
    <row r="560" spans="1:5" x14ac:dyDescent="0.25">
      <c r="A560" s="6" t="s">
        <v>1000</v>
      </c>
      <c r="B560" s="6" t="s">
        <v>1001</v>
      </c>
      <c r="C560" s="1">
        <f>VALUE("2014")</f>
        <v>2014</v>
      </c>
      <c r="D560" t="s">
        <v>988</v>
      </c>
      <c r="E560" s="1">
        <f>VALUE("7265")</f>
        <v>7265</v>
      </c>
    </row>
    <row r="561" spans="1:5" x14ac:dyDescent="0.25">
      <c r="A561" s="6" t="s">
        <v>969</v>
      </c>
      <c r="B561" s="6" t="s">
        <v>970</v>
      </c>
      <c r="C561" s="1">
        <f>VALUE("2014")</f>
        <v>2014</v>
      </c>
      <c r="D561" t="s">
        <v>963</v>
      </c>
      <c r="E561" s="1">
        <f>VALUE("7265")</f>
        <v>7265</v>
      </c>
    </row>
    <row r="562" spans="1:5" x14ac:dyDescent="0.25">
      <c r="A562" s="6" t="s">
        <v>978</v>
      </c>
      <c r="B562" s="6" t="s">
        <v>979</v>
      </c>
      <c r="C562" s="1">
        <f>VALUE("2014")</f>
        <v>2014</v>
      </c>
      <c r="D562" t="s">
        <v>973</v>
      </c>
      <c r="E562" s="1">
        <f>VALUE("7265")</f>
        <v>7265</v>
      </c>
    </row>
    <row r="563" spans="1:5" x14ac:dyDescent="0.25">
      <c r="A563" s="6" t="s">
        <v>980</v>
      </c>
      <c r="B563" s="6" t="s">
        <v>979</v>
      </c>
      <c r="C563" s="1">
        <f>VALUE("2014")</f>
        <v>2014</v>
      </c>
      <c r="D563" t="s">
        <v>973</v>
      </c>
      <c r="E563" s="1">
        <f>VALUE("7265")</f>
        <v>7265</v>
      </c>
    </row>
    <row r="564" spans="1:5" x14ac:dyDescent="0.25">
      <c r="A564" s="6" t="s">
        <v>964</v>
      </c>
      <c r="B564" s="6" t="s">
        <v>965</v>
      </c>
      <c r="C564" s="1">
        <f>VALUE("2014")</f>
        <v>2014</v>
      </c>
      <c r="D564" t="s">
        <v>963</v>
      </c>
      <c r="E564" s="1">
        <f>VALUE("7265")</f>
        <v>7265</v>
      </c>
    </row>
    <row r="565" spans="1:5" x14ac:dyDescent="0.25">
      <c r="A565" s="6" t="s">
        <v>996</v>
      </c>
      <c r="B565" s="6" t="s">
        <v>997</v>
      </c>
      <c r="C565" s="1">
        <f>VALUE("2014")</f>
        <v>2014</v>
      </c>
      <c r="D565" t="s">
        <v>988</v>
      </c>
      <c r="E565" s="1">
        <f>VALUE("7265")</f>
        <v>7265</v>
      </c>
    </row>
    <row r="566" spans="1:5" x14ac:dyDescent="0.25">
      <c r="A566" s="6" t="s">
        <v>994</v>
      </c>
      <c r="B566" s="6" t="s">
        <v>995</v>
      </c>
      <c r="C566" s="1">
        <f>VALUE("2014")</f>
        <v>2014</v>
      </c>
      <c r="D566" t="s">
        <v>988</v>
      </c>
      <c r="E566" s="1">
        <f>VALUE("7265")</f>
        <v>7265</v>
      </c>
    </row>
    <row r="567" spans="1:5" x14ac:dyDescent="0.25">
      <c r="A567" s="6" t="s">
        <v>971</v>
      </c>
      <c r="B567" s="6" t="s">
        <v>972</v>
      </c>
      <c r="C567" s="1">
        <f>VALUE("2014")</f>
        <v>2014</v>
      </c>
      <c r="D567" t="s">
        <v>973</v>
      </c>
      <c r="E567" s="1">
        <f>VALUE("7265")</f>
        <v>7265</v>
      </c>
    </row>
    <row r="568" spans="1:5" x14ac:dyDescent="0.25">
      <c r="A568" s="6" t="s">
        <v>998</v>
      </c>
      <c r="B568" s="6" t="s">
        <v>999</v>
      </c>
      <c r="C568" s="1">
        <f>VALUE("2014")</f>
        <v>2014</v>
      </c>
      <c r="D568" t="s">
        <v>988</v>
      </c>
      <c r="E568" s="1">
        <f>VALUE("7265")</f>
        <v>7265</v>
      </c>
    </row>
    <row r="569" spans="1:5" x14ac:dyDescent="0.25">
      <c r="A569" s="6" t="s">
        <v>986</v>
      </c>
      <c r="B569" s="6" t="s">
        <v>987</v>
      </c>
      <c r="C569" s="1">
        <v>2014</v>
      </c>
      <c r="D569" t="s">
        <v>988</v>
      </c>
      <c r="E569" s="1">
        <f>VALUE("7265")</f>
        <v>7265</v>
      </c>
    </row>
    <row r="570" spans="1:5" x14ac:dyDescent="0.25">
      <c r="A570" s="6" t="s">
        <v>961</v>
      </c>
      <c r="B570" s="6" t="s">
        <v>962</v>
      </c>
      <c r="C570" s="1">
        <f>VALUE("2014")</f>
        <v>2014</v>
      </c>
      <c r="D570" t="s">
        <v>963</v>
      </c>
      <c r="E570" s="1">
        <f>VALUE("7265")</f>
        <v>7265</v>
      </c>
    </row>
    <row r="571" spans="1:5" x14ac:dyDescent="0.25">
      <c r="A571" s="6" t="s">
        <v>1002</v>
      </c>
      <c r="B571" s="6" t="s">
        <v>1003</v>
      </c>
      <c r="C571" s="1">
        <f>VALUE("2014")</f>
        <v>2014</v>
      </c>
      <c r="D571" t="s">
        <v>988</v>
      </c>
      <c r="E571" s="1">
        <f>VALUE("7265")</f>
        <v>7265</v>
      </c>
    </row>
    <row r="572" spans="1:5" x14ac:dyDescent="0.25">
      <c r="A572" s="6" t="s">
        <v>974</v>
      </c>
      <c r="B572" s="6" t="s">
        <v>975</v>
      </c>
      <c r="C572" s="1">
        <f>VALUE("2015")</f>
        <v>2015</v>
      </c>
      <c r="D572" t="s">
        <v>973</v>
      </c>
      <c r="E572" s="1">
        <f>VALUE("7265")</f>
        <v>7265</v>
      </c>
    </row>
    <row r="573" spans="1:5" x14ac:dyDescent="0.25">
      <c r="A573" s="6" t="s">
        <v>984</v>
      </c>
      <c r="B573" s="6" t="s">
        <v>985</v>
      </c>
      <c r="C573" s="1">
        <f>VALUE("2015")</f>
        <v>2015</v>
      </c>
      <c r="D573" t="s">
        <v>973</v>
      </c>
      <c r="E573" s="1">
        <f>VALUE("7265")</f>
        <v>7265</v>
      </c>
    </row>
    <row r="574" spans="1:5" x14ac:dyDescent="0.25">
      <c r="A574" s="6" t="s">
        <v>966</v>
      </c>
      <c r="B574" s="6" t="s">
        <v>967</v>
      </c>
      <c r="C574" s="1">
        <v>2015</v>
      </c>
      <c r="D574" t="s">
        <v>968</v>
      </c>
      <c r="E574" s="1">
        <f>VALUE("7265")</f>
        <v>7265</v>
      </c>
    </row>
    <row r="575" spans="1:5" x14ac:dyDescent="0.25">
      <c r="A575" s="6" t="s">
        <v>992</v>
      </c>
      <c r="B575" s="6" t="s">
        <v>993</v>
      </c>
      <c r="C575" s="1">
        <f>VALUE("2015")</f>
        <v>2015</v>
      </c>
      <c r="D575" t="s">
        <v>988</v>
      </c>
      <c r="E575" s="1">
        <f>VALUE("7265")</f>
        <v>7265</v>
      </c>
    </row>
    <row r="576" spans="1:5" x14ac:dyDescent="0.25">
      <c r="A576" s="6" t="s">
        <v>989</v>
      </c>
      <c r="B576" s="6" t="s">
        <v>990</v>
      </c>
      <c r="C576" s="1">
        <f>VALUE("2015")</f>
        <v>2015</v>
      </c>
      <c r="D576" t="s">
        <v>991</v>
      </c>
      <c r="E576" s="1">
        <f>VALUE("7265")</f>
        <v>7265</v>
      </c>
    </row>
    <row r="577" spans="1:5" x14ac:dyDescent="0.25">
      <c r="A577" s="6" t="s">
        <v>981</v>
      </c>
      <c r="B577" s="6" t="s">
        <v>982</v>
      </c>
      <c r="C577" s="1">
        <f>VALUE("2015")</f>
        <v>2015</v>
      </c>
      <c r="D577" t="s">
        <v>973</v>
      </c>
      <c r="E577" s="1">
        <f>VALUE("7265")</f>
        <v>7265</v>
      </c>
    </row>
    <row r="578" spans="1:5" x14ac:dyDescent="0.25">
      <c r="A578" s="6" t="s">
        <v>983</v>
      </c>
      <c r="B578" s="6" t="s">
        <v>979</v>
      </c>
      <c r="C578" s="1">
        <f>VALUE("2015")</f>
        <v>2015</v>
      </c>
      <c r="D578" t="s">
        <v>973</v>
      </c>
      <c r="E578" s="1">
        <f>VALUE("7265")</f>
        <v>7265</v>
      </c>
    </row>
    <row r="579" spans="1:5" x14ac:dyDescent="0.25">
      <c r="A579" s="6" t="s">
        <v>976</v>
      </c>
      <c r="B579" s="6" t="s">
        <v>977</v>
      </c>
      <c r="C579" s="1">
        <f>VALUE("2015")</f>
        <v>2015</v>
      </c>
      <c r="D579" t="s">
        <v>973</v>
      </c>
      <c r="E579" s="1">
        <f>VALUE("7265")</f>
        <v>7265</v>
      </c>
    </row>
    <row r="580" spans="1:5" x14ac:dyDescent="0.25">
      <c r="A580" s="6" t="s">
        <v>1004</v>
      </c>
      <c r="B580" s="6" t="s">
        <v>1005</v>
      </c>
      <c r="C580" s="1">
        <f>VALUE("2015")</f>
        <v>2015</v>
      </c>
      <c r="D580" t="s">
        <v>1006</v>
      </c>
      <c r="E580" s="1">
        <f>VALUE("7267")</f>
        <v>7267</v>
      </c>
    </row>
    <row r="581" spans="1:5" x14ac:dyDescent="0.25">
      <c r="A581" s="6" t="s">
        <v>1007</v>
      </c>
      <c r="B581" s="6" t="s">
        <v>1008</v>
      </c>
      <c r="C581" s="1">
        <f>VALUE("2015")</f>
        <v>2015</v>
      </c>
      <c r="D581" t="s">
        <v>1009</v>
      </c>
      <c r="E581" s="1">
        <f>VALUE("7267")</f>
        <v>7267</v>
      </c>
    </row>
    <row r="582" spans="1:5" x14ac:dyDescent="0.25">
      <c r="A582" s="6" t="s">
        <v>2615</v>
      </c>
      <c r="B582" s="6" t="s">
        <v>1010</v>
      </c>
      <c r="C582" s="1">
        <f>VALUE("2012")</f>
        <v>2012</v>
      </c>
      <c r="D582" t="s">
        <v>1011</v>
      </c>
      <c r="E582" s="1">
        <f>VALUE("7269")</f>
        <v>7269</v>
      </c>
    </row>
    <row r="583" spans="1:5" x14ac:dyDescent="0.25">
      <c r="A583" s="6" t="s">
        <v>1018</v>
      </c>
      <c r="B583" s="6" t="s">
        <v>1019</v>
      </c>
      <c r="C583" s="1">
        <f>VALUE("2016")</f>
        <v>2016</v>
      </c>
      <c r="D583" t="s">
        <v>1020</v>
      </c>
      <c r="E583" s="1">
        <f>VALUE("7270")</f>
        <v>7270</v>
      </c>
    </row>
    <row r="584" spans="1:5" x14ac:dyDescent="0.25">
      <c r="A584" s="6" t="s">
        <v>1012</v>
      </c>
      <c r="B584" s="6" t="s">
        <v>1013</v>
      </c>
      <c r="C584" s="1">
        <f>VALUE("2016")</f>
        <v>2016</v>
      </c>
      <c r="D584" t="s">
        <v>1014</v>
      </c>
      <c r="E584" s="1">
        <f>VALUE("7270")</f>
        <v>7270</v>
      </c>
    </row>
    <row r="585" spans="1:5" x14ac:dyDescent="0.25">
      <c r="A585" s="6" t="s">
        <v>1015</v>
      </c>
      <c r="B585" s="6" t="s">
        <v>1016</v>
      </c>
      <c r="C585" s="1">
        <f>VALUE("2016")</f>
        <v>2016</v>
      </c>
      <c r="D585" t="s">
        <v>1017</v>
      </c>
      <c r="E585" s="1">
        <f>VALUE("7270")</f>
        <v>7270</v>
      </c>
    </row>
    <row r="586" spans="1:5" x14ac:dyDescent="0.25">
      <c r="A586" s="6" t="s">
        <v>1021</v>
      </c>
      <c r="B586" s="6" t="s">
        <v>1022</v>
      </c>
      <c r="C586" s="1">
        <f>VALUE("2012")</f>
        <v>2012</v>
      </c>
      <c r="D586" t="s">
        <v>14</v>
      </c>
      <c r="E586" s="1">
        <f>VALUE("7271")</f>
        <v>7271</v>
      </c>
    </row>
    <row r="587" spans="1:5" x14ac:dyDescent="0.25">
      <c r="A587" s="6" t="s">
        <v>1028</v>
      </c>
      <c r="B587" s="6" t="s">
        <v>1029</v>
      </c>
      <c r="C587" s="1">
        <f>VALUE("2014")</f>
        <v>2014</v>
      </c>
      <c r="D587" t="s">
        <v>1030</v>
      </c>
      <c r="E587" s="1">
        <f>VALUE("7273")</f>
        <v>7273</v>
      </c>
    </row>
    <row r="588" spans="1:5" x14ac:dyDescent="0.25">
      <c r="A588" s="6" t="s">
        <v>1023</v>
      </c>
      <c r="B588" s="6" t="s">
        <v>1024</v>
      </c>
      <c r="C588" s="1">
        <f>VALUE("2015")</f>
        <v>2015</v>
      </c>
      <c r="D588" t="s">
        <v>1025</v>
      </c>
      <c r="E588" s="1">
        <f>VALUE("7273")</f>
        <v>7273</v>
      </c>
    </row>
    <row r="589" spans="1:5" x14ac:dyDescent="0.25">
      <c r="A589" s="6" t="s">
        <v>2616</v>
      </c>
      <c r="B589" s="6" t="s">
        <v>1026</v>
      </c>
      <c r="C589" s="1">
        <f>VALUE("2015")</f>
        <v>2015</v>
      </c>
      <c r="D589" t="s">
        <v>1027</v>
      </c>
      <c r="E589" s="1">
        <f>VALUE("7273")</f>
        <v>7273</v>
      </c>
    </row>
    <row r="590" spans="1:5" x14ac:dyDescent="0.25">
      <c r="A590" s="6" t="s">
        <v>1031</v>
      </c>
      <c r="B590" s="6" t="s">
        <v>1032</v>
      </c>
      <c r="C590" s="1">
        <f>VALUE("2016")</f>
        <v>2016</v>
      </c>
      <c r="D590" t="s">
        <v>1033</v>
      </c>
      <c r="E590" s="1">
        <f>VALUE("7274")</f>
        <v>7274</v>
      </c>
    </row>
    <row r="591" spans="1:5" x14ac:dyDescent="0.25">
      <c r="A591" s="6" t="s">
        <v>2619</v>
      </c>
      <c r="B591" s="6" t="s">
        <v>1037</v>
      </c>
      <c r="C591" s="1">
        <f>VALUE("2012")</f>
        <v>2012</v>
      </c>
      <c r="D591" t="s">
        <v>184</v>
      </c>
      <c r="E591" s="1">
        <f>VALUE("7276")</f>
        <v>7276</v>
      </c>
    </row>
    <row r="592" spans="1:5" x14ac:dyDescent="0.25">
      <c r="A592" s="6" t="s">
        <v>1038</v>
      </c>
      <c r="B592" s="6" t="s">
        <v>1039</v>
      </c>
      <c r="C592" s="1">
        <f>VALUE("2012")</f>
        <v>2012</v>
      </c>
      <c r="D592" t="s">
        <v>1040</v>
      </c>
      <c r="E592" s="1">
        <f>VALUE("7276")</f>
        <v>7276</v>
      </c>
    </row>
    <row r="593" spans="1:5" x14ac:dyDescent="0.25">
      <c r="A593" s="6" t="s">
        <v>2617</v>
      </c>
      <c r="B593" s="6" t="s">
        <v>1034</v>
      </c>
      <c r="C593" s="1">
        <f>VALUE("2013")</f>
        <v>2013</v>
      </c>
      <c r="D593" t="s">
        <v>748</v>
      </c>
      <c r="E593" s="1">
        <f>VALUE("7276")</f>
        <v>7276</v>
      </c>
    </row>
    <row r="594" spans="1:5" x14ac:dyDescent="0.25">
      <c r="A594" s="6" t="s">
        <v>2618</v>
      </c>
      <c r="B594" s="6" t="s">
        <v>1035</v>
      </c>
      <c r="C594" s="1">
        <f>VALUE("2013")</f>
        <v>2013</v>
      </c>
      <c r="D594" t="s">
        <v>1036</v>
      </c>
      <c r="E594" s="1">
        <f>VALUE("7276")</f>
        <v>7276</v>
      </c>
    </row>
    <row r="595" spans="1:5" x14ac:dyDescent="0.25">
      <c r="A595" s="6" t="s">
        <v>1041</v>
      </c>
      <c r="B595" s="6" t="s">
        <v>1042</v>
      </c>
      <c r="C595" s="1">
        <f>VALUE("2014")</f>
        <v>2014</v>
      </c>
      <c r="D595" t="s">
        <v>1043</v>
      </c>
      <c r="E595" s="1">
        <f>VALUE("7277")</f>
        <v>7277</v>
      </c>
    </row>
    <row r="596" spans="1:5" x14ac:dyDescent="0.25">
      <c r="A596" s="6" t="s">
        <v>1044</v>
      </c>
      <c r="B596" s="6" t="s">
        <v>1045</v>
      </c>
      <c r="C596" s="1">
        <v>2015</v>
      </c>
      <c r="D596" t="s">
        <v>1046</v>
      </c>
      <c r="E596" s="1">
        <f>VALUE("7277")</f>
        <v>7277</v>
      </c>
    </row>
    <row r="597" spans="1:5" x14ac:dyDescent="0.25">
      <c r="A597" s="6" t="s">
        <v>1047</v>
      </c>
      <c r="B597" s="6" t="s">
        <v>1048</v>
      </c>
      <c r="C597" s="1">
        <f>VALUE("2014")</f>
        <v>2014</v>
      </c>
      <c r="D597" t="s">
        <v>1048</v>
      </c>
      <c r="E597" s="1">
        <f>VALUE("7279")</f>
        <v>7279</v>
      </c>
    </row>
    <row r="598" spans="1:5" x14ac:dyDescent="0.25">
      <c r="A598" s="6" t="s">
        <v>1049</v>
      </c>
      <c r="B598" s="6" t="s">
        <v>1050</v>
      </c>
      <c r="C598" s="1">
        <v>2011</v>
      </c>
      <c r="D598" t="s">
        <v>1051</v>
      </c>
      <c r="E598" s="1">
        <f>VALUE("7282")</f>
        <v>7282</v>
      </c>
    </row>
    <row r="599" spans="1:5" x14ac:dyDescent="0.25">
      <c r="A599" s="6" t="s">
        <v>200</v>
      </c>
      <c r="B599" s="6" t="s">
        <v>1053</v>
      </c>
      <c r="C599" s="1">
        <f>VALUE("2011")</f>
        <v>2011</v>
      </c>
      <c r="D599" t="s">
        <v>202</v>
      </c>
      <c r="E599" s="1">
        <f>VALUE("7282")</f>
        <v>7282</v>
      </c>
    </row>
    <row r="600" spans="1:5" x14ac:dyDescent="0.25">
      <c r="A600" s="6" t="s">
        <v>1055</v>
      </c>
      <c r="B600" s="6" t="s">
        <v>1056</v>
      </c>
      <c r="C600" s="1">
        <v>2012</v>
      </c>
      <c r="D600" t="s">
        <v>1057</v>
      </c>
      <c r="E600" s="1">
        <f>VALUE("7282")</f>
        <v>7282</v>
      </c>
    </row>
    <row r="601" spans="1:5" x14ac:dyDescent="0.25">
      <c r="A601" s="6" t="s">
        <v>1061</v>
      </c>
      <c r="B601" s="6" t="s">
        <v>1062</v>
      </c>
      <c r="C601" s="1">
        <f>VALUE("2013")</f>
        <v>2013</v>
      </c>
      <c r="D601" t="s">
        <v>1063</v>
      </c>
      <c r="E601" s="1">
        <f>VALUE("7282")</f>
        <v>7282</v>
      </c>
    </row>
    <row r="602" spans="1:5" x14ac:dyDescent="0.25">
      <c r="A602" s="6" t="s">
        <v>1052</v>
      </c>
      <c r="B602" s="6" t="s">
        <v>1053</v>
      </c>
      <c r="C602" s="1">
        <f>VALUE("2014")</f>
        <v>2014</v>
      </c>
      <c r="D602" t="s">
        <v>1054</v>
      </c>
      <c r="E602" s="1">
        <f>VALUE("7282")</f>
        <v>7282</v>
      </c>
    </row>
    <row r="603" spans="1:5" x14ac:dyDescent="0.25">
      <c r="A603" s="6" t="s">
        <v>1058</v>
      </c>
      <c r="B603" s="6" t="s">
        <v>1059</v>
      </c>
      <c r="C603" s="1">
        <f>VALUE("2014")</f>
        <v>2014</v>
      </c>
      <c r="D603" t="s">
        <v>1060</v>
      </c>
      <c r="E603" s="1">
        <f>VALUE("7282")</f>
        <v>7282</v>
      </c>
    </row>
    <row r="604" spans="1:5" x14ac:dyDescent="0.25">
      <c r="A604" s="6" t="s">
        <v>2620</v>
      </c>
      <c r="B604" s="6" t="s">
        <v>1064</v>
      </c>
      <c r="C604" s="1">
        <v>2015</v>
      </c>
      <c r="D604" t="s">
        <v>1065</v>
      </c>
      <c r="E604" s="1">
        <f>VALUE("7282")</f>
        <v>7282</v>
      </c>
    </row>
    <row r="605" spans="1:5" x14ac:dyDescent="0.25">
      <c r="A605" s="6" t="s">
        <v>1066</v>
      </c>
      <c r="B605" s="6" t="s">
        <v>1067</v>
      </c>
      <c r="C605" s="1">
        <f>VALUE("2014")</f>
        <v>2014</v>
      </c>
      <c r="D605" t="s">
        <v>822</v>
      </c>
      <c r="E605" s="1">
        <f>VALUE("7283")</f>
        <v>7283</v>
      </c>
    </row>
    <row r="606" spans="1:5" x14ac:dyDescent="0.25">
      <c r="A606" s="6" t="s">
        <v>1068</v>
      </c>
      <c r="B606" s="6" t="s">
        <v>1069</v>
      </c>
      <c r="C606" s="1">
        <f>VALUE("2015")</f>
        <v>2015</v>
      </c>
      <c r="D606" t="s">
        <v>1070</v>
      </c>
      <c r="E606" s="1">
        <f>VALUE("7285")</f>
        <v>7285</v>
      </c>
    </row>
    <row r="607" spans="1:5" x14ac:dyDescent="0.25">
      <c r="A607" s="6" t="s">
        <v>1071</v>
      </c>
      <c r="B607" s="6" t="s">
        <v>1072</v>
      </c>
      <c r="C607" s="1">
        <f>VALUE("2015")</f>
        <v>2015</v>
      </c>
      <c r="D607" t="s">
        <v>44</v>
      </c>
      <c r="E607" s="1">
        <f>VALUE("7287")</f>
        <v>7287</v>
      </c>
    </row>
    <row r="608" spans="1:5" x14ac:dyDescent="0.25">
      <c r="A608" s="6" t="s">
        <v>2621</v>
      </c>
      <c r="B608" s="6" t="s">
        <v>1073</v>
      </c>
      <c r="C608" s="1">
        <f>VALUE("2012")</f>
        <v>2012</v>
      </c>
      <c r="D608" t="s">
        <v>859</v>
      </c>
      <c r="E608" s="1">
        <f>VALUE("7288")</f>
        <v>7288</v>
      </c>
    </row>
    <row r="609" spans="1:5" x14ac:dyDescent="0.25">
      <c r="A609" s="6" t="s">
        <v>2622</v>
      </c>
      <c r="B609" s="6" t="s">
        <v>1074</v>
      </c>
      <c r="C609" s="1">
        <f>VALUE("2012")</f>
        <v>2012</v>
      </c>
      <c r="D609" t="s">
        <v>814</v>
      </c>
      <c r="E609" s="1">
        <f>VALUE("7292")</f>
        <v>7292</v>
      </c>
    </row>
    <row r="610" spans="1:5" x14ac:dyDescent="0.25">
      <c r="A610" s="6" t="s">
        <v>1075</v>
      </c>
      <c r="B610" s="6" t="s">
        <v>1076</v>
      </c>
      <c r="C610" s="1">
        <f>VALUE("2013")</f>
        <v>2013</v>
      </c>
      <c r="D610" t="s">
        <v>1077</v>
      </c>
      <c r="E610" s="1">
        <f>VALUE("7293")</f>
        <v>7293</v>
      </c>
    </row>
    <row r="611" spans="1:5" x14ac:dyDescent="0.25">
      <c r="A611" s="6" t="s">
        <v>2623</v>
      </c>
      <c r="B611" s="6" t="s">
        <v>1078</v>
      </c>
      <c r="C611" s="1">
        <f>VALUE("2013")</f>
        <v>2013</v>
      </c>
      <c r="D611" t="s">
        <v>1079</v>
      </c>
      <c r="E611" s="1">
        <f>VALUE("7293")</f>
        <v>7293</v>
      </c>
    </row>
    <row r="612" spans="1:5" x14ac:dyDescent="0.25">
      <c r="A612" s="6" t="s">
        <v>1080</v>
      </c>
      <c r="B612" s="6" t="s">
        <v>1081</v>
      </c>
      <c r="C612" s="1">
        <f>VALUE("2013")</f>
        <v>2013</v>
      </c>
      <c r="D612" t="s">
        <v>1082</v>
      </c>
      <c r="E612" s="1">
        <f>VALUE("7294")</f>
        <v>7294</v>
      </c>
    </row>
    <row r="613" spans="1:5" x14ac:dyDescent="0.25">
      <c r="A613" s="6" t="s">
        <v>2624</v>
      </c>
      <c r="B613" s="6" t="s">
        <v>1083</v>
      </c>
      <c r="C613" s="1">
        <f>VALUE("2012")</f>
        <v>2012</v>
      </c>
      <c r="D613" t="s">
        <v>1084</v>
      </c>
      <c r="E613" s="1">
        <f>VALUE("7295")</f>
        <v>7295</v>
      </c>
    </row>
    <row r="614" spans="1:5" x14ac:dyDescent="0.25">
      <c r="A614" s="6" t="s">
        <v>2625</v>
      </c>
      <c r="B614" s="6" t="s">
        <v>1085</v>
      </c>
      <c r="C614" s="1">
        <f>VALUE("2014")</f>
        <v>2014</v>
      </c>
      <c r="D614" t="s">
        <v>1086</v>
      </c>
      <c r="E614" s="1">
        <f>VALUE("7297")</f>
        <v>7297</v>
      </c>
    </row>
    <row r="615" spans="1:5" x14ac:dyDescent="0.25">
      <c r="A615" s="6" t="s">
        <v>2626</v>
      </c>
      <c r="B615" s="6" t="s">
        <v>1087</v>
      </c>
      <c r="C615" s="1">
        <v>2013</v>
      </c>
      <c r="D615" t="s">
        <v>835</v>
      </c>
      <c r="E615" s="1">
        <f>VALUE("7302")</f>
        <v>7302</v>
      </c>
    </row>
    <row r="616" spans="1:5" x14ac:dyDescent="0.25">
      <c r="A616" s="6" t="s">
        <v>1088</v>
      </c>
      <c r="B616" s="6" t="s">
        <v>1089</v>
      </c>
      <c r="C616" s="1">
        <f>VALUE("2014")</f>
        <v>2014</v>
      </c>
      <c r="D616" t="s">
        <v>1090</v>
      </c>
      <c r="E616" s="1">
        <f>VALUE("7305")</f>
        <v>7305</v>
      </c>
    </row>
    <row r="617" spans="1:5" x14ac:dyDescent="0.25">
      <c r="A617" s="6" t="s">
        <v>1091</v>
      </c>
      <c r="B617" s="6" t="s">
        <v>1092</v>
      </c>
      <c r="C617" s="1">
        <f>VALUE("2013")</f>
        <v>2013</v>
      </c>
      <c r="D617" t="s">
        <v>202</v>
      </c>
      <c r="E617" s="1">
        <f>VALUE("7306")</f>
        <v>7306</v>
      </c>
    </row>
    <row r="618" spans="1:5" x14ac:dyDescent="0.25">
      <c r="A618" s="6" t="s">
        <v>1093</v>
      </c>
      <c r="B618" s="6" t="s">
        <v>1094</v>
      </c>
      <c r="C618" s="1">
        <f>VALUE("2012")</f>
        <v>2012</v>
      </c>
      <c r="D618" t="s">
        <v>1095</v>
      </c>
      <c r="E618" s="1">
        <f>VALUE("7307")</f>
        <v>7307</v>
      </c>
    </row>
    <row r="619" spans="1:5" x14ac:dyDescent="0.25">
      <c r="A619" s="6" t="s">
        <v>1096</v>
      </c>
      <c r="B619" s="6" t="s">
        <v>1097</v>
      </c>
      <c r="C619" s="1">
        <f>VALUE("2014")</f>
        <v>2014</v>
      </c>
      <c r="D619" t="s">
        <v>184</v>
      </c>
      <c r="E619" s="1">
        <f>VALUE("7309")</f>
        <v>7309</v>
      </c>
    </row>
    <row r="620" spans="1:5" x14ac:dyDescent="0.25">
      <c r="A620" s="6" t="s">
        <v>1098</v>
      </c>
      <c r="B620" s="6" t="s">
        <v>1099</v>
      </c>
      <c r="C620" s="1">
        <v>2018</v>
      </c>
      <c r="D620" t="s">
        <v>184</v>
      </c>
      <c r="E620" s="1">
        <f>VALUE("7309")</f>
        <v>7309</v>
      </c>
    </row>
    <row r="621" spans="1:5" x14ac:dyDescent="0.25">
      <c r="A621" s="6" t="s">
        <v>1102</v>
      </c>
      <c r="B621" s="6" t="s">
        <v>1103</v>
      </c>
      <c r="C621" s="1">
        <f>VALUE("2014")</f>
        <v>2014</v>
      </c>
      <c r="D621" t="s">
        <v>822</v>
      </c>
      <c r="E621" s="1">
        <f>VALUE("7310")</f>
        <v>7310</v>
      </c>
    </row>
    <row r="622" spans="1:5" x14ac:dyDescent="0.25">
      <c r="A622" s="6" t="s">
        <v>2627</v>
      </c>
      <c r="B622" s="6" t="s">
        <v>1100</v>
      </c>
      <c r="C622" s="1">
        <f>VALUE("2015")</f>
        <v>2015</v>
      </c>
      <c r="D622" t="s">
        <v>1101</v>
      </c>
      <c r="E622" s="1">
        <f>VALUE("7310")</f>
        <v>7310</v>
      </c>
    </row>
    <row r="623" spans="1:5" x14ac:dyDescent="0.25">
      <c r="A623" s="6" t="s">
        <v>1108</v>
      </c>
      <c r="B623" s="6" t="s">
        <v>1109</v>
      </c>
      <c r="C623" s="1">
        <v>2013</v>
      </c>
      <c r="D623" t="s">
        <v>527</v>
      </c>
      <c r="E623" s="1">
        <f>VALUE("7312")</f>
        <v>7312</v>
      </c>
    </row>
    <row r="624" spans="1:5" x14ac:dyDescent="0.25">
      <c r="A624" s="6" t="s">
        <v>1104</v>
      </c>
      <c r="B624" s="6" t="s">
        <v>1105</v>
      </c>
      <c r="C624" s="1">
        <f>VALUE("2014")</f>
        <v>2014</v>
      </c>
      <c r="E624" s="1">
        <f>VALUE("7312")</f>
        <v>7312</v>
      </c>
    </row>
    <row r="625" spans="1:5" x14ac:dyDescent="0.25">
      <c r="A625" s="6" t="s">
        <v>2628</v>
      </c>
      <c r="B625" s="6" t="s">
        <v>1106</v>
      </c>
      <c r="C625" s="1">
        <f>VALUE("2014")</f>
        <v>2014</v>
      </c>
      <c r="D625" t="s">
        <v>1107</v>
      </c>
      <c r="E625" s="1">
        <f>VALUE("7312")</f>
        <v>7312</v>
      </c>
    </row>
    <row r="626" spans="1:5" x14ac:dyDescent="0.25">
      <c r="A626" s="6" t="s">
        <v>1110</v>
      </c>
      <c r="B626" s="6" t="s">
        <v>1105</v>
      </c>
      <c r="C626" s="1">
        <f>VALUE("2014")</f>
        <v>2014</v>
      </c>
      <c r="D626" t="s">
        <v>1111</v>
      </c>
      <c r="E626" s="1">
        <f>VALUE("7312")</f>
        <v>7312</v>
      </c>
    </row>
    <row r="627" spans="1:5" x14ac:dyDescent="0.25">
      <c r="A627" s="6" t="s">
        <v>1121</v>
      </c>
      <c r="B627" s="6" t="s">
        <v>1122</v>
      </c>
      <c r="C627" s="1">
        <f>VALUE("2015")</f>
        <v>2015</v>
      </c>
      <c r="D627" t="s">
        <v>1123</v>
      </c>
      <c r="E627" s="1">
        <f>VALUE("7312")</f>
        <v>7312</v>
      </c>
    </row>
    <row r="628" spans="1:5" x14ac:dyDescent="0.25">
      <c r="A628" s="6" t="s">
        <v>1112</v>
      </c>
      <c r="B628" s="6" t="s">
        <v>1113</v>
      </c>
      <c r="C628" s="1">
        <f>VALUE("2017")</f>
        <v>2017</v>
      </c>
      <c r="D628" t="s">
        <v>1114</v>
      </c>
      <c r="E628" s="1">
        <f>VALUE("7312")</f>
        <v>7312</v>
      </c>
    </row>
    <row r="629" spans="1:5" x14ac:dyDescent="0.25">
      <c r="A629" s="6" t="s">
        <v>1118</v>
      </c>
      <c r="B629" s="6" t="s">
        <v>1119</v>
      </c>
      <c r="C629" s="1">
        <f>VALUE("2018")</f>
        <v>2018</v>
      </c>
      <c r="D629" t="s">
        <v>1120</v>
      </c>
      <c r="E629" s="1">
        <f>VALUE("7312")</f>
        <v>7312</v>
      </c>
    </row>
    <row r="630" spans="1:5" x14ac:dyDescent="0.25">
      <c r="A630" s="6" t="s">
        <v>1115</v>
      </c>
      <c r="B630" s="6" t="s">
        <v>1116</v>
      </c>
      <c r="C630" s="1">
        <f>VALUE("2018")</f>
        <v>2018</v>
      </c>
      <c r="D630" t="s">
        <v>1117</v>
      </c>
      <c r="E630" s="1">
        <f>VALUE("7312")</f>
        <v>7312</v>
      </c>
    </row>
    <row r="631" spans="1:5" x14ac:dyDescent="0.25">
      <c r="A631" s="6" t="s">
        <v>1124</v>
      </c>
      <c r="B631" s="6" t="s">
        <v>1125</v>
      </c>
      <c r="C631" s="1">
        <f>VALUE("2013")</f>
        <v>2013</v>
      </c>
      <c r="D631" t="s">
        <v>1125</v>
      </c>
      <c r="E631" s="1">
        <f>VALUE("7314")</f>
        <v>7314</v>
      </c>
    </row>
    <row r="632" spans="1:5" x14ac:dyDescent="0.25">
      <c r="A632" s="6" t="s">
        <v>1126</v>
      </c>
      <c r="B632" s="6" t="s">
        <v>1127</v>
      </c>
      <c r="C632" s="1">
        <f>VALUE("2013")</f>
        <v>2013</v>
      </c>
      <c r="D632" t="s">
        <v>814</v>
      </c>
      <c r="E632" s="1">
        <f>VALUE("7315")</f>
        <v>7315</v>
      </c>
    </row>
    <row r="633" spans="1:5" x14ac:dyDescent="0.25">
      <c r="A633" s="6" t="s">
        <v>1128</v>
      </c>
      <c r="B633" s="6" t="s">
        <v>1129</v>
      </c>
      <c r="C633" s="1">
        <f>VALUE("2013")</f>
        <v>2013</v>
      </c>
      <c r="D633" t="s">
        <v>814</v>
      </c>
      <c r="E633" s="1">
        <f>VALUE("7315")</f>
        <v>7315</v>
      </c>
    </row>
    <row r="634" spans="1:5" x14ac:dyDescent="0.25">
      <c r="A634" s="6" t="s">
        <v>1130</v>
      </c>
      <c r="B634" s="6" t="s">
        <v>1131</v>
      </c>
      <c r="C634" s="1">
        <f>VALUE("2014")</f>
        <v>2014</v>
      </c>
      <c r="D634" t="s">
        <v>1132</v>
      </c>
      <c r="E634" s="1">
        <f>VALUE("7316")</f>
        <v>7316</v>
      </c>
    </row>
    <row r="635" spans="1:5" x14ac:dyDescent="0.25">
      <c r="A635" s="6" t="s">
        <v>1133</v>
      </c>
      <c r="B635" s="6" t="s">
        <v>1134</v>
      </c>
      <c r="C635" s="1">
        <f>VALUE("2014")</f>
        <v>2014</v>
      </c>
      <c r="D635" t="s">
        <v>1135</v>
      </c>
      <c r="E635" s="1">
        <f>VALUE("7320")</f>
        <v>7320</v>
      </c>
    </row>
    <row r="636" spans="1:5" x14ac:dyDescent="0.25">
      <c r="A636" s="6" t="s">
        <v>1136</v>
      </c>
      <c r="B636" s="6" t="s">
        <v>1134</v>
      </c>
      <c r="C636" s="1">
        <f>VALUE("2014")</f>
        <v>2014</v>
      </c>
      <c r="D636" t="s">
        <v>1137</v>
      </c>
      <c r="E636" s="1">
        <f>VALUE("7320")</f>
        <v>7320</v>
      </c>
    </row>
    <row r="637" spans="1:5" x14ac:dyDescent="0.25">
      <c r="A637" s="6" t="s">
        <v>2629</v>
      </c>
      <c r="B637" s="6" t="s">
        <v>1138</v>
      </c>
      <c r="C637" s="1">
        <f>VALUE("2012")</f>
        <v>2012</v>
      </c>
      <c r="D637" t="s">
        <v>1139</v>
      </c>
      <c r="E637" s="1">
        <f>VALUE("7322")</f>
        <v>7322</v>
      </c>
    </row>
    <row r="638" spans="1:5" x14ac:dyDescent="0.25">
      <c r="A638" s="6" t="s">
        <v>1140</v>
      </c>
      <c r="B638" s="6" t="s">
        <v>1138</v>
      </c>
      <c r="C638" s="1">
        <f>VALUE("2012")</f>
        <v>2012</v>
      </c>
      <c r="D638" t="s">
        <v>1141</v>
      </c>
      <c r="E638" s="1">
        <f>VALUE("7322")</f>
        <v>7322</v>
      </c>
    </row>
    <row r="639" spans="1:5" x14ac:dyDescent="0.25">
      <c r="A639" s="6" t="s">
        <v>1142</v>
      </c>
      <c r="B639" s="6" t="s">
        <v>1143</v>
      </c>
      <c r="C639" s="1">
        <f>VALUE("2013")</f>
        <v>2013</v>
      </c>
      <c r="D639" t="s">
        <v>1141</v>
      </c>
      <c r="E639" s="1">
        <f>VALUE("7322")</f>
        <v>7322</v>
      </c>
    </row>
    <row r="640" spans="1:5" x14ac:dyDescent="0.25">
      <c r="A640" s="6" t="s">
        <v>1144</v>
      </c>
      <c r="B640" s="6" t="s">
        <v>822</v>
      </c>
      <c r="C640" s="1">
        <f>VALUE("2013")</f>
        <v>2013</v>
      </c>
      <c r="D640" t="s">
        <v>822</v>
      </c>
      <c r="E640" s="1">
        <f>VALUE("7323")</f>
        <v>7323</v>
      </c>
    </row>
    <row r="641" spans="1:5" x14ac:dyDescent="0.25">
      <c r="A641" s="6" t="s">
        <v>1145</v>
      </c>
      <c r="B641" s="6" t="s">
        <v>1146</v>
      </c>
      <c r="C641" s="1">
        <f>VALUE("2012")</f>
        <v>2012</v>
      </c>
      <c r="D641" t="s">
        <v>822</v>
      </c>
      <c r="E641" s="1">
        <f>VALUE("7324")</f>
        <v>7324</v>
      </c>
    </row>
    <row r="642" spans="1:5" x14ac:dyDescent="0.25">
      <c r="A642" s="6" t="s">
        <v>1147</v>
      </c>
      <c r="B642" s="6" t="s">
        <v>1148</v>
      </c>
      <c r="C642" s="1">
        <f>VALUE("2014")</f>
        <v>2014</v>
      </c>
      <c r="D642" t="s">
        <v>1149</v>
      </c>
      <c r="E642" s="1">
        <f>VALUE("7327")</f>
        <v>7327</v>
      </c>
    </row>
    <row r="643" spans="1:5" x14ac:dyDescent="0.25">
      <c r="A643" s="6" t="s">
        <v>2630</v>
      </c>
      <c r="B643" s="6" t="s">
        <v>1150</v>
      </c>
      <c r="C643" s="1">
        <f>VALUE("2014")</f>
        <v>2014</v>
      </c>
      <c r="D643" t="s">
        <v>1151</v>
      </c>
      <c r="E643" s="1">
        <f>VALUE("7327")</f>
        <v>7327</v>
      </c>
    </row>
    <row r="644" spans="1:5" x14ac:dyDescent="0.25">
      <c r="A644" s="6" t="s">
        <v>2631</v>
      </c>
      <c r="B644" s="6" t="s">
        <v>1152</v>
      </c>
      <c r="C644" s="1">
        <f>VALUE("2014")</f>
        <v>2014</v>
      </c>
      <c r="D644" t="s">
        <v>1153</v>
      </c>
      <c r="E644" s="1">
        <f>VALUE("7328")</f>
        <v>7328</v>
      </c>
    </row>
    <row r="645" spans="1:5" x14ac:dyDescent="0.25">
      <c r="A645" s="6" t="s">
        <v>2632</v>
      </c>
      <c r="B645" s="6" t="s">
        <v>1154</v>
      </c>
      <c r="C645" s="1">
        <f>VALUE("2014")</f>
        <v>2014</v>
      </c>
      <c r="D645" t="s">
        <v>1155</v>
      </c>
      <c r="E645" s="1">
        <f>VALUE("7329")</f>
        <v>7329</v>
      </c>
    </row>
    <row r="646" spans="1:5" x14ac:dyDescent="0.25">
      <c r="A646" s="6" t="s">
        <v>2633</v>
      </c>
      <c r="B646" s="6" t="s">
        <v>1156</v>
      </c>
      <c r="C646" s="1">
        <f>VALUE("2016")</f>
        <v>2016</v>
      </c>
      <c r="D646" t="s">
        <v>1157</v>
      </c>
      <c r="E646" s="1">
        <f>VALUE("7329")</f>
        <v>7329</v>
      </c>
    </row>
    <row r="647" spans="1:5" x14ac:dyDescent="0.25">
      <c r="A647" s="6" t="s">
        <v>1158</v>
      </c>
      <c r="B647" s="6" t="s">
        <v>138</v>
      </c>
      <c r="C647" s="1">
        <f>VALUE("2012")</f>
        <v>2012</v>
      </c>
      <c r="D647" t="s">
        <v>598</v>
      </c>
      <c r="E647" s="1">
        <f>VALUE("7331")</f>
        <v>7331</v>
      </c>
    </row>
    <row r="648" spans="1:5" x14ac:dyDescent="0.25">
      <c r="A648" s="6" t="s">
        <v>1159</v>
      </c>
      <c r="B648" s="6" t="s">
        <v>202</v>
      </c>
      <c r="C648" s="1">
        <f>VALUE("2012")</f>
        <v>2012</v>
      </c>
      <c r="D648" t="s">
        <v>202</v>
      </c>
      <c r="E648" s="1">
        <f>VALUE("7332")</f>
        <v>7332</v>
      </c>
    </row>
    <row r="649" spans="1:5" x14ac:dyDescent="0.25">
      <c r="A649" s="6" t="s">
        <v>1160</v>
      </c>
      <c r="B649" s="6" t="s">
        <v>1161</v>
      </c>
      <c r="C649" s="1">
        <f>VALUE("2013")</f>
        <v>2013</v>
      </c>
      <c r="D649" t="s">
        <v>598</v>
      </c>
      <c r="E649" s="1">
        <f>VALUE("7336")</f>
        <v>7336</v>
      </c>
    </row>
    <row r="650" spans="1:5" x14ac:dyDescent="0.25">
      <c r="A650" s="6" t="s">
        <v>1162</v>
      </c>
      <c r="B650" s="6" t="s">
        <v>1163</v>
      </c>
      <c r="C650" s="1">
        <v>2019</v>
      </c>
      <c r="D650" t="s">
        <v>598</v>
      </c>
      <c r="E650" s="1">
        <f>VALUE("7336")</f>
        <v>7336</v>
      </c>
    </row>
    <row r="651" spans="1:5" x14ac:dyDescent="0.25">
      <c r="A651" s="6" t="s">
        <v>1164</v>
      </c>
      <c r="B651" s="6" t="s">
        <v>1165</v>
      </c>
      <c r="C651" s="1">
        <f>VALUE("2013")</f>
        <v>2013</v>
      </c>
      <c r="D651" t="s">
        <v>814</v>
      </c>
      <c r="E651" s="1">
        <f>VALUE("7340")</f>
        <v>7340</v>
      </c>
    </row>
    <row r="652" spans="1:5" x14ac:dyDescent="0.25">
      <c r="A652" s="6" t="s">
        <v>1166</v>
      </c>
      <c r="B652" s="6" t="s">
        <v>1167</v>
      </c>
      <c r="C652" s="1">
        <v>2017</v>
      </c>
      <c r="D652" t="s">
        <v>181</v>
      </c>
      <c r="E652" s="1">
        <f>VALUE("7341")</f>
        <v>7341</v>
      </c>
    </row>
    <row r="653" spans="1:5" x14ac:dyDescent="0.25">
      <c r="A653" s="6" t="s">
        <v>1168</v>
      </c>
      <c r="B653" s="6" t="s">
        <v>1169</v>
      </c>
      <c r="C653" s="1">
        <f>VALUE("2013")</f>
        <v>2013</v>
      </c>
      <c r="D653" t="s">
        <v>1170</v>
      </c>
      <c r="E653" s="1">
        <f>VALUE("7345")</f>
        <v>7345</v>
      </c>
    </row>
    <row r="654" spans="1:5" x14ac:dyDescent="0.25">
      <c r="A654" s="6" t="s">
        <v>1171</v>
      </c>
      <c r="B654" s="6" t="s">
        <v>1172</v>
      </c>
      <c r="C654" s="1">
        <f>VALUE("2012")</f>
        <v>2012</v>
      </c>
      <c r="D654" t="s">
        <v>640</v>
      </c>
      <c r="E654" s="1">
        <f>VALUE("7346")</f>
        <v>7346</v>
      </c>
    </row>
    <row r="655" spans="1:5" x14ac:dyDescent="0.25">
      <c r="A655" s="6" t="s">
        <v>1173</v>
      </c>
      <c r="B655" s="6" t="s">
        <v>1174</v>
      </c>
      <c r="C655" s="1">
        <f>VALUE("2014")</f>
        <v>2014</v>
      </c>
      <c r="D655" t="s">
        <v>1175</v>
      </c>
      <c r="E655" s="1">
        <f>VALUE("7347")</f>
        <v>7347</v>
      </c>
    </row>
    <row r="656" spans="1:5" x14ac:dyDescent="0.25">
      <c r="A656" s="6" t="s">
        <v>1176</v>
      </c>
      <c r="B656" s="6" t="s">
        <v>1177</v>
      </c>
      <c r="C656" s="1">
        <f>VALUE("2014")</f>
        <v>2014</v>
      </c>
      <c r="D656" t="s">
        <v>1178</v>
      </c>
      <c r="E656" s="1">
        <f>VALUE("7347")</f>
        <v>7347</v>
      </c>
    </row>
    <row r="657" spans="1:5" x14ac:dyDescent="0.25">
      <c r="A657" s="6" t="s">
        <v>2634</v>
      </c>
      <c r="B657" s="6" t="s">
        <v>1179</v>
      </c>
      <c r="C657" s="1">
        <f>VALUE("2012")</f>
        <v>2012</v>
      </c>
      <c r="D657" t="s">
        <v>1180</v>
      </c>
      <c r="E657" s="1">
        <f>VALUE("7350")</f>
        <v>7350</v>
      </c>
    </row>
    <row r="658" spans="1:5" x14ac:dyDescent="0.25">
      <c r="A658" s="6" t="s">
        <v>1181</v>
      </c>
      <c r="B658" s="6" t="s">
        <v>1182</v>
      </c>
      <c r="C658" s="1">
        <f>VALUE("2013")</f>
        <v>2013</v>
      </c>
      <c r="D658" t="s">
        <v>1183</v>
      </c>
      <c r="E658" s="1">
        <f>VALUE("7351")</f>
        <v>7351</v>
      </c>
    </row>
    <row r="659" spans="1:5" x14ac:dyDescent="0.25">
      <c r="A659" s="6" t="s">
        <v>1184</v>
      </c>
      <c r="B659" s="6" t="s">
        <v>1185</v>
      </c>
      <c r="C659" s="1">
        <f>VALUE("2013")</f>
        <v>2013</v>
      </c>
      <c r="D659" t="s">
        <v>101</v>
      </c>
      <c r="E659" s="1">
        <f>VALUE("7351")</f>
        <v>7351</v>
      </c>
    </row>
    <row r="660" spans="1:5" x14ac:dyDescent="0.25">
      <c r="A660" s="6" t="s">
        <v>1186</v>
      </c>
      <c r="B660" s="6" t="s">
        <v>1187</v>
      </c>
      <c r="C660" s="1">
        <f>VALUE("2013")</f>
        <v>2013</v>
      </c>
      <c r="D660" t="s">
        <v>506</v>
      </c>
      <c r="E660" s="1">
        <f>VALUE("7352")</f>
        <v>7352</v>
      </c>
    </row>
    <row r="661" spans="1:5" x14ac:dyDescent="0.25">
      <c r="A661" s="6" t="s">
        <v>1188</v>
      </c>
      <c r="B661" s="6" t="s">
        <v>1187</v>
      </c>
      <c r="C661" s="1">
        <f>VALUE("2014")</f>
        <v>2014</v>
      </c>
      <c r="D661" t="s">
        <v>1189</v>
      </c>
      <c r="E661" s="1">
        <f>VALUE("7352")</f>
        <v>7352</v>
      </c>
    </row>
    <row r="662" spans="1:5" x14ac:dyDescent="0.25">
      <c r="A662" s="6" t="s">
        <v>1190</v>
      </c>
      <c r="B662" s="6" t="s">
        <v>1191</v>
      </c>
      <c r="C662" s="1">
        <f>VALUE("2012")</f>
        <v>2012</v>
      </c>
      <c r="D662" t="s">
        <v>1095</v>
      </c>
      <c r="E662" s="1">
        <f>VALUE("7353")</f>
        <v>7353</v>
      </c>
    </row>
    <row r="663" spans="1:5" x14ac:dyDescent="0.25">
      <c r="A663" s="6" t="s">
        <v>2635</v>
      </c>
      <c r="B663" s="6" t="s">
        <v>1192</v>
      </c>
      <c r="C663" s="1">
        <f>VALUE("2012")</f>
        <v>2012</v>
      </c>
      <c r="D663" t="s">
        <v>1193</v>
      </c>
      <c r="E663" s="1">
        <f>VALUE("7365")</f>
        <v>7365</v>
      </c>
    </row>
    <row r="664" spans="1:5" x14ac:dyDescent="0.25">
      <c r="A664" s="6" t="s">
        <v>2636</v>
      </c>
      <c r="B664" s="6" t="s">
        <v>1192</v>
      </c>
      <c r="C664" s="1">
        <f>VALUE("2012")</f>
        <v>2012</v>
      </c>
      <c r="D664" t="s">
        <v>1193</v>
      </c>
      <c r="E664" s="1">
        <f>VALUE("7365")</f>
        <v>7365</v>
      </c>
    </row>
    <row r="665" spans="1:5" x14ac:dyDescent="0.25">
      <c r="A665" s="6" t="s">
        <v>1194</v>
      </c>
      <c r="B665" s="6" t="s">
        <v>1195</v>
      </c>
      <c r="C665" s="1">
        <f>VALUE("2014")</f>
        <v>2014</v>
      </c>
      <c r="D665" t="s">
        <v>1196</v>
      </c>
      <c r="E665" s="1">
        <f>VALUE("7368")</f>
        <v>7368</v>
      </c>
    </row>
    <row r="666" spans="1:5" x14ac:dyDescent="0.25">
      <c r="A666" s="6" t="s">
        <v>1197</v>
      </c>
      <c r="B666" s="6" t="s">
        <v>1198</v>
      </c>
      <c r="C666" s="1">
        <f>VALUE("2014")</f>
        <v>2014</v>
      </c>
      <c r="D666" t="s">
        <v>1199</v>
      </c>
      <c r="E666" s="1">
        <f>VALUE("7371")</f>
        <v>7371</v>
      </c>
    </row>
    <row r="667" spans="1:5" x14ac:dyDescent="0.25">
      <c r="A667" s="6" t="s">
        <v>1200</v>
      </c>
      <c r="B667" s="6" t="s">
        <v>1201</v>
      </c>
      <c r="C667" s="1">
        <f>VALUE("2013")</f>
        <v>2013</v>
      </c>
      <c r="D667" t="s">
        <v>1202</v>
      </c>
      <c r="E667" s="1">
        <f>VALUE("7373")</f>
        <v>7373</v>
      </c>
    </row>
    <row r="668" spans="1:5" x14ac:dyDescent="0.25">
      <c r="A668" s="6" t="s">
        <v>1203</v>
      </c>
      <c r="B668" s="6" t="s">
        <v>748</v>
      </c>
      <c r="C668" s="1">
        <f>VALUE("2013")</f>
        <v>2013</v>
      </c>
      <c r="D668" t="s">
        <v>748</v>
      </c>
      <c r="E668" s="1">
        <f>VALUE("7375")</f>
        <v>7375</v>
      </c>
    </row>
    <row r="669" spans="1:5" x14ac:dyDescent="0.25">
      <c r="A669" s="6" t="s">
        <v>1204</v>
      </c>
      <c r="B669" s="6" t="s">
        <v>1205</v>
      </c>
      <c r="C669" s="1">
        <f>VALUE("2013")</f>
        <v>2013</v>
      </c>
      <c r="D669" t="s">
        <v>822</v>
      </c>
      <c r="E669" s="1">
        <f>VALUE("7377")</f>
        <v>7377</v>
      </c>
    </row>
    <row r="670" spans="1:5" x14ac:dyDescent="0.25">
      <c r="A670" s="6" t="s">
        <v>1206</v>
      </c>
      <c r="B670" s="6" t="s">
        <v>1207</v>
      </c>
      <c r="C670" s="1">
        <f>VALUE("2014")</f>
        <v>2014</v>
      </c>
      <c r="D670" t="s">
        <v>1208</v>
      </c>
      <c r="E670" s="1">
        <f>VALUE("7380")</f>
        <v>7380</v>
      </c>
    </row>
    <row r="671" spans="1:5" x14ac:dyDescent="0.25">
      <c r="A671" s="6" t="s">
        <v>2637</v>
      </c>
      <c r="B671" s="6" t="s">
        <v>1209</v>
      </c>
      <c r="C671" s="1">
        <f>VALUE("2014")</f>
        <v>2014</v>
      </c>
      <c r="D671" t="s">
        <v>1210</v>
      </c>
      <c r="E671" s="1">
        <f>VALUE("7384")</f>
        <v>7384</v>
      </c>
    </row>
    <row r="672" spans="1:5" x14ac:dyDescent="0.25">
      <c r="A672" s="6" t="s">
        <v>2638</v>
      </c>
      <c r="B672" s="6" t="s">
        <v>1211</v>
      </c>
      <c r="C672" s="1">
        <f>VALUE("2013")</f>
        <v>2013</v>
      </c>
      <c r="D672" t="s">
        <v>822</v>
      </c>
      <c r="E672" s="1">
        <f>VALUE("7386")</f>
        <v>7386</v>
      </c>
    </row>
    <row r="673" spans="1:5" x14ac:dyDescent="0.25">
      <c r="A673" s="6" t="s">
        <v>2640</v>
      </c>
      <c r="B673" s="6" t="s">
        <v>1212</v>
      </c>
      <c r="C673" s="1">
        <v>2012</v>
      </c>
      <c r="D673" t="s">
        <v>1212</v>
      </c>
      <c r="E673" s="1">
        <f>VALUE("7392")</f>
        <v>7392</v>
      </c>
    </row>
    <row r="674" spans="1:5" x14ac:dyDescent="0.25">
      <c r="A674" s="6" t="s">
        <v>2639</v>
      </c>
      <c r="B674" s="6" t="s">
        <v>1213</v>
      </c>
      <c r="C674" s="1">
        <f>VALUE("2013")</f>
        <v>2013</v>
      </c>
      <c r="D674" t="s">
        <v>1212</v>
      </c>
      <c r="E674" s="1">
        <f>VALUE("7392")</f>
        <v>7392</v>
      </c>
    </row>
    <row r="675" spans="1:5" x14ac:dyDescent="0.25">
      <c r="A675" s="6" t="s">
        <v>1214</v>
      </c>
      <c r="B675" s="6" t="s">
        <v>1215</v>
      </c>
      <c r="C675" s="1">
        <f>VALUE("2014")</f>
        <v>2014</v>
      </c>
      <c r="D675" t="s">
        <v>1216</v>
      </c>
      <c r="E675" s="1">
        <f>VALUE("7394")</f>
        <v>7394</v>
      </c>
    </row>
    <row r="676" spans="1:5" x14ac:dyDescent="0.25">
      <c r="A676" s="6" t="s">
        <v>776</v>
      </c>
      <c r="B676" s="6" t="s">
        <v>1217</v>
      </c>
      <c r="C676" s="1">
        <f>VALUE("2014")</f>
        <v>2014</v>
      </c>
      <c r="D676" t="s">
        <v>1218</v>
      </c>
      <c r="E676" s="1">
        <f>VALUE("7395")</f>
        <v>7395</v>
      </c>
    </row>
    <row r="677" spans="1:5" x14ac:dyDescent="0.25">
      <c r="A677" s="6" t="s">
        <v>1219</v>
      </c>
      <c r="B677" s="6" t="s">
        <v>1220</v>
      </c>
      <c r="C677" s="1">
        <f>VALUE("2014")</f>
        <v>2014</v>
      </c>
      <c r="D677" t="s">
        <v>1221</v>
      </c>
      <c r="E677" s="1">
        <f>VALUE("7395")</f>
        <v>7395</v>
      </c>
    </row>
    <row r="678" spans="1:5" x14ac:dyDescent="0.25">
      <c r="A678" s="6" t="s">
        <v>2641</v>
      </c>
      <c r="B678" s="6" t="s">
        <v>1222</v>
      </c>
      <c r="C678" s="1">
        <f>VALUE("2014")</f>
        <v>2014</v>
      </c>
      <c r="D678" t="s">
        <v>1223</v>
      </c>
      <c r="E678" s="1">
        <f>VALUE("7395")</f>
        <v>7395</v>
      </c>
    </row>
    <row r="679" spans="1:5" x14ac:dyDescent="0.25">
      <c r="A679" s="6" t="s">
        <v>2642</v>
      </c>
      <c r="B679" s="6" t="s">
        <v>1224</v>
      </c>
      <c r="C679" s="1">
        <f>VALUE("2016")</f>
        <v>2016</v>
      </c>
      <c r="D679" t="s">
        <v>508</v>
      </c>
      <c r="E679" s="1">
        <f>VALUE("7395")</f>
        <v>7395</v>
      </c>
    </row>
    <row r="680" spans="1:5" x14ac:dyDescent="0.25">
      <c r="A680" s="6" t="s">
        <v>1225</v>
      </c>
      <c r="B680" s="6" t="s">
        <v>1226</v>
      </c>
      <c r="C680" s="1">
        <f>VALUE("2015")</f>
        <v>2015</v>
      </c>
      <c r="D680" t="s">
        <v>1227</v>
      </c>
      <c r="E680" s="1">
        <f>VALUE("7396")</f>
        <v>7396</v>
      </c>
    </row>
    <row r="681" spans="1:5" x14ac:dyDescent="0.25">
      <c r="A681" s="6" t="s">
        <v>1228</v>
      </c>
      <c r="B681" s="6" t="s">
        <v>1229</v>
      </c>
      <c r="C681" s="1">
        <f>VALUE("2013")</f>
        <v>2013</v>
      </c>
      <c r="D681" t="s">
        <v>202</v>
      </c>
      <c r="E681" s="1">
        <f>VALUE("7398")</f>
        <v>7398</v>
      </c>
    </row>
    <row r="682" spans="1:5" x14ac:dyDescent="0.25">
      <c r="A682" s="6" t="s">
        <v>1230</v>
      </c>
      <c r="B682" s="6" t="s">
        <v>1231</v>
      </c>
      <c r="C682" s="1">
        <f>VALUE("2013")</f>
        <v>2013</v>
      </c>
      <c r="D682" t="s">
        <v>1232</v>
      </c>
      <c r="E682" s="1">
        <f>VALUE("7398")</f>
        <v>7398</v>
      </c>
    </row>
    <row r="683" spans="1:5" x14ac:dyDescent="0.25">
      <c r="A683" s="6" t="s">
        <v>1233</v>
      </c>
      <c r="B683" s="6" t="s">
        <v>1234</v>
      </c>
      <c r="C683" s="1">
        <f>VALUE("2014")</f>
        <v>2014</v>
      </c>
      <c r="D683" t="s">
        <v>202</v>
      </c>
      <c r="E683" s="1">
        <f>VALUE("7398")</f>
        <v>7398</v>
      </c>
    </row>
    <row r="684" spans="1:5" x14ac:dyDescent="0.25">
      <c r="A684" s="6" t="s">
        <v>1235</v>
      </c>
      <c r="B684" s="6" t="s">
        <v>1236</v>
      </c>
      <c r="C684" s="1">
        <f>VALUE("2012")</f>
        <v>2012</v>
      </c>
      <c r="D684" t="s">
        <v>814</v>
      </c>
      <c r="E684" s="1">
        <f>VALUE("7399")</f>
        <v>7399</v>
      </c>
    </row>
    <row r="685" spans="1:5" x14ac:dyDescent="0.25">
      <c r="A685" s="6" t="s">
        <v>1237</v>
      </c>
      <c r="B685" s="6" t="s">
        <v>1238</v>
      </c>
      <c r="C685" s="1">
        <f>VALUE("2017")</f>
        <v>2017</v>
      </c>
      <c r="D685" t="s">
        <v>1239</v>
      </c>
      <c r="E685" s="1">
        <f>VALUE("7404")</f>
        <v>7404</v>
      </c>
    </row>
    <row r="686" spans="1:5" x14ac:dyDescent="0.25">
      <c r="A686" s="6" t="s">
        <v>1240</v>
      </c>
      <c r="B686" s="6" t="s">
        <v>1241</v>
      </c>
      <c r="C686" s="1">
        <f>VALUE("2013")</f>
        <v>2013</v>
      </c>
      <c r="D686" t="s">
        <v>1242</v>
      </c>
      <c r="E686" s="1">
        <f>VALUE("7408")</f>
        <v>7408</v>
      </c>
    </row>
    <row r="687" spans="1:5" x14ac:dyDescent="0.25">
      <c r="A687" s="6" t="s">
        <v>1245</v>
      </c>
      <c r="B687" s="6" t="s">
        <v>1246</v>
      </c>
      <c r="C687" s="1">
        <f>VALUE("2013")</f>
        <v>2013</v>
      </c>
      <c r="D687" t="s">
        <v>1247</v>
      </c>
      <c r="E687" s="1">
        <f>VALUE("7408")</f>
        <v>7408</v>
      </c>
    </row>
    <row r="688" spans="1:5" x14ac:dyDescent="0.25">
      <c r="A688" s="6" t="s">
        <v>1243</v>
      </c>
      <c r="B688" s="6" t="s">
        <v>1244</v>
      </c>
      <c r="C688" s="1">
        <v>2015</v>
      </c>
      <c r="D688" t="s">
        <v>577</v>
      </c>
      <c r="E688" s="1">
        <f>VALUE("7408")</f>
        <v>7408</v>
      </c>
    </row>
    <row r="689" spans="1:5" x14ac:dyDescent="0.25">
      <c r="A689" s="6" t="s">
        <v>1248</v>
      </c>
      <c r="B689" s="6" t="s">
        <v>1249</v>
      </c>
      <c r="C689" s="1">
        <v>2015</v>
      </c>
      <c r="D689" t="s">
        <v>1250</v>
      </c>
      <c r="E689" s="1">
        <f>VALUE("7408")</f>
        <v>7408</v>
      </c>
    </row>
    <row r="690" spans="1:5" x14ac:dyDescent="0.25">
      <c r="A690" s="6" t="s">
        <v>1251</v>
      </c>
      <c r="B690" s="6" t="s">
        <v>1252</v>
      </c>
      <c r="C690" s="1">
        <f>VALUE("2013")</f>
        <v>2013</v>
      </c>
      <c r="D690" t="s">
        <v>1084</v>
      </c>
      <c r="E690" s="1">
        <f>VALUE("7409")</f>
        <v>7409</v>
      </c>
    </row>
    <row r="691" spans="1:5" x14ac:dyDescent="0.25">
      <c r="A691" s="6" t="s">
        <v>1253</v>
      </c>
      <c r="B691" s="6" t="s">
        <v>1254</v>
      </c>
      <c r="C691" s="1">
        <f>VALUE("2013")</f>
        <v>2013</v>
      </c>
      <c r="D691" t="s">
        <v>598</v>
      </c>
      <c r="E691" s="1">
        <f>VALUE("7411")</f>
        <v>7411</v>
      </c>
    </row>
    <row r="692" spans="1:5" x14ac:dyDescent="0.25">
      <c r="A692" s="6" t="s">
        <v>1258</v>
      </c>
      <c r="B692" s="6" t="s">
        <v>1259</v>
      </c>
      <c r="C692" s="1">
        <f>VALUE("2017")</f>
        <v>2017</v>
      </c>
      <c r="D692" t="s">
        <v>1260</v>
      </c>
      <c r="E692" s="1">
        <f>VALUE("7413")</f>
        <v>7413</v>
      </c>
    </row>
    <row r="693" spans="1:5" x14ac:dyDescent="0.25">
      <c r="A693" s="6" t="s">
        <v>1255</v>
      </c>
      <c r="B693" s="6" t="s">
        <v>1256</v>
      </c>
      <c r="C693" s="1">
        <f>VALUE("2017")</f>
        <v>2017</v>
      </c>
      <c r="D693" t="s">
        <v>1257</v>
      </c>
      <c r="E693" s="1">
        <f>VALUE("7413")</f>
        <v>7413</v>
      </c>
    </row>
    <row r="694" spans="1:5" x14ac:dyDescent="0.25">
      <c r="A694" s="6" t="s">
        <v>1261</v>
      </c>
      <c r="B694" s="6" t="s">
        <v>1262</v>
      </c>
      <c r="C694" s="1">
        <f>VALUE("2017")</f>
        <v>2017</v>
      </c>
      <c r="D694" t="s">
        <v>1263</v>
      </c>
      <c r="E694" s="1">
        <f>VALUE("7413")</f>
        <v>7413</v>
      </c>
    </row>
    <row r="695" spans="1:5" x14ac:dyDescent="0.25">
      <c r="A695" s="6" t="s">
        <v>2643</v>
      </c>
      <c r="B695" s="6" t="s">
        <v>1264</v>
      </c>
      <c r="C695" s="1">
        <f>VALUE("2013")</f>
        <v>2013</v>
      </c>
      <c r="D695" t="s">
        <v>1265</v>
      </c>
      <c r="E695" s="1">
        <f>VALUE("7414")</f>
        <v>7414</v>
      </c>
    </row>
    <row r="696" spans="1:5" x14ac:dyDescent="0.25">
      <c r="A696" s="6" t="s">
        <v>2644</v>
      </c>
      <c r="B696" s="6" t="s">
        <v>1266</v>
      </c>
      <c r="C696" s="1">
        <f>VALUE("2013")</f>
        <v>2013</v>
      </c>
      <c r="D696" t="s">
        <v>1266</v>
      </c>
      <c r="E696" s="1">
        <f>VALUE("7415")</f>
        <v>7415</v>
      </c>
    </row>
    <row r="697" spans="1:5" x14ac:dyDescent="0.25">
      <c r="A697" s="6" t="s">
        <v>2645</v>
      </c>
      <c r="B697" s="6" t="s">
        <v>1266</v>
      </c>
      <c r="C697" s="1">
        <f>VALUE("2013")</f>
        <v>2013</v>
      </c>
      <c r="D697" t="s">
        <v>1266</v>
      </c>
      <c r="E697" s="1">
        <f>VALUE("7415")</f>
        <v>7415</v>
      </c>
    </row>
    <row r="698" spans="1:5" x14ac:dyDescent="0.25">
      <c r="A698" s="6" t="s">
        <v>2646</v>
      </c>
      <c r="B698" s="6" t="s">
        <v>1266</v>
      </c>
      <c r="C698" s="1">
        <f>VALUE("2013")</f>
        <v>2013</v>
      </c>
      <c r="D698" t="s">
        <v>1266</v>
      </c>
      <c r="E698" s="1">
        <f>VALUE("7415")</f>
        <v>7415</v>
      </c>
    </row>
    <row r="699" spans="1:5" x14ac:dyDescent="0.25">
      <c r="A699" s="6" t="s">
        <v>2647</v>
      </c>
      <c r="B699" s="6" t="s">
        <v>1267</v>
      </c>
      <c r="C699" s="1">
        <v>2012</v>
      </c>
      <c r="D699" t="s">
        <v>598</v>
      </c>
      <c r="E699" s="1">
        <f>VALUE("7417")</f>
        <v>7417</v>
      </c>
    </row>
    <row r="700" spans="1:5" x14ac:dyDescent="0.25">
      <c r="A700" s="6" t="s">
        <v>1268</v>
      </c>
      <c r="B700" s="6" t="s">
        <v>1269</v>
      </c>
      <c r="C700" s="1">
        <f>VALUE("2013")</f>
        <v>2013</v>
      </c>
      <c r="D700" t="s">
        <v>1033</v>
      </c>
      <c r="E700" s="1">
        <f>VALUE("7418")</f>
        <v>7418</v>
      </c>
    </row>
    <row r="701" spans="1:5" x14ac:dyDescent="0.25">
      <c r="A701" s="6" t="s">
        <v>1270</v>
      </c>
      <c r="B701" s="6" t="s">
        <v>1271</v>
      </c>
      <c r="C701" s="1">
        <v>2014</v>
      </c>
      <c r="D701" t="s">
        <v>1272</v>
      </c>
      <c r="E701" s="1">
        <f>VALUE("7419")</f>
        <v>7419</v>
      </c>
    </row>
    <row r="702" spans="1:5" x14ac:dyDescent="0.25">
      <c r="A702" s="6" t="s">
        <v>1273</v>
      </c>
      <c r="B702" s="6" t="s">
        <v>822</v>
      </c>
      <c r="C702" s="1">
        <f>VALUE("2013")</f>
        <v>2013</v>
      </c>
      <c r="D702" t="s">
        <v>822</v>
      </c>
      <c r="E702" s="1">
        <f>VALUE("7421")</f>
        <v>7421</v>
      </c>
    </row>
    <row r="703" spans="1:5" x14ac:dyDescent="0.25">
      <c r="A703" s="6" t="s">
        <v>1274</v>
      </c>
      <c r="B703" s="6" t="s">
        <v>1275</v>
      </c>
      <c r="C703" s="1">
        <f>VALUE("2013")</f>
        <v>2013</v>
      </c>
      <c r="D703" t="s">
        <v>144</v>
      </c>
      <c r="E703" s="1">
        <f>VALUE("7422")</f>
        <v>7422</v>
      </c>
    </row>
    <row r="704" spans="1:5" x14ac:dyDescent="0.25">
      <c r="A704" s="6" t="s">
        <v>2648</v>
      </c>
      <c r="B704" s="6" t="s">
        <v>1276</v>
      </c>
      <c r="C704" s="1">
        <f>VALUE("2013")</f>
        <v>2013</v>
      </c>
      <c r="D704" t="s">
        <v>1277</v>
      </c>
      <c r="E704" s="1">
        <f>VALUE("7426")</f>
        <v>7426</v>
      </c>
    </row>
    <row r="705" spans="1:5" x14ac:dyDescent="0.25">
      <c r="A705" s="6" t="s">
        <v>1278</v>
      </c>
      <c r="B705" s="6" t="s">
        <v>1279</v>
      </c>
      <c r="C705" s="1">
        <f>VALUE("2013")</f>
        <v>2013</v>
      </c>
      <c r="D705" t="s">
        <v>1280</v>
      </c>
      <c r="E705" s="1">
        <f>VALUE("7427")</f>
        <v>7427</v>
      </c>
    </row>
    <row r="706" spans="1:5" x14ac:dyDescent="0.25">
      <c r="A706" s="6" t="s">
        <v>1281</v>
      </c>
      <c r="B706" s="6" t="s">
        <v>1282</v>
      </c>
      <c r="C706" s="1">
        <f>VALUE("2013")</f>
        <v>2013</v>
      </c>
      <c r="D706" t="s">
        <v>814</v>
      </c>
      <c r="E706" s="1">
        <f>VALUE("7429")</f>
        <v>7429</v>
      </c>
    </row>
    <row r="707" spans="1:5" x14ac:dyDescent="0.25">
      <c r="A707" s="6" t="s">
        <v>1283</v>
      </c>
      <c r="B707" s="6" t="s">
        <v>1284</v>
      </c>
      <c r="C707" s="1">
        <v>2016</v>
      </c>
      <c r="D707" t="s">
        <v>1285</v>
      </c>
      <c r="E707" s="1">
        <f>VALUE("7429")</f>
        <v>7429</v>
      </c>
    </row>
    <row r="708" spans="1:5" x14ac:dyDescent="0.25">
      <c r="A708" s="6" t="s">
        <v>1286</v>
      </c>
      <c r="B708" s="6" t="s">
        <v>1287</v>
      </c>
      <c r="C708" s="1">
        <f>VALUE("2013")</f>
        <v>2013</v>
      </c>
      <c r="D708" t="s">
        <v>1288</v>
      </c>
      <c r="E708" s="1">
        <f>VALUE("7430")</f>
        <v>7430</v>
      </c>
    </row>
    <row r="709" spans="1:5" x14ac:dyDescent="0.25">
      <c r="A709" s="6" t="s">
        <v>1289</v>
      </c>
      <c r="B709" s="6" t="s">
        <v>1290</v>
      </c>
      <c r="C709" s="1">
        <f>VALUE("2014")</f>
        <v>2014</v>
      </c>
      <c r="D709" t="s">
        <v>1291</v>
      </c>
      <c r="E709" s="1">
        <f>VALUE("7431")</f>
        <v>7431</v>
      </c>
    </row>
    <row r="710" spans="1:5" x14ac:dyDescent="0.25">
      <c r="A710" s="6" t="s">
        <v>1292</v>
      </c>
      <c r="B710" s="6" t="s">
        <v>1293</v>
      </c>
      <c r="C710" s="1">
        <f>VALUE("2014")</f>
        <v>2014</v>
      </c>
      <c r="D710" t="s">
        <v>822</v>
      </c>
      <c r="E710" s="1">
        <f>VALUE("7432")</f>
        <v>7432</v>
      </c>
    </row>
    <row r="711" spans="1:5" x14ac:dyDescent="0.25">
      <c r="A711" s="6" t="s">
        <v>1297</v>
      </c>
      <c r="B711" s="6" t="s">
        <v>1298</v>
      </c>
      <c r="C711" s="1">
        <f>VALUE("2014")</f>
        <v>2014</v>
      </c>
      <c r="D711" t="s">
        <v>1299</v>
      </c>
      <c r="E711" s="1">
        <f>VALUE("7433")</f>
        <v>7433</v>
      </c>
    </row>
    <row r="712" spans="1:5" x14ac:dyDescent="0.25">
      <c r="A712" s="6" t="s">
        <v>1294</v>
      </c>
      <c r="B712" s="6" t="s">
        <v>1295</v>
      </c>
      <c r="C712" s="1">
        <v>2015</v>
      </c>
      <c r="D712" t="s">
        <v>1296</v>
      </c>
      <c r="E712" s="1">
        <f>VALUE("7433")</f>
        <v>7433</v>
      </c>
    </row>
    <row r="713" spans="1:5" x14ac:dyDescent="0.25">
      <c r="A713" s="6" t="s">
        <v>1300</v>
      </c>
      <c r="B713" s="6" t="s">
        <v>822</v>
      </c>
      <c r="C713" s="1">
        <f>VALUE("2012")</f>
        <v>2012</v>
      </c>
      <c r="D713" t="s">
        <v>822</v>
      </c>
      <c r="E713" s="1">
        <f>VALUE("7437")</f>
        <v>7437</v>
      </c>
    </row>
    <row r="714" spans="1:5" x14ac:dyDescent="0.25">
      <c r="A714" s="6" t="s">
        <v>1301</v>
      </c>
      <c r="B714" s="6" t="s">
        <v>1302</v>
      </c>
      <c r="C714" s="1">
        <f>VALUE("2013")</f>
        <v>2013</v>
      </c>
      <c r="D714" t="s">
        <v>835</v>
      </c>
      <c r="E714" s="1">
        <f>VALUE("7438")</f>
        <v>7438</v>
      </c>
    </row>
    <row r="715" spans="1:5" x14ac:dyDescent="0.25">
      <c r="A715" s="6" t="s">
        <v>1303</v>
      </c>
      <c r="B715" s="6" t="s">
        <v>1304</v>
      </c>
      <c r="C715" s="1">
        <f>VALUE("2013")</f>
        <v>2013</v>
      </c>
      <c r="D715" t="s">
        <v>1305</v>
      </c>
      <c r="E715" s="1">
        <f>VALUE("7441")</f>
        <v>7441</v>
      </c>
    </row>
    <row r="716" spans="1:5" x14ac:dyDescent="0.25">
      <c r="A716" s="6" t="s">
        <v>1306</v>
      </c>
      <c r="B716" s="6" t="s">
        <v>1307</v>
      </c>
      <c r="C716" s="1">
        <f>VALUE("2013")</f>
        <v>2013</v>
      </c>
      <c r="E716" s="1">
        <f>VALUE("7443")</f>
        <v>7443</v>
      </c>
    </row>
    <row r="717" spans="1:5" x14ac:dyDescent="0.25">
      <c r="A717" s="6" t="s">
        <v>1308</v>
      </c>
      <c r="B717" s="6" t="s">
        <v>1309</v>
      </c>
      <c r="C717" s="1">
        <f>VALUE("2013")</f>
        <v>2013</v>
      </c>
      <c r="E717" s="1">
        <f>VALUE("7444")</f>
        <v>7444</v>
      </c>
    </row>
    <row r="718" spans="1:5" x14ac:dyDescent="0.25">
      <c r="A718" s="6" t="s">
        <v>1310</v>
      </c>
      <c r="B718" s="6" t="s">
        <v>1311</v>
      </c>
      <c r="C718" s="1">
        <f>VALUE("2013")</f>
        <v>2013</v>
      </c>
      <c r="D718" t="s">
        <v>1033</v>
      </c>
      <c r="E718" s="1">
        <f>VALUE("7446")</f>
        <v>7446</v>
      </c>
    </row>
    <row r="719" spans="1:5" x14ac:dyDescent="0.25">
      <c r="A719" s="6" t="s">
        <v>1312</v>
      </c>
      <c r="B719" s="6" t="s">
        <v>1313</v>
      </c>
      <c r="C719" s="1">
        <f>VALUE("2013")</f>
        <v>2013</v>
      </c>
      <c r="D719" t="s">
        <v>1314</v>
      </c>
      <c r="E719" s="1">
        <f>VALUE("7447")</f>
        <v>7447</v>
      </c>
    </row>
    <row r="720" spans="1:5" x14ac:dyDescent="0.25">
      <c r="A720" s="6" t="s">
        <v>1315</v>
      </c>
      <c r="B720" s="6" t="s">
        <v>1313</v>
      </c>
      <c r="C720" s="1">
        <f>VALUE("2014")</f>
        <v>2014</v>
      </c>
      <c r="D720" t="s">
        <v>1316</v>
      </c>
      <c r="E720" s="1">
        <f>VALUE("7447")</f>
        <v>7447</v>
      </c>
    </row>
    <row r="721" spans="1:5" x14ac:dyDescent="0.25">
      <c r="A721" s="6" t="s">
        <v>1317</v>
      </c>
      <c r="B721" s="6" t="s">
        <v>1318</v>
      </c>
      <c r="C721" s="1">
        <f>VALUE("2014")</f>
        <v>2014</v>
      </c>
      <c r="D721" t="s">
        <v>1319</v>
      </c>
      <c r="E721" s="1">
        <f>VALUE("7448")</f>
        <v>7448</v>
      </c>
    </row>
    <row r="722" spans="1:5" x14ac:dyDescent="0.25">
      <c r="A722" s="6" t="s">
        <v>2650</v>
      </c>
      <c r="B722" s="6" t="s">
        <v>1322</v>
      </c>
      <c r="C722" s="1">
        <v>2013</v>
      </c>
      <c r="D722" t="s">
        <v>530</v>
      </c>
      <c r="E722" s="1">
        <f>VALUE("7449")</f>
        <v>7449</v>
      </c>
    </row>
    <row r="723" spans="1:5" x14ac:dyDescent="0.25">
      <c r="A723" s="6" t="s">
        <v>2649</v>
      </c>
      <c r="B723" s="6" t="s">
        <v>1320</v>
      </c>
      <c r="C723" s="1">
        <f>VALUE("2014")</f>
        <v>2014</v>
      </c>
      <c r="D723" t="s">
        <v>1321</v>
      </c>
      <c r="E723" s="1">
        <f>VALUE("7449")</f>
        <v>7449</v>
      </c>
    </row>
    <row r="724" spans="1:5" x14ac:dyDescent="0.25">
      <c r="A724" s="6" t="s">
        <v>1323</v>
      </c>
      <c r="B724" s="6" t="s">
        <v>1324</v>
      </c>
      <c r="C724" s="1">
        <f>VALUE("2014")</f>
        <v>2014</v>
      </c>
      <c r="D724" t="s">
        <v>1325</v>
      </c>
      <c r="E724" s="1">
        <f>VALUE("7450")</f>
        <v>7450</v>
      </c>
    </row>
    <row r="725" spans="1:5" x14ac:dyDescent="0.25">
      <c r="A725" s="6" t="s">
        <v>1326</v>
      </c>
      <c r="B725" s="6" t="s">
        <v>1327</v>
      </c>
      <c r="C725" s="1">
        <f>VALUE("2018")</f>
        <v>2018</v>
      </c>
      <c r="D725" t="s">
        <v>1328</v>
      </c>
      <c r="E725" s="1">
        <f>VALUE("7453")</f>
        <v>7453</v>
      </c>
    </row>
    <row r="726" spans="1:5" x14ac:dyDescent="0.25">
      <c r="A726" s="6" t="s">
        <v>1329</v>
      </c>
      <c r="B726" s="6" t="s">
        <v>1330</v>
      </c>
      <c r="C726" s="1">
        <f>VALUE("2015")</f>
        <v>2015</v>
      </c>
      <c r="D726" t="s">
        <v>640</v>
      </c>
      <c r="E726" s="1">
        <f>VALUE("7454")</f>
        <v>7454</v>
      </c>
    </row>
    <row r="727" spans="1:5" x14ac:dyDescent="0.25">
      <c r="A727" s="6" t="s">
        <v>1331</v>
      </c>
      <c r="B727" s="6" t="s">
        <v>1332</v>
      </c>
      <c r="C727" s="1">
        <f>VALUE("2017")</f>
        <v>2017</v>
      </c>
      <c r="D727" t="s">
        <v>1333</v>
      </c>
      <c r="E727" s="1">
        <f>VALUE("7456")</f>
        <v>7456</v>
      </c>
    </row>
    <row r="728" spans="1:5" x14ac:dyDescent="0.25">
      <c r="A728" s="6" t="s">
        <v>1334</v>
      </c>
      <c r="B728" s="6" t="s">
        <v>1335</v>
      </c>
      <c r="C728" s="1">
        <f>VALUE("2018")</f>
        <v>2018</v>
      </c>
      <c r="D728" t="s">
        <v>1336</v>
      </c>
      <c r="E728" s="1">
        <f>VALUE("7457")</f>
        <v>7457</v>
      </c>
    </row>
    <row r="729" spans="1:5" x14ac:dyDescent="0.25">
      <c r="A729" s="6" t="s">
        <v>1337</v>
      </c>
      <c r="B729" s="6" t="s">
        <v>1338</v>
      </c>
      <c r="C729" s="1">
        <f>VALUE("2013")</f>
        <v>2013</v>
      </c>
      <c r="D729" t="s">
        <v>1339</v>
      </c>
      <c r="E729" s="1">
        <f>VALUE("7462")</f>
        <v>7462</v>
      </c>
    </row>
    <row r="730" spans="1:5" x14ac:dyDescent="0.25">
      <c r="A730" s="6" t="s">
        <v>801</v>
      </c>
      <c r="B730" s="6" t="s">
        <v>802</v>
      </c>
      <c r="C730" s="1">
        <f>VALUE("2013")</f>
        <v>2013</v>
      </c>
      <c r="D730" t="s">
        <v>1340</v>
      </c>
      <c r="E730" s="1">
        <f>VALUE("7468")</f>
        <v>7468</v>
      </c>
    </row>
    <row r="731" spans="1:5" x14ac:dyDescent="0.25">
      <c r="A731" s="6" t="s">
        <v>1341</v>
      </c>
      <c r="B731" s="6" t="s">
        <v>1342</v>
      </c>
      <c r="C731" s="1">
        <f>VALUE("2013")</f>
        <v>2013</v>
      </c>
      <c r="D731" t="s">
        <v>1280</v>
      </c>
      <c r="E731" s="1">
        <f>VALUE("7469")</f>
        <v>7469</v>
      </c>
    </row>
    <row r="732" spans="1:5" x14ac:dyDescent="0.25">
      <c r="A732" s="6" t="s">
        <v>1343</v>
      </c>
      <c r="B732" s="6" t="s">
        <v>1344</v>
      </c>
      <c r="C732" s="1">
        <f>VALUE("2014")</f>
        <v>2014</v>
      </c>
      <c r="D732" t="s">
        <v>1345</v>
      </c>
      <c r="E732" s="1">
        <f>VALUE("7470")</f>
        <v>7470</v>
      </c>
    </row>
    <row r="733" spans="1:5" x14ac:dyDescent="0.25">
      <c r="A733" s="6" t="s">
        <v>1346</v>
      </c>
      <c r="B733" s="6" t="s">
        <v>1347</v>
      </c>
      <c r="C733" s="1">
        <f>VALUE("2015")</f>
        <v>2015</v>
      </c>
      <c r="D733" t="s">
        <v>1348</v>
      </c>
      <c r="E733" s="1">
        <f>VALUE("7472")</f>
        <v>7472</v>
      </c>
    </row>
    <row r="734" spans="1:5" x14ac:dyDescent="0.25">
      <c r="A734" s="6" t="s">
        <v>1353</v>
      </c>
      <c r="B734" s="6" t="s">
        <v>1354</v>
      </c>
      <c r="C734" s="1">
        <f>VALUE("2015")</f>
        <v>2015</v>
      </c>
      <c r="D734" t="s">
        <v>202</v>
      </c>
      <c r="E734" s="1">
        <f>VALUE("7476")</f>
        <v>7476</v>
      </c>
    </row>
    <row r="735" spans="1:5" x14ac:dyDescent="0.25">
      <c r="A735" s="6" t="s">
        <v>1349</v>
      </c>
      <c r="B735" s="6" t="s">
        <v>1350</v>
      </c>
      <c r="C735" s="1">
        <f>VALUE("2016")</f>
        <v>2016</v>
      </c>
      <c r="D735" t="s">
        <v>202</v>
      </c>
      <c r="E735" s="1">
        <f>VALUE("7476")</f>
        <v>7476</v>
      </c>
    </row>
    <row r="736" spans="1:5" x14ac:dyDescent="0.25">
      <c r="A736" s="6" t="s">
        <v>1351</v>
      </c>
      <c r="B736" s="6" t="s">
        <v>1352</v>
      </c>
      <c r="C736" s="1">
        <f>VALUE("2017")</f>
        <v>2017</v>
      </c>
      <c r="D736" t="s">
        <v>733</v>
      </c>
      <c r="E736" s="1">
        <f>VALUE("7476")</f>
        <v>7476</v>
      </c>
    </row>
    <row r="737" spans="1:5" x14ac:dyDescent="0.25">
      <c r="A737" s="6" t="s">
        <v>1355</v>
      </c>
      <c r="B737" s="6" t="s">
        <v>1356</v>
      </c>
      <c r="C737" s="1">
        <f>VALUE("2014")</f>
        <v>2014</v>
      </c>
      <c r="D737" t="s">
        <v>640</v>
      </c>
      <c r="E737" s="1">
        <f>VALUE("7477")</f>
        <v>7477</v>
      </c>
    </row>
    <row r="738" spans="1:5" x14ac:dyDescent="0.25">
      <c r="A738" s="6" t="s">
        <v>1357</v>
      </c>
      <c r="B738" s="6" t="s">
        <v>1358</v>
      </c>
      <c r="C738" s="1">
        <f>VALUE("2014")</f>
        <v>2014</v>
      </c>
      <c r="D738" t="s">
        <v>1011</v>
      </c>
      <c r="E738" s="1">
        <f>VALUE("7480")</f>
        <v>7480</v>
      </c>
    </row>
    <row r="739" spans="1:5" x14ac:dyDescent="0.25">
      <c r="A739" s="6" t="s">
        <v>1359</v>
      </c>
      <c r="B739" s="6" t="s">
        <v>1360</v>
      </c>
      <c r="C739" s="1">
        <v>2015</v>
      </c>
      <c r="D739" t="s">
        <v>1361</v>
      </c>
      <c r="E739" s="1">
        <f>VALUE("7483")</f>
        <v>7483</v>
      </c>
    </row>
    <row r="740" spans="1:5" x14ac:dyDescent="0.25">
      <c r="A740" s="6" t="s">
        <v>1365</v>
      </c>
      <c r="B740" s="6" t="s">
        <v>1366</v>
      </c>
      <c r="C740" s="1">
        <f>VALUE("2013")</f>
        <v>2013</v>
      </c>
      <c r="D740" t="s">
        <v>1367</v>
      </c>
      <c r="E740" s="1">
        <f>VALUE("7486")</f>
        <v>7486</v>
      </c>
    </row>
    <row r="741" spans="1:5" x14ac:dyDescent="0.25">
      <c r="A741" s="6" t="s">
        <v>2652</v>
      </c>
      <c r="B741" s="6" t="s">
        <v>1368</v>
      </c>
      <c r="C741" s="1">
        <f>VALUE("2013")</f>
        <v>2013</v>
      </c>
      <c r="D741" t="s">
        <v>640</v>
      </c>
      <c r="E741" s="1">
        <f>VALUE("7486")</f>
        <v>7486</v>
      </c>
    </row>
    <row r="742" spans="1:5" x14ac:dyDescent="0.25">
      <c r="A742" s="6" t="s">
        <v>1362</v>
      </c>
      <c r="B742" s="6" t="s">
        <v>1363</v>
      </c>
      <c r="C742" s="1">
        <f>VALUE("2014")</f>
        <v>2014</v>
      </c>
      <c r="D742" t="s">
        <v>1364</v>
      </c>
      <c r="E742" s="1">
        <f>VALUE("7486")</f>
        <v>7486</v>
      </c>
    </row>
    <row r="743" spans="1:5" x14ac:dyDescent="0.25">
      <c r="A743" s="6" t="s">
        <v>2651</v>
      </c>
      <c r="B743" s="6" t="s">
        <v>1363</v>
      </c>
      <c r="C743" s="1">
        <v>2015</v>
      </c>
      <c r="D743" t="s">
        <v>640</v>
      </c>
      <c r="E743" s="1">
        <f>VALUE("7486")</f>
        <v>7486</v>
      </c>
    </row>
    <row r="744" spans="1:5" x14ac:dyDescent="0.25">
      <c r="A744" s="6" t="s">
        <v>1369</v>
      </c>
      <c r="B744" s="6" t="s">
        <v>1370</v>
      </c>
      <c r="C744" s="1">
        <v>2014</v>
      </c>
      <c r="D744" t="s">
        <v>1371</v>
      </c>
      <c r="E744" s="1">
        <f>VALUE("7490")</f>
        <v>7490</v>
      </c>
    </row>
    <row r="745" spans="1:5" x14ac:dyDescent="0.25">
      <c r="A745" s="6" t="s">
        <v>1372</v>
      </c>
      <c r="B745" s="6" t="s">
        <v>1373</v>
      </c>
      <c r="C745" s="1">
        <f>VALUE("2013")</f>
        <v>2013</v>
      </c>
      <c r="D745" t="s">
        <v>814</v>
      </c>
      <c r="E745" s="1">
        <f>VALUE("7491")</f>
        <v>7491</v>
      </c>
    </row>
    <row r="746" spans="1:5" x14ac:dyDescent="0.25">
      <c r="A746" s="6" t="s">
        <v>2653</v>
      </c>
      <c r="B746" s="6" t="s">
        <v>1374</v>
      </c>
      <c r="C746" s="1">
        <f>VALUE("2013")</f>
        <v>2013</v>
      </c>
      <c r="D746" t="s">
        <v>835</v>
      </c>
      <c r="E746" s="1">
        <f>VALUE("7494")</f>
        <v>7494</v>
      </c>
    </row>
    <row r="747" spans="1:5" x14ac:dyDescent="0.25">
      <c r="A747" s="6" t="s">
        <v>1375</v>
      </c>
      <c r="B747" s="6" t="s">
        <v>1376</v>
      </c>
      <c r="C747" s="1">
        <f>VALUE("2013")</f>
        <v>2013</v>
      </c>
      <c r="D747" t="s">
        <v>1377</v>
      </c>
      <c r="E747" s="1">
        <f>VALUE("7494")</f>
        <v>7494</v>
      </c>
    </row>
    <row r="748" spans="1:5" x14ac:dyDescent="0.25">
      <c r="A748" s="6" t="s">
        <v>1378</v>
      </c>
      <c r="B748" s="6" t="s">
        <v>1379</v>
      </c>
      <c r="C748" s="1">
        <f>VALUE("2016")</f>
        <v>2016</v>
      </c>
      <c r="D748" t="s">
        <v>1380</v>
      </c>
      <c r="E748" s="1">
        <f>VALUE("7495")</f>
        <v>7495</v>
      </c>
    </row>
    <row r="749" spans="1:5" x14ac:dyDescent="0.25">
      <c r="A749" s="6" t="s">
        <v>1384</v>
      </c>
      <c r="B749" s="6" t="s">
        <v>1385</v>
      </c>
      <c r="C749" s="1">
        <f>VALUE("2016")</f>
        <v>2016</v>
      </c>
      <c r="D749" t="s">
        <v>1386</v>
      </c>
      <c r="E749" s="1">
        <f>VALUE("7497")</f>
        <v>7497</v>
      </c>
    </row>
    <row r="750" spans="1:5" x14ac:dyDescent="0.25">
      <c r="A750" s="6" t="s">
        <v>1381</v>
      </c>
      <c r="B750" s="6" t="s">
        <v>1382</v>
      </c>
      <c r="C750" s="1">
        <v>2019</v>
      </c>
      <c r="D750" t="s">
        <v>1383</v>
      </c>
      <c r="E750" s="1">
        <f>VALUE("7497")</f>
        <v>7497</v>
      </c>
    </row>
    <row r="751" spans="1:5" x14ac:dyDescent="0.25">
      <c r="A751" s="6" t="s">
        <v>1387</v>
      </c>
      <c r="B751" s="6" t="s">
        <v>1388</v>
      </c>
      <c r="C751" s="1">
        <f>VALUE("2014")</f>
        <v>2014</v>
      </c>
      <c r="D751" t="s">
        <v>1388</v>
      </c>
      <c r="E751" s="1">
        <f>VALUE("7499")</f>
        <v>7499</v>
      </c>
    </row>
    <row r="752" spans="1:5" x14ac:dyDescent="0.25">
      <c r="A752" s="6" t="s">
        <v>1389</v>
      </c>
      <c r="B752" s="6" t="s">
        <v>1390</v>
      </c>
      <c r="C752" s="1">
        <f>VALUE("2014")</f>
        <v>2014</v>
      </c>
      <c r="D752" t="s">
        <v>822</v>
      </c>
      <c r="E752" s="1">
        <f>VALUE("7500")</f>
        <v>7500</v>
      </c>
    </row>
    <row r="753" spans="1:5" x14ac:dyDescent="0.25">
      <c r="A753" s="6" t="s">
        <v>1391</v>
      </c>
      <c r="B753" s="6" t="s">
        <v>1392</v>
      </c>
      <c r="C753" s="1">
        <f>VALUE("2014")</f>
        <v>2014</v>
      </c>
      <c r="D753" t="s">
        <v>640</v>
      </c>
      <c r="E753" s="1">
        <f>VALUE("7501")</f>
        <v>7501</v>
      </c>
    </row>
    <row r="754" spans="1:5" x14ac:dyDescent="0.25">
      <c r="A754" s="6" t="s">
        <v>1393</v>
      </c>
      <c r="B754" s="6" t="s">
        <v>1392</v>
      </c>
      <c r="C754" s="1">
        <f>VALUE("2014")</f>
        <v>2014</v>
      </c>
      <c r="D754" t="s">
        <v>640</v>
      </c>
      <c r="E754" s="1">
        <f>VALUE("7501")</f>
        <v>7501</v>
      </c>
    </row>
    <row r="755" spans="1:5" x14ac:dyDescent="0.25">
      <c r="A755" s="6" t="s">
        <v>1402</v>
      </c>
      <c r="B755" s="6" t="s">
        <v>297</v>
      </c>
      <c r="C755" s="1">
        <v>2013</v>
      </c>
      <c r="D755" t="s">
        <v>640</v>
      </c>
      <c r="E755" s="1">
        <f>VALUE("7502")</f>
        <v>7502</v>
      </c>
    </row>
    <row r="756" spans="1:5" x14ac:dyDescent="0.25">
      <c r="A756" s="6" t="s">
        <v>1394</v>
      </c>
      <c r="B756" s="6" t="s">
        <v>1395</v>
      </c>
      <c r="C756" s="1">
        <f>VALUE("2014")</f>
        <v>2014</v>
      </c>
      <c r="D756" t="s">
        <v>640</v>
      </c>
      <c r="E756" s="1">
        <f>VALUE("7502")</f>
        <v>7502</v>
      </c>
    </row>
    <row r="757" spans="1:5" x14ac:dyDescent="0.25">
      <c r="A757" s="6" t="s">
        <v>1400</v>
      </c>
      <c r="B757" s="6" t="s">
        <v>1401</v>
      </c>
      <c r="C757" s="1">
        <f>VALUE("2015")</f>
        <v>2015</v>
      </c>
      <c r="D757" t="s">
        <v>640</v>
      </c>
      <c r="E757" s="1">
        <f>VALUE("7502")</f>
        <v>7502</v>
      </c>
    </row>
    <row r="758" spans="1:5" x14ac:dyDescent="0.25">
      <c r="A758" s="6" t="s">
        <v>1398</v>
      </c>
      <c r="B758" s="6" t="s">
        <v>1399</v>
      </c>
      <c r="C758" s="1">
        <f>VALUE("2016")</f>
        <v>2016</v>
      </c>
      <c r="D758" t="s">
        <v>640</v>
      </c>
      <c r="E758" s="1">
        <f>VALUE("7502")</f>
        <v>7502</v>
      </c>
    </row>
    <row r="759" spans="1:5" x14ac:dyDescent="0.25">
      <c r="A759" s="6" t="s">
        <v>1396</v>
      </c>
      <c r="B759" s="6" t="s">
        <v>1397</v>
      </c>
      <c r="C759" s="1">
        <f>VALUE("2019")</f>
        <v>2019</v>
      </c>
      <c r="D759" t="s">
        <v>640</v>
      </c>
      <c r="E759" s="1">
        <f>VALUE("7502")</f>
        <v>7502</v>
      </c>
    </row>
    <row r="760" spans="1:5" x14ac:dyDescent="0.25">
      <c r="A760" s="6" t="s">
        <v>1406</v>
      </c>
      <c r="B760" s="6" t="s">
        <v>1407</v>
      </c>
      <c r="C760" s="1">
        <f>VALUE("2013")</f>
        <v>2013</v>
      </c>
      <c r="D760" t="s">
        <v>1408</v>
      </c>
      <c r="E760" s="1">
        <f>VALUE("7503")</f>
        <v>7503</v>
      </c>
    </row>
    <row r="761" spans="1:5" x14ac:dyDescent="0.25">
      <c r="A761" s="6" t="s">
        <v>1403</v>
      </c>
      <c r="B761" s="6" t="s">
        <v>1404</v>
      </c>
      <c r="C761" s="1">
        <f>VALUE("2015")</f>
        <v>2015</v>
      </c>
      <c r="D761" t="s">
        <v>1405</v>
      </c>
      <c r="E761" s="1">
        <f>VALUE("7503")</f>
        <v>7503</v>
      </c>
    </row>
    <row r="762" spans="1:5" x14ac:dyDescent="0.25">
      <c r="A762" s="6" t="s">
        <v>1409</v>
      </c>
      <c r="B762" s="6" t="s">
        <v>1410</v>
      </c>
      <c r="C762" s="1">
        <f>VALUE("2013")</f>
        <v>2013</v>
      </c>
      <c r="E762" s="1">
        <f>VALUE("7505")</f>
        <v>7505</v>
      </c>
    </row>
    <row r="763" spans="1:5" x14ac:dyDescent="0.25">
      <c r="A763" s="6" t="s">
        <v>1411</v>
      </c>
      <c r="B763" s="6" t="s">
        <v>1412</v>
      </c>
      <c r="C763" s="1">
        <v>2015</v>
      </c>
      <c r="D763" t="s">
        <v>1413</v>
      </c>
      <c r="E763" s="1">
        <f>VALUE("7509")</f>
        <v>7509</v>
      </c>
    </row>
    <row r="764" spans="1:5" x14ac:dyDescent="0.25">
      <c r="A764" s="6" t="s">
        <v>2654</v>
      </c>
      <c r="B764" s="6" t="s">
        <v>1414</v>
      </c>
      <c r="C764" s="1">
        <f>VALUE("2013")</f>
        <v>2013</v>
      </c>
      <c r="D764" t="s">
        <v>822</v>
      </c>
      <c r="E764" s="1">
        <f>VALUE("7510")</f>
        <v>7510</v>
      </c>
    </row>
    <row r="765" spans="1:5" x14ac:dyDescent="0.25">
      <c r="A765" s="6" t="s">
        <v>1415</v>
      </c>
      <c r="B765" s="6" t="s">
        <v>1416</v>
      </c>
      <c r="C765" s="1">
        <v>2015</v>
      </c>
      <c r="D765" t="s">
        <v>1417</v>
      </c>
      <c r="E765" s="1">
        <f>VALUE("7512")</f>
        <v>7512</v>
      </c>
    </row>
    <row r="766" spans="1:5" x14ac:dyDescent="0.25">
      <c r="A766" s="6" t="s">
        <v>1418</v>
      </c>
      <c r="B766" s="6" t="s">
        <v>1419</v>
      </c>
      <c r="C766" s="1">
        <f>VALUE("2013")</f>
        <v>2013</v>
      </c>
      <c r="D766" t="s">
        <v>822</v>
      </c>
      <c r="E766" s="1">
        <f>VALUE("7514")</f>
        <v>7514</v>
      </c>
    </row>
    <row r="767" spans="1:5" x14ac:dyDescent="0.25">
      <c r="A767" s="6" t="s">
        <v>1420</v>
      </c>
      <c r="B767" s="6" t="s">
        <v>1048</v>
      </c>
      <c r="C767" s="1">
        <f>VALUE("2013")</f>
        <v>2013</v>
      </c>
      <c r="D767" t="s">
        <v>1048</v>
      </c>
      <c r="E767" s="1">
        <f>VALUE("7515")</f>
        <v>7515</v>
      </c>
    </row>
    <row r="768" spans="1:5" x14ac:dyDescent="0.25">
      <c r="A768" s="6" t="s">
        <v>1421</v>
      </c>
      <c r="B768" s="6" t="s">
        <v>1422</v>
      </c>
      <c r="C768" s="1">
        <f>VALUE("2014")</f>
        <v>2014</v>
      </c>
      <c r="D768" t="s">
        <v>822</v>
      </c>
      <c r="E768" s="1">
        <f>VALUE("7516")</f>
        <v>7516</v>
      </c>
    </row>
    <row r="769" spans="1:5" x14ac:dyDescent="0.25">
      <c r="A769" s="6" t="s">
        <v>1423</v>
      </c>
      <c r="B769" s="6" t="s">
        <v>822</v>
      </c>
      <c r="C769" s="1">
        <f>VALUE("2014")</f>
        <v>2014</v>
      </c>
      <c r="D769" t="s">
        <v>822</v>
      </c>
      <c r="E769" s="1">
        <f>VALUE("7520")</f>
        <v>7520</v>
      </c>
    </row>
    <row r="770" spans="1:5" x14ac:dyDescent="0.25">
      <c r="A770" s="6" t="s">
        <v>1424</v>
      </c>
      <c r="B770" s="6" t="s">
        <v>822</v>
      </c>
      <c r="C770" s="1">
        <f>VALUE("2014")</f>
        <v>2014</v>
      </c>
      <c r="D770" t="s">
        <v>822</v>
      </c>
      <c r="E770" s="1">
        <f>VALUE("7520")</f>
        <v>7520</v>
      </c>
    </row>
    <row r="771" spans="1:5" x14ac:dyDescent="0.25">
      <c r="A771" s="6" t="s">
        <v>1425</v>
      </c>
      <c r="B771" s="6" t="s">
        <v>822</v>
      </c>
      <c r="C771" s="1">
        <f>VALUE("2014")</f>
        <v>2014</v>
      </c>
      <c r="D771" t="s">
        <v>822</v>
      </c>
      <c r="E771" s="1">
        <f>VALUE("7520")</f>
        <v>7520</v>
      </c>
    </row>
    <row r="772" spans="1:5" x14ac:dyDescent="0.25">
      <c r="A772" s="6" t="s">
        <v>1426</v>
      </c>
      <c r="B772" s="6" t="s">
        <v>822</v>
      </c>
      <c r="C772" s="1">
        <f>VALUE("2014")</f>
        <v>2014</v>
      </c>
      <c r="D772" t="s">
        <v>822</v>
      </c>
      <c r="E772" s="1">
        <f>VALUE("7520")</f>
        <v>7520</v>
      </c>
    </row>
    <row r="773" spans="1:5" x14ac:dyDescent="0.25">
      <c r="A773" s="6" t="s">
        <v>1427</v>
      </c>
      <c r="B773" s="6" t="s">
        <v>1428</v>
      </c>
      <c r="C773" s="1">
        <f>VALUE("2017")</f>
        <v>2017</v>
      </c>
      <c r="D773" t="s">
        <v>184</v>
      </c>
      <c r="E773" s="1">
        <f>VALUE("7523")</f>
        <v>7523</v>
      </c>
    </row>
    <row r="774" spans="1:5" x14ac:dyDescent="0.25">
      <c r="A774" s="6" t="s">
        <v>1429</v>
      </c>
      <c r="B774" s="6" t="s">
        <v>1430</v>
      </c>
      <c r="C774" s="1">
        <v>2016</v>
      </c>
      <c r="D774" t="s">
        <v>1431</v>
      </c>
      <c r="E774" s="1">
        <f>VALUE("7528")</f>
        <v>7528</v>
      </c>
    </row>
    <row r="775" spans="1:5" x14ac:dyDescent="0.25">
      <c r="A775" s="6" t="s">
        <v>1432</v>
      </c>
      <c r="B775" s="6" t="s">
        <v>1433</v>
      </c>
      <c r="C775" s="1">
        <f>VALUE("2017")</f>
        <v>2017</v>
      </c>
      <c r="D775" t="s">
        <v>1431</v>
      </c>
      <c r="E775" s="1">
        <f>VALUE("7528")</f>
        <v>7528</v>
      </c>
    </row>
    <row r="776" spans="1:5" x14ac:dyDescent="0.25">
      <c r="A776" s="6" t="s">
        <v>1434</v>
      </c>
      <c r="B776" s="6" t="s">
        <v>1435</v>
      </c>
      <c r="C776" s="1">
        <f>VALUE("2016")</f>
        <v>2016</v>
      </c>
      <c r="D776" t="s">
        <v>772</v>
      </c>
      <c r="E776" s="1">
        <f>VALUE("7530")</f>
        <v>7530</v>
      </c>
    </row>
    <row r="777" spans="1:5" x14ac:dyDescent="0.25">
      <c r="A777" s="6" t="s">
        <v>1438</v>
      </c>
      <c r="B777" s="6" t="s">
        <v>1439</v>
      </c>
      <c r="C777" s="1">
        <v>2014</v>
      </c>
      <c r="D777" t="s">
        <v>537</v>
      </c>
      <c r="E777" s="1">
        <f>VALUE("7531")</f>
        <v>7531</v>
      </c>
    </row>
    <row r="778" spans="1:5" x14ac:dyDescent="0.25">
      <c r="A778" s="6" t="s">
        <v>1436</v>
      </c>
      <c r="B778" s="6" t="s">
        <v>1437</v>
      </c>
      <c r="C778" s="1">
        <f>VALUE("2016")</f>
        <v>2016</v>
      </c>
      <c r="D778" t="s">
        <v>537</v>
      </c>
      <c r="E778" s="1">
        <f>VALUE("7531")</f>
        <v>7531</v>
      </c>
    </row>
    <row r="779" spans="1:5" x14ac:dyDescent="0.25">
      <c r="A779" s="6" t="s">
        <v>1440</v>
      </c>
      <c r="B779" s="6" t="s">
        <v>1441</v>
      </c>
      <c r="C779" s="1">
        <f>VALUE("2013")</f>
        <v>2013</v>
      </c>
      <c r="D779" t="s">
        <v>640</v>
      </c>
      <c r="E779" s="1">
        <f>VALUE("7536")</f>
        <v>7536</v>
      </c>
    </row>
    <row r="780" spans="1:5" x14ac:dyDescent="0.25">
      <c r="A780" s="6" t="s">
        <v>1442</v>
      </c>
      <c r="B780" s="6" t="s">
        <v>1443</v>
      </c>
      <c r="C780" s="1">
        <f>VALUE("2013")</f>
        <v>2013</v>
      </c>
      <c r="D780" t="s">
        <v>1444</v>
      </c>
      <c r="E780" s="1">
        <f>VALUE("7538")</f>
        <v>7538</v>
      </c>
    </row>
    <row r="781" spans="1:5" x14ac:dyDescent="0.25">
      <c r="A781" s="6" t="s">
        <v>1445</v>
      </c>
      <c r="B781" s="6" t="s">
        <v>1446</v>
      </c>
      <c r="C781" s="1">
        <f>VALUE("2014")</f>
        <v>2014</v>
      </c>
      <c r="D781" t="s">
        <v>1296</v>
      </c>
      <c r="E781" s="1">
        <f>VALUE("7539")</f>
        <v>7539</v>
      </c>
    </row>
    <row r="782" spans="1:5" x14ac:dyDescent="0.25">
      <c r="A782" s="6" t="s">
        <v>1447</v>
      </c>
      <c r="B782" s="6" t="s">
        <v>1448</v>
      </c>
      <c r="C782" s="1">
        <f>VALUE("2014")</f>
        <v>2014</v>
      </c>
      <c r="D782" t="s">
        <v>835</v>
      </c>
      <c r="E782" s="1">
        <f>VALUE("7540")</f>
        <v>7540</v>
      </c>
    </row>
    <row r="783" spans="1:5" x14ac:dyDescent="0.25">
      <c r="A783" s="6" t="s">
        <v>1449</v>
      </c>
      <c r="B783" s="6" t="s">
        <v>1450</v>
      </c>
      <c r="C783" s="1">
        <f>VALUE("2014")</f>
        <v>2014</v>
      </c>
      <c r="D783" t="s">
        <v>324</v>
      </c>
      <c r="E783" s="1">
        <f>VALUE("7541")</f>
        <v>7541</v>
      </c>
    </row>
    <row r="784" spans="1:5" x14ac:dyDescent="0.25">
      <c r="A784" s="6" t="s">
        <v>1451</v>
      </c>
      <c r="B784" s="6" t="s">
        <v>1450</v>
      </c>
      <c r="C784" s="1">
        <f>VALUE("2014")</f>
        <v>2014</v>
      </c>
      <c r="D784" t="s">
        <v>324</v>
      </c>
      <c r="E784" s="1">
        <f>VALUE("7541")</f>
        <v>7541</v>
      </c>
    </row>
    <row r="785" spans="1:5" x14ac:dyDescent="0.25">
      <c r="A785" s="6" t="s">
        <v>1452</v>
      </c>
      <c r="B785" s="6" t="s">
        <v>1450</v>
      </c>
      <c r="C785" s="1">
        <f>VALUE("2015")</f>
        <v>2015</v>
      </c>
      <c r="D785" t="s">
        <v>324</v>
      </c>
      <c r="E785" s="1">
        <f>VALUE("7541")</f>
        <v>7541</v>
      </c>
    </row>
    <row r="786" spans="1:5" x14ac:dyDescent="0.25">
      <c r="A786" s="6" t="s">
        <v>1453</v>
      </c>
      <c r="B786" s="6" t="s">
        <v>1454</v>
      </c>
      <c r="C786" s="1">
        <f>VALUE("2013")</f>
        <v>2013</v>
      </c>
      <c r="E786" s="1">
        <f>VALUE("7542")</f>
        <v>7542</v>
      </c>
    </row>
    <row r="787" spans="1:5" x14ac:dyDescent="0.25">
      <c r="A787" s="6" t="s">
        <v>1455</v>
      </c>
      <c r="B787" s="6" t="s">
        <v>1456</v>
      </c>
      <c r="C787" s="1">
        <f>VALUE("2014")</f>
        <v>2014</v>
      </c>
      <c r="D787" t="s">
        <v>1456</v>
      </c>
      <c r="E787" s="1">
        <f>VALUE("7546")</f>
        <v>7546</v>
      </c>
    </row>
    <row r="788" spans="1:5" x14ac:dyDescent="0.25">
      <c r="A788" s="6" t="s">
        <v>1457</v>
      </c>
      <c r="B788" s="6" t="s">
        <v>1458</v>
      </c>
      <c r="C788" s="1">
        <f>VALUE("2014")</f>
        <v>2014</v>
      </c>
      <c r="D788" t="s">
        <v>1459</v>
      </c>
      <c r="E788" s="1">
        <f>VALUE("7548")</f>
        <v>7548</v>
      </c>
    </row>
    <row r="789" spans="1:5" x14ac:dyDescent="0.25">
      <c r="A789" s="6" t="s">
        <v>1460</v>
      </c>
      <c r="B789" s="6" t="s">
        <v>1461</v>
      </c>
      <c r="C789" s="1">
        <v>2017</v>
      </c>
      <c r="D789" t="s">
        <v>1462</v>
      </c>
      <c r="E789" s="1">
        <f>VALUE("7550")</f>
        <v>7550</v>
      </c>
    </row>
    <row r="790" spans="1:5" x14ac:dyDescent="0.25">
      <c r="A790" s="6" t="s">
        <v>2655</v>
      </c>
      <c r="B790" s="6" t="s">
        <v>1463</v>
      </c>
      <c r="C790" s="1">
        <f>VALUE("2014")</f>
        <v>2014</v>
      </c>
      <c r="D790" t="s">
        <v>1464</v>
      </c>
      <c r="E790" s="1">
        <f>VALUE("7551")</f>
        <v>7551</v>
      </c>
    </row>
    <row r="791" spans="1:5" x14ac:dyDescent="0.25">
      <c r="A791" s="6" t="s">
        <v>1465</v>
      </c>
      <c r="B791" s="6" t="s">
        <v>1466</v>
      </c>
      <c r="C791" s="1">
        <f>VALUE("2014")</f>
        <v>2014</v>
      </c>
      <c r="D791" t="s">
        <v>793</v>
      </c>
      <c r="E791" s="1">
        <f>VALUE("7559")</f>
        <v>7559</v>
      </c>
    </row>
    <row r="792" spans="1:5" x14ac:dyDescent="0.25">
      <c r="A792" s="6" t="s">
        <v>2656</v>
      </c>
      <c r="B792" s="6" t="s">
        <v>1466</v>
      </c>
      <c r="C792" s="1">
        <f>VALUE("2014")</f>
        <v>2014</v>
      </c>
      <c r="D792" t="s">
        <v>793</v>
      </c>
      <c r="E792" s="1">
        <f>VALUE("7559")</f>
        <v>7559</v>
      </c>
    </row>
    <row r="793" spans="1:5" x14ac:dyDescent="0.25">
      <c r="A793" s="6" t="s">
        <v>2657</v>
      </c>
      <c r="B793" s="6" t="s">
        <v>1467</v>
      </c>
      <c r="C793" s="1">
        <f>VALUE("2014")</f>
        <v>2014</v>
      </c>
      <c r="D793" t="s">
        <v>1468</v>
      </c>
      <c r="E793" s="1">
        <f>VALUE("7560")</f>
        <v>7560</v>
      </c>
    </row>
    <row r="794" spans="1:5" x14ac:dyDescent="0.25">
      <c r="A794" s="6" t="s">
        <v>1469</v>
      </c>
      <c r="B794" s="6" t="s">
        <v>1470</v>
      </c>
      <c r="C794" s="1">
        <f>VALUE("2014")</f>
        <v>2014</v>
      </c>
      <c r="D794" t="s">
        <v>1471</v>
      </c>
      <c r="E794" s="1">
        <f>VALUE("7561")</f>
        <v>7561</v>
      </c>
    </row>
    <row r="795" spans="1:5" x14ac:dyDescent="0.25">
      <c r="A795" s="6" t="s">
        <v>2659</v>
      </c>
      <c r="B795" s="6" t="s">
        <v>1472</v>
      </c>
      <c r="C795" s="1">
        <f>VALUE("2014")</f>
        <v>2014</v>
      </c>
      <c r="D795" t="s">
        <v>1473</v>
      </c>
      <c r="E795" s="1">
        <f>VALUE("7562")</f>
        <v>7562</v>
      </c>
    </row>
    <row r="796" spans="1:5" x14ac:dyDescent="0.25">
      <c r="A796" s="6" t="s">
        <v>2658</v>
      </c>
      <c r="B796" s="6" t="s">
        <v>1474</v>
      </c>
      <c r="C796" s="1">
        <f>VALUE("2014")</f>
        <v>2014</v>
      </c>
      <c r="D796" t="s">
        <v>1475</v>
      </c>
      <c r="E796" s="1">
        <f>VALUE("7568")</f>
        <v>7568</v>
      </c>
    </row>
    <row r="797" spans="1:5" x14ac:dyDescent="0.25">
      <c r="A797" s="6" t="s">
        <v>1476</v>
      </c>
      <c r="B797" s="6" t="s">
        <v>1477</v>
      </c>
      <c r="C797" s="1">
        <f>VALUE("2016")</f>
        <v>2016</v>
      </c>
      <c r="D797" t="s">
        <v>1478</v>
      </c>
      <c r="E797" s="1">
        <f>VALUE("7571")</f>
        <v>7571</v>
      </c>
    </row>
    <row r="798" spans="1:5" x14ac:dyDescent="0.25">
      <c r="A798" s="6" t="s">
        <v>1479</v>
      </c>
      <c r="B798" s="6" t="s">
        <v>1477</v>
      </c>
      <c r="C798" s="1">
        <f>VALUE("2016")</f>
        <v>2016</v>
      </c>
      <c r="D798" t="s">
        <v>1480</v>
      </c>
      <c r="E798" s="1">
        <f>VALUE("7571")</f>
        <v>7571</v>
      </c>
    </row>
    <row r="799" spans="1:5" x14ac:dyDescent="0.25">
      <c r="A799" s="6" t="s">
        <v>2661</v>
      </c>
      <c r="B799" s="6" t="s">
        <v>1481</v>
      </c>
      <c r="C799" s="1">
        <f>VALUE("2014")</f>
        <v>2014</v>
      </c>
      <c r="D799" t="s">
        <v>1280</v>
      </c>
      <c r="E799" s="1">
        <f>VALUE("7572")</f>
        <v>7572</v>
      </c>
    </row>
    <row r="800" spans="1:5" x14ac:dyDescent="0.25">
      <c r="A800" s="6" t="s">
        <v>2660</v>
      </c>
      <c r="B800" s="6" t="s">
        <v>1482</v>
      </c>
      <c r="C800" s="1">
        <f>VALUE("2014")</f>
        <v>2014</v>
      </c>
      <c r="D800" t="s">
        <v>530</v>
      </c>
      <c r="E800" s="1">
        <f>VALUE("7576")</f>
        <v>7576</v>
      </c>
    </row>
    <row r="801" spans="1:5" x14ac:dyDescent="0.25">
      <c r="A801" s="6" t="s">
        <v>1483</v>
      </c>
      <c r="B801" s="6" t="s">
        <v>1484</v>
      </c>
      <c r="C801" s="1">
        <v>2015</v>
      </c>
      <c r="D801" t="s">
        <v>1485</v>
      </c>
      <c r="E801" s="1">
        <f>VALUE("7577")</f>
        <v>7577</v>
      </c>
    </row>
    <row r="802" spans="1:5" x14ac:dyDescent="0.25">
      <c r="A802" s="6" t="s">
        <v>1486</v>
      </c>
      <c r="B802" s="6" t="s">
        <v>1487</v>
      </c>
      <c r="C802" s="1">
        <f>VALUE("2014")</f>
        <v>2014</v>
      </c>
      <c r="D802" t="s">
        <v>530</v>
      </c>
      <c r="E802" s="1">
        <f>VALUE("7578")</f>
        <v>7578</v>
      </c>
    </row>
    <row r="803" spans="1:5" x14ac:dyDescent="0.25">
      <c r="A803" s="6" t="s">
        <v>1488</v>
      </c>
      <c r="B803" s="6" t="s">
        <v>1489</v>
      </c>
      <c r="C803" s="1">
        <f>VALUE("2016")</f>
        <v>2016</v>
      </c>
      <c r="D803" t="s">
        <v>640</v>
      </c>
      <c r="E803" s="1">
        <f>VALUE("7580")</f>
        <v>7580</v>
      </c>
    </row>
    <row r="804" spans="1:5" x14ac:dyDescent="0.25">
      <c r="A804" s="6" t="s">
        <v>1490</v>
      </c>
      <c r="B804" s="6" t="s">
        <v>1491</v>
      </c>
      <c r="C804" s="1">
        <f>VALUE("2016")</f>
        <v>2016</v>
      </c>
      <c r="D804" t="s">
        <v>1492</v>
      </c>
      <c r="E804" s="1">
        <f>VALUE("7581")</f>
        <v>7581</v>
      </c>
    </row>
    <row r="805" spans="1:5" x14ac:dyDescent="0.25">
      <c r="A805" s="6" t="s">
        <v>1493</v>
      </c>
      <c r="B805" s="6" t="s">
        <v>1494</v>
      </c>
      <c r="C805" s="1">
        <f>VALUE("2016")</f>
        <v>2016</v>
      </c>
      <c r="D805" t="s">
        <v>1492</v>
      </c>
      <c r="E805" s="1">
        <f>VALUE("7581")</f>
        <v>7581</v>
      </c>
    </row>
    <row r="806" spans="1:5" x14ac:dyDescent="0.25">
      <c r="A806" s="6" t="s">
        <v>1495</v>
      </c>
      <c r="B806" s="6" t="s">
        <v>1496</v>
      </c>
      <c r="C806" s="1">
        <v>2018</v>
      </c>
      <c r="D806" t="s">
        <v>1497</v>
      </c>
      <c r="E806" s="1">
        <f>VALUE("7581")</f>
        <v>7581</v>
      </c>
    </row>
    <row r="807" spans="1:5" x14ac:dyDescent="0.25">
      <c r="A807" s="6" t="s">
        <v>1498</v>
      </c>
      <c r="B807" s="6" t="s">
        <v>1499</v>
      </c>
      <c r="C807" s="1">
        <f>VALUE("2016")</f>
        <v>2016</v>
      </c>
      <c r="D807" t="s">
        <v>1500</v>
      </c>
      <c r="E807" s="1">
        <f>VALUE("7582")</f>
        <v>7582</v>
      </c>
    </row>
    <row r="808" spans="1:5" x14ac:dyDescent="0.25">
      <c r="A808" s="6" t="s">
        <v>1504</v>
      </c>
      <c r="B808" s="6" t="s">
        <v>1505</v>
      </c>
      <c r="C808" s="1">
        <v>2015</v>
      </c>
      <c r="D808" t="s">
        <v>545</v>
      </c>
      <c r="E808" s="1">
        <f>VALUE("7583")</f>
        <v>7583</v>
      </c>
    </row>
    <row r="809" spans="1:5" x14ac:dyDescent="0.25">
      <c r="A809" s="6" t="s">
        <v>1501</v>
      </c>
      <c r="B809" s="6" t="s">
        <v>1502</v>
      </c>
      <c r="C809" s="1">
        <f>VALUE("2016")</f>
        <v>2016</v>
      </c>
      <c r="D809" t="s">
        <v>1503</v>
      </c>
      <c r="E809" s="1">
        <f>VALUE("7583")</f>
        <v>7583</v>
      </c>
    </row>
    <row r="810" spans="1:5" x14ac:dyDescent="0.25">
      <c r="A810" s="6" t="s">
        <v>1508</v>
      </c>
      <c r="B810" s="6" t="s">
        <v>1507</v>
      </c>
      <c r="C810" s="1">
        <f>VALUE("2016")</f>
        <v>2016</v>
      </c>
      <c r="D810" t="s">
        <v>1509</v>
      </c>
      <c r="E810" s="1">
        <f>VALUE("7585")</f>
        <v>7585</v>
      </c>
    </row>
    <row r="811" spans="1:5" x14ac:dyDescent="0.25">
      <c r="A811" s="6" t="s">
        <v>1506</v>
      </c>
      <c r="B811" s="6" t="s">
        <v>1507</v>
      </c>
      <c r="C811" s="1">
        <f>VALUE("2016")</f>
        <v>2016</v>
      </c>
      <c r="D811" t="s">
        <v>184</v>
      </c>
      <c r="E811" s="1">
        <f>VALUE("7585")</f>
        <v>7585</v>
      </c>
    </row>
    <row r="812" spans="1:5" x14ac:dyDescent="0.25">
      <c r="A812" s="6" t="s">
        <v>1510</v>
      </c>
      <c r="B812" s="6" t="s">
        <v>1511</v>
      </c>
      <c r="C812" s="1">
        <f>VALUE("2016")</f>
        <v>2016</v>
      </c>
      <c r="D812" t="s">
        <v>1512</v>
      </c>
      <c r="E812" s="1">
        <f>VALUE("7586")</f>
        <v>7586</v>
      </c>
    </row>
    <row r="813" spans="1:5" x14ac:dyDescent="0.25">
      <c r="A813" s="6" t="s">
        <v>1513</v>
      </c>
      <c r="B813" s="6" t="s">
        <v>1514</v>
      </c>
      <c r="C813" s="1">
        <v>2014</v>
      </c>
      <c r="D813" t="s">
        <v>104</v>
      </c>
      <c r="E813" s="1">
        <f>VALUE("7587")</f>
        <v>7587</v>
      </c>
    </row>
    <row r="814" spans="1:5" x14ac:dyDescent="0.25">
      <c r="A814" s="6" t="s">
        <v>1517</v>
      </c>
      <c r="B814" s="6" t="s">
        <v>647</v>
      </c>
      <c r="C814" s="1">
        <f>VALUE("2016")</f>
        <v>2016</v>
      </c>
      <c r="D814" t="s">
        <v>647</v>
      </c>
      <c r="E814" s="1">
        <f>VALUE("7588")</f>
        <v>7588</v>
      </c>
    </row>
    <row r="815" spans="1:5" x14ac:dyDescent="0.25">
      <c r="A815" s="6" t="s">
        <v>1515</v>
      </c>
      <c r="B815" s="6" t="s">
        <v>1516</v>
      </c>
      <c r="C815" s="1">
        <v>2017</v>
      </c>
      <c r="D815" t="s">
        <v>647</v>
      </c>
      <c r="E815" s="1">
        <f>VALUE("7588")</f>
        <v>7588</v>
      </c>
    </row>
    <row r="816" spans="1:5" x14ac:dyDescent="0.25">
      <c r="A816" s="6" t="s">
        <v>1518</v>
      </c>
      <c r="B816" s="6" t="s">
        <v>1519</v>
      </c>
      <c r="C816" s="1">
        <f>VALUE("2016")</f>
        <v>2016</v>
      </c>
      <c r="D816" t="s">
        <v>640</v>
      </c>
      <c r="E816" s="1">
        <f>VALUE("7590")</f>
        <v>7590</v>
      </c>
    </row>
    <row r="817" spans="1:5" x14ac:dyDescent="0.25">
      <c r="A817" s="6" t="s">
        <v>1520</v>
      </c>
      <c r="B817" s="6" t="s">
        <v>1521</v>
      </c>
      <c r="C817" s="1">
        <v>2014</v>
      </c>
      <c r="D817" t="s">
        <v>202</v>
      </c>
      <c r="E817" s="1">
        <f>VALUE("7592")</f>
        <v>7592</v>
      </c>
    </row>
    <row r="818" spans="1:5" x14ac:dyDescent="0.25">
      <c r="A818" s="6" t="s">
        <v>1522</v>
      </c>
      <c r="B818" s="6" t="s">
        <v>1523</v>
      </c>
      <c r="C818" s="1">
        <f>VALUE("2016")</f>
        <v>2016</v>
      </c>
      <c r="D818" t="s">
        <v>1210</v>
      </c>
      <c r="E818" s="1">
        <f>VALUE("7594")</f>
        <v>7594</v>
      </c>
    </row>
    <row r="819" spans="1:5" x14ac:dyDescent="0.25">
      <c r="A819" s="6" t="s">
        <v>1524</v>
      </c>
      <c r="B819" s="6" t="s">
        <v>1523</v>
      </c>
      <c r="C819" s="1">
        <f>VALUE("2016")</f>
        <v>2016</v>
      </c>
      <c r="D819" t="s">
        <v>1525</v>
      </c>
      <c r="E819" s="1">
        <f>VALUE("7594")</f>
        <v>7594</v>
      </c>
    </row>
    <row r="820" spans="1:5" x14ac:dyDescent="0.25">
      <c r="A820" s="6" t="s">
        <v>1526</v>
      </c>
      <c r="B820" s="6" t="s">
        <v>1527</v>
      </c>
      <c r="C820" s="1">
        <f>VALUE("2017")</f>
        <v>2017</v>
      </c>
      <c r="D820" t="s">
        <v>1528</v>
      </c>
      <c r="E820" s="1">
        <f>VALUE("7594")</f>
        <v>7594</v>
      </c>
    </row>
    <row r="821" spans="1:5" x14ac:dyDescent="0.25">
      <c r="A821" s="6" t="s">
        <v>1529</v>
      </c>
      <c r="B821" s="6" t="s">
        <v>1530</v>
      </c>
      <c r="C821" s="1">
        <f>VALUE("2018")</f>
        <v>2018</v>
      </c>
      <c r="D821" t="s">
        <v>1531</v>
      </c>
      <c r="E821" s="1">
        <f>VALUE("7594")</f>
        <v>7594</v>
      </c>
    </row>
    <row r="822" spans="1:5" x14ac:dyDescent="0.25">
      <c r="A822" s="6" t="s">
        <v>1532</v>
      </c>
      <c r="B822" s="6" t="s">
        <v>1533</v>
      </c>
      <c r="C822" s="1">
        <f>VALUE("2016")</f>
        <v>2016</v>
      </c>
      <c r="D822" t="s">
        <v>221</v>
      </c>
      <c r="E822" s="1">
        <f>VALUE("7596")</f>
        <v>7596</v>
      </c>
    </row>
    <row r="823" spans="1:5" x14ac:dyDescent="0.25">
      <c r="A823" s="6" t="s">
        <v>1534</v>
      </c>
      <c r="B823" s="6" t="s">
        <v>1535</v>
      </c>
      <c r="C823" s="1">
        <f>VALUE("2014")</f>
        <v>2014</v>
      </c>
      <c r="D823" t="s">
        <v>1536</v>
      </c>
      <c r="E823" s="1">
        <f>VALUE("7597")</f>
        <v>7597</v>
      </c>
    </row>
    <row r="824" spans="1:5" x14ac:dyDescent="0.25">
      <c r="A824" s="6" t="s">
        <v>1537</v>
      </c>
      <c r="B824" s="6" t="s">
        <v>1538</v>
      </c>
      <c r="C824" s="1">
        <f>VALUE("2014")</f>
        <v>2014</v>
      </c>
      <c r="D824" t="s">
        <v>1539</v>
      </c>
      <c r="E824" s="1">
        <f>VALUE("7598")</f>
        <v>7598</v>
      </c>
    </row>
    <row r="825" spans="1:5" x14ac:dyDescent="0.25">
      <c r="A825" s="6" t="s">
        <v>1540</v>
      </c>
      <c r="B825" s="6" t="s">
        <v>1541</v>
      </c>
      <c r="C825" s="1">
        <f>VALUE("2015")</f>
        <v>2015</v>
      </c>
      <c r="D825" t="s">
        <v>1541</v>
      </c>
      <c r="E825" s="1">
        <f>VALUE("7599")</f>
        <v>7599</v>
      </c>
    </row>
    <row r="826" spans="1:5" x14ac:dyDescent="0.25">
      <c r="A826" s="6" t="s">
        <v>1546</v>
      </c>
      <c r="B826" s="6" t="s">
        <v>1547</v>
      </c>
      <c r="C826" s="1">
        <f>VALUE("2015")</f>
        <v>2015</v>
      </c>
      <c r="D826" t="s">
        <v>1548</v>
      </c>
      <c r="E826" s="1">
        <f>VALUE("7599")</f>
        <v>7599</v>
      </c>
    </row>
    <row r="827" spans="1:5" x14ac:dyDescent="0.25">
      <c r="A827" s="6" t="s">
        <v>1551</v>
      </c>
      <c r="B827" s="6" t="s">
        <v>1552</v>
      </c>
      <c r="C827" s="1">
        <f>VALUE("2015")</f>
        <v>2015</v>
      </c>
      <c r="D827" t="s">
        <v>1541</v>
      </c>
      <c r="E827" s="1">
        <f>VALUE("7599")</f>
        <v>7599</v>
      </c>
    </row>
    <row r="828" spans="1:5" x14ac:dyDescent="0.25">
      <c r="A828" s="6" t="s">
        <v>1542</v>
      </c>
      <c r="B828" s="6" t="s">
        <v>1541</v>
      </c>
      <c r="C828" s="1">
        <f>VALUE("2015")</f>
        <v>2015</v>
      </c>
      <c r="D828" t="s">
        <v>1541</v>
      </c>
      <c r="E828" s="1">
        <f>VALUE("7599")</f>
        <v>7599</v>
      </c>
    </row>
    <row r="829" spans="1:5" x14ac:dyDescent="0.25">
      <c r="A829" s="6" t="s">
        <v>1543</v>
      </c>
      <c r="B829" s="6" t="s">
        <v>1544</v>
      </c>
      <c r="C829" s="1">
        <f>VALUE("2015")</f>
        <v>2015</v>
      </c>
      <c r="D829" t="s">
        <v>1545</v>
      </c>
      <c r="E829" s="1">
        <f>VALUE("7599")</f>
        <v>7599</v>
      </c>
    </row>
    <row r="830" spans="1:5" x14ac:dyDescent="0.25">
      <c r="A830" s="6" t="s">
        <v>1550</v>
      </c>
      <c r="B830" s="6" t="s">
        <v>1547</v>
      </c>
      <c r="C830" s="1">
        <f>VALUE("2015")</f>
        <v>2015</v>
      </c>
      <c r="D830" t="s">
        <v>1541</v>
      </c>
      <c r="E830" s="1">
        <f>VALUE("7599")</f>
        <v>7599</v>
      </c>
    </row>
    <row r="831" spans="1:5" x14ac:dyDescent="0.25">
      <c r="A831" s="6" t="s">
        <v>1549</v>
      </c>
      <c r="B831" s="6" t="s">
        <v>1547</v>
      </c>
      <c r="C831" s="1">
        <f>VALUE("2015")</f>
        <v>2015</v>
      </c>
      <c r="D831" t="s">
        <v>1541</v>
      </c>
      <c r="E831" s="1">
        <f>VALUE("7599")</f>
        <v>7599</v>
      </c>
    </row>
    <row r="832" spans="1:5" x14ac:dyDescent="0.25">
      <c r="A832" s="6" t="s">
        <v>1553</v>
      </c>
      <c r="B832" s="6" t="s">
        <v>1552</v>
      </c>
      <c r="C832" s="1">
        <f>VALUE("2014")</f>
        <v>2014</v>
      </c>
      <c r="D832" t="s">
        <v>1554</v>
      </c>
      <c r="E832" s="1">
        <f>VALUE("7600")</f>
        <v>7600</v>
      </c>
    </row>
    <row r="833" spans="1:5" x14ac:dyDescent="0.25">
      <c r="A833" s="6" t="s">
        <v>1555</v>
      </c>
      <c r="B833" s="6" t="s">
        <v>1556</v>
      </c>
      <c r="C833" s="1">
        <f>VALUE("2018")</f>
        <v>2018</v>
      </c>
      <c r="D833" t="s">
        <v>1557</v>
      </c>
      <c r="E833" s="1">
        <f>VALUE("7604")</f>
        <v>7604</v>
      </c>
    </row>
    <row r="834" spans="1:5" x14ac:dyDescent="0.25">
      <c r="A834" s="6" t="s">
        <v>1558</v>
      </c>
      <c r="B834" s="6" t="s">
        <v>1559</v>
      </c>
      <c r="C834" s="1">
        <f>VALUE("2015")</f>
        <v>2015</v>
      </c>
      <c r="D834" t="s">
        <v>640</v>
      </c>
      <c r="E834" s="1">
        <f>VALUE("7605")</f>
        <v>7605</v>
      </c>
    </row>
    <row r="835" spans="1:5" x14ac:dyDescent="0.25">
      <c r="A835" s="6" t="s">
        <v>1560</v>
      </c>
      <c r="B835" s="6" t="s">
        <v>1561</v>
      </c>
      <c r="C835" s="1">
        <f>VALUE("2016")</f>
        <v>2016</v>
      </c>
      <c r="D835" t="s">
        <v>1562</v>
      </c>
      <c r="E835" s="1">
        <f>VALUE("7607")</f>
        <v>7607</v>
      </c>
    </row>
    <row r="836" spans="1:5" x14ac:dyDescent="0.25">
      <c r="A836" s="6" t="s">
        <v>1563</v>
      </c>
      <c r="B836" s="6" t="s">
        <v>1564</v>
      </c>
      <c r="C836" s="1">
        <f>VALUE("2017")</f>
        <v>2017</v>
      </c>
      <c r="D836" t="s">
        <v>1462</v>
      </c>
      <c r="E836" s="1">
        <f>VALUE("7607")</f>
        <v>7607</v>
      </c>
    </row>
    <row r="837" spans="1:5" x14ac:dyDescent="0.25">
      <c r="A837" s="6" t="s">
        <v>2662</v>
      </c>
      <c r="B837" s="6" t="s">
        <v>1565</v>
      </c>
      <c r="C837" s="1">
        <f>VALUE("2015")</f>
        <v>2015</v>
      </c>
      <c r="D837" t="s">
        <v>1566</v>
      </c>
      <c r="E837" s="1">
        <f>VALUE("7610")</f>
        <v>7610</v>
      </c>
    </row>
    <row r="838" spans="1:5" x14ac:dyDescent="0.25">
      <c r="A838" s="6" t="s">
        <v>2663</v>
      </c>
      <c r="B838" s="6" t="s">
        <v>1567</v>
      </c>
      <c r="C838" s="1">
        <f>VALUE("2014")</f>
        <v>2014</v>
      </c>
      <c r="D838" t="s">
        <v>221</v>
      </c>
      <c r="E838" s="1">
        <f>VALUE("7612")</f>
        <v>7612</v>
      </c>
    </row>
    <row r="839" spans="1:5" x14ac:dyDescent="0.25">
      <c r="A839" s="6" t="s">
        <v>1573</v>
      </c>
      <c r="B839" s="6" t="s">
        <v>1574</v>
      </c>
      <c r="C839" s="1">
        <v>2006</v>
      </c>
      <c r="D839" t="s">
        <v>1575</v>
      </c>
      <c r="E839" s="1">
        <f>VALUE("7613")</f>
        <v>7613</v>
      </c>
    </row>
    <row r="840" spans="1:5" x14ac:dyDescent="0.25">
      <c r="A840" s="6" t="s">
        <v>2664</v>
      </c>
      <c r="B840" s="6" t="s">
        <v>1570</v>
      </c>
      <c r="C840" s="1">
        <f>VALUE("2016")</f>
        <v>2016</v>
      </c>
      <c r="D840" t="s">
        <v>508</v>
      </c>
      <c r="E840" s="1">
        <f>VALUE("7613")</f>
        <v>7613</v>
      </c>
    </row>
    <row r="841" spans="1:5" x14ac:dyDescent="0.25">
      <c r="A841" s="6" t="s">
        <v>1568</v>
      </c>
      <c r="B841" s="6" t="s">
        <v>1569</v>
      </c>
      <c r="C841" s="1">
        <f>VALUE("2016")</f>
        <v>2016</v>
      </c>
      <c r="D841" t="s">
        <v>508</v>
      </c>
      <c r="E841" s="1">
        <f>VALUE("7613")</f>
        <v>7613</v>
      </c>
    </row>
    <row r="842" spans="1:5" x14ac:dyDescent="0.25">
      <c r="A842" s="6" t="s">
        <v>1571</v>
      </c>
      <c r="B842" s="6" t="s">
        <v>1572</v>
      </c>
      <c r="C842" s="1">
        <f>VALUE("2018")</f>
        <v>2018</v>
      </c>
      <c r="D842" t="s">
        <v>508</v>
      </c>
      <c r="E842" s="1">
        <f>VALUE("7613")</f>
        <v>7613</v>
      </c>
    </row>
    <row r="843" spans="1:5" x14ac:dyDescent="0.25">
      <c r="A843" s="6" t="s">
        <v>1578</v>
      </c>
      <c r="B843" s="6" t="s">
        <v>1579</v>
      </c>
      <c r="C843" s="1">
        <f>VALUE("2018")</f>
        <v>2018</v>
      </c>
      <c r="D843" t="s">
        <v>1580</v>
      </c>
      <c r="E843" s="1">
        <f>VALUE("7618")</f>
        <v>7618</v>
      </c>
    </row>
    <row r="844" spans="1:5" x14ac:dyDescent="0.25">
      <c r="A844" s="6" t="s">
        <v>1576</v>
      </c>
      <c r="B844" s="6" t="s">
        <v>1577</v>
      </c>
      <c r="C844" s="1">
        <f>VALUE("2018")</f>
        <v>2018</v>
      </c>
      <c r="D844" t="s">
        <v>1503</v>
      </c>
      <c r="E844" s="1">
        <f>VALUE("7618")</f>
        <v>7618</v>
      </c>
    </row>
    <row r="845" spans="1:5" x14ac:dyDescent="0.25">
      <c r="A845" s="6" t="s">
        <v>1294</v>
      </c>
      <c r="B845" s="6" t="s">
        <v>1295</v>
      </c>
      <c r="C845" s="1">
        <f>VALUE("2015")</f>
        <v>2015</v>
      </c>
      <c r="D845" t="s">
        <v>1296</v>
      </c>
      <c r="E845" s="1">
        <f>VALUE("7619")</f>
        <v>7619</v>
      </c>
    </row>
    <row r="846" spans="1:5" x14ac:dyDescent="0.25">
      <c r="A846" s="6" t="s">
        <v>1581</v>
      </c>
      <c r="B846" s="6" t="s">
        <v>1582</v>
      </c>
      <c r="C846" s="1">
        <f>VALUE("2015")</f>
        <v>2015</v>
      </c>
      <c r="D846" t="s">
        <v>1583</v>
      </c>
      <c r="E846" s="1">
        <f>VALUE("7621")</f>
        <v>7621</v>
      </c>
    </row>
    <row r="847" spans="1:5" x14ac:dyDescent="0.25">
      <c r="A847" s="6" t="s">
        <v>1584</v>
      </c>
      <c r="B847" s="6" t="s">
        <v>1585</v>
      </c>
      <c r="C847" s="1">
        <f>VALUE("2015")</f>
        <v>2015</v>
      </c>
      <c r="D847" t="s">
        <v>1586</v>
      </c>
      <c r="E847" s="1">
        <f>VALUE("7621")</f>
        <v>7621</v>
      </c>
    </row>
    <row r="848" spans="1:5" x14ac:dyDescent="0.25">
      <c r="A848" s="6" t="s">
        <v>1587</v>
      </c>
      <c r="B848" s="6" t="s">
        <v>1585</v>
      </c>
      <c r="C848" s="1">
        <f>VALUE("2015")</f>
        <v>2015</v>
      </c>
      <c r="D848" t="s">
        <v>1588</v>
      </c>
      <c r="E848" s="1">
        <f>VALUE("7621")</f>
        <v>7621</v>
      </c>
    </row>
    <row r="849" spans="1:5" x14ac:dyDescent="0.25">
      <c r="A849" s="6" t="s">
        <v>1589</v>
      </c>
      <c r="B849" s="6" t="s">
        <v>1590</v>
      </c>
      <c r="C849" s="1">
        <v>2016</v>
      </c>
      <c r="D849" t="s">
        <v>1591</v>
      </c>
      <c r="E849" s="1">
        <f>VALUE("7621")</f>
        <v>7621</v>
      </c>
    </row>
    <row r="850" spans="1:5" x14ac:dyDescent="0.25">
      <c r="A850" s="6" t="s">
        <v>1592</v>
      </c>
      <c r="B850" s="6" t="s">
        <v>1593</v>
      </c>
      <c r="C850" s="1">
        <f>VALUE("2015")</f>
        <v>2015</v>
      </c>
      <c r="D850" t="s">
        <v>640</v>
      </c>
      <c r="E850" s="1">
        <f>VALUE("7622")</f>
        <v>7622</v>
      </c>
    </row>
    <row r="851" spans="1:5" x14ac:dyDescent="0.25">
      <c r="A851" s="6" t="s">
        <v>1594</v>
      </c>
      <c r="B851" s="6" t="s">
        <v>1595</v>
      </c>
      <c r="C851" s="1">
        <f>VALUE("2015")</f>
        <v>2015</v>
      </c>
      <c r="D851" t="s">
        <v>169</v>
      </c>
      <c r="E851" s="1">
        <f>VALUE("7622")</f>
        <v>7622</v>
      </c>
    </row>
    <row r="852" spans="1:5" x14ac:dyDescent="0.25">
      <c r="A852" s="6" t="s">
        <v>1596</v>
      </c>
      <c r="B852" s="6" t="s">
        <v>1597</v>
      </c>
      <c r="C852" s="1">
        <f>VALUE("2015")</f>
        <v>2015</v>
      </c>
      <c r="D852" t="s">
        <v>1598</v>
      </c>
      <c r="E852" s="1">
        <f>VALUE("7623")</f>
        <v>7623</v>
      </c>
    </row>
    <row r="853" spans="1:5" x14ac:dyDescent="0.25">
      <c r="A853" s="6" t="s">
        <v>1599</v>
      </c>
      <c r="B853" s="6" t="s">
        <v>297</v>
      </c>
      <c r="C853" s="1">
        <f>VALUE("2014")</f>
        <v>2014</v>
      </c>
      <c r="D853" t="s">
        <v>1600</v>
      </c>
      <c r="E853" s="1">
        <f>VALUE("7624")</f>
        <v>7624</v>
      </c>
    </row>
    <row r="854" spans="1:5" x14ac:dyDescent="0.25">
      <c r="A854" s="6" t="s">
        <v>1601</v>
      </c>
      <c r="B854" s="6" t="s">
        <v>1602</v>
      </c>
      <c r="C854" s="1">
        <f>VALUE("2014")</f>
        <v>2014</v>
      </c>
      <c r="D854" t="s">
        <v>822</v>
      </c>
      <c r="E854" s="1">
        <f>VALUE("7625")</f>
        <v>7625</v>
      </c>
    </row>
    <row r="855" spans="1:5" x14ac:dyDescent="0.25">
      <c r="A855" s="6" t="s">
        <v>1603</v>
      </c>
      <c r="B855" s="6" t="s">
        <v>1604</v>
      </c>
      <c r="C855" s="1">
        <v>2019</v>
      </c>
      <c r="D855" t="s">
        <v>1605</v>
      </c>
      <c r="E855" s="1">
        <f>VALUE("7628")</f>
        <v>7628</v>
      </c>
    </row>
    <row r="856" spans="1:5" x14ac:dyDescent="0.25">
      <c r="A856" s="6" t="s">
        <v>2665</v>
      </c>
      <c r="B856" s="6" t="s">
        <v>1606</v>
      </c>
      <c r="C856" s="1">
        <f>VALUE("2014")</f>
        <v>2014</v>
      </c>
      <c r="D856" t="s">
        <v>1607</v>
      </c>
      <c r="E856" s="1">
        <f>VALUE("7630")</f>
        <v>7630</v>
      </c>
    </row>
    <row r="857" spans="1:5" x14ac:dyDescent="0.25">
      <c r="A857" s="6" t="s">
        <v>1608</v>
      </c>
      <c r="B857" s="6" t="s">
        <v>1609</v>
      </c>
      <c r="C857" s="1">
        <f>VALUE("2014")</f>
        <v>2014</v>
      </c>
      <c r="D857" t="s">
        <v>822</v>
      </c>
      <c r="E857" s="1">
        <f>VALUE("7631")</f>
        <v>7631</v>
      </c>
    </row>
    <row r="858" spans="1:5" x14ac:dyDescent="0.25">
      <c r="A858" s="6" t="s">
        <v>1610</v>
      </c>
      <c r="B858" s="6" t="s">
        <v>1611</v>
      </c>
      <c r="C858" s="1">
        <f>VALUE("2014")</f>
        <v>2014</v>
      </c>
      <c r="D858" t="s">
        <v>1612</v>
      </c>
      <c r="E858" s="1">
        <f>VALUE("7633")</f>
        <v>7633</v>
      </c>
    </row>
    <row r="859" spans="1:5" x14ac:dyDescent="0.25">
      <c r="A859" s="6" t="s">
        <v>1613</v>
      </c>
      <c r="B859" s="6" t="s">
        <v>1614</v>
      </c>
      <c r="C859" s="1">
        <f>VALUE("2014")</f>
        <v>2014</v>
      </c>
      <c r="D859" t="s">
        <v>822</v>
      </c>
      <c r="E859" s="1">
        <f>VALUE("7636")</f>
        <v>7636</v>
      </c>
    </row>
    <row r="860" spans="1:5" x14ac:dyDescent="0.25">
      <c r="A860" s="6" t="s">
        <v>1615</v>
      </c>
      <c r="B860" s="6" t="s">
        <v>1616</v>
      </c>
      <c r="C860" s="1">
        <f>VALUE("2015")</f>
        <v>2015</v>
      </c>
      <c r="D860" t="s">
        <v>1616</v>
      </c>
      <c r="E860" s="1">
        <f>VALUE("7637")</f>
        <v>7637</v>
      </c>
    </row>
    <row r="861" spans="1:5" x14ac:dyDescent="0.25">
      <c r="A861" s="6" t="s">
        <v>1617</v>
      </c>
      <c r="B861" s="6" t="s">
        <v>1618</v>
      </c>
      <c r="C861" s="1">
        <f>VALUE("2015")</f>
        <v>2015</v>
      </c>
      <c r="D861" t="s">
        <v>1619</v>
      </c>
      <c r="E861" s="1">
        <f>VALUE("7638")</f>
        <v>7638</v>
      </c>
    </row>
    <row r="862" spans="1:5" x14ac:dyDescent="0.25">
      <c r="A862" s="6" t="s">
        <v>1622</v>
      </c>
      <c r="B862" s="6" t="s">
        <v>1623</v>
      </c>
      <c r="C862" s="1">
        <f>VALUE("2014")</f>
        <v>2014</v>
      </c>
      <c r="D862" t="s">
        <v>640</v>
      </c>
      <c r="E862" s="1">
        <f>VALUE("7639")</f>
        <v>7639</v>
      </c>
    </row>
    <row r="863" spans="1:5" x14ac:dyDescent="0.25">
      <c r="A863" s="6" t="s">
        <v>1620</v>
      </c>
      <c r="B863" s="6" t="s">
        <v>1621</v>
      </c>
      <c r="C863" s="1">
        <f>VALUE("2014")</f>
        <v>2014</v>
      </c>
      <c r="D863" t="s">
        <v>640</v>
      </c>
      <c r="E863" s="1">
        <f>VALUE("7639")</f>
        <v>7639</v>
      </c>
    </row>
    <row r="864" spans="1:5" x14ac:dyDescent="0.25">
      <c r="A864" s="6" t="s">
        <v>1624</v>
      </c>
      <c r="B864" s="6" t="s">
        <v>1625</v>
      </c>
      <c r="C864" s="1">
        <f>VALUE("2015")</f>
        <v>2015</v>
      </c>
      <c r="D864" t="s">
        <v>1280</v>
      </c>
      <c r="E864" s="1">
        <f>VALUE("7640")</f>
        <v>7640</v>
      </c>
    </row>
    <row r="865" spans="1:5" x14ac:dyDescent="0.25">
      <c r="A865" s="6" t="s">
        <v>2667</v>
      </c>
      <c r="B865" s="6" t="s">
        <v>1627</v>
      </c>
      <c r="C865" s="1">
        <f>VALUE("2015")</f>
        <v>2015</v>
      </c>
      <c r="D865" t="s">
        <v>1033</v>
      </c>
      <c r="E865" s="1">
        <f>VALUE("7641")</f>
        <v>7641</v>
      </c>
    </row>
    <row r="866" spans="1:5" x14ac:dyDescent="0.25">
      <c r="A866" s="6" t="s">
        <v>2666</v>
      </c>
      <c r="B866" s="6" t="s">
        <v>1626</v>
      </c>
      <c r="C866" s="1">
        <v>2016</v>
      </c>
      <c r="D866" t="s">
        <v>1033</v>
      </c>
      <c r="E866" s="1">
        <f>VALUE("7641")</f>
        <v>7641</v>
      </c>
    </row>
    <row r="867" spans="1:5" x14ac:dyDescent="0.25">
      <c r="A867" s="6" t="s">
        <v>1628</v>
      </c>
      <c r="B867" s="6" t="s">
        <v>1629</v>
      </c>
      <c r="C867" s="1">
        <v>2017</v>
      </c>
      <c r="E867" s="1">
        <f>VALUE("7641")</f>
        <v>7641</v>
      </c>
    </row>
    <row r="868" spans="1:5" x14ac:dyDescent="0.25">
      <c r="A868" s="6" t="s">
        <v>1630</v>
      </c>
      <c r="B868" s="6" t="s">
        <v>1631</v>
      </c>
      <c r="C868" s="1">
        <f>VALUE("2015")</f>
        <v>2015</v>
      </c>
      <c r="D868" t="s">
        <v>1632</v>
      </c>
      <c r="E868" s="1">
        <f>VALUE("7643")</f>
        <v>7643</v>
      </c>
    </row>
    <row r="869" spans="1:5" x14ac:dyDescent="0.25">
      <c r="A869" s="6" t="s">
        <v>1633</v>
      </c>
      <c r="B869" s="6" t="s">
        <v>1634</v>
      </c>
      <c r="C869" s="1">
        <f>VALUE("2014")</f>
        <v>2014</v>
      </c>
      <c r="D869" t="s">
        <v>530</v>
      </c>
      <c r="E869" s="1">
        <f>VALUE("7645")</f>
        <v>7645</v>
      </c>
    </row>
    <row r="870" spans="1:5" x14ac:dyDescent="0.25">
      <c r="A870" s="6" t="s">
        <v>1635</v>
      </c>
      <c r="B870" s="6" t="s">
        <v>1636</v>
      </c>
      <c r="C870" s="1">
        <v>2018</v>
      </c>
      <c r="D870" t="s">
        <v>772</v>
      </c>
      <c r="E870" s="1">
        <f>VALUE("7649")</f>
        <v>7649</v>
      </c>
    </row>
    <row r="871" spans="1:5" x14ac:dyDescent="0.25">
      <c r="A871" s="6" t="s">
        <v>1637</v>
      </c>
      <c r="B871" s="6" t="s">
        <v>1638</v>
      </c>
      <c r="C871" s="1">
        <f>VALUE("2014")</f>
        <v>2014</v>
      </c>
      <c r="D871" t="s">
        <v>1277</v>
      </c>
      <c r="E871" s="1">
        <f>VALUE("7651")</f>
        <v>7651</v>
      </c>
    </row>
    <row r="872" spans="1:5" x14ac:dyDescent="0.25">
      <c r="A872" s="6" t="s">
        <v>1639</v>
      </c>
      <c r="B872" s="6" t="s">
        <v>1640</v>
      </c>
      <c r="C872" s="1">
        <f>VALUE("2014")</f>
        <v>2014</v>
      </c>
      <c r="D872" t="s">
        <v>1641</v>
      </c>
      <c r="E872" s="1">
        <f>VALUE("7653")</f>
        <v>7653</v>
      </c>
    </row>
    <row r="873" spans="1:5" x14ac:dyDescent="0.25">
      <c r="A873" s="6" t="s">
        <v>1642</v>
      </c>
      <c r="B873" s="6" t="s">
        <v>1643</v>
      </c>
      <c r="C873" s="1">
        <f>VALUE("2014")</f>
        <v>2014</v>
      </c>
      <c r="D873" t="s">
        <v>1644</v>
      </c>
      <c r="E873" s="1">
        <f>VALUE("7656")</f>
        <v>7656</v>
      </c>
    </row>
    <row r="874" spans="1:5" x14ac:dyDescent="0.25">
      <c r="A874" s="6" t="s">
        <v>1645</v>
      </c>
      <c r="B874" s="6" t="s">
        <v>1646</v>
      </c>
      <c r="C874" s="1">
        <f>VALUE("2015")</f>
        <v>2015</v>
      </c>
      <c r="D874" t="s">
        <v>1647</v>
      </c>
      <c r="E874" s="1">
        <f>VALUE("7658")</f>
        <v>7658</v>
      </c>
    </row>
    <row r="875" spans="1:5" x14ac:dyDescent="0.25">
      <c r="A875" s="6" t="s">
        <v>2668</v>
      </c>
      <c r="B875" s="6" t="s">
        <v>1648</v>
      </c>
      <c r="C875" s="1">
        <f>VALUE("2015")</f>
        <v>2015</v>
      </c>
      <c r="D875" t="s">
        <v>1647</v>
      </c>
      <c r="E875" s="1">
        <f>VALUE("7658")</f>
        <v>7658</v>
      </c>
    </row>
    <row r="876" spans="1:5" x14ac:dyDescent="0.25">
      <c r="A876" s="6" t="s">
        <v>1649</v>
      </c>
      <c r="B876" s="6" t="s">
        <v>1650</v>
      </c>
      <c r="C876" s="1">
        <f>VALUE("2017")</f>
        <v>2017</v>
      </c>
      <c r="D876" t="s">
        <v>1651</v>
      </c>
      <c r="E876" s="1">
        <f>VALUE("7659")</f>
        <v>7659</v>
      </c>
    </row>
    <row r="877" spans="1:5" x14ac:dyDescent="0.25">
      <c r="A877" s="6" t="s">
        <v>1652</v>
      </c>
      <c r="B877" s="6" t="s">
        <v>1653</v>
      </c>
      <c r="C877" s="1">
        <f>VALUE("2020")</f>
        <v>2020</v>
      </c>
      <c r="D877" t="s">
        <v>1651</v>
      </c>
      <c r="E877" s="1">
        <f>VALUE("7659")</f>
        <v>7659</v>
      </c>
    </row>
    <row r="878" spans="1:5" x14ac:dyDescent="0.25">
      <c r="A878" s="6" t="s">
        <v>1654</v>
      </c>
      <c r="B878" s="6" t="s">
        <v>1401</v>
      </c>
      <c r="C878" s="1">
        <f>VALUE("2014")</f>
        <v>2014</v>
      </c>
      <c r="D878" t="s">
        <v>640</v>
      </c>
      <c r="E878" s="1">
        <f>VALUE("7662")</f>
        <v>7662</v>
      </c>
    </row>
    <row r="879" spans="1:5" x14ac:dyDescent="0.25">
      <c r="A879" s="6" t="s">
        <v>1655</v>
      </c>
      <c r="B879" s="6" t="s">
        <v>1656</v>
      </c>
      <c r="C879" s="1">
        <f>VALUE("2019")</f>
        <v>2019</v>
      </c>
      <c r="D879" t="s">
        <v>202</v>
      </c>
      <c r="E879" s="1">
        <f>VALUE("7663")</f>
        <v>7663</v>
      </c>
    </row>
    <row r="880" spans="1:5" x14ac:dyDescent="0.25">
      <c r="A880" s="6" t="s">
        <v>1657</v>
      </c>
      <c r="B880" s="6" t="s">
        <v>1658</v>
      </c>
      <c r="C880" s="1">
        <f>VALUE("2016")</f>
        <v>2016</v>
      </c>
      <c r="D880" t="s">
        <v>1659</v>
      </c>
      <c r="E880" s="1">
        <f>VALUE("7665")</f>
        <v>7665</v>
      </c>
    </row>
    <row r="881" spans="1:5" x14ac:dyDescent="0.25">
      <c r="A881" s="6" t="s">
        <v>1660</v>
      </c>
      <c r="B881" s="6" t="s">
        <v>1661</v>
      </c>
      <c r="C881" s="1">
        <f>VALUE("2017")</f>
        <v>2017</v>
      </c>
      <c r="D881" t="s">
        <v>1662</v>
      </c>
      <c r="E881" s="1">
        <f>VALUE("7665")</f>
        <v>7665</v>
      </c>
    </row>
    <row r="882" spans="1:5" x14ac:dyDescent="0.25">
      <c r="A882" s="6" t="s">
        <v>1663</v>
      </c>
      <c r="B882" s="6" t="s">
        <v>1664</v>
      </c>
      <c r="C882" s="1">
        <f>VALUE("2017")</f>
        <v>2017</v>
      </c>
      <c r="D882" t="s">
        <v>1665</v>
      </c>
      <c r="E882" s="1">
        <f>VALUE("7665")</f>
        <v>7665</v>
      </c>
    </row>
    <row r="883" spans="1:5" x14ac:dyDescent="0.25">
      <c r="A883" s="6" t="s">
        <v>1666</v>
      </c>
      <c r="B883" s="6" t="s">
        <v>1667</v>
      </c>
      <c r="C883" s="1">
        <f>VALUE("2018")</f>
        <v>2018</v>
      </c>
      <c r="D883" t="s">
        <v>1659</v>
      </c>
      <c r="E883" s="1">
        <f>VALUE("7665")</f>
        <v>7665</v>
      </c>
    </row>
    <row r="884" spans="1:5" x14ac:dyDescent="0.25">
      <c r="A884" s="6" t="s">
        <v>1668</v>
      </c>
      <c r="B884" s="6" t="s">
        <v>1667</v>
      </c>
      <c r="C884" s="1">
        <f>VALUE("2018")</f>
        <v>2018</v>
      </c>
      <c r="D884" t="s">
        <v>1659</v>
      </c>
      <c r="E884" s="1">
        <f>VALUE("7665")</f>
        <v>7665</v>
      </c>
    </row>
    <row r="885" spans="1:5" x14ac:dyDescent="0.25">
      <c r="A885" s="6" t="s">
        <v>1669</v>
      </c>
      <c r="B885" s="6" t="s">
        <v>1670</v>
      </c>
      <c r="C885" s="1">
        <f>VALUE("2018")</f>
        <v>2018</v>
      </c>
      <c r="D885" t="s">
        <v>1659</v>
      </c>
      <c r="E885" s="1">
        <f>VALUE("7665")</f>
        <v>7665</v>
      </c>
    </row>
    <row r="886" spans="1:5" x14ac:dyDescent="0.25">
      <c r="A886" s="6" t="s">
        <v>1671</v>
      </c>
      <c r="B886" s="6" t="s">
        <v>1672</v>
      </c>
      <c r="C886" s="1">
        <f>VALUE("2019")</f>
        <v>2019</v>
      </c>
      <c r="D886" t="s">
        <v>1659</v>
      </c>
      <c r="E886" s="1">
        <f>VALUE("7665")</f>
        <v>7665</v>
      </c>
    </row>
    <row r="887" spans="1:5" x14ac:dyDescent="0.25">
      <c r="A887" s="6" t="s">
        <v>1663</v>
      </c>
      <c r="B887" s="6" t="s">
        <v>1673</v>
      </c>
      <c r="C887" s="1">
        <f>VALUE("2019")</f>
        <v>2019</v>
      </c>
      <c r="D887" t="s">
        <v>1659</v>
      </c>
      <c r="E887" s="1">
        <f>VALUE("7665")</f>
        <v>7665</v>
      </c>
    </row>
    <row r="888" spans="1:5" x14ac:dyDescent="0.25">
      <c r="A888" s="6" t="s">
        <v>1674</v>
      </c>
      <c r="B888" s="6" t="s">
        <v>1675</v>
      </c>
      <c r="C888" s="1">
        <f>VALUE("2015")</f>
        <v>2015</v>
      </c>
      <c r="D888" t="s">
        <v>1676</v>
      </c>
      <c r="E888" s="1">
        <f>VALUE("7667")</f>
        <v>7667</v>
      </c>
    </row>
    <row r="889" spans="1:5" x14ac:dyDescent="0.25">
      <c r="A889" s="6" t="s">
        <v>1677</v>
      </c>
      <c r="B889" s="6" t="s">
        <v>1678</v>
      </c>
      <c r="C889" s="1">
        <f>VALUE("2014")</f>
        <v>2014</v>
      </c>
      <c r="D889" t="s">
        <v>1679</v>
      </c>
      <c r="E889" s="1">
        <f>VALUE("7671")</f>
        <v>7671</v>
      </c>
    </row>
    <row r="890" spans="1:5" x14ac:dyDescent="0.25">
      <c r="A890" s="6" t="s">
        <v>1680</v>
      </c>
      <c r="B890" s="6" t="s">
        <v>1681</v>
      </c>
      <c r="C890" s="1">
        <f>VALUE("2017")</f>
        <v>2017</v>
      </c>
      <c r="D890" t="s">
        <v>530</v>
      </c>
      <c r="E890" s="1">
        <f>VALUE("7671")</f>
        <v>7671</v>
      </c>
    </row>
    <row r="891" spans="1:5" x14ac:dyDescent="0.25">
      <c r="A891" s="6" t="s">
        <v>1682</v>
      </c>
      <c r="B891" s="6" t="s">
        <v>1683</v>
      </c>
      <c r="C891" s="1">
        <f>VALUE("2019")</f>
        <v>2019</v>
      </c>
      <c r="D891" t="s">
        <v>530</v>
      </c>
      <c r="E891" s="1">
        <f>VALUE("7671")</f>
        <v>7671</v>
      </c>
    </row>
    <row r="892" spans="1:5" x14ac:dyDescent="0.25">
      <c r="A892" s="6" t="s">
        <v>1684</v>
      </c>
      <c r="B892" s="6" t="s">
        <v>1685</v>
      </c>
      <c r="C892" s="1">
        <v>2018</v>
      </c>
      <c r="D892" t="s">
        <v>1686</v>
      </c>
      <c r="E892" s="1">
        <f>VALUE("7672")</f>
        <v>7672</v>
      </c>
    </row>
    <row r="893" spans="1:5" x14ac:dyDescent="0.25">
      <c r="A893" s="6" t="s">
        <v>1687</v>
      </c>
      <c r="B893" s="6" t="s">
        <v>1688</v>
      </c>
      <c r="C893" s="1">
        <f>VALUE("2019")</f>
        <v>2019</v>
      </c>
      <c r="D893" t="s">
        <v>1689</v>
      </c>
      <c r="E893" s="1">
        <f>VALUE("7672")</f>
        <v>7672</v>
      </c>
    </row>
    <row r="894" spans="1:5" x14ac:dyDescent="0.25">
      <c r="A894" s="6" t="s">
        <v>1690</v>
      </c>
      <c r="B894" s="6" t="s">
        <v>1691</v>
      </c>
      <c r="C894" s="1">
        <f>VALUE("2017")</f>
        <v>2017</v>
      </c>
      <c r="D894" t="s">
        <v>1462</v>
      </c>
      <c r="E894" s="1">
        <f>VALUE("7676")</f>
        <v>7676</v>
      </c>
    </row>
    <row r="895" spans="1:5" x14ac:dyDescent="0.25">
      <c r="A895" s="6" t="s">
        <v>2669</v>
      </c>
      <c r="B895" s="6" t="s">
        <v>1692</v>
      </c>
      <c r="C895" s="1">
        <f>VALUE("2015")</f>
        <v>2015</v>
      </c>
      <c r="D895" t="s">
        <v>1693</v>
      </c>
      <c r="E895" s="1">
        <f>VALUE("7682")</f>
        <v>7682</v>
      </c>
    </row>
    <row r="896" spans="1:5" x14ac:dyDescent="0.25">
      <c r="A896" s="6" t="s">
        <v>1700</v>
      </c>
      <c r="B896" s="6" t="s">
        <v>1701</v>
      </c>
      <c r="C896" s="1">
        <f>VALUE("2016")</f>
        <v>2016</v>
      </c>
      <c r="D896" t="s">
        <v>1702</v>
      </c>
      <c r="E896" s="1">
        <f>VALUE("7682")</f>
        <v>7682</v>
      </c>
    </row>
    <row r="897" spans="1:5" x14ac:dyDescent="0.25">
      <c r="A897" s="6" t="s">
        <v>1694</v>
      </c>
      <c r="B897" s="6" t="s">
        <v>1695</v>
      </c>
      <c r="C897" s="1">
        <f>VALUE("2016")</f>
        <v>2016</v>
      </c>
      <c r="D897" t="s">
        <v>1696</v>
      </c>
      <c r="E897" s="1">
        <f>VALUE("7682")</f>
        <v>7682</v>
      </c>
    </row>
    <row r="898" spans="1:5" x14ac:dyDescent="0.25">
      <c r="A898" s="6" t="s">
        <v>1706</v>
      </c>
      <c r="B898" s="6" t="s">
        <v>306</v>
      </c>
      <c r="C898" s="1">
        <f>VALUE("2017")</f>
        <v>2017</v>
      </c>
      <c r="D898" t="s">
        <v>327</v>
      </c>
      <c r="E898" s="1">
        <f>VALUE("7682")</f>
        <v>7682</v>
      </c>
    </row>
    <row r="899" spans="1:5" x14ac:dyDescent="0.25">
      <c r="A899" s="6" t="s">
        <v>1697</v>
      </c>
      <c r="B899" s="6" t="s">
        <v>1698</v>
      </c>
      <c r="C899" s="1">
        <v>2017</v>
      </c>
      <c r="D899" t="s">
        <v>1699</v>
      </c>
      <c r="E899" s="1">
        <f>VALUE("7682")</f>
        <v>7682</v>
      </c>
    </row>
    <row r="900" spans="1:5" x14ac:dyDescent="0.25">
      <c r="A900" s="6" t="s">
        <v>1705</v>
      </c>
      <c r="B900" s="6" t="s">
        <v>306</v>
      </c>
      <c r="C900" s="1">
        <f>VALUE("2018")</f>
        <v>2018</v>
      </c>
      <c r="D900" t="s">
        <v>1696</v>
      </c>
      <c r="E900" s="1">
        <f>VALUE("7682")</f>
        <v>7682</v>
      </c>
    </row>
    <row r="901" spans="1:5" x14ac:dyDescent="0.25">
      <c r="A901" s="6" t="s">
        <v>1703</v>
      </c>
      <c r="B901" s="6" t="s">
        <v>1704</v>
      </c>
      <c r="C901" s="1">
        <f>VALUE("2018")</f>
        <v>2018</v>
      </c>
      <c r="D901" t="s">
        <v>327</v>
      </c>
      <c r="E901" s="1">
        <f>VALUE("7682")</f>
        <v>7682</v>
      </c>
    </row>
    <row r="902" spans="1:5" x14ac:dyDescent="0.25">
      <c r="A902" s="6" t="s">
        <v>1707</v>
      </c>
      <c r="B902" s="6" t="s">
        <v>306</v>
      </c>
      <c r="C902" s="1">
        <f>VALUE("2019")</f>
        <v>2019</v>
      </c>
      <c r="D902" t="s">
        <v>298</v>
      </c>
      <c r="E902" s="1">
        <f>VALUE("7682")</f>
        <v>7682</v>
      </c>
    </row>
    <row r="903" spans="1:5" x14ac:dyDescent="0.25">
      <c r="A903" s="6" t="s">
        <v>1703</v>
      </c>
      <c r="B903" s="6" t="s">
        <v>306</v>
      </c>
      <c r="C903" s="1">
        <f>VALUE("2019")</f>
        <v>2019</v>
      </c>
      <c r="D903" t="s">
        <v>298</v>
      </c>
      <c r="E903" s="1">
        <f>VALUE("7682")</f>
        <v>7682</v>
      </c>
    </row>
    <row r="904" spans="1:5" x14ac:dyDescent="0.25">
      <c r="A904" s="6" t="s">
        <v>1708</v>
      </c>
      <c r="B904" s="6" t="s">
        <v>1709</v>
      </c>
      <c r="C904" s="1">
        <f>VALUE("2016")</f>
        <v>2016</v>
      </c>
      <c r="D904" t="s">
        <v>1710</v>
      </c>
      <c r="E904" s="1">
        <f>VALUE("7685")</f>
        <v>7685</v>
      </c>
    </row>
    <row r="905" spans="1:5" x14ac:dyDescent="0.25">
      <c r="A905" s="6" t="s">
        <v>1713</v>
      </c>
      <c r="B905" s="6" t="s">
        <v>1714</v>
      </c>
      <c r="C905" s="1">
        <f>VALUE("2016")</f>
        <v>2016</v>
      </c>
      <c r="D905" t="s">
        <v>1715</v>
      </c>
      <c r="E905" s="1">
        <f>VALUE("7688")</f>
        <v>7688</v>
      </c>
    </row>
    <row r="906" spans="1:5" x14ac:dyDescent="0.25">
      <c r="A906" s="6" t="s">
        <v>1716</v>
      </c>
      <c r="B906" s="6" t="s">
        <v>1717</v>
      </c>
      <c r="C906" s="1">
        <f>VALUE("2016")</f>
        <v>2016</v>
      </c>
      <c r="D906" t="s">
        <v>1718</v>
      </c>
      <c r="E906" s="1">
        <f>VALUE("7688")</f>
        <v>7688</v>
      </c>
    </row>
    <row r="907" spans="1:5" x14ac:dyDescent="0.25">
      <c r="A907" s="6" t="s">
        <v>1711</v>
      </c>
      <c r="B907" s="6" t="s">
        <v>1712</v>
      </c>
      <c r="C907" s="1">
        <f>VALUE("2016")</f>
        <v>2016</v>
      </c>
      <c r="D907" t="s">
        <v>83</v>
      </c>
      <c r="E907" s="1">
        <f>VALUE("7688")</f>
        <v>7688</v>
      </c>
    </row>
    <row r="908" spans="1:5" x14ac:dyDescent="0.25">
      <c r="A908" s="6" t="s">
        <v>1719</v>
      </c>
      <c r="B908" s="6" t="s">
        <v>1720</v>
      </c>
      <c r="C908" s="1">
        <f>VALUE("2015")</f>
        <v>2015</v>
      </c>
      <c r="D908" t="s">
        <v>1721</v>
      </c>
      <c r="E908" s="1">
        <f>VALUE("7689")</f>
        <v>7689</v>
      </c>
    </row>
    <row r="909" spans="1:5" x14ac:dyDescent="0.25">
      <c r="A909" s="6" t="s">
        <v>1722</v>
      </c>
      <c r="B909" s="6" t="s">
        <v>1723</v>
      </c>
      <c r="C909" s="1">
        <f>VALUE("2014")</f>
        <v>2014</v>
      </c>
      <c r="D909" t="s">
        <v>640</v>
      </c>
      <c r="E909" s="1">
        <f>VALUE("7693")</f>
        <v>7693</v>
      </c>
    </row>
    <row r="910" spans="1:5" x14ac:dyDescent="0.25">
      <c r="A910" s="6" t="s">
        <v>1724</v>
      </c>
      <c r="B910" s="6" t="s">
        <v>1725</v>
      </c>
      <c r="C910" s="1">
        <f>VALUE("2016")</f>
        <v>2016</v>
      </c>
      <c r="D910" t="s">
        <v>640</v>
      </c>
      <c r="E910" s="1">
        <f>VALUE("7693")</f>
        <v>7693</v>
      </c>
    </row>
    <row r="911" spans="1:5" x14ac:dyDescent="0.25">
      <c r="A911" s="6" t="s">
        <v>2670</v>
      </c>
      <c r="B911" s="6" t="s">
        <v>1726</v>
      </c>
      <c r="C911" s="1">
        <f>VALUE("2019")</f>
        <v>2019</v>
      </c>
      <c r="D911" t="s">
        <v>1727</v>
      </c>
      <c r="E911" s="1">
        <f>VALUE("7694")</f>
        <v>7694</v>
      </c>
    </row>
    <row r="912" spans="1:5" x14ac:dyDescent="0.25">
      <c r="A912" s="6" t="s">
        <v>1728</v>
      </c>
      <c r="B912" s="6" t="s">
        <v>1729</v>
      </c>
      <c r="C912" s="1">
        <f>VALUE("2018")</f>
        <v>2018</v>
      </c>
      <c r="D912" t="s">
        <v>1730</v>
      </c>
      <c r="E912" s="1">
        <f>VALUE("7696")</f>
        <v>7696</v>
      </c>
    </row>
    <row r="913" spans="1:5" x14ac:dyDescent="0.25">
      <c r="A913" s="6" t="s">
        <v>1733</v>
      </c>
      <c r="B913" s="6" t="s">
        <v>1734</v>
      </c>
      <c r="C913" s="1">
        <f>VALUE("2015")</f>
        <v>2015</v>
      </c>
      <c r="D913" t="s">
        <v>202</v>
      </c>
      <c r="E913" s="1">
        <f>VALUE("7699")</f>
        <v>7699</v>
      </c>
    </row>
    <row r="914" spans="1:5" x14ac:dyDescent="0.25">
      <c r="A914" s="6" t="s">
        <v>1731</v>
      </c>
      <c r="B914" s="6" t="s">
        <v>1732</v>
      </c>
      <c r="C914" s="1">
        <v>2017</v>
      </c>
      <c r="D914" t="s">
        <v>202</v>
      </c>
      <c r="E914" s="1">
        <f>VALUE("7699")</f>
        <v>7699</v>
      </c>
    </row>
    <row r="915" spans="1:5" x14ac:dyDescent="0.25">
      <c r="A915" s="6" t="s">
        <v>1735</v>
      </c>
      <c r="B915" s="6" t="s">
        <v>1736</v>
      </c>
      <c r="C915" s="1">
        <f>VALUE("2015")</f>
        <v>2015</v>
      </c>
      <c r="D915" t="s">
        <v>1737</v>
      </c>
      <c r="E915" s="1">
        <f>VALUE("7703")</f>
        <v>7703</v>
      </c>
    </row>
    <row r="916" spans="1:5" x14ac:dyDescent="0.25">
      <c r="A916" s="6" t="s">
        <v>1738</v>
      </c>
      <c r="B916" s="6" t="s">
        <v>1739</v>
      </c>
      <c r="C916" s="1">
        <f>VALUE("2015")</f>
        <v>2015</v>
      </c>
      <c r="D916" t="s">
        <v>598</v>
      </c>
      <c r="E916" s="1">
        <f>VALUE("7709")</f>
        <v>7709</v>
      </c>
    </row>
    <row r="917" spans="1:5" x14ac:dyDescent="0.25">
      <c r="A917" s="6" t="s">
        <v>1740</v>
      </c>
      <c r="B917" s="6" t="s">
        <v>1741</v>
      </c>
      <c r="C917" s="1">
        <f>VALUE("2017")</f>
        <v>2017</v>
      </c>
      <c r="D917" t="s">
        <v>1742</v>
      </c>
      <c r="E917" s="1">
        <f>VALUE("7710")</f>
        <v>7710</v>
      </c>
    </row>
    <row r="918" spans="1:5" x14ac:dyDescent="0.25">
      <c r="A918" s="6" t="s">
        <v>1743</v>
      </c>
      <c r="B918" s="6" t="s">
        <v>1744</v>
      </c>
      <c r="C918" s="1">
        <f>VALUE("2017")</f>
        <v>2017</v>
      </c>
      <c r="D918" t="s">
        <v>1742</v>
      </c>
      <c r="E918" s="1">
        <f>VALUE("7710")</f>
        <v>7710</v>
      </c>
    </row>
    <row r="919" spans="1:5" x14ac:dyDescent="0.25">
      <c r="A919" s="6" t="s">
        <v>1747</v>
      </c>
      <c r="B919" s="6" t="s">
        <v>1748</v>
      </c>
      <c r="C919" s="1">
        <f>VALUE("2017")</f>
        <v>2017</v>
      </c>
      <c r="D919" t="s">
        <v>1746</v>
      </c>
      <c r="E919" s="1">
        <f>VALUE("7714")</f>
        <v>7714</v>
      </c>
    </row>
    <row r="920" spans="1:5" x14ac:dyDescent="0.25">
      <c r="A920" s="6" t="s">
        <v>2671</v>
      </c>
      <c r="B920" s="6" t="s">
        <v>1745</v>
      </c>
      <c r="C920" s="1">
        <f>VALUE("2017")</f>
        <v>2017</v>
      </c>
      <c r="D920" t="s">
        <v>1746</v>
      </c>
      <c r="E920" s="1">
        <f>VALUE("7714")</f>
        <v>7714</v>
      </c>
    </row>
    <row r="921" spans="1:5" x14ac:dyDescent="0.25">
      <c r="A921" s="6" t="s">
        <v>2674</v>
      </c>
      <c r="B921" s="6" t="s">
        <v>1751</v>
      </c>
      <c r="C921" s="1">
        <f>VALUE("2017")</f>
        <v>2017</v>
      </c>
      <c r="D921" t="s">
        <v>1746</v>
      </c>
      <c r="E921" s="1">
        <f>VALUE("7714")</f>
        <v>7714</v>
      </c>
    </row>
    <row r="922" spans="1:5" x14ac:dyDescent="0.25">
      <c r="A922" s="6" t="s">
        <v>2672</v>
      </c>
      <c r="B922" s="6" t="s">
        <v>1749</v>
      </c>
      <c r="C922" s="1">
        <f>VALUE("2017")</f>
        <v>2017</v>
      </c>
      <c r="D922" t="s">
        <v>1746</v>
      </c>
      <c r="E922" s="1">
        <f>VALUE("7714")</f>
        <v>7714</v>
      </c>
    </row>
    <row r="923" spans="1:5" x14ac:dyDescent="0.25">
      <c r="A923" s="6" t="s">
        <v>2673</v>
      </c>
      <c r="B923" s="6" t="s">
        <v>1750</v>
      </c>
      <c r="C923" s="1">
        <f>VALUE("2017")</f>
        <v>2017</v>
      </c>
      <c r="D923" t="s">
        <v>1746</v>
      </c>
      <c r="E923" s="1">
        <f>VALUE("7714")</f>
        <v>7714</v>
      </c>
    </row>
    <row r="924" spans="1:5" x14ac:dyDescent="0.25">
      <c r="A924" s="6" t="s">
        <v>2675</v>
      </c>
      <c r="B924" s="6" t="s">
        <v>1752</v>
      </c>
      <c r="C924" s="1">
        <f>VALUE("2017")</f>
        <v>2017</v>
      </c>
      <c r="D924" t="s">
        <v>1746</v>
      </c>
      <c r="E924" s="1">
        <f>VALUE("7714")</f>
        <v>7714</v>
      </c>
    </row>
    <row r="925" spans="1:5" x14ac:dyDescent="0.25">
      <c r="A925" s="6" t="s">
        <v>1753</v>
      </c>
      <c r="B925" s="6" t="s">
        <v>1754</v>
      </c>
      <c r="C925" s="1">
        <f>VALUE("2015")</f>
        <v>2015</v>
      </c>
      <c r="D925" t="s">
        <v>1644</v>
      </c>
      <c r="E925" s="1">
        <f>VALUE("7715")</f>
        <v>7715</v>
      </c>
    </row>
    <row r="926" spans="1:5" x14ac:dyDescent="0.25">
      <c r="A926" s="6" t="s">
        <v>1755</v>
      </c>
      <c r="B926" s="6" t="s">
        <v>1756</v>
      </c>
      <c r="C926" s="1">
        <f>VALUE("2015")</f>
        <v>2015</v>
      </c>
      <c r="D926" t="s">
        <v>1757</v>
      </c>
      <c r="E926" s="1">
        <f>VALUE("7717")</f>
        <v>7717</v>
      </c>
    </row>
    <row r="927" spans="1:5" x14ac:dyDescent="0.25">
      <c r="A927" s="6" t="s">
        <v>1758</v>
      </c>
      <c r="B927" s="6" t="s">
        <v>1759</v>
      </c>
      <c r="C927" s="1">
        <f>VALUE("2015")</f>
        <v>2015</v>
      </c>
      <c r="D927" t="s">
        <v>822</v>
      </c>
      <c r="E927" s="1">
        <f>VALUE("7718")</f>
        <v>7718</v>
      </c>
    </row>
    <row r="928" spans="1:5" x14ac:dyDescent="0.25">
      <c r="A928" s="6" t="s">
        <v>1760</v>
      </c>
      <c r="B928" s="6" t="s">
        <v>1761</v>
      </c>
      <c r="C928" s="1">
        <v>2016</v>
      </c>
      <c r="D928" t="s">
        <v>1762</v>
      </c>
      <c r="E928" s="1">
        <f>VALUE("7720")</f>
        <v>7720</v>
      </c>
    </row>
    <row r="929" spans="1:5" x14ac:dyDescent="0.25">
      <c r="A929" s="6" t="s">
        <v>1765</v>
      </c>
      <c r="B929" s="6" t="s">
        <v>1766</v>
      </c>
      <c r="C929" s="1">
        <f>VALUE("2015")</f>
        <v>2015</v>
      </c>
      <c r="D929" t="s">
        <v>748</v>
      </c>
      <c r="E929" s="1">
        <f>VALUE("7726")</f>
        <v>7726</v>
      </c>
    </row>
    <row r="930" spans="1:5" x14ac:dyDescent="0.25">
      <c r="A930" s="6" t="s">
        <v>1763</v>
      </c>
      <c r="B930" s="6" t="s">
        <v>1764</v>
      </c>
      <c r="C930" s="1">
        <v>2016</v>
      </c>
      <c r="D930" t="s">
        <v>748</v>
      </c>
      <c r="E930" s="1">
        <f>VALUE("7726")</f>
        <v>7726</v>
      </c>
    </row>
    <row r="931" spans="1:5" x14ac:dyDescent="0.25">
      <c r="A931" s="6" t="s">
        <v>1767</v>
      </c>
      <c r="B931" s="6" t="s">
        <v>1768</v>
      </c>
      <c r="C931" s="1">
        <f>VALUE("2015")</f>
        <v>2015</v>
      </c>
      <c r="D931" t="s">
        <v>1769</v>
      </c>
      <c r="E931" s="1">
        <f>VALUE("7727")</f>
        <v>7727</v>
      </c>
    </row>
    <row r="932" spans="1:5" x14ac:dyDescent="0.25">
      <c r="A932" s="6" t="s">
        <v>1770</v>
      </c>
      <c r="B932" s="6" t="s">
        <v>1771</v>
      </c>
      <c r="C932" s="1">
        <v>2016</v>
      </c>
      <c r="D932" t="s">
        <v>530</v>
      </c>
      <c r="E932" s="1">
        <f>VALUE("7728")</f>
        <v>7728</v>
      </c>
    </row>
    <row r="933" spans="1:5" x14ac:dyDescent="0.25">
      <c r="A933" s="6" t="s">
        <v>1772</v>
      </c>
      <c r="B933" s="6" t="s">
        <v>1773</v>
      </c>
      <c r="C933" s="1">
        <f>VALUE("2015")</f>
        <v>2015</v>
      </c>
      <c r="D933" t="s">
        <v>1084</v>
      </c>
      <c r="E933" s="1">
        <f>VALUE("7729")</f>
        <v>7729</v>
      </c>
    </row>
    <row r="934" spans="1:5" x14ac:dyDescent="0.25">
      <c r="A934" s="6" t="s">
        <v>1774</v>
      </c>
      <c r="B934" s="6" t="s">
        <v>1775</v>
      </c>
      <c r="C934" s="1">
        <f>VALUE("2015")</f>
        <v>2015</v>
      </c>
      <c r="D934" t="s">
        <v>1776</v>
      </c>
      <c r="E934" s="1">
        <f>VALUE("7730")</f>
        <v>7730</v>
      </c>
    </row>
    <row r="935" spans="1:5" x14ac:dyDescent="0.25">
      <c r="A935" s="6" t="s">
        <v>1777</v>
      </c>
      <c r="B935" s="6" t="s">
        <v>1778</v>
      </c>
      <c r="C935" s="1">
        <v>2018</v>
      </c>
      <c r="D935" t="s">
        <v>1033</v>
      </c>
      <c r="E935" s="1">
        <f>VALUE("7730")</f>
        <v>7730</v>
      </c>
    </row>
    <row r="936" spans="1:5" x14ac:dyDescent="0.25">
      <c r="A936" s="6" t="s">
        <v>1779</v>
      </c>
      <c r="B936" s="6" t="s">
        <v>1780</v>
      </c>
      <c r="C936" s="1">
        <f>VALUE("2015")</f>
        <v>2015</v>
      </c>
      <c r="D936" t="s">
        <v>1193</v>
      </c>
      <c r="E936" s="1">
        <f>VALUE("7731")</f>
        <v>7731</v>
      </c>
    </row>
    <row r="937" spans="1:5" x14ac:dyDescent="0.25">
      <c r="A937" s="6" t="s">
        <v>1781</v>
      </c>
      <c r="B937" s="6" t="s">
        <v>1782</v>
      </c>
      <c r="C937" s="1">
        <v>2017</v>
      </c>
      <c r="D937" t="s">
        <v>1783</v>
      </c>
      <c r="E937" s="1">
        <f>VALUE("7731")</f>
        <v>7731</v>
      </c>
    </row>
    <row r="938" spans="1:5" x14ac:dyDescent="0.25">
      <c r="A938" s="6" t="s">
        <v>1784</v>
      </c>
      <c r="B938" s="6" t="s">
        <v>1785</v>
      </c>
      <c r="C938" s="1">
        <f>VALUE("2015")</f>
        <v>2015</v>
      </c>
      <c r="D938" t="s">
        <v>640</v>
      </c>
      <c r="E938" s="1">
        <f>VALUE("7732")</f>
        <v>7732</v>
      </c>
    </row>
    <row r="939" spans="1:5" x14ac:dyDescent="0.25">
      <c r="A939" s="6" t="s">
        <v>1786</v>
      </c>
      <c r="B939" s="6" t="s">
        <v>1787</v>
      </c>
      <c r="C939" s="1">
        <f>VALUE("2016")</f>
        <v>2016</v>
      </c>
      <c r="D939" t="s">
        <v>1788</v>
      </c>
      <c r="E939" s="1">
        <f>VALUE("7733")</f>
        <v>7733</v>
      </c>
    </row>
    <row r="940" spans="1:5" x14ac:dyDescent="0.25">
      <c r="A940" s="6" t="s">
        <v>1789</v>
      </c>
      <c r="B940" s="6" t="s">
        <v>1790</v>
      </c>
      <c r="C940" s="1">
        <f>VALUE("2014")</f>
        <v>2014</v>
      </c>
      <c r="D940" t="s">
        <v>835</v>
      </c>
      <c r="E940" s="1">
        <f>VALUE("7734")</f>
        <v>7734</v>
      </c>
    </row>
    <row r="941" spans="1:5" x14ac:dyDescent="0.25">
      <c r="A941" s="6" t="s">
        <v>1791</v>
      </c>
      <c r="B941" s="6" t="s">
        <v>1792</v>
      </c>
      <c r="C941" s="1">
        <f>VALUE("2019")</f>
        <v>2019</v>
      </c>
      <c r="D941" t="s">
        <v>835</v>
      </c>
      <c r="E941" s="1">
        <f>VALUE("7734")</f>
        <v>7734</v>
      </c>
    </row>
    <row r="942" spans="1:5" x14ac:dyDescent="0.25">
      <c r="A942" s="6" t="s">
        <v>1793</v>
      </c>
      <c r="B942" s="6" t="s">
        <v>1794</v>
      </c>
      <c r="C942" s="1">
        <f>VALUE("2017")</f>
        <v>2017</v>
      </c>
      <c r="D942" t="s">
        <v>1795</v>
      </c>
      <c r="E942" s="1">
        <f>VALUE("7736")</f>
        <v>7736</v>
      </c>
    </row>
    <row r="943" spans="1:5" x14ac:dyDescent="0.25">
      <c r="A943" s="6" t="s">
        <v>1796</v>
      </c>
      <c r="B943" s="6" t="s">
        <v>1797</v>
      </c>
      <c r="C943" s="1">
        <f>VALUE("2018")</f>
        <v>2018</v>
      </c>
      <c r="D943" t="s">
        <v>1503</v>
      </c>
      <c r="E943" s="1">
        <f>VALUE("7736")</f>
        <v>7736</v>
      </c>
    </row>
    <row r="944" spans="1:5" x14ac:dyDescent="0.25">
      <c r="A944" s="6" t="s">
        <v>1798</v>
      </c>
      <c r="B944" s="6" t="s">
        <v>1799</v>
      </c>
      <c r="C944" s="1">
        <f>VALUE("2016")</f>
        <v>2016</v>
      </c>
      <c r="D944" t="s">
        <v>1800</v>
      </c>
      <c r="E944" s="1">
        <f>VALUE("7738")</f>
        <v>7738</v>
      </c>
    </row>
    <row r="945" spans="1:5" x14ac:dyDescent="0.25">
      <c r="A945" s="6" t="s">
        <v>1801</v>
      </c>
      <c r="B945" s="6" t="s">
        <v>1802</v>
      </c>
      <c r="C945" s="1">
        <v>2015</v>
      </c>
      <c r="D945" t="s">
        <v>822</v>
      </c>
      <c r="E945" s="1">
        <f>VALUE("7743")</f>
        <v>7743</v>
      </c>
    </row>
    <row r="946" spans="1:5" x14ac:dyDescent="0.25">
      <c r="A946" s="6" t="s">
        <v>1803</v>
      </c>
      <c r="B946" s="6" t="s">
        <v>1804</v>
      </c>
      <c r="C946" s="1">
        <f>VALUE("2016")</f>
        <v>2016</v>
      </c>
      <c r="D946" t="s">
        <v>1805</v>
      </c>
      <c r="E946" s="1">
        <f>VALUE("7746")</f>
        <v>7746</v>
      </c>
    </row>
    <row r="947" spans="1:5" x14ac:dyDescent="0.25">
      <c r="A947" s="6" t="s">
        <v>1806</v>
      </c>
      <c r="B947" s="6" t="s">
        <v>1807</v>
      </c>
      <c r="C947" s="1">
        <f>VALUE("2015")</f>
        <v>2015</v>
      </c>
      <c r="D947" t="s">
        <v>640</v>
      </c>
      <c r="E947" s="1">
        <f>VALUE("7748")</f>
        <v>7748</v>
      </c>
    </row>
    <row r="948" spans="1:5" x14ac:dyDescent="0.25">
      <c r="A948" s="6" t="s">
        <v>1808</v>
      </c>
      <c r="B948" s="6" t="s">
        <v>1809</v>
      </c>
      <c r="C948" s="1">
        <f>VALUE("2015")</f>
        <v>2015</v>
      </c>
      <c r="D948" t="s">
        <v>1810</v>
      </c>
      <c r="E948" s="1">
        <f>VALUE("7749")</f>
        <v>7749</v>
      </c>
    </row>
    <row r="949" spans="1:5" x14ac:dyDescent="0.25">
      <c r="A949" s="6" t="s">
        <v>1811</v>
      </c>
      <c r="B949" s="6" t="s">
        <v>1812</v>
      </c>
      <c r="C949" s="1">
        <f>VALUE("2016")</f>
        <v>2016</v>
      </c>
      <c r="D949" t="s">
        <v>1813</v>
      </c>
      <c r="E949" s="1">
        <f>VALUE("7755")</f>
        <v>7755</v>
      </c>
    </row>
    <row r="950" spans="1:5" x14ac:dyDescent="0.25">
      <c r="A950" s="6" t="s">
        <v>1814</v>
      </c>
      <c r="B950" s="6" t="s">
        <v>1815</v>
      </c>
      <c r="C950" s="1">
        <f>VALUE("2018")</f>
        <v>2018</v>
      </c>
      <c r="D950" t="s">
        <v>1816</v>
      </c>
      <c r="E950" s="1">
        <f>VALUE("7760")</f>
        <v>7760</v>
      </c>
    </row>
    <row r="951" spans="1:5" x14ac:dyDescent="0.25">
      <c r="A951" s="6" t="s">
        <v>1817</v>
      </c>
      <c r="B951" s="6" t="s">
        <v>1818</v>
      </c>
      <c r="C951" s="1">
        <f>VALUE("2015")</f>
        <v>2015</v>
      </c>
      <c r="D951" t="s">
        <v>1644</v>
      </c>
      <c r="E951" s="1">
        <f>VALUE("7761")</f>
        <v>7761</v>
      </c>
    </row>
    <row r="952" spans="1:5" x14ac:dyDescent="0.25">
      <c r="A952" s="6" t="s">
        <v>1819</v>
      </c>
      <c r="B952" s="6" t="s">
        <v>1820</v>
      </c>
      <c r="C952" s="1">
        <f>VALUE("2015")</f>
        <v>2015</v>
      </c>
      <c r="D952" t="s">
        <v>1821</v>
      </c>
      <c r="E952" s="1">
        <f>VALUE("7763")</f>
        <v>7763</v>
      </c>
    </row>
    <row r="953" spans="1:5" x14ac:dyDescent="0.25">
      <c r="A953" s="6" t="s">
        <v>1427</v>
      </c>
      <c r="B953" s="6" t="s">
        <v>1822</v>
      </c>
      <c r="C953" s="1">
        <f>VALUE("2017")</f>
        <v>2017</v>
      </c>
      <c r="D953" t="s">
        <v>184</v>
      </c>
      <c r="E953" s="1">
        <f>VALUE("7765")</f>
        <v>7765</v>
      </c>
    </row>
    <row r="954" spans="1:5" x14ac:dyDescent="0.25">
      <c r="A954" s="6" t="s">
        <v>1823</v>
      </c>
      <c r="B954" s="6" t="s">
        <v>1824</v>
      </c>
      <c r="C954" s="1">
        <f>VALUE("2017")</f>
        <v>2017</v>
      </c>
      <c r="D954" t="s">
        <v>1825</v>
      </c>
      <c r="E954" s="1">
        <f>VALUE("7766")</f>
        <v>7766</v>
      </c>
    </row>
    <row r="955" spans="1:5" x14ac:dyDescent="0.25">
      <c r="A955" s="6" t="s">
        <v>1826</v>
      </c>
      <c r="B955" s="6" t="s">
        <v>1827</v>
      </c>
      <c r="C955" s="1">
        <f>VALUE("2015")</f>
        <v>2015</v>
      </c>
      <c r="D955" t="s">
        <v>822</v>
      </c>
      <c r="E955" s="1">
        <f>VALUE("7770")</f>
        <v>7770</v>
      </c>
    </row>
    <row r="956" spans="1:5" x14ac:dyDescent="0.25">
      <c r="A956" s="6" t="s">
        <v>1828</v>
      </c>
      <c r="B956" s="6" t="s">
        <v>1829</v>
      </c>
      <c r="C956" s="1">
        <v>2016</v>
      </c>
      <c r="D956" t="s">
        <v>1084</v>
      </c>
      <c r="E956" s="1">
        <f>VALUE("7773")</f>
        <v>7773</v>
      </c>
    </row>
    <row r="957" spans="1:5" x14ac:dyDescent="0.25">
      <c r="A957" s="6" t="s">
        <v>1830</v>
      </c>
      <c r="B957" s="6" t="s">
        <v>1831</v>
      </c>
      <c r="C957" s="1">
        <f>VALUE("2015")</f>
        <v>2015</v>
      </c>
      <c r="D957" t="s">
        <v>634</v>
      </c>
      <c r="E957" s="1">
        <f>VALUE("7781")</f>
        <v>7781</v>
      </c>
    </row>
    <row r="958" spans="1:5" x14ac:dyDescent="0.25">
      <c r="A958" s="6" t="s">
        <v>1832</v>
      </c>
      <c r="B958" s="6" t="s">
        <v>1833</v>
      </c>
      <c r="C958" s="1">
        <f>VALUE("2016")</f>
        <v>2016</v>
      </c>
      <c r="D958" t="s">
        <v>1834</v>
      </c>
      <c r="E958" s="1">
        <f>VALUE("7782")</f>
        <v>7782</v>
      </c>
    </row>
    <row r="959" spans="1:5" x14ac:dyDescent="0.25">
      <c r="A959" s="6" t="s">
        <v>1832</v>
      </c>
      <c r="B959" s="6" t="s">
        <v>1833</v>
      </c>
      <c r="C959" s="1">
        <f>VALUE("2016")</f>
        <v>2016</v>
      </c>
      <c r="D959" t="s">
        <v>1835</v>
      </c>
      <c r="E959" s="1">
        <f>VALUE("7782")</f>
        <v>7782</v>
      </c>
    </row>
    <row r="960" spans="1:5" x14ac:dyDescent="0.25">
      <c r="A960" s="6" t="s">
        <v>1836</v>
      </c>
      <c r="B960" s="6" t="s">
        <v>1837</v>
      </c>
      <c r="C960" s="1">
        <f>VALUE("2018")</f>
        <v>2018</v>
      </c>
      <c r="D960" t="s">
        <v>912</v>
      </c>
      <c r="E960" s="1">
        <f>VALUE("7783")</f>
        <v>7783</v>
      </c>
    </row>
    <row r="961" spans="1:5" x14ac:dyDescent="0.25">
      <c r="A961" s="6" t="s">
        <v>1838</v>
      </c>
      <c r="B961" s="6" t="s">
        <v>1839</v>
      </c>
      <c r="C961" s="1">
        <f>VALUE("2015")</f>
        <v>2015</v>
      </c>
      <c r="D961" t="s">
        <v>1840</v>
      </c>
      <c r="E961" s="1">
        <f>VALUE("7785")</f>
        <v>7785</v>
      </c>
    </row>
    <row r="962" spans="1:5" x14ac:dyDescent="0.25">
      <c r="A962" s="6" t="s">
        <v>1841</v>
      </c>
      <c r="B962" s="6" t="s">
        <v>1842</v>
      </c>
      <c r="C962" s="1">
        <f>VALUE("2015")</f>
        <v>2015</v>
      </c>
      <c r="D962" t="s">
        <v>822</v>
      </c>
      <c r="E962" s="1">
        <f>VALUE("7787")</f>
        <v>7787</v>
      </c>
    </row>
    <row r="963" spans="1:5" x14ac:dyDescent="0.25">
      <c r="A963" s="6" t="s">
        <v>1843</v>
      </c>
      <c r="B963" s="6" t="s">
        <v>1844</v>
      </c>
      <c r="C963" s="1">
        <f>VALUE("2017")</f>
        <v>2017</v>
      </c>
      <c r="D963" t="s">
        <v>1845</v>
      </c>
      <c r="E963" s="1">
        <f>VALUE("7788")</f>
        <v>7788</v>
      </c>
    </row>
    <row r="964" spans="1:5" x14ac:dyDescent="0.25">
      <c r="A964" s="6" t="s">
        <v>1846</v>
      </c>
      <c r="B964" s="6" t="s">
        <v>1847</v>
      </c>
      <c r="C964" s="1">
        <f>VALUE("2017")</f>
        <v>2017</v>
      </c>
      <c r="D964" t="s">
        <v>184</v>
      </c>
      <c r="E964" s="1">
        <f>VALUE("7789")</f>
        <v>7789</v>
      </c>
    </row>
    <row r="965" spans="1:5" x14ac:dyDescent="0.25">
      <c r="A965" s="6" t="s">
        <v>1848</v>
      </c>
      <c r="B965" s="6" t="s">
        <v>1849</v>
      </c>
      <c r="C965" s="1">
        <f>VALUE("2018")</f>
        <v>2018</v>
      </c>
      <c r="D965" t="s">
        <v>184</v>
      </c>
      <c r="E965" s="1">
        <f>VALUE("7789")</f>
        <v>7789</v>
      </c>
    </row>
    <row r="966" spans="1:5" x14ac:dyDescent="0.25">
      <c r="A966" s="6" t="s">
        <v>1850</v>
      </c>
      <c r="B966" s="6" t="s">
        <v>1851</v>
      </c>
      <c r="C966" s="1">
        <f>VALUE("2016")</f>
        <v>2016</v>
      </c>
      <c r="D966" t="s">
        <v>411</v>
      </c>
      <c r="E966" s="1">
        <f>VALUE("7790")</f>
        <v>7790</v>
      </c>
    </row>
    <row r="967" spans="1:5" x14ac:dyDescent="0.25">
      <c r="A967" s="6" t="s">
        <v>1852</v>
      </c>
      <c r="B967" s="6" t="s">
        <v>1853</v>
      </c>
      <c r="C967" s="1">
        <f>VALUE("2016")</f>
        <v>2016</v>
      </c>
      <c r="D967" t="s">
        <v>640</v>
      </c>
      <c r="E967" s="1">
        <f>VALUE("7795")</f>
        <v>7795</v>
      </c>
    </row>
    <row r="968" spans="1:5" x14ac:dyDescent="0.25">
      <c r="A968" s="6" t="s">
        <v>1854</v>
      </c>
      <c r="B968" s="6" t="s">
        <v>1855</v>
      </c>
      <c r="C968" s="1">
        <f>VALUE("2016")</f>
        <v>2016</v>
      </c>
      <c r="D968" t="s">
        <v>1856</v>
      </c>
      <c r="E968" s="1">
        <f>VALUE("7804")</f>
        <v>7804</v>
      </c>
    </row>
    <row r="969" spans="1:5" x14ac:dyDescent="0.25">
      <c r="A969" s="6" t="s">
        <v>1857</v>
      </c>
      <c r="B969" s="6" t="s">
        <v>1858</v>
      </c>
      <c r="C969" s="1">
        <f>VALUE("2017")</f>
        <v>2017</v>
      </c>
      <c r="D969" t="s">
        <v>1859</v>
      </c>
      <c r="E969" s="1">
        <f>VALUE("7807")</f>
        <v>7807</v>
      </c>
    </row>
    <row r="970" spans="1:5" x14ac:dyDescent="0.25">
      <c r="A970" s="6" t="s">
        <v>2676</v>
      </c>
      <c r="B970" s="6" t="s">
        <v>1860</v>
      </c>
      <c r="C970" s="1">
        <f>VALUE("2015")</f>
        <v>2015</v>
      </c>
      <c r="D970" t="s">
        <v>2</v>
      </c>
      <c r="E970" s="1">
        <f>VALUE("7809")</f>
        <v>7809</v>
      </c>
    </row>
    <row r="971" spans="1:5" x14ac:dyDescent="0.25">
      <c r="A971" s="6" t="s">
        <v>1861</v>
      </c>
      <c r="B971" s="6" t="s">
        <v>1862</v>
      </c>
      <c r="C971" s="1">
        <f>VALUE("2016")</f>
        <v>2016</v>
      </c>
      <c r="D971" t="s">
        <v>1863</v>
      </c>
      <c r="E971" s="1">
        <f>VALUE("7810")</f>
        <v>7810</v>
      </c>
    </row>
    <row r="972" spans="1:5" x14ac:dyDescent="0.25">
      <c r="A972" s="6" t="s">
        <v>1864</v>
      </c>
      <c r="B972" s="6" t="s">
        <v>1865</v>
      </c>
      <c r="C972" s="1">
        <f>VALUE("2018")</f>
        <v>2018</v>
      </c>
      <c r="D972" t="s">
        <v>101</v>
      </c>
      <c r="E972" s="1">
        <f>VALUE("7812")</f>
        <v>7812</v>
      </c>
    </row>
    <row r="973" spans="1:5" x14ac:dyDescent="0.25">
      <c r="A973" s="6" t="s">
        <v>1869</v>
      </c>
      <c r="B973" s="6" t="s">
        <v>1870</v>
      </c>
      <c r="C973" s="1">
        <f>VALUE("2019")</f>
        <v>2019</v>
      </c>
      <c r="D973" t="s">
        <v>1868</v>
      </c>
      <c r="E973" s="1">
        <f>VALUE("7812")</f>
        <v>7812</v>
      </c>
    </row>
    <row r="974" spans="1:5" x14ac:dyDescent="0.25">
      <c r="A974" s="6" t="s">
        <v>1866</v>
      </c>
      <c r="B974" s="6" t="s">
        <v>1867</v>
      </c>
      <c r="C974" s="1">
        <f>VALUE("2019")</f>
        <v>2019</v>
      </c>
      <c r="D974" t="s">
        <v>1868</v>
      </c>
      <c r="E974" s="1">
        <f>VALUE("7812")</f>
        <v>7812</v>
      </c>
    </row>
    <row r="975" spans="1:5" x14ac:dyDescent="0.25">
      <c r="A975" s="6" t="s">
        <v>1873</v>
      </c>
      <c r="B975" s="6" t="s">
        <v>1874</v>
      </c>
      <c r="C975" s="1">
        <f>VALUE("2019")</f>
        <v>2019</v>
      </c>
      <c r="D975" t="s">
        <v>1868</v>
      </c>
      <c r="E975" s="1">
        <f>VALUE("7812")</f>
        <v>7812</v>
      </c>
    </row>
    <row r="976" spans="1:5" x14ac:dyDescent="0.25">
      <c r="A976" s="6" t="s">
        <v>1871</v>
      </c>
      <c r="B976" s="6" t="s">
        <v>1872</v>
      </c>
      <c r="C976" s="1">
        <f>VALUE("2019")</f>
        <v>2019</v>
      </c>
      <c r="D976" t="s">
        <v>1868</v>
      </c>
      <c r="E976" s="1">
        <f>VALUE("7812")</f>
        <v>7812</v>
      </c>
    </row>
    <row r="977" spans="1:5" x14ac:dyDescent="0.25">
      <c r="A977" s="6" t="s">
        <v>1875</v>
      </c>
      <c r="B977" s="6" t="s">
        <v>1876</v>
      </c>
      <c r="C977" s="1">
        <f>VALUE("2015")</f>
        <v>2015</v>
      </c>
      <c r="D977" t="s">
        <v>530</v>
      </c>
      <c r="E977" s="1">
        <f>VALUE("7814")</f>
        <v>7814</v>
      </c>
    </row>
    <row r="978" spans="1:5" x14ac:dyDescent="0.25">
      <c r="A978" s="6" t="s">
        <v>1877</v>
      </c>
      <c r="B978" s="6" t="s">
        <v>1878</v>
      </c>
      <c r="C978" s="1">
        <f>VALUE("2016")</f>
        <v>2016</v>
      </c>
      <c r="D978" t="s">
        <v>748</v>
      </c>
      <c r="E978" s="1">
        <f>VALUE("7816")</f>
        <v>7816</v>
      </c>
    </row>
    <row r="979" spans="1:5" x14ac:dyDescent="0.25">
      <c r="A979" s="6" t="s">
        <v>1882</v>
      </c>
      <c r="B979" s="6" t="s">
        <v>1880</v>
      </c>
      <c r="C979" s="1">
        <f>VALUE("2019")</f>
        <v>2019</v>
      </c>
      <c r="D979" t="s">
        <v>927</v>
      </c>
      <c r="E979" s="1">
        <f>VALUE("7819")</f>
        <v>7819</v>
      </c>
    </row>
    <row r="980" spans="1:5" x14ac:dyDescent="0.25">
      <c r="A980" s="6" t="s">
        <v>1879</v>
      </c>
      <c r="B980" s="6" t="s">
        <v>1880</v>
      </c>
      <c r="C980" s="1">
        <f>VALUE("2019")</f>
        <v>2019</v>
      </c>
      <c r="D980" t="s">
        <v>1881</v>
      </c>
      <c r="E980" s="1">
        <f>VALUE("7819")</f>
        <v>7819</v>
      </c>
    </row>
    <row r="981" spans="1:5" x14ac:dyDescent="0.25">
      <c r="A981" s="6" t="s">
        <v>1883</v>
      </c>
      <c r="B981" s="6" t="s">
        <v>1884</v>
      </c>
      <c r="C981" s="1">
        <f>VALUE("2017")</f>
        <v>2017</v>
      </c>
      <c r="D981" t="s">
        <v>640</v>
      </c>
      <c r="E981" s="1">
        <f>VALUE("7821")</f>
        <v>7821</v>
      </c>
    </row>
    <row r="982" spans="1:5" x14ac:dyDescent="0.25">
      <c r="A982" s="6" t="s">
        <v>2677</v>
      </c>
      <c r="B982" s="6" t="s">
        <v>1885</v>
      </c>
      <c r="C982" s="1">
        <f>VALUE("2017")</f>
        <v>2017</v>
      </c>
      <c r="D982" t="s">
        <v>1886</v>
      </c>
      <c r="E982" s="1">
        <f>VALUE("7824")</f>
        <v>7824</v>
      </c>
    </row>
    <row r="983" spans="1:5" x14ac:dyDescent="0.25">
      <c r="A983" s="6" t="s">
        <v>2678</v>
      </c>
      <c r="B983" s="6" t="s">
        <v>1887</v>
      </c>
      <c r="C983" s="1">
        <f>VALUE("2016")</f>
        <v>2016</v>
      </c>
      <c r="D983" t="s">
        <v>1277</v>
      </c>
      <c r="E983" s="1">
        <f>VALUE("7827")</f>
        <v>7827</v>
      </c>
    </row>
    <row r="984" spans="1:5" x14ac:dyDescent="0.25">
      <c r="A984" s="6" t="s">
        <v>1888</v>
      </c>
      <c r="B984" s="6" t="s">
        <v>1889</v>
      </c>
      <c r="C984" s="1">
        <f>VALUE("2015")</f>
        <v>2015</v>
      </c>
      <c r="D984" t="s">
        <v>1889</v>
      </c>
      <c r="E984" s="1">
        <f>VALUE("7830")</f>
        <v>7830</v>
      </c>
    </row>
    <row r="985" spans="1:5" x14ac:dyDescent="0.25">
      <c r="A985" s="6" t="s">
        <v>1890</v>
      </c>
      <c r="B985" s="6" t="s">
        <v>1889</v>
      </c>
      <c r="C985" s="1">
        <f>VALUE("2017")</f>
        <v>2017</v>
      </c>
      <c r="D985" t="s">
        <v>1889</v>
      </c>
      <c r="E985" s="1">
        <f>VALUE("7830")</f>
        <v>7830</v>
      </c>
    </row>
    <row r="986" spans="1:5" x14ac:dyDescent="0.25">
      <c r="A986" s="6" t="s">
        <v>1891</v>
      </c>
      <c r="B986" s="6" t="s">
        <v>1889</v>
      </c>
      <c r="C986" s="1">
        <f>VALUE("2017")</f>
        <v>2017</v>
      </c>
      <c r="D986" t="s">
        <v>1889</v>
      </c>
      <c r="E986" s="1">
        <f>VALUE("7830")</f>
        <v>7830</v>
      </c>
    </row>
    <row r="987" spans="1:5" x14ac:dyDescent="0.25">
      <c r="A987" s="6" t="s">
        <v>1892</v>
      </c>
      <c r="B987" s="6" t="s">
        <v>1893</v>
      </c>
      <c r="C987" s="1">
        <f>VALUE("2018")</f>
        <v>2018</v>
      </c>
      <c r="D987" t="s">
        <v>1894</v>
      </c>
      <c r="E987" s="1">
        <f>VALUE("7830")</f>
        <v>7830</v>
      </c>
    </row>
    <row r="988" spans="1:5" x14ac:dyDescent="0.25">
      <c r="A988" s="6" t="s">
        <v>1895</v>
      </c>
      <c r="B988" s="6" t="s">
        <v>1896</v>
      </c>
      <c r="C988" s="1">
        <f>VALUE("2016")</f>
        <v>2016</v>
      </c>
      <c r="D988" t="s">
        <v>1897</v>
      </c>
      <c r="E988" s="1">
        <f>VALUE("7832")</f>
        <v>7832</v>
      </c>
    </row>
    <row r="989" spans="1:5" x14ac:dyDescent="0.25">
      <c r="A989" s="6" t="s">
        <v>1898</v>
      </c>
      <c r="B989" s="6" t="s">
        <v>1899</v>
      </c>
      <c r="C989" s="1">
        <f>VALUE("2015")</f>
        <v>2015</v>
      </c>
      <c r="D989" t="s">
        <v>1900</v>
      </c>
      <c r="E989" s="1">
        <f>VALUE("7834")</f>
        <v>7834</v>
      </c>
    </row>
    <row r="990" spans="1:5" x14ac:dyDescent="0.25">
      <c r="A990" s="6" t="s">
        <v>1901</v>
      </c>
      <c r="B990" s="6" t="s">
        <v>1902</v>
      </c>
      <c r="C990" s="1">
        <f>VALUE("2018")</f>
        <v>2018</v>
      </c>
      <c r="D990" t="s">
        <v>1605</v>
      </c>
      <c r="E990" s="1">
        <f>VALUE("7839")</f>
        <v>7839</v>
      </c>
    </row>
    <row r="991" spans="1:5" x14ac:dyDescent="0.25">
      <c r="A991" s="6" t="s">
        <v>1903</v>
      </c>
      <c r="B991" s="6" t="s">
        <v>1904</v>
      </c>
      <c r="C991" s="1">
        <f>VALUE("2017")</f>
        <v>2017</v>
      </c>
      <c r="D991" t="s">
        <v>647</v>
      </c>
      <c r="E991" s="1">
        <f>VALUE("7841")</f>
        <v>7841</v>
      </c>
    </row>
    <row r="992" spans="1:5" x14ac:dyDescent="0.25">
      <c r="A992" s="6" t="s">
        <v>1905</v>
      </c>
      <c r="B992" s="6" t="s">
        <v>1906</v>
      </c>
      <c r="C992" s="1">
        <f>VALUE("2017")</f>
        <v>2017</v>
      </c>
      <c r="D992" t="s">
        <v>1907</v>
      </c>
      <c r="E992" s="1">
        <f>VALUE("7847")</f>
        <v>7847</v>
      </c>
    </row>
    <row r="993" spans="1:5" x14ac:dyDescent="0.25">
      <c r="A993" s="6" t="s">
        <v>1908</v>
      </c>
      <c r="B993" s="6" t="s">
        <v>1909</v>
      </c>
      <c r="C993" s="1">
        <f>VALUE("2017")</f>
        <v>2017</v>
      </c>
      <c r="D993" t="s">
        <v>1910</v>
      </c>
      <c r="E993" s="1">
        <f>VALUE("7847")</f>
        <v>7847</v>
      </c>
    </row>
    <row r="994" spans="1:5" x14ac:dyDescent="0.25">
      <c r="A994" s="6" t="s">
        <v>1911</v>
      </c>
      <c r="B994" s="6" t="s">
        <v>1912</v>
      </c>
      <c r="C994" s="1">
        <f>VALUE("2018")</f>
        <v>2018</v>
      </c>
      <c r="D994" t="s">
        <v>1907</v>
      </c>
      <c r="E994" s="1">
        <f>VALUE("7847")</f>
        <v>7847</v>
      </c>
    </row>
    <row r="995" spans="1:5" x14ac:dyDescent="0.25">
      <c r="A995" s="6" t="s">
        <v>1913</v>
      </c>
      <c r="B995" s="6" t="s">
        <v>1914</v>
      </c>
      <c r="C995" s="1">
        <f>VALUE("2016")</f>
        <v>2016</v>
      </c>
      <c r="D995" t="s">
        <v>814</v>
      </c>
      <c r="E995" s="1">
        <f>VALUE("7852")</f>
        <v>7852</v>
      </c>
    </row>
    <row r="996" spans="1:5" x14ac:dyDescent="0.25">
      <c r="A996" s="6" t="s">
        <v>1915</v>
      </c>
      <c r="B996" s="6" t="s">
        <v>1916</v>
      </c>
      <c r="C996" s="1">
        <f>VALUE("2016")</f>
        <v>2016</v>
      </c>
      <c r="D996" t="s">
        <v>1492</v>
      </c>
      <c r="E996" s="1">
        <f>VALUE("7853")</f>
        <v>7853</v>
      </c>
    </row>
    <row r="997" spans="1:5" x14ac:dyDescent="0.25">
      <c r="A997" s="6" t="s">
        <v>1917</v>
      </c>
      <c r="B997" s="6" t="s">
        <v>1918</v>
      </c>
      <c r="C997" s="1">
        <f>VALUE("2017")</f>
        <v>2017</v>
      </c>
      <c r="D997" t="s">
        <v>1492</v>
      </c>
      <c r="E997" s="1">
        <f>VALUE("7853")</f>
        <v>7853</v>
      </c>
    </row>
    <row r="998" spans="1:5" x14ac:dyDescent="0.25">
      <c r="A998" s="6" t="s">
        <v>1919</v>
      </c>
      <c r="B998" s="6" t="s">
        <v>1920</v>
      </c>
      <c r="C998" s="1">
        <f>VALUE("2017")</f>
        <v>2017</v>
      </c>
      <c r="D998" t="s">
        <v>1921</v>
      </c>
      <c r="E998" s="1">
        <f>VALUE("7855")</f>
        <v>7855</v>
      </c>
    </row>
    <row r="999" spans="1:5" x14ac:dyDescent="0.25">
      <c r="A999" s="6" t="s">
        <v>1922</v>
      </c>
      <c r="B999" s="6" t="s">
        <v>1923</v>
      </c>
      <c r="C999" s="1">
        <f>VALUE("2019")</f>
        <v>2019</v>
      </c>
      <c r="D999" t="s">
        <v>1924</v>
      </c>
      <c r="E999" s="1">
        <f>VALUE("7856")</f>
        <v>7856</v>
      </c>
    </row>
    <row r="1000" spans="1:5" x14ac:dyDescent="0.25">
      <c r="A1000" s="6" t="s">
        <v>1925</v>
      </c>
      <c r="B1000" s="6" t="s">
        <v>1926</v>
      </c>
      <c r="C1000" s="1">
        <v>2016</v>
      </c>
      <c r="D1000" t="s">
        <v>1927</v>
      </c>
      <c r="E1000" s="1">
        <f>VALUE("7864")</f>
        <v>7864</v>
      </c>
    </row>
    <row r="1001" spans="1:5" x14ac:dyDescent="0.25">
      <c r="A1001" s="6" t="s">
        <v>1928</v>
      </c>
      <c r="B1001" s="6" t="s">
        <v>1929</v>
      </c>
      <c r="C1001" s="1">
        <f>VALUE("2019")</f>
        <v>2019</v>
      </c>
      <c r="D1001" t="s">
        <v>1930</v>
      </c>
      <c r="E1001" s="1">
        <f>VALUE("7866")</f>
        <v>7866</v>
      </c>
    </row>
    <row r="1002" spans="1:5" x14ac:dyDescent="0.25">
      <c r="A1002" s="6" t="s">
        <v>1931</v>
      </c>
      <c r="B1002" s="6" t="s">
        <v>1597</v>
      </c>
      <c r="C1002" s="1">
        <f>VALUE("2018")</f>
        <v>2018</v>
      </c>
      <c r="D1002" t="s">
        <v>1932</v>
      </c>
      <c r="E1002" s="1">
        <f>VALUE("7870")</f>
        <v>7870</v>
      </c>
    </row>
    <row r="1003" spans="1:5" x14ac:dyDescent="0.25">
      <c r="A1003" s="6" t="s">
        <v>1933</v>
      </c>
      <c r="B1003" s="6" t="s">
        <v>1934</v>
      </c>
      <c r="C1003" s="1">
        <f>VALUE("2018")</f>
        <v>2018</v>
      </c>
      <c r="D1003" t="s">
        <v>184</v>
      </c>
      <c r="E1003" s="1">
        <f>VALUE("7874")</f>
        <v>7874</v>
      </c>
    </row>
    <row r="1004" spans="1:5" x14ac:dyDescent="0.25">
      <c r="A1004" s="6" t="s">
        <v>1937</v>
      </c>
      <c r="B1004" s="6" t="s">
        <v>1938</v>
      </c>
      <c r="C1004" s="1">
        <f>VALUE("2019")</f>
        <v>2019</v>
      </c>
      <c r="D1004" t="s">
        <v>835</v>
      </c>
      <c r="E1004" s="1">
        <f>VALUE("7876")</f>
        <v>7876</v>
      </c>
    </row>
    <row r="1005" spans="1:5" x14ac:dyDescent="0.25">
      <c r="A1005" s="6" t="s">
        <v>1935</v>
      </c>
      <c r="B1005" s="6" t="s">
        <v>1936</v>
      </c>
      <c r="C1005" s="1">
        <f>VALUE("2019")</f>
        <v>2019</v>
      </c>
      <c r="D1005" t="s">
        <v>835</v>
      </c>
      <c r="E1005" s="1">
        <f>VALUE("7876")</f>
        <v>7876</v>
      </c>
    </row>
    <row r="1006" spans="1:5" x14ac:dyDescent="0.25">
      <c r="A1006" s="6" t="s">
        <v>1939</v>
      </c>
      <c r="B1006" s="6" t="s">
        <v>1940</v>
      </c>
      <c r="C1006" s="1">
        <f>VALUE("2019")</f>
        <v>2019</v>
      </c>
      <c r="D1006" t="s">
        <v>141</v>
      </c>
      <c r="E1006" s="1">
        <f>VALUE("7877")</f>
        <v>7877</v>
      </c>
    </row>
    <row r="1007" spans="1:5" x14ac:dyDescent="0.25">
      <c r="A1007" s="6" t="s">
        <v>1941</v>
      </c>
      <c r="B1007" s="6" t="s">
        <v>1942</v>
      </c>
      <c r="C1007" s="1">
        <f>VALUE("2016")</f>
        <v>2016</v>
      </c>
      <c r="D1007" t="s">
        <v>1943</v>
      </c>
      <c r="E1007" s="1">
        <f>VALUE("7878")</f>
        <v>7878</v>
      </c>
    </row>
    <row r="1008" spans="1:5" x14ac:dyDescent="0.25">
      <c r="A1008" s="6" t="s">
        <v>1947</v>
      </c>
      <c r="B1008" s="6" t="s">
        <v>1948</v>
      </c>
      <c r="C1008" s="1">
        <f>VALUE("2017")</f>
        <v>2017</v>
      </c>
      <c r="D1008" t="s">
        <v>1946</v>
      </c>
      <c r="E1008" s="1">
        <f>VALUE("7879")</f>
        <v>7879</v>
      </c>
    </row>
    <row r="1009" spans="1:5" x14ac:dyDescent="0.25">
      <c r="A1009" s="6" t="s">
        <v>1944</v>
      </c>
      <c r="B1009" s="6" t="s">
        <v>1945</v>
      </c>
      <c r="C1009" s="1">
        <f>VALUE("2018")</f>
        <v>2018</v>
      </c>
      <c r="D1009" t="s">
        <v>1946</v>
      </c>
      <c r="E1009" s="1">
        <f>VALUE("7879")</f>
        <v>7879</v>
      </c>
    </row>
    <row r="1010" spans="1:5" x14ac:dyDescent="0.25">
      <c r="A1010" s="6" t="s">
        <v>1949</v>
      </c>
      <c r="B1010" s="6" t="s">
        <v>1950</v>
      </c>
      <c r="C1010" s="1">
        <f>VALUE("2019")</f>
        <v>2019</v>
      </c>
      <c r="D1010" t="s">
        <v>912</v>
      </c>
      <c r="E1010" s="1">
        <f>VALUE("7883")</f>
        <v>7883</v>
      </c>
    </row>
    <row r="1011" spans="1:5" x14ac:dyDescent="0.25">
      <c r="A1011" s="6" t="s">
        <v>1951</v>
      </c>
      <c r="B1011" s="6" t="s">
        <v>1952</v>
      </c>
      <c r="C1011" s="1">
        <f>VALUE("2016")</f>
        <v>2016</v>
      </c>
      <c r="D1011" t="s">
        <v>1033</v>
      </c>
      <c r="E1011" s="1">
        <f>VALUE("7891")</f>
        <v>7891</v>
      </c>
    </row>
    <row r="1012" spans="1:5" x14ac:dyDescent="0.25">
      <c r="A1012" s="6" t="s">
        <v>1953</v>
      </c>
      <c r="B1012" s="6" t="s">
        <v>1954</v>
      </c>
      <c r="C1012" s="1">
        <f>VALUE("2018")</f>
        <v>2018</v>
      </c>
      <c r="D1012" t="s">
        <v>1033</v>
      </c>
      <c r="E1012" s="1">
        <f>VALUE("7893")</f>
        <v>7893</v>
      </c>
    </row>
    <row r="1013" spans="1:5" x14ac:dyDescent="0.25">
      <c r="A1013" s="6" t="s">
        <v>1955</v>
      </c>
      <c r="B1013" s="6" t="s">
        <v>1954</v>
      </c>
      <c r="C1013" s="1">
        <f>VALUE("2018")</f>
        <v>2018</v>
      </c>
      <c r="D1013" t="s">
        <v>1033</v>
      </c>
      <c r="E1013" s="1">
        <f>VALUE("7893")</f>
        <v>7893</v>
      </c>
    </row>
    <row r="1014" spans="1:5" x14ac:dyDescent="0.25">
      <c r="A1014" s="6" t="s">
        <v>1956</v>
      </c>
      <c r="B1014" s="6" t="s">
        <v>1957</v>
      </c>
      <c r="C1014" s="1">
        <f>VALUE("2015")</f>
        <v>2015</v>
      </c>
      <c r="D1014" t="s">
        <v>1958</v>
      </c>
      <c r="E1014" s="1">
        <f>VALUE("7894")</f>
        <v>7894</v>
      </c>
    </row>
    <row r="1015" spans="1:5" x14ac:dyDescent="0.25">
      <c r="A1015" s="6" t="s">
        <v>1959</v>
      </c>
      <c r="B1015" s="6" t="s">
        <v>1960</v>
      </c>
      <c r="C1015" s="1">
        <f>VALUE("2016")</f>
        <v>2016</v>
      </c>
      <c r="D1015" t="s">
        <v>1961</v>
      </c>
      <c r="E1015" s="1">
        <f>VALUE("7901")</f>
        <v>7901</v>
      </c>
    </row>
    <row r="1016" spans="1:5" x14ac:dyDescent="0.25">
      <c r="A1016" s="6" t="s">
        <v>1962</v>
      </c>
      <c r="B1016" s="6" t="s">
        <v>1963</v>
      </c>
      <c r="C1016" s="1">
        <f>VALUE("2019")</f>
        <v>2019</v>
      </c>
      <c r="D1016" t="s">
        <v>1964</v>
      </c>
      <c r="E1016" s="1">
        <f>VALUE("7905")</f>
        <v>7905</v>
      </c>
    </row>
    <row r="1017" spans="1:5" x14ac:dyDescent="0.25">
      <c r="A1017" s="6" t="s">
        <v>1965</v>
      </c>
      <c r="B1017" s="6" t="s">
        <v>1966</v>
      </c>
      <c r="C1017" s="1">
        <f>VALUE("2017")</f>
        <v>2017</v>
      </c>
      <c r="D1017" t="s">
        <v>1967</v>
      </c>
      <c r="E1017" s="1">
        <f>VALUE("7906")</f>
        <v>7906</v>
      </c>
    </row>
    <row r="1018" spans="1:5" x14ac:dyDescent="0.25">
      <c r="A1018" s="6" t="s">
        <v>1971</v>
      </c>
      <c r="B1018" s="6" t="s">
        <v>1972</v>
      </c>
      <c r="C1018" s="1">
        <v>2016</v>
      </c>
      <c r="D1018" t="s">
        <v>1973</v>
      </c>
      <c r="E1018" s="1">
        <f>VALUE("7913")</f>
        <v>7913</v>
      </c>
    </row>
    <row r="1019" spans="1:5" x14ac:dyDescent="0.25">
      <c r="A1019" s="6" t="s">
        <v>1968</v>
      </c>
      <c r="B1019" s="6" t="s">
        <v>1969</v>
      </c>
      <c r="C1019" s="1">
        <f>VALUE("2017")</f>
        <v>2017</v>
      </c>
      <c r="D1019" t="s">
        <v>1970</v>
      </c>
      <c r="E1019" s="1">
        <f>VALUE("7913")</f>
        <v>7913</v>
      </c>
    </row>
    <row r="1020" spans="1:5" x14ac:dyDescent="0.25">
      <c r="A1020" s="6" t="s">
        <v>1974</v>
      </c>
      <c r="B1020" s="6" t="s">
        <v>1975</v>
      </c>
      <c r="C1020" s="1">
        <f>VALUE("2017")</f>
        <v>2017</v>
      </c>
      <c r="D1020" t="s">
        <v>1976</v>
      </c>
      <c r="E1020" s="1">
        <f>VALUE("7919")</f>
        <v>7919</v>
      </c>
    </row>
    <row r="1021" spans="1:5" x14ac:dyDescent="0.25">
      <c r="A1021" s="6" t="s">
        <v>1977</v>
      </c>
      <c r="B1021" s="6" t="s">
        <v>1978</v>
      </c>
      <c r="C1021" s="1">
        <f>VALUE("2017")</f>
        <v>2017</v>
      </c>
      <c r="D1021" t="s">
        <v>1462</v>
      </c>
      <c r="E1021" s="1">
        <f>VALUE("7920")</f>
        <v>7920</v>
      </c>
    </row>
    <row r="1022" spans="1:5" x14ac:dyDescent="0.25">
      <c r="A1022" s="6" t="s">
        <v>1979</v>
      </c>
      <c r="B1022" s="6" t="s">
        <v>1980</v>
      </c>
      <c r="C1022" s="1">
        <f>VALUE("2017")</f>
        <v>2017</v>
      </c>
      <c r="D1022" t="s">
        <v>1462</v>
      </c>
      <c r="E1022" s="1">
        <f>VALUE("7921")</f>
        <v>7921</v>
      </c>
    </row>
    <row r="1023" spans="1:5" x14ac:dyDescent="0.25">
      <c r="A1023" s="6" t="s">
        <v>1981</v>
      </c>
      <c r="B1023" s="6" t="s">
        <v>1982</v>
      </c>
      <c r="C1023" s="1">
        <f>VALUE("2017")</f>
        <v>2017</v>
      </c>
      <c r="D1023" t="s">
        <v>1462</v>
      </c>
      <c r="E1023" s="1">
        <f>VALUE("7922")</f>
        <v>7922</v>
      </c>
    </row>
    <row r="1024" spans="1:5" x14ac:dyDescent="0.25">
      <c r="A1024" s="6" t="s">
        <v>1983</v>
      </c>
      <c r="B1024" s="6" t="s">
        <v>1984</v>
      </c>
      <c r="C1024" s="1">
        <f>VALUE("2019")</f>
        <v>2019</v>
      </c>
      <c r="D1024" t="s">
        <v>1462</v>
      </c>
      <c r="E1024" s="1">
        <f>VALUE("7922")</f>
        <v>7922</v>
      </c>
    </row>
    <row r="1025" spans="1:5" x14ac:dyDescent="0.25">
      <c r="A1025" s="6" t="s">
        <v>1985</v>
      </c>
      <c r="B1025" s="6" t="s">
        <v>1986</v>
      </c>
      <c r="C1025" s="1">
        <f>VALUE("2019")</f>
        <v>2019</v>
      </c>
      <c r="D1025" t="s">
        <v>1987</v>
      </c>
      <c r="E1025" s="1">
        <f>VALUE("7924")</f>
        <v>7924</v>
      </c>
    </row>
    <row r="1026" spans="1:5" x14ac:dyDescent="0.25">
      <c r="A1026" s="6" t="s">
        <v>1988</v>
      </c>
      <c r="B1026" s="6" t="s">
        <v>1989</v>
      </c>
      <c r="C1026" s="1">
        <f>VALUE("2017")</f>
        <v>2017</v>
      </c>
      <c r="D1026" t="s">
        <v>1990</v>
      </c>
      <c r="E1026" s="1">
        <f>VALUE("7928")</f>
        <v>7928</v>
      </c>
    </row>
    <row r="1027" spans="1:5" x14ac:dyDescent="0.25">
      <c r="A1027" s="6" t="s">
        <v>1991</v>
      </c>
      <c r="B1027" s="6" t="s">
        <v>1992</v>
      </c>
      <c r="C1027" s="1">
        <f>VALUE("2016")</f>
        <v>2016</v>
      </c>
      <c r="D1027" t="s">
        <v>822</v>
      </c>
      <c r="E1027" s="1">
        <f>VALUE("7941")</f>
        <v>7941</v>
      </c>
    </row>
    <row r="1028" spans="1:5" x14ac:dyDescent="0.25">
      <c r="A1028" s="6" t="s">
        <v>1993</v>
      </c>
      <c r="B1028" s="6" t="s">
        <v>1994</v>
      </c>
      <c r="C1028" s="1">
        <f>VALUE("2019")</f>
        <v>2019</v>
      </c>
      <c r="D1028" t="s">
        <v>530</v>
      </c>
      <c r="E1028" s="1">
        <f>VALUE("7943")</f>
        <v>7943</v>
      </c>
    </row>
    <row r="1029" spans="1:5" x14ac:dyDescent="0.25">
      <c r="A1029" s="6" t="s">
        <v>1995</v>
      </c>
      <c r="B1029" s="6" t="s">
        <v>1996</v>
      </c>
      <c r="C1029" s="1">
        <f>VALUE("2017")</f>
        <v>2017</v>
      </c>
      <c r="D1029" t="s">
        <v>1997</v>
      </c>
      <c r="E1029" s="1">
        <f>VALUE("7944")</f>
        <v>7944</v>
      </c>
    </row>
    <row r="1030" spans="1:5" x14ac:dyDescent="0.25">
      <c r="A1030" s="6" t="s">
        <v>1998</v>
      </c>
      <c r="B1030" s="6" t="s">
        <v>1999</v>
      </c>
      <c r="C1030" s="1">
        <f>VALUE("2018")</f>
        <v>2018</v>
      </c>
      <c r="D1030" t="s">
        <v>640</v>
      </c>
      <c r="E1030" s="1">
        <f>VALUE("7957")</f>
        <v>7957</v>
      </c>
    </row>
    <row r="1031" spans="1:5" x14ac:dyDescent="0.25">
      <c r="A1031" s="6" t="s">
        <v>2000</v>
      </c>
      <c r="B1031" s="6" t="s">
        <v>2001</v>
      </c>
      <c r="C1031" s="1">
        <f>VALUE("2018")</f>
        <v>2018</v>
      </c>
      <c r="D1031" t="s">
        <v>2002</v>
      </c>
      <c r="E1031" s="1">
        <f>VALUE("7969")</f>
        <v>7969</v>
      </c>
    </row>
    <row r="1032" spans="1:5" x14ac:dyDescent="0.25">
      <c r="A1032" s="6" t="s">
        <v>2003</v>
      </c>
      <c r="B1032" s="6" t="s">
        <v>297</v>
      </c>
      <c r="C1032" s="1">
        <f>VALUE("2018")</f>
        <v>2018</v>
      </c>
      <c r="D1032" t="s">
        <v>2004</v>
      </c>
      <c r="E1032" s="1">
        <f>VALUE("7970")</f>
        <v>7970</v>
      </c>
    </row>
    <row r="1033" spans="1:5" x14ac:dyDescent="0.25">
      <c r="A1033" s="6" t="s">
        <v>2005</v>
      </c>
      <c r="B1033" s="6" t="s">
        <v>2006</v>
      </c>
      <c r="C1033" s="1">
        <f>VALUE("2018")</f>
        <v>2018</v>
      </c>
      <c r="D1033" t="s">
        <v>598</v>
      </c>
      <c r="E1033" s="1">
        <f>VALUE("7972")</f>
        <v>7972</v>
      </c>
    </row>
    <row r="1034" spans="1:5" x14ac:dyDescent="0.25">
      <c r="A1034" s="6" t="s">
        <v>2007</v>
      </c>
      <c r="B1034" s="6" t="s">
        <v>2008</v>
      </c>
      <c r="C1034" s="1">
        <f>VALUE("2017")</f>
        <v>2017</v>
      </c>
      <c r="D1034" t="s">
        <v>202</v>
      </c>
      <c r="E1034" s="1">
        <f>VALUE("7977")</f>
        <v>7977</v>
      </c>
    </row>
    <row r="1035" spans="1:5" x14ac:dyDescent="0.25">
      <c r="A1035" s="6" t="s">
        <v>2009</v>
      </c>
      <c r="B1035" s="6" t="s">
        <v>2008</v>
      </c>
      <c r="C1035" s="1">
        <f>VALUE("2017")</f>
        <v>2017</v>
      </c>
      <c r="D1035" t="s">
        <v>202</v>
      </c>
      <c r="E1035" s="1">
        <f>VALUE("7977")</f>
        <v>7977</v>
      </c>
    </row>
    <row r="1036" spans="1:5" x14ac:dyDescent="0.25">
      <c r="A1036" s="6" t="s">
        <v>2012</v>
      </c>
      <c r="B1036" s="6" t="s">
        <v>2013</v>
      </c>
      <c r="C1036" s="1">
        <v>2016</v>
      </c>
      <c r="D1036" t="s">
        <v>1651</v>
      </c>
      <c r="E1036" s="1">
        <f>VALUE("7981")</f>
        <v>7981</v>
      </c>
    </row>
    <row r="1037" spans="1:5" x14ac:dyDescent="0.25">
      <c r="A1037" s="6" t="s">
        <v>2010</v>
      </c>
      <c r="B1037" s="6" t="s">
        <v>2011</v>
      </c>
      <c r="C1037" s="1">
        <f>VALUE("2017")</f>
        <v>2017</v>
      </c>
      <c r="D1037" t="s">
        <v>1651</v>
      </c>
      <c r="E1037" s="1">
        <f>VALUE("7981")</f>
        <v>7981</v>
      </c>
    </row>
    <row r="1038" spans="1:5" x14ac:dyDescent="0.25">
      <c r="A1038" s="6" t="s">
        <v>2014</v>
      </c>
      <c r="B1038" s="6" t="s">
        <v>2015</v>
      </c>
      <c r="C1038" s="1">
        <f>VALUE("2017")</f>
        <v>2017</v>
      </c>
      <c r="D1038" t="s">
        <v>2016</v>
      </c>
      <c r="E1038" s="1">
        <f>VALUE("7982")</f>
        <v>7982</v>
      </c>
    </row>
    <row r="1039" spans="1:5" x14ac:dyDescent="0.25">
      <c r="A1039" s="6" t="s">
        <v>2017</v>
      </c>
      <c r="B1039" s="6" t="s">
        <v>2018</v>
      </c>
      <c r="C1039" s="1">
        <f>VALUE("2019")</f>
        <v>2019</v>
      </c>
      <c r="D1039" t="s">
        <v>1946</v>
      </c>
      <c r="E1039" s="1">
        <f>VALUE("7998")</f>
        <v>7998</v>
      </c>
    </row>
    <row r="1040" spans="1:5" x14ac:dyDescent="0.25">
      <c r="A1040" s="6" t="s">
        <v>2019</v>
      </c>
      <c r="B1040" s="6" t="s">
        <v>2020</v>
      </c>
      <c r="C1040" s="1">
        <f>VALUE("2018")</f>
        <v>2018</v>
      </c>
      <c r="D1040" t="s">
        <v>2021</v>
      </c>
      <c r="E1040" s="1">
        <f>VALUE("7999")</f>
        <v>7999</v>
      </c>
    </row>
    <row r="1041" spans="1:5" x14ac:dyDescent="0.25">
      <c r="A1041" s="6" t="s">
        <v>2022</v>
      </c>
      <c r="B1041" s="6" t="s">
        <v>2023</v>
      </c>
      <c r="C1041" s="1">
        <v>2017</v>
      </c>
      <c r="D1041" t="s">
        <v>598</v>
      </c>
      <c r="E1041" s="1">
        <f>VALUE("8002")</f>
        <v>8002</v>
      </c>
    </row>
    <row r="1042" spans="1:5" x14ac:dyDescent="0.25">
      <c r="A1042" s="6" t="s">
        <v>2024</v>
      </c>
      <c r="B1042" s="6" t="s">
        <v>2025</v>
      </c>
      <c r="C1042" s="1">
        <f>VALUE("2018")</f>
        <v>2018</v>
      </c>
      <c r="D1042" t="s">
        <v>2026</v>
      </c>
      <c r="E1042" s="1">
        <f>VALUE("8007")</f>
        <v>8007</v>
      </c>
    </row>
    <row r="1043" spans="1:5" x14ac:dyDescent="0.25">
      <c r="A1043" s="6" t="s">
        <v>2029</v>
      </c>
      <c r="B1043" s="6" t="s">
        <v>2030</v>
      </c>
      <c r="C1043" s="1">
        <f>VALUE("2017")</f>
        <v>2017</v>
      </c>
      <c r="D1043" t="s">
        <v>530</v>
      </c>
      <c r="E1043" s="1">
        <f>VALUE("8022")</f>
        <v>8022</v>
      </c>
    </row>
    <row r="1044" spans="1:5" x14ac:dyDescent="0.25">
      <c r="A1044" s="6" t="s">
        <v>2031</v>
      </c>
      <c r="B1044" s="6" t="s">
        <v>2032</v>
      </c>
      <c r="C1044" s="1">
        <f>VALUE("2017")</f>
        <v>2017</v>
      </c>
      <c r="D1044" t="s">
        <v>530</v>
      </c>
      <c r="E1044" s="1">
        <f>VALUE("8022")</f>
        <v>8022</v>
      </c>
    </row>
    <row r="1045" spans="1:5" x14ac:dyDescent="0.25">
      <c r="A1045" s="6" t="s">
        <v>2027</v>
      </c>
      <c r="B1045" s="6" t="s">
        <v>2028</v>
      </c>
      <c r="C1045" s="1">
        <f>VALUE("2017")</f>
        <v>2017</v>
      </c>
      <c r="D1045" t="s">
        <v>530</v>
      </c>
      <c r="E1045" s="1">
        <f>VALUE("8022")</f>
        <v>8022</v>
      </c>
    </row>
    <row r="1046" spans="1:5" x14ac:dyDescent="0.25">
      <c r="A1046" s="6" t="s">
        <v>2033</v>
      </c>
      <c r="B1046" s="6" t="s">
        <v>2034</v>
      </c>
      <c r="C1046" s="1">
        <v>2019</v>
      </c>
      <c r="D1046" t="s">
        <v>2035</v>
      </c>
      <c r="E1046" s="1">
        <f>VALUE("8024")</f>
        <v>8024</v>
      </c>
    </row>
    <row r="1047" spans="1:5" x14ac:dyDescent="0.25">
      <c r="A1047" s="6" t="s">
        <v>2036</v>
      </c>
      <c r="B1047" s="6" t="s">
        <v>2037</v>
      </c>
      <c r="C1047" s="1">
        <f>VALUE("2017")</f>
        <v>2017</v>
      </c>
      <c r="D1047" t="s">
        <v>506</v>
      </c>
      <c r="E1047" s="1">
        <f>VALUE("8027")</f>
        <v>8027</v>
      </c>
    </row>
    <row r="1048" spans="1:5" x14ac:dyDescent="0.25">
      <c r="A1048" s="6" t="s">
        <v>2038</v>
      </c>
      <c r="B1048" s="6" t="s">
        <v>2039</v>
      </c>
      <c r="C1048" s="1">
        <f>VALUE("2017")</f>
        <v>2017</v>
      </c>
      <c r="D1048" t="s">
        <v>2040</v>
      </c>
      <c r="E1048" s="1">
        <f>VALUE("8028")</f>
        <v>8028</v>
      </c>
    </row>
    <row r="1049" spans="1:5" x14ac:dyDescent="0.25">
      <c r="A1049" s="6" t="s">
        <v>2042</v>
      </c>
      <c r="B1049" s="6" t="s">
        <v>2043</v>
      </c>
      <c r="C1049" s="1">
        <f>VALUE("2017")</f>
        <v>2017</v>
      </c>
      <c r="D1049" t="s">
        <v>1193</v>
      </c>
      <c r="E1049" s="1">
        <f>VALUE("8031")</f>
        <v>8031</v>
      </c>
    </row>
    <row r="1050" spans="1:5" x14ac:dyDescent="0.25">
      <c r="A1050" s="6" t="s">
        <v>2041</v>
      </c>
      <c r="C1050" s="1">
        <f>VALUE("2017")</f>
        <v>2017</v>
      </c>
      <c r="D1050" t="s">
        <v>1193</v>
      </c>
      <c r="E1050" s="1">
        <f>VALUE("8031")</f>
        <v>8031</v>
      </c>
    </row>
    <row r="1051" spans="1:5" x14ac:dyDescent="0.25">
      <c r="A1051" s="6" t="s">
        <v>2044</v>
      </c>
      <c r="B1051" s="6" t="s">
        <v>2045</v>
      </c>
      <c r="C1051" s="1">
        <f>VALUE("2017")</f>
        <v>2017</v>
      </c>
      <c r="D1051" t="s">
        <v>506</v>
      </c>
      <c r="E1051" s="1">
        <f>VALUE("8034")</f>
        <v>8034</v>
      </c>
    </row>
    <row r="1052" spans="1:5" x14ac:dyDescent="0.25">
      <c r="A1052" s="6" t="s">
        <v>2046</v>
      </c>
      <c r="B1052" s="6" t="s">
        <v>2047</v>
      </c>
      <c r="C1052" s="1">
        <f>VALUE("2017")</f>
        <v>2017</v>
      </c>
      <c r="D1052" t="s">
        <v>748</v>
      </c>
      <c r="E1052" s="1">
        <f>VALUE("8037")</f>
        <v>8037</v>
      </c>
    </row>
    <row r="1053" spans="1:5" x14ac:dyDescent="0.25">
      <c r="A1053" s="6" t="s">
        <v>2051</v>
      </c>
      <c r="B1053" s="6" t="s">
        <v>2052</v>
      </c>
      <c r="C1053" s="1">
        <f>VALUE("2017")</f>
        <v>2017</v>
      </c>
      <c r="D1053" t="s">
        <v>1900</v>
      </c>
      <c r="E1053" s="1">
        <f>VALUE("8039")</f>
        <v>8039</v>
      </c>
    </row>
    <row r="1054" spans="1:5" x14ac:dyDescent="0.25">
      <c r="A1054" s="6" t="s">
        <v>2048</v>
      </c>
      <c r="B1054" s="6" t="s">
        <v>2049</v>
      </c>
      <c r="C1054" s="1">
        <f>VALUE("2017")</f>
        <v>2017</v>
      </c>
      <c r="D1054" t="s">
        <v>2050</v>
      </c>
      <c r="E1054" s="1">
        <f>VALUE("8039")</f>
        <v>8039</v>
      </c>
    </row>
    <row r="1055" spans="1:5" x14ac:dyDescent="0.25">
      <c r="A1055" s="6" t="s">
        <v>2053</v>
      </c>
      <c r="B1055" s="6" t="s">
        <v>2054</v>
      </c>
      <c r="C1055" s="1">
        <f>VALUE("2017")</f>
        <v>2017</v>
      </c>
      <c r="D1055" t="s">
        <v>530</v>
      </c>
      <c r="E1055" s="1">
        <f>VALUE("8040")</f>
        <v>8040</v>
      </c>
    </row>
    <row r="1056" spans="1:5" x14ac:dyDescent="0.25">
      <c r="A1056" s="6" t="s">
        <v>2053</v>
      </c>
      <c r="B1056" s="6" t="s">
        <v>2055</v>
      </c>
      <c r="C1056" s="1">
        <f>VALUE("2017")</f>
        <v>2017</v>
      </c>
      <c r="D1056" t="s">
        <v>2056</v>
      </c>
      <c r="E1056" s="1">
        <f>VALUE("8040")</f>
        <v>8040</v>
      </c>
    </row>
    <row r="1057" spans="1:5" x14ac:dyDescent="0.25">
      <c r="A1057" s="6" t="s">
        <v>2057</v>
      </c>
      <c r="B1057" s="6" t="s">
        <v>2058</v>
      </c>
      <c r="C1057" s="1">
        <f>VALUE("2017")</f>
        <v>2017</v>
      </c>
      <c r="D1057" t="s">
        <v>2059</v>
      </c>
      <c r="E1057" s="1">
        <f>VALUE("8041")</f>
        <v>8041</v>
      </c>
    </row>
    <row r="1058" spans="1:5" x14ac:dyDescent="0.25">
      <c r="A1058" s="6" t="s">
        <v>2060</v>
      </c>
      <c r="B1058" s="6" t="s">
        <v>2061</v>
      </c>
      <c r="C1058" s="1">
        <f>VALUE("2017")</f>
        <v>2017</v>
      </c>
      <c r="D1058" t="s">
        <v>814</v>
      </c>
      <c r="E1058" s="1">
        <f>VALUE("8042")</f>
        <v>8042</v>
      </c>
    </row>
    <row r="1059" spans="1:5" x14ac:dyDescent="0.25">
      <c r="A1059" s="6" t="s">
        <v>2062</v>
      </c>
      <c r="B1059" s="6" t="s">
        <v>2063</v>
      </c>
      <c r="C1059" s="1">
        <f>VALUE("2018")</f>
        <v>2018</v>
      </c>
      <c r="D1059" t="s">
        <v>530</v>
      </c>
      <c r="E1059" s="1">
        <f>VALUE("8044")</f>
        <v>8044</v>
      </c>
    </row>
    <row r="1060" spans="1:5" x14ac:dyDescent="0.25">
      <c r="A1060" s="6" t="s">
        <v>2065</v>
      </c>
      <c r="B1060" s="6" t="s">
        <v>2063</v>
      </c>
      <c r="C1060" s="1">
        <f>VALUE("2018")</f>
        <v>2018</v>
      </c>
      <c r="D1060" t="s">
        <v>530</v>
      </c>
      <c r="E1060" s="1">
        <f>VALUE("8044")</f>
        <v>8044</v>
      </c>
    </row>
    <row r="1061" spans="1:5" x14ac:dyDescent="0.25">
      <c r="A1061" s="6" t="s">
        <v>2064</v>
      </c>
      <c r="B1061" s="6" t="s">
        <v>2063</v>
      </c>
      <c r="C1061" s="1">
        <f>VALUE("2018")</f>
        <v>2018</v>
      </c>
      <c r="D1061" t="s">
        <v>530</v>
      </c>
      <c r="E1061" s="1">
        <f>VALUE("8044")</f>
        <v>8044</v>
      </c>
    </row>
    <row r="1062" spans="1:5" x14ac:dyDescent="0.25">
      <c r="A1062" s="6" t="s">
        <v>2066</v>
      </c>
      <c r="B1062" s="6" t="s">
        <v>2067</v>
      </c>
      <c r="C1062" s="1">
        <f>VALUE("2019")</f>
        <v>2019</v>
      </c>
      <c r="D1062" t="s">
        <v>530</v>
      </c>
      <c r="E1062" s="1">
        <f>VALUE("8044")</f>
        <v>8044</v>
      </c>
    </row>
    <row r="1063" spans="1:5" x14ac:dyDescent="0.25">
      <c r="A1063" s="6" t="s">
        <v>2068</v>
      </c>
      <c r="B1063" s="6" t="s">
        <v>2069</v>
      </c>
      <c r="C1063" s="1">
        <f>VALUE("2017")</f>
        <v>2017</v>
      </c>
      <c r="D1063" t="s">
        <v>530</v>
      </c>
      <c r="E1063" s="1">
        <f>VALUE("8051")</f>
        <v>8051</v>
      </c>
    </row>
    <row r="1064" spans="1:5" x14ac:dyDescent="0.25">
      <c r="A1064" s="6" t="s">
        <v>2070</v>
      </c>
      <c r="B1064" s="6" t="s">
        <v>2071</v>
      </c>
      <c r="C1064" s="1">
        <f>VALUE("2018")</f>
        <v>2018</v>
      </c>
      <c r="D1064" t="s">
        <v>202</v>
      </c>
      <c r="E1064" s="1">
        <f>VALUE("8066")</f>
        <v>8066</v>
      </c>
    </row>
    <row r="1065" spans="1:5" x14ac:dyDescent="0.25">
      <c r="A1065" s="6" t="s">
        <v>2072</v>
      </c>
      <c r="B1065" s="6" t="s">
        <v>2073</v>
      </c>
      <c r="C1065" s="1">
        <f>VALUE("2018")</f>
        <v>2018</v>
      </c>
      <c r="D1065" t="s">
        <v>1863</v>
      </c>
      <c r="E1065" s="1">
        <f>VALUE("8069")</f>
        <v>8069</v>
      </c>
    </row>
    <row r="1066" spans="1:5" x14ac:dyDescent="0.25">
      <c r="A1066" s="6" t="s">
        <v>2074</v>
      </c>
      <c r="B1066" s="6" t="s">
        <v>1295</v>
      </c>
      <c r="C1066" s="1">
        <f>VALUE("2018")</f>
        <v>2018</v>
      </c>
      <c r="D1066" t="s">
        <v>2075</v>
      </c>
      <c r="E1066" s="1">
        <f>VALUE("8071")</f>
        <v>8071</v>
      </c>
    </row>
    <row r="1067" spans="1:5" x14ac:dyDescent="0.25">
      <c r="A1067" s="6" t="s">
        <v>2078</v>
      </c>
      <c r="B1067" s="6" t="s">
        <v>2079</v>
      </c>
      <c r="C1067" s="1">
        <f>VALUE("2019")</f>
        <v>2019</v>
      </c>
      <c r="D1067" t="s">
        <v>202</v>
      </c>
      <c r="E1067" s="1">
        <f>VALUE("8074")</f>
        <v>8074</v>
      </c>
    </row>
    <row r="1068" spans="1:5" x14ac:dyDescent="0.25">
      <c r="A1068" s="6" t="s">
        <v>2076</v>
      </c>
      <c r="B1068" s="6" t="s">
        <v>2077</v>
      </c>
      <c r="C1068" s="1">
        <f>VALUE("2019")</f>
        <v>2019</v>
      </c>
      <c r="D1068" t="s">
        <v>202</v>
      </c>
      <c r="E1068" s="1">
        <f>VALUE("8074")</f>
        <v>8074</v>
      </c>
    </row>
    <row r="1069" spans="1:5" x14ac:dyDescent="0.25">
      <c r="A1069" s="6" t="s">
        <v>2080</v>
      </c>
      <c r="B1069" s="6" t="s">
        <v>297</v>
      </c>
      <c r="C1069" s="1">
        <f>VALUE("2018")</f>
        <v>2018</v>
      </c>
      <c r="D1069" t="s">
        <v>1894</v>
      </c>
      <c r="E1069" s="1">
        <f>VALUE("8078")</f>
        <v>8078</v>
      </c>
    </row>
    <row r="1070" spans="1:5" x14ac:dyDescent="0.25">
      <c r="A1070" s="6" t="s">
        <v>2081</v>
      </c>
      <c r="B1070" s="6" t="s">
        <v>2082</v>
      </c>
      <c r="C1070" s="1">
        <f>VALUE("2018")</f>
        <v>2018</v>
      </c>
      <c r="D1070" t="s">
        <v>2083</v>
      </c>
      <c r="E1070" s="1">
        <f>VALUE("8079")</f>
        <v>8079</v>
      </c>
    </row>
    <row r="1071" spans="1:5" x14ac:dyDescent="0.25">
      <c r="A1071" s="6" t="s">
        <v>2087</v>
      </c>
      <c r="B1071" s="6" t="s">
        <v>2085</v>
      </c>
      <c r="C1071" s="1">
        <f>VALUE("2018")</f>
        <v>2018</v>
      </c>
      <c r="D1071" t="s">
        <v>202</v>
      </c>
      <c r="E1071" s="1">
        <f>VALUE("8082")</f>
        <v>8082</v>
      </c>
    </row>
    <row r="1072" spans="1:5" x14ac:dyDescent="0.25">
      <c r="A1072" s="6" t="s">
        <v>2084</v>
      </c>
      <c r="B1072" s="6" t="s">
        <v>2085</v>
      </c>
      <c r="C1072" s="1">
        <f>VALUE("2018")</f>
        <v>2018</v>
      </c>
      <c r="D1072" t="s">
        <v>202</v>
      </c>
      <c r="E1072" s="1">
        <f>VALUE("8082")</f>
        <v>8082</v>
      </c>
    </row>
    <row r="1073" spans="1:5" x14ac:dyDescent="0.25">
      <c r="A1073" s="6" t="s">
        <v>2086</v>
      </c>
      <c r="B1073" s="6" t="s">
        <v>2085</v>
      </c>
      <c r="C1073" s="1">
        <f>VALUE("2018")</f>
        <v>2018</v>
      </c>
      <c r="D1073" t="s">
        <v>202</v>
      </c>
      <c r="E1073" s="1">
        <f>VALUE("8082")</f>
        <v>8082</v>
      </c>
    </row>
    <row r="1074" spans="1:5" x14ac:dyDescent="0.25">
      <c r="A1074" s="6" t="s">
        <v>2088</v>
      </c>
      <c r="B1074" s="6" t="s">
        <v>2089</v>
      </c>
      <c r="C1074" s="1">
        <v>2019</v>
      </c>
      <c r="D1074" t="s">
        <v>1958</v>
      </c>
      <c r="E1074" s="1">
        <f>VALUE("8096")</f>
        <v>8096</v>
      </c>
    </row>
    <row r="1075" spans="1:5" x14ac:dyDescent="0.25">
      <c r="A1075" s="6" t="s">
        <v>2090</v>
      </c>
      <c r="B1075" s="6" t="s">
        <v>2091</v>
      </c>
      <c r="C1075" s="1">
        <f>VALUE("2018")</f>
        <v>2018</v>
      </c>
      <c r="D1075" t="s">
        <v>640</v>
      </c>
      <c r="E1075" s="1">
        <f>VALUE("8097")</f>
        <v>8097</v>
      </c>
    </row>
    <row r="1076" spans="1:5" x14ac:dyDescent="0.25">
      <c r="A1076" s="6" t="s">
        <v>2092</v>
      </c>
      <c r="B1076" s="6" t="s">
        <v>2093</v>
      </c>
      <c r="C1076" s="1">
        <f>VALUE("2018")</f>
        <v>2018</v>
      </c>
      <c r="D1076" t="s">
        <v>846</v>
      </c>
      <c r="E1076" s="1">
        <f>VALUE("8098")</f>
        <v>8098</v>
      </c>
    </row>
    <row r="1077" spans="1:5" x14ac:dyDescent="0.25">
      <c r="A1077" s="6" t="s">
        <v>2095</v>
      </c>
      <c r="B1077" s="6" t="s">
        <v>2093</v>
      </c>
      <c r="C1077" s="1">
        <f>VALUE("2019")</f>
        <v>2019</v>
      </c>
      <c r="D1077" t="s">
        <v>846</v>
      </c>
      <c r="E1077" s="1">
        <f>VALUE("8098")</f>
        <v>8098</v>
      </c>
    </row>
    <row r="1078" spans="1:5" x14ac:dyDescent="0.25">
      <c r="A1078" s="6" t="s">
        <v>2094</v>
      </c>
      <c r="B1078" s="6" t="s">
        <v>2093</v>
      </c>
      <c r="C1078" s="1">
        <f>VALUE("2019")</f>
        <v>2019</v>
      </c>
      <c r="D1078" t="s">
        <v>846</v>
      </c>
      <c r="E1078" s="1">
        <f>VALUE("8098")</f>
        <v>8098</v>
      </c>
    </row>
    <row r="1079" spans="1:5" x14ac:dyDescent="0.25">
      <c r="A1079" s="6" t="s">
        <v>2096</v>
      </c>
      <c r="B1079" s="6" t="s">
        <v>2097</v>
      </c>
      <c r="C1079" s="1">
        <v>2018</v>
      </c>
      <c r="D1079" t="s">
        <v>2098</v>
      </c>
      <c r="E1079" s="1">
        <f>VALUE("8103")</f>
        <v>8103</v>
      </c>
    </row>
    <row r="1080" spans="1:5" x14ac:dyDescent="0.25">
      <c r="A1080" s="6" t="s">
        <v>2099</v>
      </c>
      <c r="B1080" s="6" t="s">
        <v>297</v>
      </c>
      <c r="C1080" s="1">
        <f>VALUE("2019")</f>
        <v>2019</v>
      </c>
      <c r="D1080" t="s">
        <v>2100</v>
      </c>
      <c r="E1080" s="1">
        <f>VALUE("8106")</f>
        <v>8106</v>
      </c>
    </row>
    <row r="1081" spans="1:5" x14ac:dyDescent="0.25">
      <c r="A1081" s="6" t="s">
        <v>2101</v>
      </c>
      <c r="B1081" s="6" t="s">
        <v>2102</v>
      </c>
      <c r="C1081" s="1">
        <f>VALUE("2018")</f>
        <v>2018</v>
      </c>
      <c r="D1081" t="s">
        <v>2098</v>
      </c>
      <c r="E1081" s="1">
        <f>VALUE("8107")</f>
        <v>8107</v>
      </c>
    </row>
    <row r="1082" spans="1:5" x14ac:dyDescent="0.25">
      <c r="A1082" s="6" t="s">
        <v>2103</v>
      </c>
      <c r="B1082" s="6" t="s">
        <v>2104</v>
      </c>
      <c r="C1082" s="1">
        <f>VALUE("2018")</f>
        <v>2018</v>
      </c>
      <c r="D1082" t="s">
        <v>814</v>
      </c>
      <c r="E1082" s="1">
        <f>VALUE("8115")</f>
        <v>8115</v>
      </c>
    </row>
    <row r="1083" spans="1:5" x14ac:dyDescent="0.25">
      <c r="A1083" s="6" t="s">
        <v>2105</v>
      </c>
      <c r="B1083" s="6" t="s">
        <v>2106</v>
      </c>
      <c r="C1083" s="1">
        <f>VALUE("2017")</f>
        <v>2017</v>
      </c>
      <c r="D1083" t="s">
        <v>530</v>
      </c>
      <c r="E1083" s="1">
        <f>VALUE("8117")</f>
        <v>8117</v>
      </c>
    </row>
    <row r="1084" spans="1:5" x14ac:dyDescent="0.25">
      <c r="A1084" s="6" t="s">
        <v>2108</v>
      </c>
      <c r="B1084" s="6" t="s">
        <v>2109</v>
      </c>
      <c r="C1084" s="1">
        <v>2017</v>
      </c>
      <c r="D1084" t="s">
        <v>1651</v>
      </c>
      <c r="E1084" s="1">
        <f>VALUE("8125")</f>
        <v>8125</v>
      </c>
    </row>
    <row r="1085" spans="1:5" x14ac:dyDescent="0.25">
      <c r="A1085" s="6" t="s">
        <v>2110</v>
      </c>
      <c r="B1085" s="6" t="s">
        <v>2111</v>
      </c>
      <c r="C1085" s="1">
        <f>VALUE("2018")</f>
        <v>2018</v>
      </c>
      <c r="D1085" t="s">
        <v>1651</v>
      </c>
      <c r="E1085" s="1">
        <f>VALUE("8125")</f>
        <v>8125</v>
      </c>
    </row>
    <row r="1086" spans="1:5" x14ac:dyDescent="0.25">
      <c r="A1086" s="6" t="s">
        <v>2107</v>
      </c>
      <c r="B1086" s="6" t="s">
        <v>1653</v>
      </c>
      <c r="C1086" s="1">
        <f>VALUE("2018")</f>
        <v>2018</v>
      </c>
      <c r="D1086" t="s">
        <v>1651</v>
      </c>
      <c r="E1086" s="1">
        <f>VALUE("8125")</f>
        <v>8125</v>
      </c>
    </row>
    <row r="1087" spans="1:5" x14ac:dyDescent="0.25">
      <c r="A1087" s="6" t="s">
        <v>1947</v>
      </c>
      <c r="B1087" s="6" t="s">
        <v>2112</v>
      </c>
      <c r="C1087" s="1">
        <v>2017</v>
      </c>
      <c r="D1087" t="s">
        <v>1946</v>
      </c>
      <c r="E1087" s="1">
        <f>VALUE("8128")</f>
        <v>8128</v>
      </c>
    </row>
    <row r="1088" spans="1:5" x14ac:dyDescent="0.25">
      <c r="A1088" s="6" t="s">
        <v>2113</v>
      </c>
      <c r="B1088" s="6" t="s">
        <v>2114</v>
      </c>
      <c r="C1088" s="1">
        <f>VALUE("2018")</f>
        <v>2018</v>
      </c>
      <c r="D1088" t="s">
        <v>508</v>
      </c>
      <c r="E1088" s="1">
        <f>VALUE("8130")</f>
        <v>8130</v>
      </c>
    </row>
    <row r="1089" spans="1:5" x14ac:dyDescent="0.25">
      <c r="A1089" s="6" t="s">
        <v>2115</v>
      </c>
      <c r="B1089" s="6" t="s">
        <v>2116</v>
      </c>
      <c r="C1089" s="1">
        <f>VALUE("2018")</f>
        <v>2018</v>
      </c>
      <c r="D1089" t="s">
        <v>508</v>
      </c>
      <c r="E1089" s="1">
        <f>VALUE("8130")</f>
        <v>8130</v>
      </c>
    </row>
    <row r="1090" spans="1:5" x14ac:dyDescent="0.25">
      <c r="A1090" s="6" t="s">
        <v>2117</v>
      </c>
      <c r="B1090" s="6" t="s">
        <v>2118</v>
      </c>
      <c r="C1090" s="1">
        <f>VALUE("2019")</f>
        <v>2019</v>
      </c>
      <c r="D1090" t="s">
        <v>508</v>
      </c>
      <c r="E1090" s="1">
        <f>VALUE("8130")</f>
        <v>8130</v>
      </c>
    </row>
    <row r="1091" spans="1:5" x14ac:dyDescent="0.25">
      <c r="A1091" s="6" t="s">
        <v>2119</v>
      </c>
      <c r="B1091" s="6" t="s">
        <v>2120</v>
      </c>
      <c r="C1091" s="1">
        <f>VALUE("2019")</f>
        <v>2019</v>
      </c>
      <c r="D1091" t="s">
        <v>508</v>
      </c>
      <c r="E1091" s="1">
        <f>VALUE("8130")</f>
        <v>8130</v>
      </c>
    </row>
    <row r="1092" spans="1:5" x14ac:dyDescent="0.25">
      <c r="A1092" s="6" t="s">
        <v>2121</v>
      </c>
      <c r="B1092" s="6" t="s">
        <v>2122</v>
      </c>
      <c r="C1092" s="1">
        <v>2018</v>
      </c>
      <c r="D1092" t="s">
        <v>2123</v>
      </c>
      <c r="E1092" s="1">
        <f>VALUE("8137")</f>
        <v>8137</v>
      </c>
    </row>
    <row r="1093" spans="1:5" x14ac:dyDescent="0.25">
      <c r="A1093" s="6" t="s">
        <v>2124</v>
      </c>
      <c r="B1093" s="6" t="s">
        <v>297</v>
      </c>
      <c r="C1093" s="1">
        <f>VALUE("2019")</f>
        <v>2019</v>
      </c>
      <c r="D1093" t="s">
        <v>14</v>
      </c>
      <c r="E1093" s="1">
        <f>VALUE("8165")</f>
        <v>8165</v>
      </c>
    </row>
    <row r="1094" spans="1:5" x14ac:dyDescent="0.25">
      <c r="A1094" s="6" t="s">
        <v>2125</v>
      </c>
      <c r="B1094" s="6" t="s">
        <v>2126</v>
      </c>
      <c r="C1094" s="1">
        <f>VALUE("2018")</f>
        <v>2018</v>
      </c>
      <c r="D1094" t="s">
        <v>772</v>
      </c>
      <c r="E1094" s="1">
        <f>VALUE("8172")</f>
        <v>8172</v>
      </c>
    </row>
    <row r="1095" spans="1:5" x14ac:dyDescent="0.25">
      <c r="A1095" s="6" t="s">
        <v>2127</v>
      </c>
      <c r="B1095" s="6" t="s">
        <v>2128</v>
      </c>
      <c r="C1095" s="1">
        <v>2019</v>
      </c>
      <c r="D1095" t="s">
        <v>1605</v>
      </c>
      <c r="E1095" s="1">
        <f>VALUE("8183")</f>
        <v>8183</v>
      </c>
    </row>
    <row r="1096" spans="1:5" x14ac:dyDescent="0.25">
      <c r="A1096" s="6" t="s">
        <v>2129</v>
      </c>
      <c r="B1096" s="6" t="s">
        <v>2130</v>
      </c>
      <c r="C1096" s="1">
        <f>VALUE("2018")</f>
        <v>2018</v>
      </c>
      <c r="D1096" t="s">
        <v>2131</v>
      </c>
      <c r="E1096" s="1">
        <f>VALUE("8192")</f>
        <v>8192</v>
      </c>
    </row>
    <row r="1097" spans="1:5" x14ac:dyDescent="0.25">
      <c r="A1097" s="6" t="s">
        <v>2132</v>
      </c>
      <c r="B1097" s="6" t="s">
        <v>2133</v>
      </c>
      <c r="C1097" s="1">
        <f>VALUE("2018")</f>
        <v>2018</v>
      </c>
      <c r="D1097" t="s">
        <v>640</v>
      </c>
      <c r="E1097" s="1">
        <f>VALUE("8203")</f>
        <v>8203</v>
      </c>
    </row>
    <row r="1098" spans="1:5" x14ac:dyDescent="0.25">
      <c r="A1098" s="6" t="s">
        <v>2136</v>
      </c>
      <c r="B1098" s="6" t="s">
        <v>2137</v>
      </c>
      <c r="C1098" s="1">
        <f>VALUE("2019")</f>
        <v>2019</v>
      </c>
      <c r="D1098" t="s">
        <v>144</v>
      </c>
      <c r="E1098" s="1">
        <f>VALUE("8217")</f>
        <v>8217</v>
      </c>
    </row>
    <row r="1099" spans="1:5" x14ac:dyDescent="0.25">
      <c r="A1099" s="6" t="s">
        <v>2134</v>
      </c>
      <c r="B1099" s="6" t="s">
        <v>2135</v>
      </c>
      <c r="C1099" s="1">
        <f>VALUE("2019")</f>
        <v>2019</v>
      </c>
      <c r="D1099" t="s">
        <v>144</v>
      </c>
      <c r="E1099" s="1">
        <f>VALUE("8217")</f>
        <v>8217</v>
      </c>
    </row>
    <row r="1100" spans="1:5" x14ac:dyDescent="0.25">
      <c r="A1100" s="6" t="s">
        <v>2138</v>
      </c>
      <c r="B1100" s="6" t="s">
        <v>2139</v>
      </c>
      <c r="C1100" s="1">
        <v>2018</v>
      </c>
      <c r="D1100" t="s">
        <v>598</v>
      </c>
      <c r="E1100" s="1">
        <f>VALUE("8231")</f>
        <v>8231</v>
      </c>
    </row>
    <row r="1101" spans="1:5" x14ac:dyDescent="0.25">
      <c r="A1101" s="6" t="s">
        <v>2140</v>
      </c>
      <c r="B1101" s="6" t="s">
        <v>2141</v>
      </c>
      <c r="C1101" s="1">
        <f>VALUE("2019")</f>
        <v>2019</v>
      </c>
      <c r="D1101" t="s">
        <v>530</v>
      </c>
      <c r="E1101" s="1">
        <f>VALUE("8231")</f>
        <v>8231</v>
      </c>
    </row>
    <row r="1102" spans="1:5" x14ac:dyDescent="0.25">
      <c r="A1102" s="6" t="s">
        <v>2142</v>
      </c>
      <c r="B1102" s="6" t="s">
        <v>2143</v>
      </c>
      <c r="C1102" s="1">
        <f>VALUE("2018")</f>
        <v>2018</v>
      </c>
      <c r="D1102" t="s">
        <v>927</v>
      </c>
      <c r="E1102" s="1">
        <f>VALUE("8234")</f>
        <v>8234</v>
      </c>
    </row>
    <row r="1103" spans="1:5" x14ac:dyDescent="0.25">
      <c r="A1103" s="6" t="s">
        <v>2146</v>
      </c>
      <c r="B1103" s="6" t="s">
        <v>2145</v>
      </c>
      <c r="C1103" s="1">
        <f>VALUE("2018")</f>
        <v>2018</v>
      </c>
      <c r="D1103" t="s">
        <v>640</v>
      </c>
      <c r="E1103" s="1">
        <f>VALUE("8237")</f>
        <v>8237</v>
      </c>
    </row>
    <row r="1104" spans="1:5" x14ac:dyDescent="0.25">
      <c r="A1104" s="6" t="s">
        <v>2144</v>
      </c>
      <c r="B1104" s="6" t="s">
        <v>2145</v>
      </c>
      <c r="C1104" s="1">
        <f>VALUE("2018")</f>
        <v>2018</v>
      </c>
      <c r="D1104" t="s">
        <v>640</v>
      </c>
      <c r="E1104" s="1">
        <f>VALUE("8237")</f>
        <v>8237</v>
      </c>
    </row>
    <row r="1105" spans="1:5" x14ac:dyDescent="0.25">
      <c r="A1105" s="6" t="s">
        <v>1334</v>
      </c>
      <c r="B1105" s="6" t="s">
        <v>2147</v>
      </c>
      <c r="C1105" s="1">
        <f>VALUE("2018")</f>
        <v>2018</v>
      </c>
      <c r="D1105" t="s">
        <v>2148</v>
      </c>
      <c r="E1105" s="1">
        <f>VALUE("8243")</f>
        <v>8243</v>
      </c>
    </row>
    <row r="1106" spans="1:5" x14ac:dyDescent="0.25">
      <c r="A1106" s="6" t="s">
        <v>2149</v>
      </c>
      <c r="B1106" s="6" t="s">
        <v>2150</v>
      </c>
      <c r="C1106" s="1">
        <f>VALUE("2018")</f>
        <v>2018</v>
      </c>
      <c r="D1106" t="s">
        <v>2151</v>
      </c>
      <c r="E1106" s="1">
        <f>VALUE("8254")</f>
        <v>8254</v>
      </c>
    </row>
    <row r="1107" spans="1:5" x14ac:dyDescent="0.25">
      <c r="A1107" s="6" t="s">
        <v>2152</v>
      </c>
      <c r="B1107" s="6" t="s">
        <v>2153</v>
      </c>
      <c r="C1107" s="1">
        <f>VALUE("2018")</f>
        <v>2018</v>
      </c>
      <c r="D1107" t="s">
        <v>2154</v>
      </c>
      <c r="E1107" s="1">
        <f>VALUE("8257")</f>
        <v>8257</v>
      </c>
    </row>
    <row r="1108" spans="1:5" x14ac:dyDescent="0.25">
      <c r="A1108" s="6" t="s">
        <v>2158</v>
      </c>
      <c r="B1108" s="6" t="s">
        <v>2156</v>
      </c>
      <c r="C1108" s="1">
        <f>VALUE("2019")</f>
        <v>2019</v>
      </c>
      <c r="D1108" t="s">
        <v>2157</v>
      </c>
      <c r="E1108" s="1">
        <f>VALUE("8262")</f>
        <v>8262</v>
      </c>
    </row>
    <row r="1109" spans="1:5" x14ac:dyDescent="0.25">
      <c r="A1109" s="6" t="s">
        <v>2155</v>
      </c>
      <c r="B1109" s="6" t="s">
        <v>2156</v>
      </c>
      <c r="C1109" s="1">
        <f>VALUE("2019")</f>
        <v>2019</v>
      </c>
      <c r="D1109" t="s">
        <v>2157</v>
      </c>
      <c r="E1109" s="1">
        <f>VALUE("8262")</f>
        <v>8262</v>
      </c>
    </row>
    <row r="1110" spans="1:5" x14ac:dyDescent="0.25">
      <c r="A1110" s="6" t="s">
        <v>2159</v>
      </c>
      <c r="B1110" s="6" t="s">
        <v>2160</v>
      </c>
      <c r="C1110" s="1">
        <f>VALUE("2019")</f>
        <v>2019</v>
      </c>
      <c r="D1110" t="s">
        <v>1033</v>
      </c>
      <c r="E1110" s="1">
        <f>VALUE("8271")</f>
        <v>8271</v>
      </c>
    </row>
    <row r="1111" spans="1:5" x14ac:dyDescent="0.25">
      <c r="A1111" s="6" t="s">
        <v>2161</v>
      </c>
      <c r="B1111" s="6" t="s">
        <v>2162</v>
      </c>
      <c r="C1111" s="1">
        <f>VALUE("2019")</f>
        <v>2019</v>
      </c>
      <c r="D1111" t="s">
        <v>2163</v>
      </c>
      <c r="E1111" s="1">
        <f>VALUE("8277")</f>
        <v>8277</v>
      </c>
    </row>
    <row r="1112" spans="1:5" x14ac:dyDescent="0.25">
      <c r="A1112" s="6" t="s">
        <v>2166</v>
      </c>
      <c r="B1112" s="6" t="s">
        <v>2167</v>
      </c>
      <c r="C1112" s="1">
        <f>VALUE("2019")</f>
        <v>2019</v>
      </c>
      <c r="D1112" t="s">
        <v>530</v>
      </c>
      <c r="E1112" s="1">
        <f>VALUE("8282")</f>
        <v>8282</v>
      </c>
    </row>
    <row r="1113" spans="1:5" x14ac:dyDescent="0.25">
      <c r="A1113" s="6" t="s">
        <v>2164</v>
      </c>
      <c r="B1113" s="6" t="s">
        <v>2165</v>
      </c>
      <c r="C1113" s="1">
        <f>VALUE("2019")</f>
        <v>2019</v>
      </c>
      <c r="D1113" t="s">
        <v>530</v>
      </c>
      <c r="E1113" s="1">
        <f>VALUE("8282")</f>
        <v>8282</v>
      </c>
    </row>
    <row r="1114" spans="1:5" x14ac:dyDescent="0.25">
      <c r="A1114" s="6" t="s">
        <v>2168</v>
      </c>
      <c r="B1114" s="6" t="s">
        <v>2169</v>
      </c>
      <c r="C1114" s="1">
        <f>VALUE("2018")</f>
        <v>2018</v>
      </c>
      <c r="D1114" t="s">
        <v>169</v>
      </c>
      <c r="E1114" s="1">
        <f>VALUE("8286")</f>
        <v>8286</v>
      </c>
    </row>
    <row r="1115" spans="1:5" x14ac:dyDescent="0.25">
      <c r="A1115" s="6" t="s">
        <v>2170</v>
      </c>
      <c r="B1115" s="6" t="s">
        <v>2171</v>
      </c>
      <c r="C1115" s="1">
        <f>VALUE("2018")</f>
        <v>2018</v>
      </c>
      <c r="D1115" t="s">
        <v>1644</v>
      </c>
      <c r="E1115" s="1">
        <f>VALUE("8292")</f>
        <v>8292</v>
      </c>
    </row>
    <row r="1116" spans="1:5" x14ac:dyDescent="0.25">
      <c r="A1116" s="6" t="s">
        <v>2172</v>
      </c>
      <c r="B1116" s="6" t="s">
        <v>2173</v>
      </c>
      <c r="C1116" s="1">
        <f>VALUE("2020")</f>
        <v>2020</v>
      </c>
      <c r="D1116" t="s">
        <v>2174</v>
      </c>
      <c r="E1116" s="1">
        <f>VALUE("8302")</f>
        <v>8302</v>
      </c>
    </row>
    <row r="1117" spans="1:5" x14ac:dyDescent="0.25">
      <c r="A1117" s="6" t="s">
        <v>2175</v>
      </c>
      <c r="B1117" s="6" t="s">
        <v>2176</v>
      </c>
      <c r="C1117" s="1">
        <f>VALUE("2016")</f>
        <v>2016</v>
      </c>
      <c r="D1117" t="s">
        <v>506</v>
      </c>
      <c r="E1117" s="1">
        <f>VALUE("8310")</f>
        <v>8310</v>
      </c>
    </row>
    <row r="1118" spans="1:5" x14ac:dyDescent="0.25">
      <c r="A1118" s="6" t="s">
        <v>2177</v>
      </c>
      <c r="B1118" s="6" t="s">
        <v>2178</v>
      </c>
      <c r="C1118" s="1">
        <f>VALUE("2019")</f>
        <v>2019</v>
      </c>
      <c r="D1118" t="s">
        <v>2179</v>
      </c>
      <c r="E1118" s="1">
        <f>VALUE("8313")</f>
        <v>8313</v>
      </c>
    </row>
    <row r="1119" spans="1:5" x14ac:dyDescent="0.25">
      <c r="A1119" s="6" t="s">
        <v>2180</v>
      </c>
      <c r="B1119" s="6" t="s">
        <v>2181</v>
      </c>
      <c r="C1119" s="1">
        <f>VALUE("2018")</f>
        <v>2018</v>
      </c>
      <c r="D1119" t="s">
        <v>2182</v>
      </c>
      <c r="E1119" s="1">
        <f>VALUE("8314")</f>
        <v>8314</v>
      </c>
    </row>
    <row r="1120" spans="1:5" x14ac:dyDescent="0.25">
      <c r="A1120" s="6" t="s">
        <v>2183</v>
      </c>
      <c r="B1120" s="6" t="s">
        <v>2184</v>
      </c>
      <c r="C1120" s="1">
        <f>VALUE("2018")</f>
        <v>2018</v>
      </c>
      <c r="D1120" t="s">
        <v>2185</v>
      </c>
      <c r="E1120" s="1">
        <f>VALUE("8318")</f>
        <v>8318</v>
      </c>
    </row>
    <row r="1121" spans="1:5" x14ac:dyDescent="0.25">
      <c r="A1121" s="6" t="s">
        <v>2186</v>
      </c>
      <c r="B1121" s="6" t="s">
        <v>2187</v>
      </c>
      <c r="C1121" s="1">
        <f>VALUE("2018")</f>
        <v>2018</v>
      </c>
      <c r="D1121" t="s">
        <v>2188</v>
      </c>
      <c r="E1121" s="1">
        <f>VALUE("8319")</f>
        <v>8319</v>
      </c>
    </row>
    <row r="1122" spans="1:5" x14ac:dyDescent="0.25">
      <c r="A1122" s="6" t="s">
        <v>2189</v>
      </c>
      <c r="B1122" s="6" t="s">
        <v>2190</v>
      </c>
      <c r="C1122" s="1">
        <f>VALUE("2018")</f>
        <v>2018</v>
      </c>
      <c r="D1122" t="s">
        <v>1554</v>
      </c>
      <c r="E1122" s="1">
        <f>VALUE("8352")</f>
        <v>8352</v>
      </c>
    </row>
    <row r="1123" spans="1:5" x14ac:dyDescent="0.25">
      <c r="A1123" s="6" t="s">
        <v>2191</v>
      </c>
      <c r="B1123" s="6" t="s">
        <v>2192</v>
      </c>
      <c r="C1123" s="1">
        <f>VALUE("2019")</f>
        <v>2019</v>
      </c>
      <c r="D1123" t="s">
        <v>2193</v>
      </c>
      <c r="E1123" s="1">
        <f>VALUE("8360")</f>
        <v>8360</v>
      </c>
    </row>
    <row r="1124" spans="1:5" x14ac:dyDescent="0.25">
      <c r="A1124" s="6" t="s">
        <v>2194</v>
      </c>
      <c r="B1124" s="6" t="s">
        <v>2195</v>
      </c>
      <c r="C1124" s="1">
        <f>VALUE("2019")</f>
        <v>2019</v>
      </c>
      <c r="D1124" t="s">
        <v>1033</v>
      </c>
      <c r="E1124" s="1">
        <f>VALUE("8376")</f>
        <v>8376</v>
      </c>
    </row>
    <row r="1125" spans="1:5" x14ac:dyDescent="0.25">
      <c r="A1125" s="6" t="s">
        <v>2196</v>
      </c>
      <c r="B1125" s="6" t="s">
        <v>2197</v>
      </c>
      <c r="C1125" s="1">
        <f>VALUE("2019")</f>
        <v>2019</v>
      </c>
      <c r="D1125" t="s">
        <v>2198</v>
      </c>
      <c r="E1125" s="1">
        <f>VALUE("8398")</f>
        <v>8398</v>
      </c>
    </row>
    <row r="1126" spans="1:5" x14ac:dyDescent="0.25">
      <c r="A1126" s="6" t="s">
        <v>2199</v>
      </c>
      <c r="B1126" s="6" t="s">
        <v>2200</v>
      </c>
      <c r="C1126" s="1">
        <v>2020</v>
      </c>
      <c r="D1126" t="s">
        <v>2201</v>
      </c>
      <c r="E1126" s="1">
        <f>VALUE("8399")</f>
        <v>8399</v>
      </c>
    </row>
    <row r="1127" spans="1:5" x14ac:dyDescent="0.25">
      <c r="A1127" s="6" t="s">
        <v>2202</v>
      </c>
      <c r="B1127" s="6" t="s">
        <v>2203</v>
      </c>
      <c r="C1127" s="1">
        <f>VALUE("2019")</f>
        <v>2019</v>
      </c>
      <c r="D1127" t="s">
        <v>2163</v>
      </c>
      <c r="E1127" s="1">
        <f>VALUE("8413")</f>
        <v>8413</v>
      </c>
    </row>
    <row r="1128" spans="1:5" x14ac:dyDescent="0.25">
      <c r="A1128" s="6" t="s">
        <v>2204</v>
      </c>
      <c r="B1128" s="6" t="s">
        <v>2205</v>
      </c>
      <c r="C1128" s="1">
        <f>VALUE("2019")</f>
        <v>2019</v>
      </c>
      <c r="D1128" t="s">
        <v>202</v>
      </c>
      <c r="E1128" s="1">
        <f>VALUE("8427")</f>
        <v>8427</v>
      </c>
    </row>
    <row r="1129" spans="1:5" x14ac:dyDescent="0.25">
      <c r="A1129" s="6" t="s">
        <v>2206</v>
      </c>
      <c r="B1129" s="6" t="s">
        <v>2207</v>
      </c>
      <c r="C1129" s="1">
        <f>VALUE("2019")</f>
        <v>2019</v>
      </c>
      <c r="D1129" t="s">
        <v>530</v>
      </c>
      <c r="E1129" s="1">
        <f>VALUE("8454")</f>
        <v>8454</v>
      </c>
    </row>
    <row r="1130" spans="1:5" x14ac:dyDescent="0.25">
      <c r="A1130" s="6" t="s">
        <v>2208</v>
      </c>
      <c r="B1130" s="6" t="s">
        <v>2209</v>
      </c>
      <c r="C1130" s="1">
        <f>VALUE("2019")</f>
        <v>2019</v>
      </c>
      <c r="D1130" t="s">
        <v>530</v>
      </c>
      <c r="E1130" s="1">
        <f>VALUE("8454")</f>
        <v>8454</v>
      </c>
    </row>
    <row r="1131" spans="1:5" x14ac:dyDescent="0.25">
      <c r="A1131" s="6" t="s">
        <v>2210</v>
      </c>
      <c r="B1131" s="6" t="s">
        <v>2211</v>
      </c>
      <c r="C1131" s="1">
        <v>2020</v>
      </c>
      <c r="D1131" t="s">
        <v>2201</v>
      </c>
      <c r="E1131" s="1">
        <f>VALUE("8463")</f>
        <v>8463</v>
      </c>
    </row>
    <row r="1132" spans="1:5" x14ac:dyDescent="0.25">
      <c r="A1132" s="6" t="s">
        <v>2212</v>
      </c>
      <c r="B1132" s="6" t="s">
        <v>2213</v>
      </c>
      <c r="C1132" s="1">
        <f>VALUE("2019")</f>
        <v>2019</v>
      </c>
      <c r="D1132" t="s">
        <v>144</v>
      </c>
      <c r="E1132" s="1">
        <f>VALUE("8482")</f>
        <v>8482</v>
      </c>
    </row>
    <row r="1133" spans="1:5" x14ac:dyDescent="0.25">
      <c r="A1133" s="6" t="s">
        <v>2214</v>
      </c>
      <c r="B1133" s="6" t="s">
        <v>2215</v>
      </c>
      <c r="C1133" s="1">
        <f>VALUE("2019")</f>
        <v>2019</v>
      </c>
      <c r="D1133" t="s">
        <v>2216</v>
      </c>
      <c r="E1133" s="1">
        <f>VALUE("8497")</f>
        <v>8497</v>
      </c>
    </row>
    <row r="1134" spans="1:5" x14ac:dyDescent="0.25">
      <c r="A1134" s="6" t="s">
        <v>2219</v>
      </c>
      <c r="B1134" s="6" t="s">
        <v>2220</v>
      </c>
      <c r="C1134" s="1">
        <f>VALUE("2019")</f>
        <v>2019</v>
      </c>
      <c r="D1134" t="s">
        <v>1125</v>
      </c>
      <c r="E1134" s="1">
        <f>VALUE("8507")</f>
        <v>8507</v>
      </c>
    </row>
    <row r="1135" spans="1:5" x14ac:dyDescent="0.25">
      <c r="A1135" s="6" t="s">
        <v>2221</v>
      </c>
      <c r="B1135" s="6" t="s">
        <v>2220</v>
      </c>
      <c r="C1135" s="1">
        <f>VALUE("2019")</f>
        <v>2019</v>
      </c>
      <c r="D1135" t="s">
        <v>1125</v>
      </c>
      <c r="E1135" s="1">
        <f>VALUE("8507")</f>
        <v>8507</v>
      </c>
    </row>
    <row r="1136" spans="1:5" x14ac:dyDescent="0.25">
      <c r="A1136" s="6" t="s">
        <v>2217</v>
      </c>
      <c r="B1136" s="6" t="s">
        <v>2218</v>
      </c>
      <c r="C1136" s="1">
        <f>VALUE("2019")</f>
        <v>2019</v>
      </c>
      <c r="D1136" t="s">
        <v>1125</v>
      </c>
      <c r="E1136" s="1">
        <f>VALUE("8507")</f>
        <v>8507</v>
      </c>
    </row>
    <row r="1137" spans="1:5" x14ac:dyDescent="0.25">
      <c r="A1137" s="6" t="s">
        <v>2222</v>
      </c>
      <c r="B1137" s="6" t="s">
        <v>2223</v>
      </c>
      <c r="C1137" s="1">
        <f>VALUE("2019")</f>
        <v>2019</v>
      </c>
      <c r="D1137" t="s">
        <v>2224</v>
      </c>
      <c r="E1137" s="1">
        <f>VALUE("8528")</f>
        <v>8528</v>
      </c>
    </row>
    <row r="1138" spans="1:5" x14ac:dyDescent="0.25">
      <c r="A1138" s="6" t="s">
        <v>2225</v>
      </c>
      <c r="B1138" s="6" t="s">
        <v>2226</v>
      </c>
      <c r="C1138" s="1">
        <f>VALUE("2019")</f>
        <v>2019</v>
      </c>
      <c r="D1138" t="s">
        <v>814</v>
      </c>
      <c r="E1138" s="1">
        <f>VALUE("8532")</f>
        <v>8532</v>
      </c>
    </row>
    <row r="1139" spans="1:5" x14ac:dyDescent="0.25">
      <c r="A1139" s="6" t="s">
        <v>2227</v>
      </c>
      <c r="B1139" s="6" t="s">
        <v>2228</v>
      </c>
      <c r="C1139" s="1">
        <f>VALUE("2019")</f>
        <v>2019</v>
      </c>
      <c r="D1139" t="s">
        <v>298</v>
      </c>
      <c r="E1139" s="1">
        <f>VALUE("8533")</f>
        <v>8533</v>
      </c>
    </row>
    <row r="1140" spans="1:5" x14ac:dyDescent="0.25">
      <c r="A1140" s="6" t="s">
        <v>2229</v>
      </c>
      <c r="B1140" s="6" t="s">
        <v>2230</v>
      </c>
      <c r="C1140" s="1">
        <f>VALUE("2019")</f>
        <v>2019</v>
      </c>
      <c r="D1140" t="s">
        <v>184</v>
      </c>
      <c r="E1140" s="1">
        <f>VALUE("8552")</f>
        <v>8552</v>
      </c>
    </row>
    <row r="1141" spans="1:5" x14ac:dyDescent="0.25">
      <c r="A1141" s="9"/>
      <c r="B1141" s="9"/>
      <c r="C1141" s="13"/>
      <c r="D1141" s="14"/>
      <c r="E1141" s="13"/>
    </row>
  </sheetData>
  <sortState ref="A2:E1140">
    <sortCondition ref="E2:E1140"/>
    <sortCondition ref="C2:C1140"/>
    <sortCondition ref="A2:A1140"/>
  </sortState>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Werkbladen</vt:lpstr>
      </vt:variant>
      <vt:variant>
        <vt:i4>1</vt:i4>
      </vt:variant>
    </vt:vector>
  </HeadingPairs>
  <TitlesOfParts>
    <vt:vector size="1" baseType="lpstr">
      <vt:lpstr>februari 2020</vt:lpstr>
    </vt:vector>
  </TitlesOfParts>
  <Company>CBS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Slingerland-Roos, P. (Petra)</dc:creator>
  <cp:lastModifiedBy>Slingerland-Roos, P. (Petra)</cp:lastModifiedBy>
  <dcterms:created xsi:type="dcterms:W3CDTF">2020-02-20T07:49:49Z</dcterms:created>
  <dcterms:modified xsi:type="dcterms:W3CDTF">2020-02-20T09:20:29Z</dcterms:modified>
</cp:coreProperties>
</file>