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4.xml" ContentType="application/vnd.openxmlformats-officedocument.spreadsheetml.comments+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omments15.xml" ContentType="application/vnd.openxmlformats-officedocument.spreadsheetml.comments+xml"/>
  <Override PartName="/xl/drawings/drawing4.xml" ContentType="application/vnd.openxmlformats-officedocument.drawing+xml"/>
  <Override PartName="/xl/ctrlProps/ctrlProp14.xml" ContentType="application/vnd.ms-excel.controlproperties+xml"/>
  <Override PartName="/xl/comments1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cbsp.nl\productie\primair\TEN\Werk\MEDEWERKERS\SBUP\EDAMIS\"/>
    </mc:Choice>
  </mc:AlternateContent>
  <xr:revisionPtr revIDLastSave="0" documentId="8_{82C07E4D-E5BE-4423-863D-C3BEE96E60CE}" xr6:coauthVersionLast="47" xr6:coauthVersionMax="47" xr10:uidLastSave="{00000000-0000-0000-0000-000000000000}"/>
  <bookViews>
    <workbookView xWindow="25695" yWindow="0" windowWidth="26010" windowHeight="20985" tabRatio="886" xr2:uid="{00000000-000D-0000-FFFF-FFFF00000000}"/>
  </bookViews>
  <sheets>
    <sheet name="Summary" sheetId="1" r:id="rId1"/>
    <sheet name="Table 1" sheetId="2" r:id="rId2"/>
    <sheet name="Table 2" sheetId="3" r:id="rId3"/>
    <sheet name="Table 3" sheetId="5" r:id="rId4"/>
    <sheet name="Table 4" sheetId="6" r:id="rId5"/>
    <sheet name="Table 5" sheetId="7" r:id="rId6"/>
    <sheet name="Table 5b_5c" sheetId="30" r:id="rId7"/>
    <sheet name="Table 6" sheetId="8" r:id="rId8"/>
    <sheet name="Table 6b" sheetId="24" r:id="rId9"/>
    <sheet name="Table 7" sheetId="9" r:id="rId10"/>
    <sheet name="Table 8" sheetId="10" r:id="rId11"/>
    <sheet name="Table 8b" sheetId="25" r:id="rId12"/>
    <sheet name="Table 8c" sheetId="31" r:id="rId13"/>
    <sheet name="Table 9" sheetId="11" r:id="rId14"/>
    <sheet name="Remarks" sheetId="27" r:id="rId15"/>
    <sheet name="Days Equivalent Calculation" sheetId="34" state="hidden" r:id="rId16"/>
    <sheet name="New Days Equivalent Calculation" sheetId="39" r:id="rId17"/>
    <sheet name="Param" sheetId="28" state="veryHidden" r:id="rId18"/>
    <sheet name="Formulas" sheetId="29" state="veryHidden" r:id="rId19"/>
    <sheet name="FakeKeys" sheetId="35" state="veryHidden" r:id="rId20"/>
    <sheet name="Parameter_mapping" sheetId="36" state="veryHidden" r:id="rId21"/>
    <sheet name="Parameters" sheetId="37" state="veryHidden" r:id="rId22"/>
  </sheets>
  <definedNames>
    <definedName name="_xlnm._FilterDatabase" localSheetId="1" hidden="1">'Table 1'!$A$1:$D$6</definedName>
    <definedName name="_xlnm.Print_Area" localSheetId="15">'Days Equivalent Calculation'!$A$4:$N$134</definedName>
    <definedName name="_xlnm.Print_Area" localSheetId="16">'New Days Equivalent Calculation'!$A$1:$N$126</definedName>
    <definedName name="_xlnm.Print_Area" localSheetId="14">Remarks!$C$1:$E$43</definedName>
    <definedName name="_xlnm.Print_Area" localSheetId="0">Summary!$A$1:$K$66</definedName>
    <definedName name="_xlnm.Print_Area" localSheetId="1">'Table 1'!$A$1:$J$34</definedName>
    <definedName name="_xlnm.Print_Area" localSheetId="2">'Table 2'!$A$1:$AD$44</definedName>
    <definedName name="_xlnm.Print_Area" localSheetId="3">'Table 3'!$A$1:$AG$183</definedName>
    <definedName name="_xlnm.Print_Area" localSheetId="4">'Table 4'!$A$1:$AG$182</definedName>
    <definedName name="_xlnm.Print_Area" localSheetId="5">'Table 5'!$A$1:$AI$58</definedName>
    <definedName name="_xlnm.Print_Area" localSheetId="6">'Table 5b_5c'!$A$1:$AI$57</definedName>
    <definedName name="_xlnm.Print_Area" localSheetId="7">'Table 6'!$A$1:$AH$73</definedName>
    <definedName name="_xlnm.Print_Area" localSheetId="8">'Table 6b'!$A$1:$AH$73</definedName>
    <definedName name="_xlnm.Print_Area" localSheetId="9">'Table 7'!$A$1:$AH$73</definedName>
    <definedName name="_xlnm.Print_Area" localSheetId="10">'Table 8'!$A$1:$AH$73</definedName>
    <definedName name="_xlnm.Print_Area" localSheetId="11">'Table 8b'!$A$1:$AH$73</definedName>
    <definedName name="_xlnm.Print_Area" localSheetId="12">'Table 8c'!$A$1:$AH$73</definedName>
    <definedName name="_xlnm.Print_Area" localSheetId="13">'Table 9'!$A$1:$AH$73</definedName>
    <definedName name="_xlnm.Print_Titles" localSheetId="2">'Table 2'!$B:$B,'Table 2'!$2:$6</definedName>
    <definedName name="_xlnm.Print_Titles" localSheetId="3">'Table 3'!$A:$A,'Table 3'!$2:$6</definedName>
    <definedName name="_xlnm.Print_Titles" localSheetId="4">'Table 4'!$A:$A,'Table 4'!$2:$6</definedName>
    <definedName name="CountryCode">Param!$D$99</definedName>
    <definedName name="CountryIeaList">Param!$D$8:$D$67</definedName>
    <definedName name="CountryIndex">Param!$D$96</definedName>
    <definedName name="CountryIsoList">Param!$E$8:$E$67</definedName>
    <definedName name="CountryList">Param!$C$8:$C$67</definedName>
    <definedName name="CountryUser">'Table 1'!$D$2</definedName>
    <definedName name="CsvCountry">Param!$D$106</definedName>
    <definedName name="CsvCountryName">Param!$D$108</definedName>
    <definedName name="CsvMonth">Param!$D$102</definedName>
    <definedName name="CsvMonthName">Param!$D$109</definedName>
    <definedName name="CsvYear">Param!$D$103</definedName>
    <definedName name="DataT1">'Table 1'!$D$14:$J$25</definedName>
    <definedName name="DataT2">'Table 2'!$D$8:$AD$27</definedName>
    <definedName name="DataT3">'Table 3'!$C$8:$AG$174</definedName>
    <definedName name="DataT4">'Table 4'!$C$8:$AG$174</definedName>
    <definedName name="DataT5">'Table 5'!$D$8:$AI$43</definedName>
    <definedName name="DataT5b_5c_1">'Table 5b_5c'!$D$8:$AI$25</definedName>
    <definedName name="DataT5b_5c_2">'Table 5b_5c'!$D$28:$AI$37</definedName>
    <definedName name="DataT5b_5c_3">'Table 5b_5c'!$D$42:$D$50</definedName>
    <definedName name="DataT5b_5c_4">'Table 5b_5c'!$D$55:$AI$56</definedName>
    <definedName name="DataT6">'Table 6'!$C$8:$AH$66</definedName>
    <definedName name="DataT6b">'Table 6b'!$C$8:$AH$66</definedName>
    <definedName name="DataT7">'Table 7'!$C$8:$AH$66</definedName>
    <definedName name="DataT8">'Table 8'!$C$8:$AH$66</definedName>
    <definedName name="DataT8b">'Table 8b'!$C$8:$AH$66</definedName>
    <definedName name="DataT8c">'Table 8c'!$C$8:$AH$66</definedName>
    <definedName name="DataT9">'Table 9'!$C$8:$AH$66</definedName>
    <definedName name="DataTRem">Remarks!$D$4:$D$43</definedName>
    <definedName name="DatatypeT1">'Table 1'!$AS$8</definedName>
    <definedName name="DatatypeT2">'Table 2'!$AT$2</definedName>
    <definedName name="DatatypeT3">'Table 3'!$AT$4</definedName>
    <definedName name="DatatypeT4">'Table 4'!$AT$4</definedName>
    <definedName name="DatatypeT5">'Table 5'!$AT$4</definedName>
    <definedName name="DatatypeT5b_5c_1">'Table 5b_5c'!$AT$2</definedName>
    <definedName name="DatatypeT5b_5c_2">'Table 5b_5c'!$AT$2</definedName>
    <definedName name="DatatypeT5b_5c_3">'Table 5b_5c'!$AT$2</definedName>
    <definedName name="DatatypeT5b_5c_4">'Table 5b_5c'!$AT$2</definedName>
    <definedName name="DatatypeT6">'Table 6'!$AT$2</definedName>
    <definedName name="DatatypeT6b">'Table 6b'!$AT$2</definedName>
    <definedName name="DatatypeT7">'Table 7'!$AT$2</definedName>
    <definedName name="DatatypeT8">'Table 8'!$AT$2</definedName>
    <definedName name="DatatypeT8b">'Table 8b'!$AT$2</definedName>
    <definedName name="DatatypeT8c">'Table 8c'!$AT$2</definedName>
    <definedName name="DatatypeT9">'Table 9'!$AT$2</definedName>
    <definedName name="DatatypeTRem">Remarks!$AI$2</definedName>
    <definedName name="DS">Summary!$D$8</definedName>
    <definedName name="EnCMember">Param!$D$101</definedName>
    <definedName name="EUDSDCodesT1">'Table 1'!$DS$14:$EE$25</definedName>
    <definedName name="EUDSDCodesT2">'Table 2'!$DS$8:$EE$27</definedName>
    <definedName name="EUDSDCodesT3">'Table 3'!$DS$8:$EE$174</definedName>
    <definedName name="EUDSDCodesT4">'Table 4'!$DS$8:$EE$174</definedName>
    <definedName name="EUDSDCodesT5">'Table 5'!$DS$8:$EE$43</definedName>
    <definedName name="EUDSDCodesT5b_5c">'Table 5b_5c'!$DS$8:$EE$37,'Table 5b_5c'!$DS$42:$EE$44,'Table 5b_5c'!$DS$47:$EE$50,'Table 5b_5c'!$DS$55:$EE$56</definedName>
    <definedName name="EUDSDCodesT6">'Table 6'!$DS$8:$EE$64</definedName>
    <definedName name="EUDSDCodesT6b">'Table 6b'!$DS$8:$EE$64</definedName>
    <definedName name="EUDSDCodesT7">'Table 7'!$DS$8:$EE$64</definedName>
    <definedName name="EUDSDCodesT8">'Table 8'!$DS$8:$EE$64</definedName>
    <definedName name="EUDSDCodesT8b">'Table 8b'!$DS$8:$EE$64</definedName>
    <definedName name="EUDSDCodesT8c">'Table 8c'!$DS$8:$EE$64</definedName>
    <definedName name="EUDSDCodesT9">'Table 9'!$DS$8:$EE$64</definedName>
    <definedName name="EUMember">Param!$D$100</definedName>
    <definedName name="EUMethod">'Table 5b_5c'!$D$50</definedName>
    <definedName name="EUProdT1">'Table 1'!$D$1000:$J$1000</definedName>
    <definedName name="EUProdT2">'Table 2'!$D$1000:$AD$1000</definedName>
    <definedName name="EUProdT3">'Table 3'!$C$1000:$AG$1000</definedName>
    <definedName name="EUProdT4">'Table 4'!$C$1000:$AG$1000</definedName>
    <definedName name="EUProdT5">'Table 5'!$D$1000:$AI$1000</definedName>
    <definedName name="EUProdT5b_5c">'Table 5b_5c'!$D$1000:$AI$1000</definedName>
    <definedName name="EUProdT6">'Table 6'!$C$1000:$AH$1000</definedName>
    <definedName name="EUProdT6b">'Table 6b'!$C$1000:$AH$1000</definedName>
    <definedName name="EUProdT7">'Table 7'!$C$1000:$AH$1000</definedName>
    <definedName name="EUProdT8">'Table 8'!$C$1000:$AH$1000</definedName>
    <definedName name="EUProdT8b">'Table 8b'!$C$1000:$AH$1000</definedName>
    <definedName name="EUProdT8c">'Table 8c'!$C$1000:$AH$1000</definedName>
    <definedName name="EUProdT9">'Table 9'!$C$1000:$AH$1000</definedName>
    <definedName name="EUYear">'Table 5b_5c'!$B$27</definedName>
    <definedName name="FakeKeys">FakeKeys!$E$4:$E$347</definedName>
    <definedName name="FirstMonth">'Table 1'!$D$3</definedName>
    <definedName name="FormulasDataT1">Formulas!$E$13:$K$24</definedName>
    <definedName name="FormulasDataT2">Formulas!$E$33:$AE$52</definedName>
    <definedName name="FormulasDataT3">Formulas!$E$60:$AI$226</definedName>
    <definedName name="FormulasDataT4">Formulas!$E$234:$AI$400</definedName>
    <definedName name="FormulasDataT5">Formulas!$F$408:$AK$443</definedName>
    <definedName name="FormulasDataT5b_5c_1">Formulas!$F$454:$AK$471</definedName>
    <definedName name="FormulasDataT5b_5c_2">Formulas!$F$474:$AJ$483</definedName>
    <definedName name="FormulasDataT5b_5c_3">Formulas!$F$488:$F$496</definedName>
    <definedName name="FormulasDataT5b_5c_4">Formulas!$F$501:$AK$502</definedName>
    <definedName name="FormulasDataT6">Formulas!$E$510:$AJ$568</definedName>
    <definedName name="FormulasDataT6b">Formulas!$E$576:$AJ$634</definedName>
    <definedName name="FormulasDataT7">Formulas!$E$642:$AJ$700</definedName>
    <definedName name="FormulasDataT8">Formulas!$E$708:$AJ$766</definedName>
    <definedName name="FormulasDataT8b">Formulas!$E$774:$AJ$832</definedName>
    <definedName name="FormulasDataT8c">Formulas!$E$840:$AJ$898</definedName>
    <definedName name="FormulasDataT9">Formulas!$E$906:$AJ$964</definedName>
    <definedName name="Item1T1">'Table 1'!$AS$14:$AS$25</definedName>
    <definedName name="Item1T2">'Table 2'!$AT$8:$AT$27</definedName>
    <definedName name="Item1T3">'Table 3'!$AS$8:$AT$174</definedName>
    <definedName name="Item1T4">'Table 4'!$AS$8:$AT$174</definedName>
    <definedName name="Item1T5">'Table 5'!$AT$8:$AT$43</definedName>
    <definedName name="Item1T5b_5c">'Table 5b_5c'!$AT$8:$AT$25,'Table 5b_5c'!$AT$28:$AT$37,'Table 5b_5c'!$AT$45:$AT$47,'Table 5b_5c'!$AT$55:$AT$56</definedName>
    <definedName name="Item1T5b_5c_1">'Table 5b_5c'!$AT$8:$AT$25</definedName>
    <definedName name="Item1T5b_5c_2">'Table 5b_5c'!$AT$28:$AT$37</definedName>
    <definedName name="Item1T5b_5c_3">'Table 5b_5c'!$AT$42:$AT$44,'Table 5b_5c'!$AT$47:$AT$50</definedName>
    <definedName name="Item1T5b_5c_4">'Table 5b_5c'!$AT$55:$AT$56</definedName>
    <definedName name="Item1T6">'Table 6'!$AS$8:$AT$66</definedName>
    <definedName name="Item1T6b">'Table 6b'!$AS$8:$AT$66</definedName>
    <definedName name="Item1T7">'Table 7'!$AS$8:$AT$66</definedName>
    <definedName name="Item1T8">'Table 8'!$AS$8:$AT$66</definedName>
    <definedName name="Item1T8b">'Table 8b'!$AS$8:$AT$66</definedName>
    <definedName name="Item1T8c">'Table 8c'!$AS$8:$AT$66</definedName>
    <definedName name="Item1T9">'Table 9'!$AS$8:$AT$66</definedName>
    <definedName name="Item1TRem">Remarks!$AI$4:$AI$43</definedName>
    <definedName name="Item2T5b_5c_1">'Table 5b_5c'!$AT$4</definedName>
    <definedName name="Item2T5b_5c_2">'Table 5b_5c'!$AT$4</definedName>
    <definedName name="Item2T5b_5c_3">'Table 5b_5c'!$AT$4</definedName>
    <definedName name="Item2T5b_5c_4">'Table 5b_5c'!$AT$4</definedName>
    <definedName name="Item2T6">'Table 6'!$AT$4</definedName>
    <definedName name="Item2T6b">'Table 6b'!$AT$4</definedName>
    <definedName name="Item2T7">'Table 7'!$AT$4</definedName>
    <definedName name="Item2T8">'Table 8'!$AT$4</definedName>
    <definedName name="Item2T8b">'Table 8b'!$AT$4</definedName>
    <definedName name="Item2T8c">'Table 8c'!$AT$4</definedName>
    <definedName name="Item2T9">'Table 9'!$AT$4</definedName>
    <definedName name="MonthCodes">Param!$D$71:$D$82</definedName>
    <definedName name="MonthIndex">Param!$D$92</definedName>
    <definedName name="MonthList">Param!$C$71:$C$82</definedName>
    <definedName name="MsgAfterRounding">Param!$D$85</definedName>
    <definedName name="NoDataT1">'Table 1'!$D$15:$D$16,'Table 1'!$E$15:$E$17,'Table 1'!$F$14:$F$15,'Table 1'!$G$16:$I$17,'Table 1'!$H$14,'Table 1'!$H$18:$H$19</definedName>
    <definedName name="NoDataT2">'Table 2'!$D$9:$E$14,'Table 2'!$F$12:$F$13,'Table 2'!$D$16:$D$17,'Table 2'!$E$16:$E$17,'Table 2'!$F$17,'Table 2'!$D$21:$L$21,'Table 2'!$R$21:$AC$21</definedName>
    <definedName name="NoDataT2_2">'Table 2'!$D$23:$G$23,'Table 2'!$I$23:$AC$23,'Table 2'!$D$24:$S$24,'Table 2'!$X$24:$AC$24,'Table 2'!$D$26:$E$26,'Table 2'!$D$27:$AC$27</definedName>
    <definedName name="NoDataT5b_5c_2_1">'Table 5b_5c'!$D$28:$I$37,'Table 5b_5c'!$J$28:$J$29,'Table 5b_5c'!$J$33:$J$34,'Table 5b_5c'!$J$37,'Table 5b_5c'!$K$28:$L$37,'Table 5b_5c'!$M$32,'Table 5b_5c'!$N$28:$N$33,'Table 5b_5c'!$N$35:$N$37,'Table 5b_5c'!$O$28:$P$37,'Table 5b_5c'!$Q$28:$AG$33</definedName>
    <definedName name="NoDataT5b_5c_2_2">'Table 5b_5c'!$T$34:$U$34,'Table 5b_5c'!$W$34:$X$34,'Table 5b_5c'!$Z$34:$AA$34,'Table 5b_5c'!$AC$34:$AH$34,'Table 5b_5c'!$Q$35:$AG$37,'Table 5b_5c'!$AH$28,'Table 5b_5c'!$AH$29,'Table 5b_5c'!$AH$32,'Table 5b_5c'!$AH$37,'Table 5b_5c'!$AI$28:$AI$37</definedName>
    <definedName name="NoDataT6">'Table 6'!$C$65:$AH$65</definedName>
    <definedName name="NoDataT6b">'Table 6b'!$C$65:$AH$65</definedName>
    <definedName name="NoDataT7">'Table 7'!$C$65:$AH$65</definedName>
    <definedName name="NoDataT8">'Table 8'!$C$65:$AH$65</definedName>
    <definedName name="NoDataT8b">'Table 8b'!$C$65:$AH$65</definedName>
    <definedName name="NoDataT8c">'Table 8c'!$C$65:$AH$65</definedName>
    <definedName name="NoDataT9">'Table 9'!$C$65:$AH$65</definedName>
    <definedName name="ParamCountry">Param!$C$8:$G$67</definedName>
    <definedName name="ParamMonth">Param!$C$71:$D$82</definedName>
    <definedName name="PosiMonth">Param!$D$104</definedName>
    <definedName name="PosiMonth1">Param!$D$104</definedName>
    <definedName name="ProdT1">'Table 1'!$D$130:$J$130</definedName>
    <definedName name="ProdT2">'Table 2'!$D$132:$AD$132</definedName>
    <definedName name="ProdT3">'Table 3'!$C$192:$AG$192</definedName>
    <definedName name="ProdT4">'Table 4'!$C$201:$AG$201</definedName>
    <definedName name="ProdT5">'Table 5'!$D$132:$AI$132</definedName>
    <definedName name="ProdT5b_5c">'Table 5b_5c'!$D$130:$AJ$130</definedName>
    <definedName name="ProdT5b_5c_1">'Table 5b_5c'!$D$130:$AI$130</definedName>
    <definedName name="ProdT5b_5c_2">'Table 5b_5c'!$D$130:$AI$130</definedName>
    <definedName name="ProdT5b_5c_3">'Table 5b_5c'!$AJ$130</definedName>
    <definedName name="ProdT5b_5c_4">'Table 5b_5c'!$D$130:$AI$130</definedName>
    <definedName name="ProdT6">'Table 6'!$C$140:$AG$140</definedName>
    <definedName name="ProdT6b">'Table 6b'!$C$138:$AH$138</definedName>
    <definedName name="ProdT7">'Table 7'!$C$138:$AH$138</definedName>
    <definedName name="ProdT8">'Table 8'!$C$138:$AH$138</definedName>
    <definedName name="ProdT8b">'Table 8b'!$C$138:$AH$138</definedName>
    <definedName name="ProdT8c">'Table 8b'!$C$138:$AH$138</definedName>
    <definedName name="ProdT9">'Table 9'!$C$138:$AH$138</definedName>
    <definedName name="QuestCountry">Param!$D$98</definedName>
    <definedName name="QuestMonth">Param!$D$94</definedName>
    <definedName name="QuestYear">'Table 1'!$E$3</definedName>
    <definedName name="solver_cvg" localSheetId="5" hidden="1">0.001</definedName>
    <definedName name="solver_drv" localSheetId="5" hidden="1">1</definedName>
    <definedName name="solver_est" localSheetId="5" hidden="1">1</definedName>
    <definedName name="solver_itr" localSheetId="5" hidden="1">100</definedName>
    <definedName name="solver_lin" localSheetId="5" hidden="1">2</definedName>
    <definedName name="solver_neg" localSheetId="5" hidden="1">2</definedName>
    <definedName name="solver_num" localSheetId="5" hidden="1">0</definedName>
    <definedName name="solver_nwt" localSheetId="5" hidden="1">1</definedName>
    <definedName name="solver_opt" localSheetId="5" hidden="1">'Table 5'!$D$58</definedName>
    <definedName name="solver_pre" localSheetId="5" hidden="1">0.000001</definedName>
    <definedName name="solver_scl" localSheetId="5" hidden="1">2</definedName>
    <definedName name="solver_sho" localSheetId="5" hidden="1">2</definedName>
    <definedName name="solver_tim" localSheetId="5" hidden="1">100</definedName>
    <definedName name="solver_tol" localSheetId="5" hidden="1">0.05</definedName>
    <definedName name="solver_typ" localSheetId="5" hidden="1">1</definedName>
    <definedName name="solver_val" localSheetId="5" hidden="1">0</definedName>
    <definedName name="SumOil">Param!$D$111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25" i="2" l="1"/>
  <c r="J24" i="2"/>
  <c r="G23" i="2"/>
  <c r="I22" i="2"/>
  <c r="I23" i="2" s="1"/>
  <c r="H22" i="2"/>
  <c r="H23" i="2" s="1"/>
  <c r="G22" i="2"/>
  <c r="F22" i="2"/>
  <c r="F23" i="2" s="1"/>
  <c r="E22" i="2"/>
  <c r="E23" i="2" s="1"/>
  <c r="D22" i="2"/>
  <c r="D23" i="2" s="1"/>
  <c r="J21" i="2"/>
  <c r="J20" i="2"/>
  <c r="J19" i="2"/>
  <c r="J18" i="2"/>
  <c r="J17" i="2"/>
  <c r="J16" i="2"/>
  <c r="J15" i="2"/>
  <c r="J14" i="2"/>
  <c r="AD27" i="3"/>
  <c r="AD26" i="3"/>
  <c r="AD25" i="3"/>
  <c r="AD24" i="3"/>
  <c r="AD23" i="3"/>
  <c r="AD22" i="3"/>
  <c r="AD21" i="3"/>
  <c r="AD20" i="3"/>
  <c r="X19" i="3"/>
  <c r="AC18" i="3"/>
  <c r="AC19" i="3" s="1"/>
  <c r="AB18" i="3"/>
  <c r="AB19" i="3" s="1"/>
  <c r="AA18" i="3"/>
  <c r="AA19" i="3" s="1"/>
  <c r="Z18" i="3"/>
  <c r="Z19" i="3" s="1"/>
  <c r="Y18" i="3"/>
  <c r="Y19" i="3" s="1"/>
  <c r="X18" i="3"/>
  <c r="W18" i="3"/>
  <c r="W19" i="3" s="1"/>
  <c r="V18" i="3"/>
  <c r="V19" i="3" s="1"/>
  <c r="U18" i="3"/>
  <c r="U19" i="3" s="1"/>
  <c r="T18" i="3"/>
  <c r="T19" i="3" s="1"/>
  <c r="S18" i="3"/>
  <c r="S19" i="3" s="1"/>
  <c r="R18" i="3"/>
  <c r="R19" i="3" s="1"/>
  <c r="Q18" i="3"/>
  <c r="Q19" i="3" s="1"/>
  <c r="P18" i="3"/>
  <c r="P19" i="3" s="1"/>
  <c r="O18" i="3"/>
  <c r="O19" i="3" s="1"/>
  <c r="N18" i="3"/>
  <c r="N19" i="3" s="1"/>
  <c r="M18" i="3"/>
  <c r="M19" i="3" s="1"/>
  <c r="L18" i="3"/>
  <c r="L19" i="3" s="1"/>
  <c r="K18" i="3"/>
  <c r="K19" i="3" s="1"/>
  <c r="J18" i="3"/>
  <c r="J19" i="3" s="1"/>
  <c r="I18" i="3"/>
  <c r="I19" i="3" s="1"/>
  <c r="H18" i="3"/>
  <c r="H19" i="3" s="1"/>
  <c r="G18" i="3"/>
  <c r="G19" i="3" s="1"/>
  <c r="F18" i="3"/>
  <c r="E18" i="3"/>
  <c r="E19" i="3" s="1"/>
  <c r="D18" i="3"/>
  <c r="D19" i="3" s="1"/>
  <c r="AD17" i="3"/>
  <c r="AD16" i="3"/>
  <c r="AD15" i="3"/>
  <c r="AD14" i="3"/>
  <c r="AD13" i="3"/>
  <c r="AD12" i="3"/>
  <c r="AD11" i="3"/>
  <c r="AD10" i="3"/>
  <c r="AD9" i="3"/>
  <c r="AD8" i="3"/>
  <c r="AE174" i="5"/>
  <c r="AD174" i="5"/>
  <c r="AC174" i="5"/>
  <c r="AB174" i="5"/>
  <c r="AA174" i="5"/>
  <c r="Z174" i="5"/>
  <c r="Y174" i="5"/>
  <c r="X174" i="5"/>
  <c r="W174" i="5"/>
  <c r="V174" i="5"/>
  <c r="U174" i="5"/>
  <c r="T174" i="5"/>
  <c r="S174" i="5"/>
  <c r="R174" i="5"/>
  <c r="Q174" i="5"/>
  <c r="P174" i="5"/>
  <c r="O174" i="5"/>
  <c r="N174" i="5"/>
  <c r="M174" i="5"/>
  <c r="L174" i="5"/>
  <c r="K174" i="5"/>
  <c r="J174" i="5"/>
  <c r="I174" i="5"/>
  <c r="G174" i="5"/>
  <c r="F174" i="5"/>
  <c r="E174" i="5"/>
  <c r="D174" i="5"/>
  <c r="C174" i="5"/>
  <c r="AF173" i="5"/>
  <c r="H173" i="5"/>
  <c r="AF172" i="5"/>
  <c r="H172" i="5"/>
  <c r="AG172" i="5" s="1"/>
  <c r="AF171" i="5"/>
  <c r="H171" i="5"/>
  <c r="AG171" i="5" s="1"/>
  <c r="AF170" i="5"/>
  <c r="H170" i="5"/>
  <c r="AF169" i="5"/>
  <c r="H169" i="5"/>
  <c r="AF168" i="5"/>
  <c r="H168" i="5"/>
  <c r="AG168" i="5" s="1"/>
  <c r="AF167" i="5"/>
  <c r="H167" i="5"/>
  <c r="AF166" i="5"/>
  <c r="H166" i="5"/>
  <c r="AF165" i="5"/>
  <c r="H165" i="5"/>
  <c r="AG165" i="5" s="1"/>
  <c r="AF164" i="5"/>
  <c r="H164" i="5"/>
  <c r="AF163" i="5"/>
  <c r="H163" i="5"/>
  <c r="AG163" i="5" s="1"/>
  <c r="AF162" i="5"/>
  <c r="H162" i="5"/>
  <c r="AG162" i="5" s="1"/>
  <c r="AF161" i="5"/>
  <c r="H161" i="5"/>
  <c r="AF160" i="5"/>
  <c r="H160" i="5"/>
  <c r="AG160" i="5" s="1"/>
  <c r="AF159" i="5"/>
  <c r="H159" i="5"/>
  <c r="AG159" i="5" s="1"/>
  <c r="AF158" i="5"/>
  <c r="H158" i="5"/>
  <c r="AF157" i="5"/>
  <c r="H157" i="5"/>
  <c r="AG157" i="5" s="1"/>
  <c r="AF156" i="5"/>
  <c r="H156" i="5"/>
  <c r="AG156" i="5" s="1"/>
  <c r="AF155" i="5"/>
  <c r="H155" i="5"/>
  <c r="AF154" i="5"/>
  <c r="H154" i="5"/>
  <c r="AG154" i="5" s="1"/>
  <c r="AF153" i="5"/>
  <c r="H153" i="5"/>
  <c r="AG153" i="5" s="1"/>
  <c r="AF152" i="5"/>
  <c r="H152" i="5"/>
  <c r="AF151" i="5"/>
  <c r="H151" i="5"/>
  <c r="AF150" i="5"/>
  <c r="H150" i="5"/>
  <c r="AG150" i="5" s="1"/>
  <c r="AF149" i="5"/>
  <c r="H149" i="5"/>
  <c r="AF148" i="5"/>
  <c r="H148" i="5"/>
  <c r="AG148" i="5" s="1"/>
  <c r="AF147" i="5"/>
  <c r="H147" i="5"/>
  <c r="AG147" i="5" s="1"/>
  <c r="AF146" i="5"/>
  <c r="H146" i="5"/>
  <c r="AF145" i="5"/>
  <c r="H145" i="5"/>
  <c r="AF144" i="5"/>
  <c r="H144" i="5"/>
  <c r="AG144" i="5" s="1"/>
  <c r="AF143" i="5"/>
  <c r="H143" i="5"/>
  <c r="AF142" i="5"/>
  <c r="H142" i="5"/>
  <c r="AF141" i="5"/>
  <c r="H141" i="5"/>
  <c r="AG141" i="5" s="1"/>
  <c r="AF140" i="5"/>
  <c r="H140" i="5"/>
  <c r="AF139" i="5"/>
  <c r="H139" i="5"/>
  <c r="AG139" i="5" s="1"/>
  <c r="AF138" i="5"/>
  <c r="H138" i="5"/>
  <c r="AG138" i="5" s="1"/>
  <c r="AF137" i="5"/>
  <c r="H137" i="5"/>
  <c r="AF136" i="5"/>
  <c r="H136" i="5"/>
  <c r="AG136" i="5" s="1"/>
  <c r="AF135" i="5"/>
  <c r="H135" i="5"/>
  <c r="AG135" i="5" s="1"/>
  <c r="AF134" i="5"/>
  <c r="H134" i="5"/>
  <c r="AF133" i="5"/>
  <c r="H133" i="5"/>
  <c r="AF132" i="5"/>
  <c r="H132" i="5"/>
  <c r="AG132" i="5" s="1"/>
  <c r="AF131" i="5"/>
  <c r="H131" i="5"/>
  <c r="AF130" i="5"/>
  <c r="H130" i="5"/>
  <c r="AG130" i="5" s="1"/>
  <c r="AF129" i="5"/>
  <c r="H129" i="5"/>
  <c r="AG129" i="5" s="1"/>
  <c r="AF128" i="5"/>
  <c r="H128" i="5"/>
  <c r="AF127" i="5"/>
  <c r="H127" i="5"/>
  <c r="AG127" i="5" s="1"/>
  <c r="AF126" i="5"/>
  <c r="H126" i="5"/>
  <c r="AG126" i="5" s="1"/>
  <c r="AF125" i="5"/>
  <c r="H125" i="5"/>
  <c r="AF124" i="5"/>
  <c r="H124" i="5"/>
  <c r="AG124" i="5" s="1"/>
  <c r="AF123" i="5"/>
  <c r="H123" i="5"/>
  <c r="AG123" i="5" s="1"/>
  <c r="AF122" i="5"/>
  <c r="H122" i="5"/>
  <c r="AF121" i="5"/>
  <c r="H121" i="5"/>
  <c r="AG121" i="5" s="1"/>
  <c r="AF120" i="5"/>
  <c r="H120" i="5"/>
  <c r="AG120" i="5" s="1"/>
  <c r="AF119" i="5"/>
  <c r="H119" i="5"/>
  <c r="AF118" i="5"/>
  <c r="H118" i="5"/>
  <c r="AG118" i="5" s="1"/>
  <c r="AF117" i="5"/>
  <c r="H117" i="5"/>
  <c r="AG117" i="5" s="1"/>
  <c r="AF116" i="5"/>
  <c r="H116" i="5"/>
  <c r="AF115" i="5"/>
  <c r="H115" i="5"/>
  <c r="AG115" i="5" s="1"/>
  <c r="AF114" i="5"/>
  <c r="H114" i="5"/>
  <c r="AG114" i="5" s="1"/>
  <c r="AF113" i="5"/>
  <c r="H113" i="5"/>
  <c r="AF112" i="5"/>
  <c r="H112" i="5"/>
  <c r="AG112" i="5" s="1"/>
  <c r="AF111" i="5"/>
  <c r="H111" i="5"/>
  <c r="AG111" i="5" s="1"/>
  <c r="AF110" i="5"/>
  <c r="H110" i="5"/>
  <c r="AF109" i="5"/>
  <c r="H109" i="5"/>
  <c r="AG109" i="5" s="1"/>
  <c r="AF108" i="5"/>
  <c r="H108" i="5"/>
  <c r="AG108" i="5" s="1"/>
  <c r="AF107" i="5"/>
  <c r="H107" i="5"/>
  <c r="AF106" i="5"/>
  <c r="H106" i="5"/>
  <c r="AG106" i="5" s="1"/>
  <c r="AF105" i="5"/>
  <c r="H105" i="5"/>
  <c r="AG105" i="5" s="1"/>
  <c r="AF104" i="5"/>
  <c r="H104" i="5"/>
  <c r="AF103" i="5"/>
  <c r="H103" i="5"/>
  <c r="AG103" i="5" s="1"/>
  <c r="AF102" i="5"/>
  <c r="H102" i="5"/>
  <c r="AG101" i="5"/>
  <c r="AF101" i="5"/>
  <c r="H101" i="5"/>
  <c r="AG100" i="5"/>
  <c r="AF100" i="5"/>
  <c r="H100" i="5"/>
  <c r="AF99" i="5"/>
  <c r="AG99" i="5" s="1"/>
  <c r="H99" i="5"/>
  <c r="AG98" i="5"/>
  <c r="AF98" i="5"/>
  <c r="H98" i="5"/>
  <c r="AF97" i="5"/>
  <c r="AG97" i="5" s="1"/>
  <c r="H97" i="5"/>
  <c r="AF96" i="5"/>
  <c r="H96" i="5"/>
  <c r="AG96" i="5" s="1"/>
  <c r="AG95" i="5"/>
  <c r="AF95" i="5"/>
  <c r="H95" i="5"/>
  <c r="AF94" i="5"/>
  <c r="H94" i="5"/>
  <c r="AG94" i="5" s="1"/>
  <c r="AG93" i="5"/>
  <c r="AF93" i="5"/>
  <c r="H93" i="5"/>
  <c r="AG92" i="5"/>
  <c r="AF92" i="5"/>
  <c r="H92" i="5"/>
  <c r="AF91" i="5"/>
  <c r="H91" i="5"/>
  <c r="AG91" i="5" s="1"/>
  <c r="AG90" i="5"/>
  <c r="AF90" i="5"/>
  <c r="H90" i="5"/>
  <c r="AG89" i="5"/>
  <c r="AF89" i="5"/>
  <c r="H89" i="5"/>
  <c r="AF88" i="5"/>
  <c r="AG88" i="5" s="1"/>
  <c r="H88" i="5"/>
  <c r="AG87" i="5"/>
  <c r="AF87" i="5"/>
  <c r="H87" i="5"/>
  <c r="AF86" i="5"/>
  <c r="H86" i="5"/>
  <c r="AG86" i="5" s="1"/>
  <c r="AG85" i="5"/>
  <c r="AF85" i="5"/>
  <c r="H85" i="5"/>
  <c r="AF84" i="5"/>
  <c r="H84" i="5"/>
  <c r="AG84" i="5" s="1"/>
  <c r="AG83" i="5"/>
  <c r="AF83" i="5"/>
  <c r="H83" i="5"/>
  <c r="AF82" i="5"/>
  <c r="H82" i="5"/>
  <c r="AG82" i="5" s="1"/>
  <c r="AG81" i="5"/>
  <c r="AF81" i="5"/>
  <c r="H81" i="5"/>
  <c r="AF80" i="5"/>
  <c r="H80" i="5"/>
  <c r="AG80" i="5" s="1"/>
  <c r="AF79" i="5"/>
  <c r="H79" i="5"/>
  <c r="AG79" i="5" s="1"/>
  <c r="AF78" i="5"/>
  <c r="AG78" i="5" s="1"/>
  <c r="H78" i="5"/>
  <c r="AF77" i="5"/>
  <c r="H77" i="5"/>
  <c r="AG77" i="5" s="1"/>
  <c r="AG76" i="5"/>
  <c r="AF76" i="5"/>
  <c r="H76" i="5"/>
  <c r="AF75" i="5"/>
  <c r="AG75" i="5" s="1"/>
  <c r="H75" i="5"/>
  <c r="AF74" i="5"/>
  <c r="H74" i="5"/>
  <c r="AG74" i="5" s="1"/>
  <c r="AF73" i="5"/>
  <c r="AG73" i="5" s="1"/>
  <c r="H73" i="5"/>
  <c r="AF72" i="5"/>
  <c r="H72" i="5"/>
  <c r="AG72" i="5" s="1"/>
  <c r="AF71" i="5"/>
  <c r="AG71" i="5" s="1"/>
  <c r="H71" i="5"/>
  <c r="AG70" i="5"/>
  <c r="AF70" i="5"/>
  <c r="H70" i="5"/>
  <c r="AG69" i="5"/>
  <c r="AF69" i="5"/>
  <c r="H69" i="5"/>
  <c r="AG68" i="5"/>
  <c r="AF68" i="5"/>
  <c r="H68" i="5"/>
  <c r="AG67" i="5"/>
  <c r="AF67" i="5"/>
  <c r="H67" i="5"/>
  <c r="AF66" i="5"/>
  <c r="AG66" i="5" s="1"/>
  <c r="H66" i="5"/>
  <c r="AG65" i="5"/>
  <c r="AF65" i="5"/>
  <c r="H65" i="5"/>
  <c r="AG64" i="5"/>
  <c r="AF64" i="5"/>
  <c r="H64" i="5"/>
  <c r="AF63" i="5"/>
  <c r="H63" i="5"/>
  <c r="AG63" i="5" s="1"/>
  <c r="AF62" i="5"/>
  <c r="AG62" i="5" s="1"/>
  <c r="H62" i="5"/>
  <c r="AG61" i="5"/>
  <c r="AF61" i="5"/>
  <c r="H61" i="5"/>
  <c r="AF60" i="5"/>
  <c r="H60" i="5"/>
  <c r="AG60" i="5" s="1"/>
  <c r="AF59" i="5"/>
  <c r="H59" i="5"/>
  <c r="AG59" i="5" s="1"/>
  <c r="AG58" i="5"/>
  <c r="AF58" i="5"/>
  <c r="H58" i="5"/>
  <c r="AF57" i="5"/>
  <c r="H57" i="5"/>
  <c r="AG57" i="5" s="1"/>
  <c r="AG56" i="5"/>
  <c r="AF56" i="5"/>
  <c r="H56" i="5"/>
  <c r="AG55" i="5"/>
  <c r="AF55" i="5"/>
  <c r="H55" i="5"/>
  <c r="AF54" i="5"/>
  <c r="AG54" i="5" s="1"/>
  <c r="H54" i="5"/>
  <c r="AG53" i="5"/>
  <c r="AF53" i="5"/>
  <c r="H53" i="5"/>
  <c r="AG52" i="5"/>
  <c r="AF52" i="5"/>
  <c r="H52" i="5"/>
  <c r="AG51" i="5"/>
  <c r="AF51" i="5"/>
  <c r="H51" i="5"/>
  <c r="AF50" i="5"/>
  <c r="H50" i="5"/>
  <c r="AG50" i="5" s="1"/>
  <c r="AG49" i="5"/>
  <c r="AF49" i="5"/>
  <c r="H49" i="5"/>
  <c r="AG48" i="5"/>
  <c r="AF48" i="5"/>
  <c r="H48" i="5"/>
  <c r="AF47" i="5"/>
  <c r="AG47" i="5" s="1"/>
  <c r="H47" i="5"/>
  <c r="AG46" i="5"/>
  <c r="AF46" i="5"/>
  <c r="H46" i="5"/>
  <c r="AG45" i="5"/>
  <c r="AF45" i="5"/>
  <c r="H45" i="5"/>
  <c r="AG44" i="5"/>
  <c r="AF44" i="5"/>
  <c r="H44" i="5"/>
  <c r="AF43" i="5"/>
  <c r="AG43" i="5" s="1"/>
  <c r="H43" i="5"/>
  <c r="AG42" i="5"/>
  <c r="AF42" i="5"/>
  <c r="H42" i="5"/>
  <c r="AF41" i="5"/>
  <c r="AG41" i="5" s="1"/>
  <c r="H41" i="5"/>
  <c r="AF40" i="5"/>
  <c r="H40" i="5"/>
  <c r="AG40" i="5" s="1"/>
  <c r="AG39" i="5"/>
  <c r="AF39" i="5"/>
  <c r="H39" i="5"/>
  <c r="AF38" i="5"/>
  <c r="H38" i="5"/>
  <c r="AG38" i="5" s="1"/>
  <c r="AG37" i="5"/>
  <c r="AF37" i="5"/>
  <c r="H37" i="5"/>
  <c r="AG36" i="5"/>
  <c r="AF36" i="5"/>
  <c r="H36" i="5"/>
  <c r="AF35" i="5"/>
  <c r="H35" i="5"/>
  <c r="AG35" i="5" s="1"/>
  <c r="AF34" i="5"/>
  <c r="H34" i="5"/>
  <c r="AG34" i="5" s="1"/>
  <c r="AG33" i="5"/>
  <c r="AF33" i="5"/>
  <c r="H33" i="5"/>
  <c r="AF32" i="5"/>
  <c r="AG32" i="5" s="1"/>
  <c r="H32" i="5"/>
  <c r="AF31" i="5"/>
  <c r="AG31" i="5" s="1"/>
  <c r="H31" i="5"/>
  <c r="AG30" i="5"/>
  <c r="AF30" i="5"/>
  <c r="H30" i="5"/>
  <c r="AF29" i="5"/>
  <c r="H29" i="5"/>
  <c r="AG29" i="5" s="1"/>
  <c r="AG28" i="5"/>
  <c r="AF28" i="5"/>
  <c r="H28" i="5"/>
  <c r="AG27" i="5"/>
  <c r="AF27" i="5"/>
  <c r="H27" i="5"/>
  <c r="AG26" i="5"/>
  <c r="AF26" i="5"/>
  <c r="H26" i="5"/>
  <c r="AG25" i="5"/>
  <c r="AF25" i="5"/>
  <c r="H25" i="5"/>
  <c r="AG24" i="5"/>
  <c r="AF24" i="5"/>
  <c r="H24" i="5"/>
  <c r="AF23" i="5"/>
  <c r="H23" i="5"/>
  <c r="AG23" i="5" s="1"/>
  <c r="AG22" i="5"/>
  <c r="AF22" i="5"/>
  <c r="H22" i="5"/>
  <c r="AG21" i="5"/>
  <c r="AF21" i="5"/>
  <c r="H21" i="5"/>
  <c r="AG20" i="5"/>
  <c r="AF20" i="5"/>
  <c r="H20" i="5"/>
  <c r="AG19" i="5"/>
  <c r="AF19" i="5"/>
  <c r="H19" i="5"/>
  <c r="AG18" i="5"/>
  <c r="AF18" i="5"/>
  <c r="H18" i="5"/>
  <c r="AF17" i="5"/>
  <c r="AG17" i="5" s="1"/>
  <c r="H17" i="5"/>
  <c r="AF16" i="5"/>
  <c r="AG16" i="5" s="1"/>
  <c r="H16" i="5"/>
  <c r="AG15" i="5"/>
  <c r="AF15" i="5"/>
  <c r="H15" i="5"/>
  <c r="AG14" i="5"/>
  <c r="AF14" i="5"/>
  <c r="H14" i="5"/>
  <c r="AG13" i="5"/>
  <c r="AF13" i="5"/>
  <c r="H13" i="5"/>
  <c r="AF12" i="5"/>
  <c r="H12" i="5"/>
  <c r="AG12" i="5" s="1"/>
  <c r="AF11" i="5"/>
  <c r="H11" i="5"/>
  <c r="AG11" i="5" s="1"/>
  <c r="AG10" i="5"/>
  <c r="AF10" i="5"/>
  <c r="H10" i="5"/>
  <c r="AF9" i="5"/>
  <c r="AG9" i="5" s="1"/>
  <c r="H9" i="5"/>
  <c r="AG8" i="5"/>
  <c r="AF8" i="5"/>
  <c r="H8" i="5"/>
  <c r="AE174" i="6"/>
  <c r="AD174" i="6"/>
  <c r="AC174" i="6"/>
  <c r="AB174" i="6"/>
  <c r="AA174" i="6"/>
  <c r="Z174" i="6"/>
  <c r="Y174" i="6"/>
  <c r="X174" i="6"/>
  <c r="W174" i="6"/>
  <c r="V174" i="6"/>
  <c r="U174" i="6"/>
  <c r="T174" i="6"/>
  <c r="S174" i="6"/>
  <c r="R174" i="6"/>
  <c r="Q174" i="6"/>
  <c r="P174" i="6"/>
  <c r="O174" i="6"/>
  <c r="N174" i="6"/>
  <c r="M174" i="6"/>
  <c r="L174" i="6"/>
  <c r="K174" i="6"/>
  <c r="J174" i="6"/>
  <c r="I174" i="6"/>
  <c r="G174" i="6"/>
  <c r="F174" i="6"/>
  <c r="E174" i="6"/>
  <c r="D174" i="6"/>
  <c r="C174" i="6"/>
  <c r="AF173" i="6"/>
  <c r="H173" i="6"/>
  <c r="AG173" i="6" s="1"/>
  <c r="AF172" i="6"/>
  <c r="H172" i="6"/>
  <c r="AG172" i="6" s="1"/>
  <c r="AF171" i="6"/>
  <c r="H171" i="6"/>
  <c r="AF170" i="6"/>
  <c r="H170" i="6"/>
  <c r="AG170" i="6" s="1"/>
  <c r="AF169" i="6"/>
  <c r="H169" i="6"/>
  <c r="AG169" i="6" s="1"/>
  <c r="AF168" i="6"/>
  <c r="H168" i="6"/>
  <c r="AF167" i="6"/>
  <c r="H167" i="6"/>
  <c r="AG167" i="6" s="1"/>
  <c r="AF166" i="6"/>
  <c r="H166" i="6"/>
  <c r="AG166" i="6" s="1"/>
  <c r="AF165" i="6"/>
  <c r="H165" i="6"/>
  <c r="AF164" i="6"/>
  <c r="H164" i="6"/>
  <c r="AG164" i="6" s="1"/>
  <c r="AF163" i="6"/>
  <c r="H163" i="6"/>
  <c r="AG163" i="6" s="1"/>
  <c r="AF162" i="6"/>
  <c r="H162" i="6"/>
  <c r="AF161" i="6"/>
  <c r="H161" i="6"/>
  <c r="AG161" i="6" s="1"/>
  <c r="AF160" i="6"/>
  <c r="H160" i="6"/>
  <c r="AG160" i="6" s="1"/>
  <c r="AF159" i="6"/>
  <c r="H159" i="6"/>
  <c r="AF158" i="6"/>
  <c r="H158" i="6"/>
  <c r="AG158" i="6" s="1"/>
  <c r="AF157" i="6"/>
  <c r="H157" i="6"/>
  <c r="AG157" i="6" s="1"/>
  <c r="AF156" i="6"/>
  <c r="H156" i="6"/>
  <c r="AF155" i="6"/>
  <c r="H155" i="6"/>
  <c r="AG155" i="6" s="1"/>
  <c r="AF154" i="6"/>
  <c r="H154" i="6"/>
  <c r="AG154" i="6" s="1"/>
  <c r="AF153" i="6"/>
  <c r="H153" i="6"/>
  <c r="AF152" i="6"/>
  <c r="H152" i="6"/>
  <c r="AG152" i="6" s="1"/>
  <c r="AF151" i="6"/>
  <c r="H151" i="6"/>
  <c r="AG151" i="6" s="1"/>
  <c r="AF150" i="6"/>
  <c r="H150" i="6"/>
  <c r="AF149" i="6"/>
  <c r="H149" i="6"/>
  <c r="AG149" i="6" s="1"/>
  <c r="AF148" i="6"/>
  <c r="H148" i="6"/>
  <c r="AG148" i="6" s="1"/>
  <c r="AF147" i="6"/>
  <c r="H147" i="6"/>
  <c r="AF146" i="6"/>
  <c r="H146" i="6"/>
  <c r="AG146" i="6" s="1"/>
  <c r="AF145" i="6"/>
  <c r="H145" i="6"/>
  <c r="AG145" i="6" s="1"/>
  <c r="AF144" i="6"/>
  <c r="H144" i="6"/>
  <c r="AF143" i="6"/>
  <c r="H143" i="6"/>
  <c r="AG143" i="6" s="1"/>
  <c r="AF142" i="6"/>
  <c r="H142" i="6"/>
  <c r="AG142" i="6" s="1"/>
  <c r="AF141" i="6"/>
  <c r="H141" i="6"/>
  <c r="AG141" i="6" s="1"/>
  <c r="AF140" i="6"/>
  <c r="H140" i="6"/>
  <c r="AG140" i="6" s="1"/>
  <c r="AF139" i="6"/>
  <c r="H139" i="6"/>
  <c r="AG139" i="6" s="1"/>
  <c r="AF138" i="6"/>
  <c r="H138" i="6"/>
  <c r="AF137" i="6"/>
  <c r="H137" i="6"/>
  <c r="AG137" i="6" s="1"/>
  <c r="AF136" i="6"/>
  <c r="H136" i="6"/>
  <c r="AG136" i="6" s="1"/>
  <c r="AF135" i="6"/>
  <c r="H135" i="6"/>
  <c r="AF134" i="6"/>
  <c r="H134" i="6"/>
  <c r="AG134" i="6" s="1"/>
  <c r="AF133" i="6"/>
  <c r="H133" i="6"/>
  <c r="AF132" i="6"/>
  <c r="H132" i="6"/>
  <c r="AF131" i="6"/>
  <c r="H131" i="6"/>
  <c r="AG131" i="6" s="1"/>
  <c r="AF130" i="6"/>
  <c r="H130" i="6"/>
  <c r="AF129" i="6"/>
  <c r="H129" i="6"/>
  <c r="AG129" i="6" s="1"/>
  <c r="AF128" i="6"/>
  <c r="H128" i="6"/>
  <c r="AG128" i="6" s="1"/>
  <c r="AF127" i="6"/>
  <c r="H127" i="6"/>
  <c r="AF126" i="6"/>
  <c r="H126" i="6"/>
  <c r="AF125" i="6"/>
  <c r="H125" i="6"/>
  <c r="AG125" i="6" s="1"/>
  <c r="AF124" i="6"/>
  <c r="H124" i="6"/>
  <c r="AF123" i="6"/>
  <c r="H123" i="6"/>
  <c r="AF122" i="6"/>
  <c r="H122" i="6"/>
  <c r="AG122" i="6" s="1"/>
  <c r="AF121" i="6"/>
  <c r="H121" i="6"/>
  <c r="AF120" i="6"/>
  <c r="H120" i="6"/>
  <c r="AF119" i="6"/>
  <c r="H119" i="6"/>
  <c r="AG119" i="6" s="1"/>
  <c r="AF118" i="6"/>
  <c r="H118" i="6"/>
  <c r="AG118" i="6" s="1"/>
  <c r="AF117" i="6"/>
  <c r="H117" i="6"/>
  <c r="AF116" i="6"/>
  <c r="H116" i="6"/>
  <c r="AG116" i="6" s="1"/>
  <c r="AF115" i="6"/>
  <c r="H115" i="6"/>
  <c r="AG115" i="6" s="1"/>
  <c r="AF114" i="6"/>
  <c r="H114" i="6"/>
  <c r="AF113" i="6"/>
  <c r="H113" i="6"/>
  <c r="AG113" i="6" s="1"/>
  <c r="AF112" i="6"/>
  <c r="H112" i="6"/>
  <c r="AG112" i="6" s="1"/>
  <c r="AF111" i="6"/>
  <c r="H111" i="6"/>
  <c r="AG111" i="6" s="1"/>
  <c r="AF110" i="6"/>
  <c r="H110" i="6"/>
  <c r="AG110" i="6" s="1"/>
  <c r="AF109" i="6"/>
  <c r="H109" i="6"/>
  <c r="AG109" i="6" s="1"/>
  <c r="AF108" i="6"/>
  <c r="H108" i="6"/>
  <c r="AF107" i="6"/>
  <c r="H107" i="6"/>
  <c r="AG107" i="6" s="1"/>
  <c r="AF106" i="6"/>
  <c r="H106" i="6"/>
  <c r="AG106" i="6" s="1"/>
  <c r="AF105" i="6"/>
  <c r="H105" i="6"/>
  <c r="AF104" i="6"/>
  <c r="H104" i="6"/>
  <c r="AG104" i="6" s="1"/>
  <c r="AF103" i="6"/>
  <c r="H103" i="6"/>
  <c r="AG103" i="6" s="1"/>
  <c r="AF102" i="6"/>
  <c r="H102" i="6"/>
  <c r="AF101" i="6"/>
  <c r="H101" i="6"/>
  <c r="AG101" i="6" s="1"/>
  <c r="AF100" i="6"/>
  <c r="H100" i="6"/>
  <c r="AG100" i="6" s="1"/>
  <c r="AF99" i="6"/>
  <c r="H99" i="6"/>
  <c r="AF98" i="6"/>
  <c r="H98" i="6"/>
  <c r="AG98" i="6" s="1"/>
  <c r="AF97" i="6"/>
  <c r="H97" i="6"/>
  <c r="AG97" i="6" s="1"/>
  <c r="AF96" i="6"/>
  <c r="H96" i="6"/>
  <c r="AF95" i="6"/>
  <c r="H95" i="6"/>
  <c r="AG95" i="6" s="1"/>
  <c r="AF94" i="6"/>
  <c r="H94" i="6"/>
  <c r="AG94" i="6" s="1"/>
  <c r="AF93" i="6"/>
  <c r="H93" i="6"/>
  <c r="AF92" i="6"/>
  <c r="H92" i="6"/>
  <c r="AG92" i="6" s="1"/>
  <c r="AF91" i="6"/>
  <c r="H91" i="6"/>
  <c r="AG91" i="6" s="1"/>
  <c r="AF90" i="6"/>
  <c r="H90" i="6"/>
  <c r="AG90" i="6" s="1"/>
  <c r="AF89" i="6"/>
  <c r="H89" i="6"/>
  <c r="AG89" i="6" s="1"/>
  <c r="AF88" i="6"/>
  <c r="H88" i="6"/>
  <c r="AG88" i="6" s="1"/>
  <c r="AF87" i="6"/>
  <c r="H87" i="6"/>
  <c r="AG87" i="6" s="1"/>
  <c r="AF86" i="6"/>
  <c r="H86" i="6"/>
  <c r="AG86" i="6" s="1"/>
  <c r="AF85" i="6"/>
  <c r="H85" i="6"/>
  <c r="AG85" i="6" s="1"/>
  <c r="AF84" i="6"/>
  <c r="H84" i="6"/>
  <c r="AF83" i="6"/>
  <c r="H83" i="6"/>
  <c r="AG83" i="6" s="1"/>
  <c r="AF82" i="6"/>
  <c r="H82" i="6"/>
  <c r="AG82" i="6" s="1"/>
  <c r="AF81" i="6"/>
  <c r="H81" i="6"/>
  <c r="AF80" i="6"/>
  <c r="H80" i="6"/>
  <c r="AG80" i="6" s="1"/>
  <c r="AF79" i="6"/>
  <c r="H79" i="6"/>
  <c r="AG79" i="6" s="1"/>
  <c r="AF78" i="6"/>
  <c r="H78" i="6"/>
  <c r="AF77" i="6"/>
  <c r="H77" i="6"/>
  <c r="AG77" i="6" s="1"/>
  <c r="AF76" i="6"/>
  <c r="H76" i="6"/>
  <c r="AG76" i="6" s="1"/>
  <c r="AF75" i="6"/>
  <c r="H75" i="6"/>
  <c r="AF74" i="6"/>
  <c r="H74" i="6"/>
  <c r="AG74" i="6" s="1"/>
  <c r="AF73" i="6"/>
  <c r="H73" i="6"/>
  <c r="AG73" i="6" s="1"/>
  <c r="AF72" i="6"/>
  <c r="H72" i="6"/>
  <c r="AF71" i="6"/>
  <c r="H71" i="6"/>
  <c r="AG71" i="6" s="1"/>
  <c r="AF70" i="6"/>
  <c r="H70" i="6"/>
  <c r="AG70" i="6" s="1"/>
  <c r="AF69" i="6"/>
  <c r="H69" i="6"/>
  <c r="AG69" i="6" s="1"/>
  <c r="AF68" i="6"/>
  <c r="H68" i="6"/>
  <c r="AG68" i="6" s="1"/>
  <c r="AF67" i="6"/>
  <c r="H67" i="6"/>
  <c r="AG67" i="6" s="1"/>
  <c r="AF66" i="6"/>
  <c r="H66" i="6"/>
  <c r="AF65" i="6"/>
  <c r="H65" i="6"/>
  <c r="AG65" i="6" s="1"/>
  <c r="AF64" i="6"/>
  <c r="H64" i="6"/>
  <c r="AG64" i="6" s="1"/>
  <c r="AF63" i="6"/>
  <c r="H63" i="6"/>
  <c r="AF62" i="6"/>
  <c r="H62" i="6"/>
  <c r="AG62" i="6" s="1"/>
  <c r="AF61" i="6"/>
  <c r="H61" i="6"/>
  <c r="AG61" i="6" s="1"/>
  <c r="AF60" i="6"/>
  <c r="H60" i="6"/>
  <c r="AF59" i="6"/>
  <c r="H59" i="6"/>
  <c r="AG59" i="6" s="1"/>
  <c r="AF58" i="6"/>
  <c r="H58" i="6"/>
  <c r="AG58" i="6" s="1"/>
  <c r="AF57" i="6"/>
  <c r="H57" i="6"/>
  <c r="AF56" i="6"/>
  <c r="H56" i="6"/>
  <c r="AF55" i="6"/>
  <c r="H55" i="6"/>
  <c r="AG55" i="6" s="1"/>
  <c r="AF54" i="6"/>
  <c r="H54" i="6"/>
  <c r="AF53" i="6"/>
  <c r="H53" i="6"/>
  <c r="AF52" i="6"/>
  <c r="H52" i="6"/>
  <c r="AG52" i="6" s="1"/>
  <c r="AF51" i="6"/>
  <c r="H51" i="6"/>
  <c r="AF50" i="6"/>
  <c r="H50" i="6"/>
  <c r="AF49" i="6"/>
  <c r="H49" i="6"/>
  <c r="AG49" i="6" s="1"/>
  <c r="AF48" i="6"/>
  <c r="H48" i="6"/>
  <c r="AG48" i="6" s="1"/>
  <c r="AF47" i="6"/>
  <c r="H47" i="6"/>
  <c r="AF46" i="6"/>
  <c r="H46" i="6"/>
  <c r="AG46" i="6" s="1"/>
  <c r="AF45" i="6"/>
  <c r="H45" i="6"/>
  <c r="AF44" i="6"/>
  <c r="H44" i="6"/>
  <c r="AF43" i="6"/>
  <c r="H43" i="6"/>
  <c r="AG43" i="6" s="1"/>
  <c r="AF42" i="6"/>
  <c r="H42" i="6"/>
  <c r="AF41" i="6"/>
  <c r="H41" i="6"/>
  <c r="AF40" i="6"/>
  <c r="H40" i="6"/>
  <c r="AG40" i="6" s="1"/>
  <c r="AF39" i="6"/>
  <c r="H39" i="6"/>
  <c r="AF38" i="6"/>
  <c r="H38" i="6"/>
  <c r="AF37" i="6"/>
  <c r="H37" i="6"/>
  <c r="AG37" i="6" s="1"/>
  <c r="AF36" i="6"/>
  <c r="H36" i="6"/>
  <c r="AG36" i="6" s="1"/>
  <c r="AF35" i="6"/>
  <c r="H35" i="6"/>
  <c r="AF34" i="6"/>
  <c r="H34" i="6"/>
  <c r="AG34" i="6" s="1"/>
  <c r="AF33" i="6"/>
  <c r="H33" i="6"/>
  <c r="AG33" i="6" s="1"/>
  <c r="AF32" i="6"/>
  <c r="H32" i="6"/>
  <c r="AF31" i="6"/>
  <c r="H31" i="6"/>
  <c r="AG31" i="6" s="1"/>
  <c r="AF30" i="6"/>
  <c r="H30" i="6"/>
  <c r="AG30" i="6" s="1"/>
  <c r="AF29" i="6"/>
  <c r="H29" i="6"/>
  <c r="AF28" i="6"/>
  <c r="H28" i="6"/>
  <c r="AG28" i="6" s="1"/>
  <c r="AF27" i="6"/>
  <c r="H27" i="6"/>
  <c r="AF26" i="6"/>
  <c r="H26" i="6"/>
  <c r="AF25" i="6"/>
  <c r="H25" i="6"/>
  <c r="AG25" i="6" s="1"/>
  <c r="AF24" i="6"/>
  <c r="H24" i="6"/>
  <c r="AG24" i="6" s="1"/>
  <c r="AF23" i="6"/>
  <c r="H23" i="6"/>
  <c r="AF22" i="6"/>
  <c r="H22" i="6"/>
  <c r="AG22" i="6" s="1"/>
  <c r="AF21" i="6"/>
  <c r="H21" i="6"/>
  <c r="AG21" i="6" s="1"/>
  <c r="AF20" i="6"/>
  <c r="H20" i="6"/>
  <c r="AF19" i="6"/>
  <c r="H19" i="6"/>
  <c r="AG19" i="6" s="1"/>
  <c r="AF18" i="6"/>
  <c r="H18" i="6"/>
  <c r="AF17" i="6"/>
  <c r="H17" i="6"/>
  <c r="AF16" i="6"/>
  <c r="H16" i="6"/>
  <c r="AG16" i="6" s="1"/>
  <c r="AF15" i="6"/>
  <c r="H15" i="6"/>
  <c r="AF14" i="6"/>
  <c r="H14" i="6"/>
  <c r="AF13" i="6"/>
  <c r="H13" i="6"/>
  <c r="AG13" i="6" s="1"/>
  <c r="AF12" i="6"/>
  <c r="H12" i="6"/>
  <c r="AF11" i="6"/>
  <c r="H11" i="6"/>
  <c r="AF10" i="6"/>
  <c r="H10" i="6"/>
  <c r="AG10" i="6" s="1"/>
  <c r="AF9" i="6"/>
  <c r="H9" i="6"/>
  <c r="AF8" i="6"/>
  <c r="H8" i="6"/>
  <c r="AH43" i="7"/>
  <c r="J43" i="7"/>
  <c r="AI43" i="7" s="1"/>
  <c r="AH42" i="7"/>
  <c r="J42" i="7"/>
  <c r="AH41" i="7"/>
  <c r="J41" i="7"/>
  <c r="AH40" i="7"/>
  <c r="J40" i="7"/>
  <c r="AI40" i="7" s="1"/>
  <c r="AH39" i="7"/>
  <c r="J39" i="7"/>
  <c r="AI39" i="7" s="1"/>
  <c r="AH38" i="7"/>
  <c r="J38" i="7"/>
  <c r="AH37" i="7"/>
  <c r="J37" i="7"/>
  <c r="AI37" i="7" s="1"/>
  <c r="AH36" i="7"/>
  <c r="J36" i="7"/>
  <c r="AI36" i="7" s="1"/>
  <c r="AH35" i="7"/>
  <c r="J35" i="7"/>
  <c r="AH34" i="7"/>
  <c r="J34" i="7"/>
  <c r="AI34" i="7" s="1"/>
  <c r="AG33" i="7"/>
  <c r="AD33" i="7"/>
  <c r="AA33" i="7"/>
  <c r="U33" i="7"/>
  <c r="R33" i="7"/>
  <c r="O33" i="7"/>
  <c r="M33" i="7"/>
  <c r="I33" i="7"/>
  <c r="F33" i="7"/>
  <c r="Z32" i="7"/>
  <c r="T32" i="7"/>
  <c r="R32" i="7"/>
  <c r="K32" i="7"/>
  <c r="I32" i="7"/>
  <c r="AH31" i="7"/>
  <c r="AI31" i="7" s="1"/>
  <c r="J31" i="7"/>
  <c r="AH30" i="7"/>
  <c r="AI30" i="7" s="1"/>
  <c r="J30" i="7"/>
  <c r="AH29" i="7"/>
  <c r="J29" i="7"/>
  <c r="AH28" i="7"/>
  <c r="AI28" i="7" s="1"/>
  <c r="J28" i="7"/>
  <c r="AH27" i="7"/>
  <c r="J27" i="7"/>
  <c r="AH26" i="7"/>
  <c r="AI26" i="7" s="1"/>
  <c r="J26" i="7"/>
  <c r="AH25" i="7"/>
  <c r="AI25" i="7" s="1"/>
  <c r="J25" i="7"/>
  <c r="AH24" i="7"/>
  <c r="J24" i="7"/>
  <c r="J8" i="7" s="1"/>
  <c r="AH23" i="7"/>
  <c r="J23" i="7"/>
  <c r="AH22" i="7"/>
  <c r="AI22" i="7" s="1"/>
  <c r="J22" i="7"/>
  <c r="AH21" i="7"/>
  <c r="AI21" i="7" s="1"/>
  <c r="J21" i="7"/>
  <c r="AH20" i="7"/>
  <c r="AI20" i="7" s="1"/>
  <c r="J20" i="7"/>
  <c r="AH19" i="7"/>
  <c r="AI19" i="7" s="1"/>
  <c r="J19" i="7"/>
  <c r="AH18" i="7"/>
  <c r="AI18" i="7" s="1"/>
  <c r="J18" i="7"/>
  <c r="AH17" i="7"/>
  <c r="AI17" i="7" s="1"/>
  <c r="J17" i="7"/>
  <c r="AH16" i="7"/>
  <c r="AI16" i="7" s="1"/>
  <c r="J16" i="7"/>
  <c r="AH15" i="7"/>
  <c r="AI15" i="7" s="1"/>
  <c r="J15" i="7"/>
  <c r="AH14" i="7"/>
  <c r="AI14" i="7" s="1"/>
  <c r="J14" i="7"/>
  <c r="AH13" i="7"/>
  <c r="AI13" i="7" s="1"/>
  <c r="J13" i="7"/>
  <c r="AH12" i="7"/>
  <c r="AI12" i="7" s="1"/>
  <c r="J12" i="7"/>
  <c r="AH11" i="7"/>
  <c r="AI11" i="7" s="1"/>
  <c r="J11" i="7"/>
  <c r="AH10" i="7"/>
  <c r="AI10" i="7" s="1"/>
  <c r="J10" i="7"/>
  <c r="AG9" i="7"/>
  <c r="AF9" i="7"/>
  <c r="AF33" i="7" s="1"/>
  <c r="AE9" i="7"/>
  <c r="AE33" i="7" s="1"/>
  <c r="AD9" i="7"/>
  <c r="AC9" i="7"/>
  <c r="AC33" i="7" s="1"/>
  <c r="AB9" i="7"/>
  <c r="AB33" i="7" s="1"/>
  <c r="AA9" i="7"/>
  <c r="Z9" i="7"/>
  <c r="Z33" i="7" s="1"/>
  <c r="Y9" i="7"/>
  <c r="Y33" i="7" s="1"/>
  <c r="X9" i="7"/>
  <c r="X33" i="7" s="1"/>
  <c r="W9" i="7"/>
  <c r="W33" i="7" s="1"/>
  <c r="V9" i="7"/>
  <c r="V33" i="7" s="1"/>
  <c r="U9" i="7"/>
  <c r="T9" i="7"/>
  <c r="T33" i="7" s="1"/>
  <c r="S9" i="7"/>
  <c r="S33" i="7" s="1"/>
  <c r="R9" i="7"/>
  <c r="Q9" i="7"/>
  <c r="Q33" i="7" s="1"/>
  <c r="P9" i="7"/>
  <c r="P33" i="7" s="1"/>
  <c r="O9" i="7"/>
  <c r="N9" i="7"/>
  <c r="N33" i="7" s="1"/>
  <c r="M9" i="7"/>
  <c r="L9" i="7"/>
  <c r="L33" i="7" s="1"/>
  <c r="K9" i="7"/>
  <c r="K33" i="7" s="1"/>
  <c r="J9" i="7"/>
  <c r="I9" i="7"/>
  <c r="H9" i="7"/>
  <c r="H33" i="7" s="1"/>
  <c r="G9" i="7"/>
  <c r="G33" i="7" s="1"/>
  <c r="F9" i="7"/>
  <c r="E9" i="7"/>
  <c r="E33" i="7" s="1"/>
  <c r="D9" i="7"/>
  <c r="D33" i="7" s="1"/>
  <c r="AG8" i="7"/>
  <c r="AG32" i="7" s="1"/>
  <c r="AF8" i="7"/>
  <c r="AF32" i="7" s="1"/>
  <c r="AE8" i="7"/>
  <c r="AE32" i="7" s="1"/>
  <c r="AD8" i="7"/>
  <c r="AD32" i="7" s="1"/>
  <c r="AC8" i="7"/>
  <c r="AC32" i="7" s="1"/>
  <c r="AB8" i="7"/>
  <c r="AB32" i="7" s="1"/>
  <c r="AA8" i="7"/>
  <c r="AA32" i="7" s="1"/>
  <c r="Z8" i="7"/>
  <c r="Y8" i="7"/>
  <c r="Y32" i="7" s="1"/>
  <c r="X8" i="7"/>
  <c r="X32" i="7" s="1"/>
  <c r="W8" i="7"/>
  <c r="W32" i="7" s="1"/>
  <c r="V8" i="7"/>
  <c r="V32" i="7" s="1"/>
  <c r="U8" i="7"/>
  <c r="U32" i="7" s="1"/>
  <c r="T8" i="7"/>
  <c r="S8" i="7"/>
  <c r="S32" i="7" s="1"/>
  <c r="R8" i="7"/>
  <c r="Q8" i="7"/>
  <c r="Q32" i="7" s="1"/>
  <c r="P8" i="7"/>
  <c r="P32" i="7" s="1"/>
  <c r="O8" i="7"/>
  <c r="O32" i="7" s="1"/>
  <c r="N8" i="7"/>
  <c r="N32" i="7" s="1"/>
  <c r="M8" i="7"/>
  <c r="M32" i="7" s="1"/>
  <c r="L8" i="7"/>
  <c r="L32" i="7" s="1"/>
  <c r="K8" i="7"/>
  <c r="I8" i="7"/>
  <c r="H8" i="7"/>
  <c r="H32" i="7" s="1"/>
  <c r="G8" i="7"/>
  <c r="G32" i="7" s="1"/>
  <c r="F8" i="7"/>
  <c r="F32" i="7" s="1"/>
  <c r="E8" i="7"/>
  <c r="E32" i="7" s="1"/>
  <c r="D8" i="7"/>
  <c r="D32" i="7" s="1"/>
  <c r="AF64" i="8"/>
  <c r="AE64" i="8"/>
  <c r="AD64" i="8"/>
  <c r="AC64" i="8"/>
  <c r="AB64" i="8"/>
  <c r="AA64" i="8"/>
  <c r="Z64" i="8"/>
  <c r="Y64" i="8"/>
  <c r="X64" i="8"/>
  <c r="W64" i="8"/>
  <c r="V64" i="8"/>
  <c r="U64" i="8"/>
  <c r="T64" i="8"/>
  <c r="S64" i="8"/>
  <c r="R64" i="8"/>
  <c r="Q64" i="8"/>
  <c r="P64" i="8"/>
  <c r="O64" i="8"/>
  <c r="N64" i="8"/>
  <c r="M64" i="8"/>
  <c r="L64" i="8"/>
  <c r="K64" i="8"/>
  <c r="J64" i="8"/>
  <c r="H64" i="8"/>
  <c r="G64" i="8"/>
  <c r="F64" i="8"/>
  <c r="E64" i="8"/>
  <c r="D64" i="8"/>
  <c r="C64" i="8"/>
  <c r="I64" i="8" s="1"/>
  <c r="AG63" i="8"/>
  <c r="I63" i="8"/>
  <c r="AG62" i="8"/>
  <c r="I62" i="8"/>
  <c r="AH62" i="8" s="1"/>
  <c r="AG61" i="8"/>
  <c r="I61" i="8"/>
  <c r="AH61" i="8" s="1"/>
  <c r="AG60" i="8"/>
  <c r="I60" i="8"/>
  <c r="AG59" i="8"/>
  <c r="I59" i="8"/>
  <c r="AH59" i="8" s="1"/>
  <c r="AG58" i="8"/>
  <c r="I58" i="8"/>
  <c r="AH58" i="8" s="1"/>
  <c r="AG57" i="8"/>
  <c r="I57" i="8"/>
  <c r="AG56" i="8"/>
  <c r="I56" i="8"/>
  <c r="AH56" i="8" s="1"/>
  <c r="AG55" i="8"/>
  <c r="I55" i="8"/>
  <c r="AH55" i="8" s="1"/>
  <c r="AH54" i="8"/>
  <c r="AG54" i="8"/>
  <c r="I54" i="8"/>
  <c r="AH53" i="8"/>
  <c r="AG53" i="8"/>
  <c r="I53" i="8"/>
  <c r="AH52" i="8"/>
  <c r="AG52" i="8"/>
  <c r="I52" i="8"/>
  <c r="AG51" i="8"/>
  <c r="I51" i="8"/>
  <c r="AH51" i="8" s="1"/>
  <c r="AG50" i="8"/>
  <c r="I50" i="8"/>
  <c r="AH50" i="8" s="1"/>
  <c r="AH49" i="8"/>
  <c r="AG49" i="8"/>
  <c r="I49" i="8"/>
  <c r="AH48" i="8"/>
  <c r="AG48" i="8"/>
  <c r="I48" i="8"/>
  <c r="AH47" i="8"/>
  <c r="AG47" i="8"/>
  <c r="I47" i="8"/>
  <c r="AH46" i="8"/>
  <c r="AG46" i="8"/>
  <c r="I46" i="8"/>
  <c r="AH45" i="8"/>
  <c r="AG45" i="8"/>
  <c r="I45" i="8"/>
  <c r="AH44" i="8"/>
  <c r="AG44" i="8"/>
  <c r="I44" i="8"/>
  <c r="AH43" i="8"/>
  <c r="AG43" i="8"/>
  <c r="I43" i="8"/>
  <c r="AH42" i="8"/>
  <c r="AG42" i="8"/>
  <c r="I42" i="8"/>
  <c r="AH41" i="8"/>
  <c r="AG41" i="8"/>
  <c r="I41" i="8"/>
  <c r="AG40" i="8"/>
  <c r="I40" i="8"/>
  <c r="AH40" i="8" s="1"/>
  <c r="AH39" i="8"/>
  <c r="AG39" i="8"/>
  <c r="I39" i="8"/>
  <c r="AH38" i="8"/>
  <c r="AG38" i="8"/>
  <c r="I38" i="8"/>
  <c r="AH37" i="8"/>
  <c r="AG37" i="8"/>
  <c r="I37" i="8"/>
  <c r="AH36" i="8"/>
  <c r="AG36" i="8"/>
  <c r="I36" i="8"/>
  <c r="AH35" i="8"/>
  <c r="AG35" i="8"/>
  <c r="I35" i="8"/>
  <c r="AG34" i="8"/>
  <c r="I34" i="8"/>
  <c r="AH34" i="8" s="1"/>
  <c r="AH33" i="8"/>
  <c r="AG33" i="8"/>
  <c r="I33" i="8"/>
  <c r="AG32" i="8"/>
  <c r="I32" i="8"/>
  <c r="AH32" i="8" s="1"/>
  <c r="AH31" i="8"/>
  <c r="AG31" i="8"/>
  <c r="I31" i="8"/>
  <c r="AH30" i="8"/>
  <c r="AG30" i="8"/>
  <c r="I30" i="8"/>
  <c r="AH29" i="8"/>
  <c r="AG29" i="8"/>
  <c r="I29" i="8"/>
  <c r="AG28" i="8"/>
  <c r="I28" i="8"/>
  <c r="AH28" i="8" s="1"/>
  <c r="AH27" i="8"/>
  <c r="AG27" i="8"/>
  <c r="I27" i="8"/>
  <c r="AG26" i="8"/>
  <c r="I26" i="8"/>
  <c r="AH26" i="8" s="1"/>
  <c r="AH25" i="8"/>
  <c r="AG25" i="8"/>
  <c r="I25" i="8"/>
  <c r="AH24" i="8"/>
  <c r="AG24" i="8"/>
  <c r="I24" i="8"/>
  <c r="AG23" i="8"/>
  <c r="I23" i="8"/>
  <c r="AH23" i="8" s="1"/>
  <c r="AH22" i="8"/>
  <c r="AG22" i="8"/>
  <c r="I22" i="8"/>
  <c r="AH21" i="8"/>
  <c r="AG21" i="8"/>
  <c r="I21" i="8"/>
  <c r="AH20" i="8"/>
  <c r="AG20" i="8"/>
  <c r="I20" i="8"/>
  <c r="AH19" i="8"/>
  <c r="AG19" i="8"/>
  <c r="I19" i="8"/>
  <c r="AH18" i="8"/>
  <c r="AG18" i="8"/>
  <c r="I18" i="8"/>
  <c r="AH17" i="8"/>
  <c r="AG17" i="8"/>
  <c r="I17" i="8"/>
  <c r="AH16" i="8"/>
  <c r="AG16" i="8"/>
  <c r="I16" i="8"/>
  <c r="AH15" i="8"/>
  <c r="AG15" i="8"/>
  <c r="I15" i="8"/>
  <c r="AH14" i="8"/>
  <c r="AG14" i="8"/>
  <c r="I14" i="8"/>
  <c r="AH13" i="8"/>
  <c r="AG13" i="8"/>
  <c r="I13" i="8"/>
  <c r="AH12" i="8"/>
  <c r="AG12" i="8"/>
  <c r="I12" i="8"/>
  <c r="AH11" i="8"/>
  <c r="AG11" i="8"/>
  <c r="I11" i="8"/>
  <c r="AH10" i="8"/>
  <c r="AG10" i="8"/>
  <c r="I10" i="8"/>
  <c r="AH9" i="8"/>
  <c r="AG9" i="8"/>
  <c r="I9" i="8"/>
  <c r="AH8" i="8"/>
  <c r="AG8" i="8"/>
  <c r="I8" i="8"/>
  <c r="AF64" i="24"/>
  <c r="AE64" i="24"/>
  <c r="AD64" i="24"/>
  <c r="AC64" i="24"/>
  <c r="AB64" i="24"/>
  <c r="AA64" i="24"/>
  <c r="Z64" i="24"/>
  <c r="Y64" i="24"/>
  <c r="X64" i="24"/>
  <c r="W64" i="24"/>
  <c r="V64" i="24"/>
  <c r="U64" i="24"/>
  <c r="T64" i="24"/>
  <c r="S64" i="24"/>
  <c r="R64" i="24"/>
  <c r="Q64" i="24"/>
  <c r="P64" i="24"/>
  <c r="O64" i="24"/>
  <c r="N64" i="24"/>
  <c r="M64" i="24"/>
  <c r="L64" i="24"/>
  <c r="AG64" i="24" s="1"/>
  <c r="K64" i="24"/>
  <c r="J64" i="24"/>
  <c r="H64" i="24"/>
  <c r="G64" i="24"/>
  <c r="F64" i="24"/>
  <c r="E64" i="24"/>
  <c r="D64" i="24"/>
  <c r="C64" i="24"/>
  <c r="I64" i="24" s="1"/>
  <c r="AG63" i="24"/>
  <c r="I63" i="24"/>
  <c r="AH63" i="24" s="1"/>
  <c r="AG62" i="24"/>
  <c r="I62" i="24"/>
  <c r="AH62" i="24" s="1"/>
  <c r="AG61" i="24"/>
  <c r="I61" i="24"/>
  <c r="AG60" i="24"/>
  <c r="I60" i="24"/>
  <c r="AH60" i="24" s="1"/>
  <c r="AG59" i="24"/>
  <c r="I59" i="24"/>
  <c r="AH59" i="24" s="1"/>
  <c r="AG58" i="24"/>
  <c r="I58" i="24"/>
  <c r="AH58" i="24" s="1"/>
  <c r="AG57" i="24"/>
  <c r="I57" i="24"/>
  <c r="AG56" i="24"/>
  <c r="I56" i="24"/>
  <c r="AH56" i="24" s="1"/>
  <c r="AG55" i="24"/>
  <c r="I55" i="24"/>
  <c r="AH55" i="24" s="1"/>
  <c r="AG54" i="24"/>
  <c r="I54" i="24"/>
  <c r="AH54" i="24" s="1"/>
  <c r="AG53" i="24"/>
  <c r="I53" i="24"/>
  <c r="AH53" i="24" s="1"/>
  <c r="AG52" i="24"/>
  <c r="I52" i="24"/>
  <c r="AH52" i="24" s="1"/>
  <c r="AG51" i="24"/>
  <c r="I51" i="24"/>
  <c r="AG50" i="24"/>
  <c r="I50" i="24"/>
  <c r="AH50" i="24" s="1"/>
  <c r="AG49" i="24"/>
  <c r="I49" i="24"/>
  <c r="AH49" i="24" s="1"/>
  <c r="AG48" i="24"/>
  <c r="I48" i="24"/>
  <c r="AH48" i="24" s="1"/>
  <c r="AG47" i="24"/>
  <c r="I47" i="24"/>
  <c r="AH47" i="24" s="1"/>
  <c r="AG46" i="24"/>
  <c r="I46" i="24"/>
  <c r="AH46" i="24" s="1"/>
  <c r="AG45" i="24"/>
  <c r="I45" i="24"/>
  <c r="AH45" i="24" s="1"/>
  <c r="AG44" i="24"/>
  <c r="I44" i="24"/>
  <c r="AH44" i="24" s="1"/>
  <c r="AG43" i="24"/>
  <c r="I43" i="24"/>
  <c r="AH43" i="24" s="1"/>
  <c r="AG42" i="24"/>
  <c r="I42" i="24"/>
  <c r="AH42" i="24" s="1"/>
  <c r="AG41" i="24"/>
  <c r="I41" i="24"/>
  <c r="AH41" i="24" s="1"/>
  <c r="AG40" i="24"/>
  <c r="I40" i="24"/>
  <c r="AG39" i="24"/>
  <c r="I39" i="24"/>
  <c r="AH39" i="24" s="1"/>
  <c r="AG38" i="24"/>
  <c r="I38" i="24"/>
  <c r="AH38" i="24" s="1"/>
  <c r="AG37" i="24"/>
  <c r="I37" i="24"/>
  <c r="AH37" i="24" s="1"/>
  <c r="AG36" i="24"/>
  <c r="I36" i="24"/>
  <c r="AH36" i="24" s="1"/>
  <c r="AG35" i="24"/>
  <c r="I35" i="24"/>
  <c r="AH35" i="24" s="1"/>
  <c r="AG34" i="24"/>
  <c r="I34" i="24"/>
  <c r="AH34" i="24" s="1"/>
  <c r="AG33" i="24"/>
  <c r="I33" i="24"/>
  <c r="AH33" i="24" s="1"/>
  <c r="AG32" i="24"/>
  <c r="I32" i="24"/>
  <c r="AH32" i="24" s="1"/>
  <c r="AG31" i="24"/>
  <c r="I31" i="24"/>
  <c r="AH31" i="24" s="1"/>
  <c r="AG30" i="24"/>
  <c r="I30" i="24"/>
  <c r="AH30" i="24" s="1"/>
  <c r="AG29" i="24"/>
  <c r="I29" i="24"/>
  <c r="AH29" i="24" s="1"/>
  <c r="AG28" i="24"/>
  <c r="I28" i="24"/>
  <c r="AH28" i="24" s="1"/>
  <c r="AG27" i="24"/>
  <c r="I27" i="24"/>
  <c r="AH27" i="24" s="1"/>
  <c r="AG26" i="24"/>
  <c r="I26" i="24"/>
  <c r="AH26" i="24" s="1"/>
  <c r="AG25" i="24"/>
  <c r="I25" i="24"/>
  <c r="AH25" i="24" s="1"/>
  <c r="AG24" i="24"/>
  <c r="I24" i="24"/>
  <c r="AH24" i="24" s="1"/>
  <c r="AG23" i="24"/>
  <c r="I23" i="24"/>
  <c r="AH23" i="24" s="1"/>
  <c r="AG22" i="24"/>
  <c r="I22" i="24"/>
  <c r="AH22" i="24" s="1"/>
  <c r="AG21" i="24"/>
  <c r="I21" i="24"/>
  <c r="AG20" i="24"/>
  <c r="I20" i="24"/>
  <c r="AH20" i="24" s="1"/>
  <c r="AG19" i="24"/>
  <c r="I19" i="24"/>
  <c r="AH19" i="24" s="1"/>
  <c r="AG18" i="24"/>
  <c r="I18" i="24"/>
  <c r="AH18" i="24" s="1"/>
  <c r="AG17" i="24"/>
  <c r="I17" i="24"/>
  <c r="AH17" i="24" s="1"/>
  <c r="AG16" i="24"/>
  <c r="I16" i="24"/>
  <c r="AH16" i="24" s="1"/>
  <c r="AG15" i="24"/>
  <c r="I15" i="24"/>
  <c r="AH15" i="24" s="1"/>
  <c r="AG14" i="24"/>
  <c r="I14" i="24"/>
  <c r="AH14" i="24" s="1"/>
  <c r="AG13" i="24"/>
  <c r="I13" i="24"/>
  <c r="AH13" i="24" s="1"/>
  <c r="AG12" i="24"/>
  <c r="I12" i="24"/>
  <c r="AH12" i="24" s="1"/>
  <c r="AG11" i="24"/>
  <c r="I11" i="24"/>
  <c r="AH11" i="24" s="1"/>
  <c r="AG10" i="24"/>
  <c r="I10" i="24"/>
  <c r="AH10" i="24" s="1"/>
  <c r="AG9" i="24"/>
  <c r="I9" i="24"/>
  <c r="AH9" i="24" s="1"/>
  <c r="AG8" i="24"/>
  <c r="I8" i="24"/>
  <c r="AH8" i="24" s="1"/>
  <c r="AH64" i="9"/>
  <c r="AF64" i="9"/>
  <c r="AE64" i="9"/>
  <c r="AD64" i="9"/>
  <c r="AC64" i="9"/>
  <c r="AB64" i="9"/>
  <c r="AA64" i="9"/>
  <c r="Z64" i="9"/>
  <c r="Y64" i="9"/>
  <c r="X64" i="9"/>
  <c r="W64" i="9"/>
  <c r="V64" i="9"/>
  <c r="U64" i="9"/>
  <c r="T64" i="9"/>
  <c r="S64" i="9"/>
  <c r="R64" i="9"/>
  <c r="Q64" i="9"/>
  <c r="P64" i="9"/>
  <c r="O64" i="9"/>
  <c r="N64" i="9"/>
  <c r="M64" i="9"/>
  <c r="L64" i="9"/>
  <c r="K64" i="9"/>
  <c r="J64" i="9"/>
  <c r="AG64" i="9" s="1"/>
  <c r="H64" i="9"/>
  <c r="G64" i="9"/>
  <c r="F64" i="9"/>
  <c r="E64" i="9"/>
  <c r="D64" i="9"/>
  <c r="C64" i="9"/>
  <c r="I64" i="9" s="1"/>
  <c r="AG63" i="9"/>
  <c r="AH63" i="9" s="1"/>
  <c r="I63" i="9"/>
  <c r="AG62" i="9"/>
  <c r="AH62" i="9" s="1"/>
  <c r="I62" i="9"/>
  <c r="AG61" i="9"/>
  <c r="AH61" i="9" s="1"/>
  <c r="I61" i="9"/>
  <c r="AG60" i="9"/>
  <c r="AH60" i="9" s="1"/>
  <c r="I60" i="9"/>
  <c r="AG59" i="9"/>
  <c r="AH59" i="9" s="1"/>
  <c r="I59" i="9"/>
  <c r="AG58" i="9"/>
  <c r="AH58" i="9" s="1"/>
  <c r="I58" i="9"/>
  <c r="AG57" i="9"/>
  <c r="AH57" i="9" s="1"/>
  <c r="I57" i="9"/>
  <c r="AG56" i="9"/>
  <c r="AH56" i="9" s="1"/>
  <c r="I56" i="9"/>
  <c r="AG55" i="9"/>
  <c r="AH55" i="9" s="1"/>
  <c r="I55" i="9"/>
  <c r="AG54" i="9"/>
  <c r="AH54" i="9" s="1"/>
  <c r="I54" i="9"/>
  <c r="AG53" i="9"/>
  <c r="AH53" i="9" s="1"/>
  <c r="I53" i="9"/>
  <c r="AG52" i="9"/>
  <c r="AH52" i="9" s="1"/>
  <c r="I52" i="9"/>
  <c r="AG51" i="9"/>
  <c r="AH51" i="9" s="1"/>
  <c r="I51" i="9"/>
  <c r="AG50" i="9"/>
  <c r="AH50" i="9" s="1"/>
  <c r="I50" i="9"/>
  <c r="AG49" i="9"/>
  <c r="AH49" i="9" s="1"/>
  <c r="I49" i="9"/>
  <c r="AG48" i="9"/>
  <c r="AH48" i="9" s="1"/>
  <c r="I48" i="9"/>
  <c r="AG47" i="9"/>
  <c r="AH47" i="9" s="1"/>
  <c r="I47" i="9"/>
  <c r="AG46" i="9"/>
  <c r="AH46" i="9" s="1"/>
  <c r="I46" i="9"/>
  <c r="AG45" i="9"/>
  <c r="AH45" i="9" s="1"/>
  <c r="I45" i="9"/>
  <c r="AG44" i="9"/>
  <c r="AH44" i="9" s="1"/>
  <c r="I44" i="9"/>
  <c r="AG43" i="9"/>
  <c r="AH43" i="9" s="1"/>
  <c r="I43" i="9"/>
  <c r="AG42" i="9"/>
  <c r="AH42" i="9" s="1"/>
  <c r="I42" i="9"/>
  <c r="AG41" i="9"/>
  <c r="AH41" i="9" s="1"/>
  <c r="I41" i="9"/>
  <c r="AG40" i="9"/>
  <c r="AH40" i="9" s="1"/>
  <c r="I40" i="9"/>
  <c r="AG39" i="9"/>
  <c r="AH39" i="9" s="1"/>
  <c r="I39" i="9"/>
  <c r="AG38" i="9"/>
  <c r="AH38" i="9" s="1"/>
  <c r="I38" i="9"/>
  <c r="AG37" i="9"/>
  <c r="AH37" i="9" s="1"/>
  <c r="I37" i="9"/>
  <c r="AG36" i="9"/>
  <c r="AH36" i="9" s="1"/>
  <c r="I36" i="9"/>
  <c r="AG35" i="9"/>
  <c r="AH35" i="9" s="1"/>
  <c r="I35" i="9"/>
  <c r="AG34" i="9"/>
  <c r="AH34" i="9" s="1"/>
  <c r="I34" i="9"/>
  <c r="AG33" i="9"/>
  <c r="AH33" i="9" s="1"/>
  <c r="I33" i="9"/>
  <c r="AG32" i="9"/>
  <c r="AH32" i="9" s="1"/>
  <c r="I32" i="9"/>
  <c r="AG31" i="9"/>
  <c r="AH31" i="9" s="1"/>
  <c r="I31" i="9"/>
  <c r="AG30" i="9"/>
  <c r="AH30" i="9" s="1"/>
  <c r="I30" i="9"/>
  <c r="AG29" i="9"/>
  <c r="AH29" i="9" s="1"/>
  <c r="I29" i="9"/>
  <c r="AG28" i="9"/>
  <c r="AH28" i="9" s="1"/>
  <c r="I28" i="9"/>
  <c r="AG27" i="9"/>
  <c r="AH27" i="9" s="1"/>
  <c r="I27" i="9"/>
  <c r="AG26" i="9"/>
  <c r="AH26" i="9" s="1"/>
  <c r="I26" i="9"/>
  <c r="AG25" i="9"/>
  <c r="AH25" i="9" s="1"/>
  <c r="I25" i="9"/>
  <c r="AG24" i="9"/>
  <c r="AH24" i="9" s="1"/>
  <c r="I24" i="9"/>
  <c r="AG23" i="9"/>
  <c r="AH23" i="9" s="1"/>
  <c r="I23" i="9"/>
  <c r="AG22" i="9"/>
  <c r="AH22" i="9" s="1"/>
  <c r="I22" i="9"/>
  <c r="AG21" i="9"/>
  <c r="AH21" i="9" s="1"/>
  <c r="I21" i="9"/>
  <c r="AG20" i="9"/>
  <c r="AH20" i="9" s="1"/>
  <c r="I20" i="9"/>
  <c r="AG19" i="9"/>
  <c r="AH19" i="9" s="1"/>
  <c r="I19" i="9"/>
  <c r="AG18" i="9"/>
  <c r="AH18" i="9" s="1"/>
  <c r="I18" i="9"/>
  <c r="AG17" i="9"/>
  <c r="AH17" i="9" s="1"/>
  <c r="I17" i="9"/>
  <c r="AG16" i="9"/>
  <c r="AH16" i="9" s="1"/>
  <c r="I16" i="9"/>
  <c r="AG15" i="9"/>
  <c r="AH15" i="9" s="1"/>
  <c r="I15" i="9"/>
  <c r="AG14" i="9"/>
  <c r="AH14" i="9" s="1"/>
  <c r="I14" i="9"/>
  <c r="AG13" i="9"/>
  <c r="AH13" i="9" s="1"/>
  <c r="I13" i="9"/>
  <c r="AG12" i="9"/>
  <c r="AH12" i="9" s="1"/>
  <c r="I12" i="9"/>
  <c r="AG11" i="9"/>
  <c r="AH11" i="9" s="1"/>
  <c r="I11" i="9"/>
  <c r="AG10" i="9"/>
  <c r="AH10" i="9" s="1"/>
  <c r="I10" i="9"/>
  <c r="AG9" i="9"/>
  <c r="AH9" i="9" s="1"/>
  <c r="I9" i="9"/>
  <c r="AG8" i="9"/>
  <c r="AH8" i="9" s="1"/>
  <c r="I8" i="9"/>
  <c r="AF64" i="10"/>
  <c r="AE64" i="10"/>
  <c r="AD64" i="10"/>
  <c r="AC64" i="10"/>
  <c r="AB64" i="10"/>
  <c r="AA64" i="10"/>
  <c r="Z64" i="10"/>
  <c r="Y64" i="10"/>
  <c r="X64" i="10"/>
  <c r="W64" i="10"/>
  <c r="V64" i="10"/>
  <c r="U64" i="10"/>
  <c r="T64" i="10"/>
  <c r="S64" i="10"/>
  <c r="R64" i="10"/>
  <c r="Q64" i="10"/>
  <c r="P64" i="10"/>
  <c r="O64" i="10"/>
  <c r="N64" i="10"/>
  <c r="M64" i="10"/>
  <c r="L64" i="10"/>
  <c r="K64" i="10"/>
  <c r="J64" i="10"/>
  <c r="H64" i="10"/>
  <c r="G64" i="10"/>
  <c r="F64" i="10"/>
  <c r="E64" i="10"/>
  <c r="D64" i="10"/>
  <c r="C64" i="10"/>
  <c r="AH63" i="10"/>
  <c r="AG63" i="10"/>
  <c r="I63" i="10"/>
  <c r="AH62" i="10"/>
  <c r="AG62" i="10"/>
  <c r="I62" i="10"/>
  <c r="AG61" i="10"/>
  <c r="I61" i="10"/>
  <c r="AH61" i="10" s="1"/>
  <c r="AH60" i="10"/>
  <c r="AG60" i="10"/>
  <c r="I60" i="10"/>
  <c r="AH59" i="10"/>
  <c r="AG59" i="10"/>
  <c r="I59" i="10"/>
  <c r="AH58" i="10"/>
  <c r="AG58" i="10"/>
  <c r="I58" i="10"/>
  <c r="AH57" i="10"/>
  <c r="AG57" i="10"/>
  <c r="I57" i="10"/>
  <c r="AH56" i="10"/>
  <c r="AG56" i="10"/>
  <c r="I56" i="10"/>
  <c r="AH55" i="10"/>
  <c r="AG55" i="10"/>
  <c r="I55" i="10"/>
  <c r="AH54" i="10"/>
  <c r="AG54" i="10"/>
  <c r="I54" i="10"/>
  <c r="AH53" i="10"/>
  <c r="AG53" i="10"/>
  <c r="I53" i="10"/>
  <c r="AH52" i="10"/>
  <c r="AG52" i="10"/>
  <c r="I52" i="10"/>
  <c r="AH51" i="10"/>
  <c r="AG51" i="10"/>
  <c r="I51" i="10"/>
  <c r="AH50" i="10"/>
  <c r="AG50" i="10"/>
  <c r="I50" i="10"/>
  <c r="AH49" i="10"/>
  <c r="AG49" i="10"/>
  <c r="I49" i="10"/>
  <c r="AH48" i="10"/>
  <c r="AG48" i="10"/>
  <c r="I48" i="10"/>
  <c r="AH47" i="10"/>
  <c r="AG47" i="10"/>
  <c r="I47" i="10"/>
  <c r="AH46" i="10"/>
  <c r="AG46" i="10"/>
  <c r="I46" i="10"/>
  <c r="AH45" i="10"/>
  <c r="AG45" i="10"/>
  <c r="I45" i="10"/>
  <c r="AH44" i="10"/>
  <c r="AG44" i="10"/>
  <c r="I44" i="10"/>
  <c r="AH43" i="10"/>
  <c r="AG43" i="10"/>
  <c r="I43" i="10"/>
  <c r="AH42" i="10"/>
  <c r="AG42" i="10"/>
  <c r="I42" i="10"/>
  <c r="AH41" i="10"/>
  <c r="AG41" i="10"/>
  <c r="I41" i="10"/>
  <c r="AH40" i="10"/>
  <c r="AG40" i="10"/>
  <c r="I40" i="10"/>
  <c r="AH39" i="10"/>
  <c r="AG39" i="10"/>
  <c r="I39" i="10"/>
  <c r="AH38" i="10"/>
  <c r="AG38" i="10"/>
  <c r="I38" i="10"/>
  <c r="AH37" i="10"/>
  <c r="AG37" i="10"/>
  <c r="I37" i="10"/>
  <c r="AH36" i="10"/>
  <c r="AG36" i="10"/>
  <c r="I36" i="10"/>
  <c r="AH35" i="10"/>
  <c r="AG35" i="10"/>
  <c r="I35" i="10"/>
  <c r="AG34" i="10"/>
  <c r="I34" i="10"/>
  <c r="AH34" i="10" s="1"/>
  <c r="AH33" i="10"/>
  <c r="AG33" i="10"/>
  <c r="I33" i="10"/>
  <c r="AG32" i="10"/>
  <c r="I32" i="10"/>
  <c r="AH32" i="10" s="1"/>
  <c r="AH31" i="10"/>
  <c r="AG31" i="10"/>
  <c r="I31" i="10"/>
  <c r="AH30" i="10"/>
  <c r="AG30" i="10"/>
  <c r="I30" i="10"/>
  <c r="AG29" i="10"/>
  <c r="AH29" i="10" s="1"/>
  <c r="I29" i="10"/>
  <c r="AG28" i="10"/>
  <c r="AH28" i="10" s="1"/>
  <c r="I28" i="10"/>
  <c r="AH27" i="10"/>
  <c r="AG27" i="10"/>
  <c r="I27" i="10"/>
  <c r="AH26" i="10"/>
  <c r="AG26" i="10"/>
  <c r="I26" i="10"/>
  <c r="AH25" i="10"/>
  <c r="AG25" i="10"/>
  <c r="I25" i="10"/>
  <c r="AH24" i="10"/>
  <c r="AG24" i="10"/>
  <c r="I24" i="10"/>
  <c r="AG23" i="10"/>
  <c r="I23" i="10"/>
  <c r="AH23" i="10" s="1"/>
  <c r="AH22" i="10"/>
  <c r="AG22" i="10"/>
  <c r="I22" i="10"/>
  <c r="AH21" i="10"/>
  <c r="AG21" i="10"/>
  <c r="I21" i="10"/>
  <c r="AH20" i="10"/>
  <c r="AG20" i="10"/>
  <c r="I20" i="10"/>
  <c r="AH19" i="10"/>
  <c r="AG19" i="10"/>
  <c r="I19" i="10"/>
  <c r="AH18" i="10"/>
  <c r="AG18" i="10"/>
  <c r="I18" i="10"/>
  <c r="AH17" i="10"/>
  <c r="AG17" i="10"/>
  <c r="I17" i="10"/>
  <c r="AH16" i="10"/>
  <c r="AG16" i="10"/>
  <c r="I16" i="10"/>
  <c r="AH15" i="10"/>
  <c r="AG15" i="10"/>
  <c r="I15" i="10"/>
  <c r="AH14" i="10"/>
  <c r="AG14" i="10"/>
  <c r="I14" i="10"/>
  <c r="AG13" i="10"/>
  <c r="I13" i="10"/>
  <c r="AH13" i="10" s="1"/>
  <c r="AH12" i="10"/>
  <c r="AG12" i="10"/>
  <c r="I12" i="10"/>
  <c r="AH11" i="10"/>
  <c r="AG11" i="10"/>
  <c r="I11" i="10"/>
  <c r="AH10" i="10"/>
  <c r="AG10" i="10"/>
  <c r="I10" i="10"/>
  <c r="AH9" i="10"/>
  <c r="AG9" i="10"/>
  <c r="I9" i="10"/>
  <c r="AH8" i="10"/>
  <c r="AG8" i="10"/>
  <c r="I8" i="10"/>
  <c r="AF64" i="25"/>
  <c r="AE64" i="25"/>
  <c r="AD64" i="25"/>
  <c r="AC64" i="25"/>
  <c r="AB64" i="25"/>
  <c r="AA64" i="25"/>
  <c r="Z64" i="25"/>
  <c r="Y64" i="25"/>
  <c r="X64" i="25"/>
  <c r="W64" i="25"/>
  <c r="V64" i="25"/>
  <c r="U64" i="25"/>
  <c r="T64" i="25"/>
  <c r="S64" i="25"/>
  <c r="R64" i="25"/>
  <c r="Q64" i="25"/>
  <c r="P64" i="25"/>
  <c r="O64" i="25"/>
  <c r="N64" i="25"/>
  <c r="M64" i="25"/>
  <c r="L64" i="25"/>
  <c r="AG64" i="25" s="1"/>
  <c r="K64" i="25"/>
  <c r="J64" i="25"/>
  <c r="H64" i="25"/>
  <c r="G64" i="25"/>
  <c r="F64" i="25"/>
  <c r="E64" i="25"/>
  <c r="D64" i="25"/>
  <c r="C64" i="25"/>
  <c r="I64" i="25" s="1"/>
  <c r="AG63" i="25"/>
  <c r="I63" i="25"/>
  <c r="AH63" i="25" s="1"/>
  <c r="AG62" i="25"/>
  <c r="I62" i="25"/>
  <c r="AH62" i="25" s="1"/>
  <c r="AG61" i="25"/>
  <c r="I61" i="25"/>
  <c r="AH61" i="25" s="1"/>
  <c r="AG60" i="25"/>
  <c r="I60" i="25"/>
  <c r="AH60" i="25" s="1"/>
  <c r="AG59" i="25"/>
  <c r="I59" i="25"/>
  <c r="AH59" i="25" s="1"/>
  <c r="AG58" i="25"/>
  <c r="I58" i="25"/>
  <c r="AH58" i="25" s="1"/>
  <c r="AG57" i="25"/>
  <c r="I57" i="25"/>
  <c r="AG56" i="25"/>
  <c r="I56" i="25"/>
  <c r="AH56" i="25" s="1"/>
  <c r="AG55" i="25"/>
  <c r="I55" i="25"/>
  <c r="AH55" i="25" s="1"/>
  <c r="AG54" i="25"/>
  <c r="I54" i="25"/>
  <c r="AH54" i="25" s="1"/>
  <c r="AG53" i="25"/>
  <c r="I53" i="25"/>
  <c r="AH53" i="25" s="1"/>
  <c r="AG52" i="25"/>
  <c r="I52" i="25"/>
  <c r="AH52" i="25" s="1"/>
  <c r="AG51" i="25"/>
  <c r="I51" i="25"/>
  <c r="AH51" i="25" s="1"/>
  <c r="AG50" i="25"/>
  <c r="I50" i="25"/>
  <c r="AH50" i="25" s="1"/>
  <c r="AG49" i="25"/>
  <c r="I49" i="25"/>
  <c r="AH49" i="25" s="1"/>
  <c r="AG48" i="25"/>
  <c r="I48" i="25"/>
  <c r="AH48" i="25" s="1"/>
  <c r="AG47" i="25"/>
  <c r="I47" i="25"/>
  <c r="AH47" i="25" s="1"/>
  <c r="AG46" i="25"/>
  <c r="I46" i="25"/>
  <c r="AH46" i="25" s="1"/>
  <c r="AG45" i="25"/>
  <c r="I45" i="25"/>
  <c r="AH45" i="25" s="1"/>
  <c r="AG44" i="25"/>
  <c r="I44" i="25"/>
  <c r="AH44" i="25" s="1"/>
  <c r="AG43" i="25"/>
  <c r="I43" i="25"/>
  <c r="AH43" i="25" s="1"/>
  <c r="AG42" i="25"/>
  <c r="I42" i="25"/>
  <c r="AH42" i="25" s="1"/>
  <c r="AG41" i="25"/>
  <c r="I41" i="25"/>
  <c r="AH41" i="25" s="1"/>
  <c r="AG40" i="25"/>
  <c r="I40" i="25"/>
  <c r="AH40" i="25" s="1"/>
  <c r="AG39" i="25"/>
  <c r="I39" i="25"/>
  <c r="AH39" i="25" s="1"/>
  <c r="AG38" i="25"/>
  <c r="I38" i="25"/>
  <c r="AH38" i="25" s="1"/>
  <c r="AG37" i="25"/>
  <c r="I37" i="25"/>
  <c r="AH37" i="25" s="1"/>
  <c r="AG36" i="25"/>
  <c r="I36" i="25"/>
  <c r="AH36" i="25" s="1"/>
  <c r="AG35" i="25"/>
  <c r="I35" i="25"/>
  <c r="AH35" i="25" s="1"/>
  <c r="AG34" i="25"/>
  <c r="I34" i="25"/>
  <c r="AH34" i="25" s="1"/>
  <c r="AG33" i="25"/>
  <c r="I33" i="25"/>
  <c r="AH33" i="25" s="1"/>
  <c r="AG32" i="25"/>
  <c r="I32" i="25"/>
  <c r="AH32" i="25" s="1"/>
  <c r="AG31" i="25"/>
  <c r="I31" i="25"/>
  <c r="AH31" i="25" s="1"/>
  <c r="AG30" i="25"/>
  <c r="I30" i="25"/>
  <c r="AH30" i="25" s="1"/>
  <c r="AG29" i="25"/>
  <c r="I29" i="25"/>
  <c r="AH29" i="25" s="1"/>
  <c r="AG28" i="25"/>
  <c r="I28" i="25"/>
  <c r="AH28" i="25" s="1"/>
  <c r="AG27" i="25"/>
  <c r="I27" i="25"/>
  <c r="AH27" i="25" s="1"/>
  <c r="AG26" i="25"/>
  <c r="I26" i="25"/>
  <c r="AH26" i="25" s="1"/>
  <c r="AG25" i="25"/>
  <c r="I25" i="25"/>
  <c r="AH25" i="25" s="1"/>
  <c r="AG24" i="25"/>
  <c r="I24" i="25"/>
  <c r="AH24" i="25" s="1"/>
  <c r="AG23" i="25"/>
  <c r="I23" i="25"/>
  <c r="AH23" i="25" s="1"/>
  <c r="AG22" i="25"/>
  <c r="I22" i="25"/>
  <c r="AH22" i="25" s="1"/>
  <c r="AG21" i="25"/>
  <c r="I21" i="25"/>
  <c r="AH21" i="25" s="1"/>
  <c r="AG20" i="25"/>
  <c r="I20" i="25"/>
  <c r="AH20" i="25" s="1"/>
  <c r="AG19" i="25"/>
  <c r="I19" i="25"/>
  <c r="AH19" i="25" s="1"/>
  <c r="AG18" i="25"/>
  <c r="I18" i="25"/>
  <c r="AH18" i="25" s="1"/>
  <c r="AG17" i="25"/>
  <c r="I17" i="25"/>
  <c r="AH17" i="25" s="1"/>
  <c r="AG16" i="25"/>
  <c r="I16" i="25"/>
  <c r="AH16" i="25" s="1"/>
  <c r="AG15" i="25"/>
  <c r="I15" i="25"/>
  <c r="AH15" i="25" s="1"/>
  <c r="AG14" i="25"/>
  <c r="I14" i="25"/>
  <c r="AH14" i="25" s="1"/>
  <c r="AG13" i="25"/>
  <c r="I13" i="25"/>
  <c r="AH13" i="25" s="1"/>
  <c r="AG12" i="25"/>
  <c r="I12" i="25"/>
  <c r="AH12" i="25" s="1"/>
  <c r="AG11" i="25"/>
  <c r="I11" i="25"/>
  <c r="AH11" i="25" s="1"/>
  <c r="AG10" i="25"/>
  <c r="I10" i="25"/>
  <c r="AH10" i="25" s="1"/>
  <c r="AG9" i="25"/>
  <c r="I9" i="25"/>
  <c r="AH9" i="25" s="1"/>
  <c r="AG8" i="25"/>
  <c r="I8" i="25"/>
  <c r="AH8" i="25" s="1"/>
  <c r="AF64" i="11"/>
  <c r="AE64" i="11"/>
  <c r="AD64" i="11"/>
  <c r="AC64" i="11"/>
  <c r="AB64" i="11"/>
  <c r="AA64" i="11"/>
  <c r="Z64" i="11"/>
  <c r="Y64" i="11"/>
  <c r="X64" i="11"/>
  <c r="W64" i="11"/>
  <c r="V64" i="11"/>
  <c r="U64" i="11"/>
  <c r="T64" i="11"/>
  <c r="S64" i="11"/>
  <c r="R64" i="11"/>
  <c r="Q64" i="11"/>
  <c r="P64" i="11"/>
  <c r="O64" i="11"/>
  <c r="N64" i="11"/>
  <c r="M64" i="11"/>
  <c r="L64" i="11"/>
  <c r="K64" i="11"/>
  <c r="J64" i="11"/>
  <c r="AG64" i="11" s="1"/>
  <c r="H64" i="11"/>
  <c r="G64" i="11"/>
  <c r="F64" i="11"/>
  <c r="E64" i="11"/>
  <c r="D64" i="11"/>
  <c r="C64" i="11"/>
  <c r="I64" i="11" s="1"/>
  <c r="AH64" i="11" s="1"/>
  <c r="AG63" i="11"/>
  <c r="I63" i="11"/>
  <c r="AH63" i="11" s="1"/>
  <c r="AG62" i="11"/>
  <c r="I62" i="11"/>
  <c r="AG61" i="11"/>
  <c r="I61" i="11"/>
  <c r="AH61" i="11" s="1"/>
  <c r="AG60" i="11"/>
  <c r="I60" i="11"/>
  <c r="AH60" i="11" s="1"/>
  <c r="AG59" i="11"/>
  <c r="I59" i="11"/>
  <c r="AG58" i="11"/>
  <c r="I58" i="11"/>
  <c r="AH58" i="11" s="1"/>
  <c r="AG57" i="11"/>
  <c r="I57" i="11"/>
  <c r="AH57" i="11" s="1"/>
  <c r="AG56" i="11"/>
  <c r="I56" i="11"/>
  <c r="AG55" i="11"/>
  <c r="I55" i="11"/>
  <c r="AH55" i="11" s="1"/>
  <c r="AG54" i="11"/>
  <c r="I54" i="11"/>
  <c r="AH54" i="11" s="1"/>
  <c r="AG53" i="11"/>
  <c r="I53" i="11"/>
  <c r="AG52" i="11"/>
  <c r="I52" i="11"/>
  <c r="AH52" i="11" s="1"/>
  <c r="AG51" i="11"/>
  <c r="I51" i="11"/>
  <c r="AH51" i="11" s="1"/>
  <c r="AG50" i="11"/>
  <c r="I50" i="11"/>
  <c r="AG49" i="11"/>
  <c r="I49" i="11"/>
  <c r="AH49" i="11" s="1"/>
  <c r="AG48" i="11"/>
  <c r="I48" i="11"/>
  <c r="AH48" i="11" s="1"/>
  <c r="AG47" i="11"/>
  <c r="I47" i="11"/>
  <c r="AG46" i="11"/>
  <c r="I46" i="11"/>
  <c r="AH46" i="11" s="1"/>
  <c r="AG45" i="11"/>
  <c r="I45" i="11"/>
  <c r="AH45" i="11" s="1"/>
  <c r="AG44" i="11"/>
  <c r="I44" i="11"/>
  <c r="AG43" i="11"/>
  <c r="I43" i="11"/>
  <c r="AH43" i="11" s="1"/>
  <c r="AG42" i="11"/>
  <c r="I42" i="11"/>
  <c r="AH42" i="11" s="1"/>
  <c r="AG41" i="11"/>
  <c r="I41" i="11"/>
  <c r="AG40" i="11"/>
  <c r="I40" i="11"/>
  <c r="AH40" i="11" s="1"/>
  <c r="AG39" i="11"/>
  <c r="I39" i="11"/>
  <c r="AH39" i="11" s="1"/>
  <c r="AG38" i="11"/>
  <c r="I38" i="11"/>
  <c r="AG37" i="11"/>
  <c r="I37" i="11"/>
  <c r="AH37" i="11" s="1"/>
  <c r="AG36" i="11"/>
  <c r="I36" i="11"/>
  <c r="AH36" i="11" s="1"/>
  <c r="AG35" i="11"/>
  <c r="I35" i="11"/>
  <c r="AG34" i="11"/>
  <c r="I34" i="11"/>
  <c r="AH34" i="11" s="1"/>
  <c r="AG33" i="11"/>
  <c r="I33" i="11"/>
  <c r="AH33" i="11" s="1"/>
  <c r="AG32" i="11"/>
  <c r="I32" i="11"/>
  <c r="AG31" i="11"/>
  <c r="I31" i="11"/>
  <c r="AH31" i="11" s="1"/>
  <c r="AG30" i="11"/>
  <c r="I30" i="11"/>
  <c r="AH30" i="11" s="1"/>
  <c r="AG29" i="11"/>
  <c r="I29" i="11"/>
  <c r="AG28" i="11"/>
  <c r="I28" i="11"/>
  <c r="AH28" i="11" s="1"/>
  <c r="AG27" i="11"/>
  <c r="I27" i="11"/>
  <c r="AH27" i="11" s="1"/>
  <c r="AG26" i="11"/>
  <c r="I26" i="11"/>
  <c r="AG25" i="11"/>
  <c r="I25" i="11"/>
  <c r="AH25" i="11" s="1"/>
  <c r="AG24" i="11"/>
  <c r="I24" i="11"/>
  <c r="AH24" i="11" s="1"/>
  <c r="AG23" i="11"/>
  <c r="I23" i="11"/>
  <c r="AH23" i="11" s="1"/>
  <c r="AG22" i="11"/>
  <c r="I22" i="11"/>
  <c r="AH22" i="11" s="1"/>
  <c r="AG21" i="11"/>
  <c r="I21" i="11"/>
  <c r="AH21" i="11" s="1"/>
  <c r="AG20" i="11"/>
  <c r="I20" i="11"/>
  <c r="AH20" i="11" s="1"/>
  <c r="AG19" i="11"/>
  <c r="I19" i="11"/>
  <c r="AH19" i="11" s="1"/>
  <c r="AG18" i="11"/>
  <c r="I18" i="11"/>
  <c r="AH18" i="11" s="1"/>
  <c r="AG17" i="11"/>
  <c r="I17" i="11"/>
  <c r="AH17" i="11" s="1"/>
  <c r="AG16" i="11"/>
  <c r="I16" i="11"/>
  <c r="AH16" i="11" s="1"/>
  <c r="AG15" i="11"/>
  <c r="I15" i="11"/>
  <c r="AH15" i="11" s="1"/>
  <c r="AG14" i="11"/>
  <c r="I14" i="11"/>
  <c r="AH14" i="11" s="1"/>
  <c r="AG13" i="11"/>
  <c r="I13" i="11"/>
  <c r="AH13" i="11" s="1"/>
  <c r="AG12" i="11"/>
  <c r="I12" i="11"/>
  <c r="AH12" i="11" s="1"/>
  <c r="AG11" i="11"/>
  <c r="I11" i="11"/>
  <c r="AH11" i="11" s="1"/>
  <c r="AG10" i="11"/>
  <c r="I10" i="11"/>
  <c r="AH10" i="11" s="1"/>
  <c r="AG9" i="11"/>
  <c r="I9" i="11"/>
  <c r="AH9" i="11" s="1"/>
  <c r="AG8" i="11"/>
  <c r="I8" i="11"/>
  <c r="AH8" i="11" s="1"/>
  <c r="AG24" i="30"/>
  <c r="AF24" i="30"/>
  <c r="AE24" i="30"/>
  <c r="AD24" i="30"/>
  <c r="AC24" i="30"/>
  <c r="AB24" i="30"/>
  <c r="AA24" i="30"/>
  <c r="Z24" i="30"/>
  <c r="Y24" i="30"/>
  <c r="X24" i="30"/>
  <c r="W24" i="30"/>
  <c r="V24" i="30"/>
  <c r="U24" i="30"/>
  <c r="T24" i="30"/>
  <c r="S24" i="30"/>
  <c r="R24" i="30"/>
  <c r="Q24" i="30"/>
  <c r="P24" i="30"/>
  <c r="O24" i="30"/>
  <c r="N24" i="30"/>
  <c r="M24" i="30"/>
  <c r="L24" i="30"/>
  <c r="K24" i="30"/>
  <c r="I24" i="30"/>
  <c r="H24" i="30"/>
  <c r="G24" i="30"/>
  <c r="F24" i="30"/>
  <c r="E24" i="30"/>
  <c r="D24" i="30"/>
  <c r="J24" i="30" s="1"/>
  <c r="AH22" i="30"/>
  <c r="J22" i="30"/>
  <c r="AI22" i="30" s="1"/>
  <c r="AH20" i="30"/>
  <c r="J20" i="30"/>
  <c r="AI20" i="30" s="1"/>
  <c r="AH19" i="30"/>
  <c r="J19" i="30"/>
  <c r="AI19" i="30" s="1"/>
  <c r="AH18" i="30"/>
  <c r="J18" i="30"/>
  <c r="AH17" i="30"/>
  <c r="J17" i="30"/>
  <c r="AI17" i="30" s="1"/>
  <c r="AH16" i="30"/>
  <c r="J16" i="30"/>
  <c r="AI16" i="30" s="1"/>
  <c r="AH15" i="30"/>
  <c r="J15" i="30"/>
  <c r="AI15" i="30" s="1"/>
  <c r="AH14" i="30"/>
  <c r="J14" i="30"/>
  <c r="AI14" i="30" s="1"/>
  <c r="AI12" i="30"/>
  <c r="AH12" i="30"/>
  <c r="J12" i="30"/>
  <c r="AH10" i="30"/>
  <c r="J10" i="30"/>
  <c r="AG8" i="30"/>
  <c r="AF8" i="30"/>
  <c r="AE8" i="30"/>
  <c r="AD8" i="30"/>
  <c r="AC8" i="30"/>
  <c r="AB8" i="30"/>
  <c r="AA8" i="30"/>
  <c r="Z8" i="30"/>
  <c r="Y8" i="30"/>
  <c r="X8" i="30"/>
  <c r="W8" i="30"/>
  <c r="V8" i="30"/>
  <c r="U8" i="30"/>
  <c r="T8" i="30"/>
  <c r="S8" i="30"/>
  <c r="R8" i="30"/>
  <c r="Q8" i="30"/>
  <c r="P8" i="30"/>
  <c r="O8" i="30"/>
  <c r="N8" i="30"/>
  <c r="M8" i="30"/>
  <c r="L8" i="30"/>
  <c r="K8" i="30"/>
  <c r="I8" i="30"/>
  <c r="H8" i="30"/>
  <c r="G8" i="30"/>
  <c r="F8" i="30"/>
  <c r="E8" i="30"/>
  <c r="D8" i="30"/>
  <c r="AH56" i="30"/>
  <c r="J56" i="30"/>
  <c r="AH55" i="30"/>
  <c r="J55" i="30"/>
  <c r="AF64" i="31"/>
  <c r="AE64" i="31"/>
  <c r="AD64" i="31"/>
  <c r="AC64" i="31"/>
  <c r="AB64" i="31"/>
  <c r="AA64" i="31"/>
  <c r="Z64" i="31"/>
  <c r="Y64" i="31"/>
  <c r="X64" i="31"/>
  <c r="W64" i="31"/>
  <c r="V64" i="31"/>
  <c r="U64" i="31"/>
  <c r="T64" i="31"/>
  <c r="S64" i="31"/>
  <c r="R64" i="31"/>
  <c r="Q64" i="31"/>
  <c r="P64" i="31"/>
  <c r="O64" i="31"/>
  <c r="N64" i="31"/>
  <c r="M64" i="31"/>
  <c r="L64" i="31"/>
  <c r="K64" i="31"/>
  <c r="AG64" i="31" s="1"/>
  <c r="J64" i="31"/>
  <c r="H64" i="31"/>
  <c r="G64" i="31"/>
  <c r="F64" i="31"/>
  <c r="E64" i="31"/>
  <c r="D64" i="31"/>
  <c r="C64" i="31"/>
  <c r="I64" i="31" s="1"/>
  <c r="AG63" i="31"/>
  <c r="I63" i="31"/>
  <c r="AH63" i="31" s="1"/>
  <c r="AG62" i="31"/>
  <c r="I62" i="31"/>
  <c r="AH62" i="31" s="1"/>
  <c r="AG61" i="31"/>
  <c r="I61" i="31"/>
  <c r="AH61" i="31" s="1"/>
  <c r="AG60" i="31"/>
  <c r="I60" i="31"/>
  <c r="AH60" i="31" s="1"/>
  <c r="AG59" i="31"/>
  <c r="I59" i="31"/>
  <c r="AH59" i="31" s="1"/>
  <c r="AG58" i="31"/>
  <c r="I58" i="31"/>
  <c r="AH58" i="31" s="1"/>
  <c r="AG57" i="31"/>
  <c r="I57" i="31"/>
  <c r="AH57" i="31" s="1"/>
  <c r="AG56" i="31"/>
  <c r="I56" i="31"/>
  <c r="AH56" i="31" s="1"/>
  <c r="AG55" i="31"/>
  <c r="I55" i="31"/>
  <c r="AH55" i="31" s="1"/>
  <c r="AG54" i="31"/>
  <c r="I54" i="31"/>
  <c r="AH54" i="31" s="1"/>
  <c r="AG53" i="31"/>
  <c r="I53" i="31"/>
  <c r="AH53" i="31" s="1"/>
  <c r="AG52" i="31"/>
  <c r="I52" i="31"/>
  <c r="AH52" i="31" s="1"/>
  <c r="AG51" i="31"/>
  <c r="I51" i="31"/>
  <c r="AH51" i="31" s="1"/>
  <c r="AG50" i="31"/>
  <c r="I50" i="31"/>
  <c r="AH50" i="31" s="1"/>
  <c r="AG49" i="31"/>
  <c r="I49" i="31"/>
  <c r="AH49" i="31" s="1"/>
  <c r="AG48" i="31"/>
  <c r="I48" i="31"/>
  <c r="AH48" i="31" s="1"/>
  <c r="AG47" i="31"/>
  <c r="I47" i="31"/>
  <c r="AH47" i="31" s="1"/>
  <c r="AG46" i="31"/>
  <c r="I46" i="31"/>
  <c r="AH46" i="31" s="1"/>
  <c r="AG45" i="31"/>
  <c r="I45" i="31"/>
  <c r="AH45" i="31" s="1"/>
  <c r="AG44" i="31"/>
  <c r="I44" i="31"/>
  <c r="AH44" i="31" s="1"/>
  <c r="AG43" i="31"/>
  <c r="I43" i="31"/>
  <c r="AH43" i="31" s="1"/>
  <c r="AG42" i="31"/>
  <c r="I42" i="31"/>
  <c r="AH42" i="31" s="1"/>
  <c r="AG41" i="31"/>
  <c r="I41" i="31"/>
  <c r="AH41" i="31" s="1"/>
  <c r="AG40" i="31"/>
  <c r="I40" i="31"/>
  <c r="AH40" i="31" s="1"/>
  <c r="AG39" i="31"/>
  <c r="I39" i="31"/>
  <c r="AH39" i="31" s="1"/>
  <c r="AG38" i="31"/>
  <c r="I38" i="31"/>
  <c r="AH38" i="31" s="1"/>
  <c r="AG37" i="31"/>
  <c r="I37" i="31"/>
  <c r="AH37" i="31" s="1"/>
  <c r="AG36" i="31"/>
  <c r="I36" i="31"/>
  <c r="AH36" i="31" s="1"/>
  <c r="AG35" i="31"/>
  <c r="I35" i="31"/>
  <c r="AH35" i="31" s="1"/>
  <c r="AG34" i="31"/>
  <c r="I34" i="31"/>
  <c r="AH34" i="31" s="1"/>
  <c r="AH33" i="31"/>
  <c r="AG33" i="31"/>
  <c r="I33" i="31"/>
  <c r="AH32" i="31"/>
  <c r="AG32" i="31"/>
  <c r="I32" i="31"/>
  <c r="AH31" i="31"/>
  <c r="AG31" i="31"/>
  <c r="I31" i="31"/>
  <c r="AH30" i="31"/>
  <c r="AG30" i="31"/>
  <c r="I30" i="31"/>
  <c r="AH29" i="31"/>
  <c r="AG29" i="31"/>
  <c r="I29" i="31"/>
  <c r="AH28" i="31"/>
  <c r="AG28" i="31"/>
  <c r="I28" i="31"/>
  <c r="AH27" i="31"/>
  <c r="AG27" i="31"/>
  <c r="I27" i="31"/>
  <c r="AH26" i="31"/>
  <c r="AG26" i="31"/>
  <c r="I26" i="31"/>
  <c r="AH25" i="31"/>
  <c r="AG25" i="31"/>
  <c r="I25" i="31"/>
  <c r="AH24" i="31"/>
  <c r="AG24" i="31"/>
  <c r="I24" i="31"/>
  <c r="AH23" i="31"/>
  <c r="AG23" i="31"/>
  <c r="I23" i="31"/>
  <c r="AH22" i="31"/>
  <c r="AG22" i="31"/>
  <c r="I22" i="31"/>
  <c r="AH21" i="31"/>
  <c r="AG21" i="31"/>
  <c r="I21" i="31"/>
  <c r="AH20" i="31"/>
  <c r="AG20" i="31"/>
  <c r="I20" i="31"/>
  <c r="AH19" i="31"/>
  <c r="AG19" i="31"/>
  <c r="I19" i="31"/>
  <c r="AH18" i="31"/>
  <c r="AG18" i="31"/>
  <c r="I18" i="31"/>
  <c r="AH17" i="31"/>
  <c r="AG17" i="31"/>
  <c r="I17" i="31"/>
  <c r="AH16" i="31"/>
  <c r="AG16" i="31"/>
  <c r="I16" i="31"/>
  <c r="AH15" i="31"/>
  <c r="AG15" i="31"/>
  <c r="I15" i="31"/>
  <c r="AH14" i="31"/>
  <c r="AG14" i="31"/>
  <c r="I14" i="31"/>
  <c r="AH13" i="31"/>
  <c r="AG13" i="31"/>
  <c r="I13" i="31"/>
  <c r="AH12" i="31"/>
  <c r="AG12" i="31"/>
  <c r="I12" i="31"/>
  <c r="AH11" i="31"/>
  <c r="AG11" i="31"/>
  <c r="I11" i="31"/>
  <c r="AH10" i="31"/>
  <c r="AG10" i="31"/>
  <c r="I10" i="31"/>
  <c r="AH9" i="31"/>
  <c r="AG9" i="31"/>
  <c r="I9" i="31"/>
  <c r="AH8" i="31"/>
  <c r="AG8" i="31"/>
  <c r="I8" i="31"/>
  <c r="AI56" i="30" l="1"/>
  <c r="AI24" i="30"/>
  <c r="AH24" i="30"/>
  <c r="AH40" i="24"/>
  <c r="AH61" i="24"/>
  <c r="AI24" i="7"/>
  <c r="AI27" i="7"/>
  <c r="AF174" i="6"/>
  <c r="AI55" i="30"/>
  <c r="AI18" i="30"/>
  <c r="AH57" i="25"/>
  <c r="AH21" i="24"/>
  <c r="AH51" i="24"/>
  <c r="AH57" i="24"/>
  <c r="AG64" i="8"/>
  <c r="AH64" i="8" s="1"/>
  <c r="AH9" i="7"/>
  <c r="AI9" i="7" s="1"/>
  <c r="AI23" i="7"/>
  <c r="AI29" i="7"/>
  <c r="AI42" i="7"/>
  <c r="AG9" i="6"/>
  <c r="AG12" i="6"/>
  <c r="AG15" i="6"/>
  <c r="AG18" i="6"/>
  <c r="AG27" i="6"/>
  <c r="AG39" i="6"/>
  <c r="AG42" i="6"/>
  <c r="AG45" i="6"/>
  <c r="AD18" i="3"/>
  <c r="F19" i="3"/>
  <c r="J23" i="2"/>
  <c r="AG51" i="6"/>
  <c r="AG54" i="6"/>
  <c r="AG57" i="6"/>
  <c r="AG60" i="6"/>
  <c r="AG63" i="6"/>
  <c r="AG66" i="6"/>
  <c r="AG72" i="6"/>
  <c r="AG75" i="6"/>
  <c r="AG78" i="6"/>
  <c r="AG81" i="6"/>
  <c r="AG84" i="6"/>
  <c r="AG93" i="6"/>
  <c r="AG96" i="6"/>
  <c r="AG99" i="6"/>
  <c r="AG102" i="6"/>
  <c r="AG105" i="6"/>
  <c r="AG108" i="6"/>
  <c r="AG114" i="6"/>
  <c r="AG117" i="6"/>
  <c r="AG120" i="6"/>
  <c r="AG123" i="6"/>
  <c r="AG126" i="6"/>
  <c r="AG132" i="6"/>
  <c r="AG135" i="6"/>
  <c r="AG138" i="6"/>
  <c r="AG144" i="6"/>
  <c r="AG147" i="6"/>
  <c r="AG150" i="6"/>
  <c r="AG153" i="6"/>
  <c r="AG156" i="6"/>
  <c r="AG159" i="6"/>
  <c r="AG162" i="6"/>
  <c r="AG165" i="6"/>
  <c r="AG168" i="6"/>
  <c r="AG171" i="6"/>
  <c r="AG133" i="5"/>
  <c r="AG142" i="5"/>
  <c r="AG145" i="5"/>
  <c r="AG151" i="5"/>
  <c r="AG166" i="5"/>
  <c r="AG169" i="5"/>
  <c r="AH64" i="31"/>
  <c r="AI10" i="30"/>
  <c r="AH64" i="25"/>
  <c r="AH64" i="24"/>
  <c r="J8" i="30"/>
  <c r="AH8" i="30"/>
  <c r="J32" i="7"/>
  <c r="AH8" i="7"/>
  <c r="AI8" i="7" s="1"/>
  <c r="AH26" i="11"/>
  <c r="AH29" i="11"/>
  <c r="AH32" i="11"/>
  <c r="AH35" i="11"/>
  <c r="AH38" i="11"/>
  <c r="AH41" i="11"/>
  <c r="AH44" i="11"/>
  <c r="AH47" i="11"/>
  <c r="AH50" i="11"/>
  <c r="AH53" i="11"/>
  <c r="AH56" i="11"/>
  <c r="AH59" i="11"/>
  <c r="AH62" i="11"/>
  <c r="I64" i="10"/>
  <c r="AG64" i="10"/>
  <c r="AH33" i="7"/>
  <c r="AH32" i="7"/>
  <c r="J33" i="7"/>
  <c r="AI33" i="7" s="1"/>
  <c r="AH57" i="8"/>
  <c r="AH60" i="8"/>
  <c r="AH63" i="8"/>
  <c r="AI35" i="7"/>
  <c r="AI38" i="7"/>
  <c r="AI41" i="7"/>
  <c r="H174" i="6"/>
  <c r="AG8" i="6"/>
  <c r="AG11" i="6"/>
  <c r="AG14" i="6"/>
  <c r="AG17" i="6"/>
  <c r="AG20" i="6"/>
  <c r="AG23" i="6"/>
  <c r="AG26" i="6"/>
  <c r="AG29" i="6"/>
  <c r="AG32" i="6"/>
  <c r="AG35" i="6"/>
  <c r="AG38" i="6"/>
  <c r="AG41" i="6"/>
  <c r="AG44" i="6"/>
  <c r="AG47" i="6"/>
  <c r="AG50" i="6"/>
  <c r="AG53" i="6"/>
  <c r="AG56" i="6"/>
  <c r="AD19" i="3"/>
  <c r="AG121" i="6"/>
  <c r="AG124" i="6"/>
  <c r="AG127" i="6"/>
  <c r="AG130" i="6"/>
  <c r="AG133" i="6"/>
  <c r="H174" i="5"/>
  <c r="AG102" i="5"/>
  <c r="J22" i="2"/>
  <c r="AF174" i="5"/>
  <c r="AG104" i="5"/>
  <c r="AG107" i="5"/>
  <c r="AG110" i="5"/>
  <c r="AG113" i="5"/>
  <c r="AG116" i="5"/>
  <c r="AG119" i="5"/>
  <c r="AG122" i="5"/>
  <c r="AG125" i="5"/>
  <c r="AG128" i="5"/>
  <c r="AG131" i="5"/>
  <c r="AG134" i="5"/>
  <c r="AG137" i="5"/>
  <c r="AG140" i="5"/>
  <c r="AG143" i="5"/>
  <c r="AG146" i="5"/>
  <c r="AG149" i="5"/>
  <c r="AG152" i="5"/>
  <c r="AG155" i="5"/>
  <c r="AG158" i="5"/>
  <c r="AG161" i="5"/>
  <c r="AG164" i="5"/>
  <c r="AG167" i="5"/>
  <c r="AG170" i="5"/>
  <c r="AG173" i="5"/>
  <c r="J400" i="29"/>
  <c r="AH254" i="29"/>
  <c r="AI254" i="29" s="1"/>
  <c r="AH295" i="29"/>
  <c r="AI295" i="29"/>
  <c r="J295" i="29"/>
  <c r="J254" i="29"/>
  <c r="AH80" i="29"/>
  <c r="AH121" i="29"/>
  <c r="J121" i="29"/>
  <c r="J80" i="29"/>
  <c r="AG174" i="5" l="1"/>
  <c r="AG174" i="6"/>
  <c r="AH64" i="10"/>
  <c r="AI8" i="30"/>
  <c r="AI32" i="7"/>
  <c r="AI121" i="29"/>
  <c r="AI80" i="29"/>
  <c r="AF11" i="3" l="1"/>
  <c r="AE962" i="29"/>
  <c r="AE896" i="29"/>
  <c r="AE830" i="29"/>
  <c r="AE764" i="29"/>
  <c r="AE698" i="29"/>
  <c r="AE632" i="29"/>
  <c r="AE566" i="29"/>
  <c r="AF470" i="29"/>
  <c r="AF454" i="29"/>
  <c r="AF408" i="29"/>
  <c r="AF432" i="29" s="1"/>
  <c r="AF409" i="29"/>
  <c r="AF433" i="29" s="1"/>
  <c r="AD400" i="29"/>
  <c r="AD226" i="29"/>
  <c r="AA43" i="29"/>
  <c r="AA44" i="29" s="1"/>
  <c r="L17" i="2" l="1"/>
  <c r="AF17" i="3"/>
  <c r="AF16" i="3"/>
  <c r="AJ427" i="29"/>
  <c r="L427" i="29"/>
  <c r="AJ426" i="29"/>
  <c r="L426" i="29"/>
  <c r="F43" i="29"/>
  <c r="AE41" i="29"/>
  <c r="AK426" i="29" l="1"/>
  <c r="AK427" i="29"/>
  <c r="E21" i="29" l="1"/>
  <c r="K16" i="29"/>
  <c r="D48" i="30" l="1"/>
  <c r="DS8" i="1" l="1"/>
  <c r="EE8" i="1"/>
  <c r="AI53" i="25" l="1"/>
  <c r="AJ53" i="25" s="1"/>
  <c r="AI61" i="25"/>
  <c r="AJ61" i="25" s="1"/>
  <c r="AI58" i="10"/>
  <c r="AJ58" i="10" s="1"/>
  <c r="AI61" i="9"/>
  <c r="AJ61" i="9" s="1"/>
  <c r="AI62" i="8"/>
  <c r="AJ62" i="8" s="1"/>
  <c r="AI63" i="11"/>
  <c r="AJ63" i="11" s="1"/>
  <c r="AI62" i="11"/>
  <c r="AJ62" i="11" s="1"/>
  <c r="AI61" i="11"/>
  <c r="AJ61" i="11" s="1"/>
  <c r="AI60" i="11"/>
  <c r="AJ60" i="11" s="1"/>
  <c r="AI59" i="11"/>
  <c r="AJ59" i="11" s="1"/>
  <c r="AI58" i="11"/>
  <c r="AJ58" i="11" s="1"/>
  <c r="AI53" i="11"/>
  <c r="AJ53" i="11" s="1"/>
  <c r="AI52" i="11"/>
  <c r="AJ52" i="11" s="1"/>
  <c r="AI51" i="11"/>
  <c r="AJ51" i="11" s="1"/>
  <c r="AI50" i="11"/>
  <c r="AJ50" i="11" s="1"/>
  <c r="AI47" i="11"/>
  <c r="AJ47" i="11" s="1"/>
  <c r="AI45" i="11"/>
  <c r="AJ45" i="11" s="1"/>
  <c r="AI44" i="11"/>
  <c r="AJ44" i="11" s="1"/>
  <c r="AI43" i="11"/>
  <c r="AJ43" i="11" s="1"/>
  <c r="AI42" i="11"/>
  <c r="AJ42" i="11" s="1"/>
  <c r="AI37" i="11"/>
  <c r="AJ37" i="11" s="1"/>
  <c r="AI36" i="11"/>
  <c r="AJ36" i="11" s="1"/>
  <c r="AI35" i="11"/>
  <c r="AJ35" i="11" s="1"/>
  <c r="AI34" i="11"/>
  <c r="AJ34" i="11" s="1"/>
  <c r="AI31" i="11"/>
  <c r="AJ31" i="11" s="1"/>
  <c r="AI29" i="11"/>
  <c r="AJ29" i="11" s="1"/>
  <c r="AI28" i="11"/>
  <c r="AJ28" i="11" s="1"/>
  <c r="AI27" i="11"/>
  <c r="AJ27" i="11" s="1"/>
  <c r="AI26" i="11"/>
  <c r="AJ26" i="11" s="1"/>
  <c r="AI21" i="11"/>
  <c r="AJ21" i="11" s="1"/>
  <c r="AI20" i="11"/>
  <c r="AJ20" i="11" s="1"/>
  <c r="AI18" i="11"/>
  <c r="AJ18" i="11" s="1"/>
  <c r="AI15" i="11"/>
  <c r="AJ15" i="11" s="1"/>
  <c r="AI13" i="11"/>
  <c r="AJ13" i="11" s="1"/>
  <c r="AI12" i="11"/>
  <c r="AJ12" i="11" s="1"/>
  <c r="AI11" i="11"/>
  <c r="AJ11" i="11" s="1"/>
  <c r="AI10" i="11"/>
  <c r="AJ10" i="11" s="1"/>
  <c r="AI62" i="25"/>
  <c r="AJ62" i="25" s="1"/>
  <c r="AI60" i="25"/>
  <c r="AJ60" i="25" s="1"/>
  <c r="AI58" i="25"/>
  <c r="AJ58" i="25" s="1"/>
  <c r="AI55" i="25"/>
  <c r="AJ55" i="25" s="1"/>
  <c r="AI52" i="25"/>
  <c r="AJ52" i="25" s="1"/>
  <c r="AI51" i="25"/>
  <c r="AJ51" i="25" s="1"/>
  <c r="AI50" i="25"/>
  <c r="AJ50" i="25" s="1"/>
  <c r="AI45" i="25"/>
  <c r="AJ45" i="25" s="1"/>
  <c r="AI44" i="25"/>
  <c r="AJ44" i="25" s="1"/>
  <c r="AI42" i="25"/>
  <c r="AJ42" i="25" s="1"/>
  <c r="AI39" i="25"/>
  <c r="AJ39" i="25" s="1"/>
  <c r="AI37" i="25"/>
  <c r="AJ37" i="25" s="1"/>
  <c r="AI36" i="25"/>
  <c r="AJ36" i="25" s="1"/>
  <c r="AI35" i="25"/>
  <c r="AJ35" i="25" s="1"/>
  <c r="AI34" i="25"/>
  <c r="AJ34" i="25" s="1"/>
  <c r="AI29" i="25"/>
  <c r="AJ29" i="25" s="1"/>
  <c r="AI28" i="25"/>
  <c r="AJ28" i="25" s="1"/>
  <c r="AI26" i="25"/>
  <c r="AJ26" i="25" s="1"/>
  <c r="AI23" i="25"/>
  <c r="AJ23" i="25" s="1"/>
  <c r="AI21" i="25"/>
  <c r="AJ21" i="25" s="1"/>
  <c r="AI20" i="25"/>
  <c r="AJ20" i="25" s="1"/>
  <c r="AI19" i="25"/>
  <c r="AJ19" i="25" s="1"/>
  <c r="AI18" i="25"/>
  <c r="AJ18" i="25" s="1"/>
  <c r="AI13" i="25"/>
  <c r="AJ13" i="25" s="1"/>
  <c r="AI12" i="25"/>
  <c r="AJ12" i="25" s="1"/>
  <c r="AI10" i="25"/>
  <c r="AJ10" i="25" s="1"/>
  <c r="AI63" i="10"/>
  <c r="AJ63" i="10" s="1"/>
  <c r="AI61" i="10"/>
  <c r="AJ61" i="10" s="1"/>
  <c r="AI59" i="10"/>
  <c r="AJ59" i="10" s="1"/>
  <c r="AI56" i="10"/>
  <c r="AJ56" i="10" s="1"/>
  <c r="AI55" i="10"/>
  <c r="AJ55" i="10" s="1"/>
  <c r="AI53" i="10"/>
  <c r="AJ53" i="10" s="1"/>
  <c r="AI51" i="10"/>
  <c r="AJ51" i="10" s="1"/>
  <c r="AI50" i="10"/>
  <c r="AJ50" i="10" s="1"/>
  <c r="AI48" i="10"/>
  <c r="AJ48" i="10" s="1"/>
  <c r="AI47" i="10"/>
  <c r="AJ47" i="10" s="1"/>
  <c r="AI45" i="10"/>
  <c r="AJ45" i="10" s="1"/>
  <c r="AI43" i="10"/>
  <c r="AJ43" i="10" s="1"/>
  <c r="AI42" i="10"/>
  <c r="AJ42" i="10" s="1"/>
  <c r="AI41" i="10"/>
  <c r="AJ41" i="10" s="1"/>
  <c r="AI40" i="10"/>
  <c r="AJ40" i="10" s="1"/>
  <c r="AI39" i="10"/>
  <c r="AJ39" i="10" s="1"/>
  <c r="AI37" i="10"/>
  <c r="AJ37" i="10" s="1"/>
  <c r="AI36" i="10"/>
  <c r="AJ36" i="10" s="1"/>
  <c r="AI35" i="10"/>
  <c r="AJ35" i="10" s="1"/>
  <c r="AI34" i="10"/>
  <c r="AJ34" i="10" s="1"/>
  <c r="AI33" i="10"/>
  <c r="AJ33" i="10" s="1"/>
  <c r="AI32" i="10"/>
  <c r="AJ32" i="10" s="1"/>
  <c r="AI31" i="10"/>
  <c r="AJ31" i="10" s="1"/>
  <c r="AI29" i="10"/>
  <c r="AJ29" i="10" s="1"/>
  <c r="AI28" i="10"/>
  <c r="AJ28" i="10" s="1"/>
  <c r="AI27" i="10"/>
  <c r="AJ27" i="10" s="1"/>
  <c r="AI26" i="10"/>
  <c r="AJ26" i="10" s="1"/>
  <c r="AI25" i="10"/>
  <c r="AJ25" i="10" s="1"/>
  <c r="AI24" i="10"/>
  <c r="AJ24" i="10" s="1"/>
  <c r="AI23" i="10"/>
  <c r="AJ23" i="10" s="1"/>
  <c r="AI21" i="10"/>
  <c r="AJ21" i="10" s="1"/>
  <c r="AI20" i="10"/>
  <c r="AJ20" i="10" s="1"/>
  <c r="AI19" i="10"/>
  <c r="AJ19" i="10" s="1"/>
  <c r="AI18" i="10"/>
  <c r="AJ18" i="10" s="1"/>
  <c r="AI17" i="10"/>
  <c r="AJ17" i="10" s="1"/>
  <c r="AI16" i="10"/>
  <c r="AJ16" i="10" s="1"/>
  <c r="AI15" i="10"/>
  <c r="AJ15" i="10" s="1"/>
  <c r="AI14" i="10"/>
  <c r="AJ14" i="10" s="1"/>
  <c r="AI13" i="10"/>
  <c r="AJ13" i="10" s="1"/>
  <c r="AI12" i="10"/>
  <c r="AJ12" i="10" s="1"/>
  <c r="AI60" i="9"/>
  <c r="AJ60" i="9" s="1"/>
  <c r="AI59" i="9"/>
  <c r="AJ59" i="9" s="1"/>
  <c r="AI58" i="9"/>
  <c r="AJ58" i="9" s="1"/>
  <c r="AI57" i="9"/>
  <c r="AJ57" i="9" s="1"/>
  <c r="AI56" i="9"/>
  <c r="AJ56" i="9" s="1"/>
  <c r="AI55" i="9"/>
  <c r="AJ55" i="9" s="1"/>
  <c r="AI53" i="9"/>
  <c r="AJ53" i="9" s="1"/>
  <c r="AI52" i="9"/>
  <c r="AJ52" i="9" s="1"/>
  <c r="AI51" i="9"/>
  <c r="AJ51" i="9" s="1"/>
  <c r="AI50" i="9"/>
  <c r="AJ50" i="9" s="1"/>
  <c r="AI49" i="9"/>
  <c r="AJ49" i="9" s="1"/>
  <c r="AI48" i="9"/>
  <c r="AJ48" i="9" s="1"/>
  <c r="AI47" i="9"/>
  <c r="AJ47" i="9" s="1"/>
  <c r="AI45" i="9"/>
  <c r="AJ45" i="9" s="1"/>
  <c r="AI44" i="9"/>
  <c r="AJ44" i="9" s="1"/>
  <c r="AI43" i="9"/>
  <c r="AJ43" i="9" s="1"/>
  <c r="AI42" i="9"/>
  <c r="AJ42" i="9" s="1"/>
  <c r="AI41" i="9"/>
  <c r="AJ41" i="9" s="1"/>
  <c r="AI40" i="9"/>
  <c r="AJ40" i="9" s="1"/>
  <c r="AI39" i="9"/>
  <c r="AJ39" i="9" s="1"/>
  <c r="AI37" i="9"/>
  <c r="AJ37" i="9" s="1"/>
  <c r="AI36" i="9"/>
  <c r="AJ36" i="9" s="1"/>
  <c r="AI35" i="9"/>
  <c r="AJ35" i="9" s="1"/>
  <c r="AI34" i="9"/>
  <c r="AJ34" i="9" s="1"/>
  <c r="AI33" i="9"/>
  <c r="AJ33" i="9" s="1"/>
  <c r="AI32" i="9"/>
  <c r="AJ32" i="9" s="1"/>
  <c r="AI31" i="9"/>
  <c r="AJ31" i="9" s="1"/>
  <c r="AI29" i="9"/>
  <c r="AJ29" i="9" s="1"/>
  <c r="AI28" i="9"/>
  <c r="AJ28" i="9" s="1"/>
  <c r="AI27" i="9"/>
  <c r="AJ27" i="9" s="1"/>
  <c r="AI26" i="9"/>
  <c r="AJ26" i="9" s="1"/>
  <c r="AI25" i="9"/>
  <c r="AJ25" i="9" s="1"/>
  <c r="AI24" i="9"/>
  <c r="AJ24" i="9" s="1"/>
  <c r="AI23" i="9"/>
  <c r="AJ23" i="9" s="1"/>
  <c r="AI21" i="9"/>
  <c r="AJ21" i="9" s="1"/>
  <c r="AI20" i="9"/>
  <c r="AJ20" i="9" s="1"/>
  <c r="AI19" i="9"/>
  <c r="AJ19" i="9" s="1"/>
  <c r="AI17" i="9"/>
  <c r="AJ17" i="9" s="1"/>
  <c r="AI16" i="9"/>
  <c r="AJ16" i="9" s="1"/>
  <c r="AI15" i="9"/>
  <c r="AJ15" i="9" s="1"/>
  <c r="AI14" i="9"/>
  <c r="AJ14" i="9" s="1"/>
  <c r="AI13" i="9"/>
  <c r="AJ13" i="9" s="1"/>
  <c r="AI12" i="9"/>
  <c r="AJ12" i="9" s="1"/>
  <c r="AI11" i="9"/>
  <c r="AJ11" i="9" s="1"/>
  <c r="AI9" i="9"/>
  <c r="AJ9" i="9" s="1"/>
  <c r="AI63" i="24"/>
  <c r="AJ63" i="24" s="1"/>
  <c r="AI62" i="24"/>
  <c r="AJ62" i="24" s="1"/>
  <c r="AI61" i="24"/>
  <c r="AJ61" i="24" s="1"/>
  <c r="AI60" i="24"/>
  <c r="AJ60" i="24" s="1"/>
  <c r="AI59" i="24"/>
  <c r="AJ59" i="24" s="1"/>
  <c r="AI57" i="24"/>
  <c r="AJ57" i="24" s="1"/>
  <c r="AI56" i="24"/>
  <c r="AJ56" i="24" s="1"/>
  <c r="AI55" i="24"/>
  <c r="AJ55" i="24" s="1"/>
  <c r="AI53" i="24"/>
  <c r="AJ53" i="24" s="1"/>
  <c r="AI52" i="24"/>
  <c r="AJ52" i="24" s="1"/>
  <c r="AI51" i="24"/>
  <c r="AJ51" i="24" s="1"/>
  <c r="AI50" i="24"/>
  <c r="AJ50" i="24" s="1"/>
  <c r="AI46" i="24"/>
  <c r="AJ46" i="24" s="1"/>
  <c r="AI45" i="24"/>
  <c r="AJ45" i="24" s="1"/>
  <c r="AI44" i="24"/>
  <c r="AJ44" i="24" s="1"/>
  <c r="AI43" i="24"/>
  <c r="AJ43" i="24" s="1"/>
  <c r="AI42" i="24"/>
  <c r="AJ42" i="24" s="1"/>
  <c r="AI37" i="24"/>
  <c r="AJ37" i="24" s="1"/>
  <c r="AI36" i="24"/>
  <c r="AJ36" i="24" s="1"/>
  <c r="AI35" i="24"/>
  <c r="AJ35" i="24" s="1"/>
  <c r="AI34" i="24"/>
  <c r="AJ34" i="24" s="1"/>
  <c r="AI30" i="24"/>
  <c r="AJ30" i="24" s="1"/>
  <c r="AI29" i="24"/>
  <c r="AJ29" i="24" s="1"/>
  <c r="AI28" i="24"/>
  <c r="AJ28" i="24" s="1"/>
  <c r="AI27" i="24"/>
  <c r="AJ27" i="24" s="1"/>
  <c r="AI26" i="24"/>
  <c r="AJ26" i="24" s="1"/>
  <c r="AI21" i="24"/>
  <c r="AJ21" i="24" s="1"/>
  <c r="AI20" i="24"/>
  <c r="AJ20" i="24" s="1"/>
  <c r="AI19" i="24"/>
  <c r="AJ19" i="24" s="1"/>
  <c r="AI18" i="24"/>
  <c r="AJ18" i="24" s="1"/>
  <c r="AI14" i="24"/>
  <c r="AJ14" i="24" s="1"/>
  <c r="AI13" i="24"/>
  <c r="AJ13" i="24" s="1"/>
  <c r="AI12" i="24"/>
  <c r="AJ12" i="24" s="1"/>
  <c r="AI63" i="8"/>
  <c r="AJ63" i="8" s="1"/>
  <c r="AI61" i="8"/>
  <c r="AJ61" i="8" s="1"/>
  <c r="AI60" i="8"/>
  <c r="AJ60" i="8" s="1"/>
  <c r="AI59" i="8"/>
  <c r="AJ59" i="8" s="1"/>
  <c r="AI58" i="8"/>
  <c r="AJ58" i="8" s="1"/>
  <c r="AI57" i="8"/>
  <c r="AJ57" i="8" s="1"/>
  <c r="AI56" i="8"/>
  <c r="AJ56" i="8" s="1"/>
  <c r="AI55" i="8"/>
  <c r="AJ55" i="8" s="1"/>
  <c r="AI54" i="8"/>
  <c r="AJ54" i="8" s="1"/>
  <c r="AI51" i="8"/>
  <c r="AJ51" i="8" s="1"/>
  <c r="AI49" i="8"/>
  <c r="AJ49" i="8" s="1"/>
  <c r="AI48" i="8"/>
  <c r="AJ48" i="8" s="1"/>
  <c r="AI47" i="8"/>
  <c r="AJ47" i="8" s="1"/>
  <c r="AI46" i="8"/>
  <c r="AJ46" i="8" s="1"/>
  <c r="AI43" i="8"/>
  <c r="AJ43" i="8" s="1"/>
  <c r="AI41" i="8"/>
  <c r="AJ41" i="8" s="1"/>
  <c r="AI40" i="8"/>
  <c r="AJ40" i="8" s="1"/>
  <c r="AI39" i="8"/>
  <c r="AJ39" i="8" s="1"/>
  <c r="AI38" i="8"/>
  <c r="AJ38" i="8" s="1"/>
  <c r="AI35" i="8"/>
  <c r="AJ35" i="8" s="1"/>
  <c r="AI33" i="8"/>
  <c r="AJ33" i="8" s="1"/>
  <c r="AI32" i="8"/>
  <c r="AJ32" i="8" s="1"/>
  <c r="AI31" i="8"/>
  <c r="AJ31" i="8" s="1"/>
  <c r="AI30" i="8"/>
  <c r="AJ30" i="8" s="1"/>
  <c r="AI27" i="8"/>
  <c r="AJ27" i="8" s="1"/>
  <c r="AI25" i="8"/>
  <c r="AJ25" i="8" s="1"/>
  <c r="AI24" i="8"/>
  <c r="AJ24" i="8" s="1"/>
  <c r="AI23" i="8"/>
  <c r="AJ23" i="8" s="1"/>
  <c r="AI22" i="8"/>
  <c r="AJ22" i="8" s="1"/>
  <c r="AI19" i="8"/>
  <c r="AJ19" i="8" s="1"/>
  <c r="AI17" i="8"/>
  <c r="AJ17" i="8" s="1"/>
  <c r="AI16" i="8"/>
  <c r="AJ16" i="8" s="1"/>
  <c r="AI14" i="8"/>
  <c r="AJ14" i="8" s="1"/>
  <c r="AI11" i="8"/>
  <c r="AJ11" i="8" s="1"/>
  <c r="AI9" i="8"/>
  <c r="AJ9" i="8" s="1"/>
  <c r="AH168" i="6"/>
  <c r="AI168" i="6" s="1"/>
  <c r="AH164" i="6"/>
  <c r="AI164" i="6" s="1"/>
  <c r="AH160" i="6"/>
  <c r="AI160" i="6" s="1"/>
  <c r="AH159" i="6"/>
  <c r="AI159" i="6" s="1"/>
  <c r="AH156" i="6"/>
  <c r="AI156" i="6" s="1"/>
  <c r="AH155" i="6"/>
  <c r="AI155" i="6" s="1"/>
  <c r="AH152" i="6"/>
  <c r="AI152" i="6" s="1"/>
  <c r="AH151" i="6"/>
  <c r="AI151" i="6" s="1"/>
  <c r="AH148" i="6"/>
  <c r="AI148" i="6" s="1"/>
  <c r="AH147" i="6"/>
  <c r="AI147" i="6" s="1"/>
  <c r="AH144" i="6"/>
  <c r="AI144" i="6" s="1"/>
  <c r="AH143" i="6"/>
  <c r="AI143" i="6" s="1"/>
  <c r="AH139" i="6"/>
  <c r="AI139" i="6" s="1"/>
  <c r="AH135" i="6"/>
  <c r="AI135" i="6" s="1"/>
  <c r="AH131" i="6"/>
  <c r="AI131" i="6" s="1"/>
  <c r="AH129" i="6"/>
  <c r="AI129" i="6" s="1"/>
  <c r="AH128" i="6"/>
  <c r="AI128" i="6" s="1"/>
  <c r="AH125" i="6"/>
  <c r="AI125" i="6" s="1"/>
  <c r="AH123" i="6"/>
  <c r="AI123" i="6" s="1"/>
  <c r="AH121" i="6"/>
  <c r="AI121" i="6" s="1"/>
  <c r="AH120" i="6"/>
  <c r="AI120" i="6" s="1"/>
  <c r="AH115" i="6"/>
  <c r="AI115" i="6" s="1"/>
  <c r="AH113" i="6"/>
  <c r="AI113" i="6" s="1"/>
  <c r="AH112" i="6"/>
  <c r="AI112" i="6" s="1"/>
  <c r="AH109" i="6"/>
  <c r="AI109" i="6" s="1"/>
  <c r="AH107" i="6"/>
  <c r="AI107" i="6" s="1"/>
  <c r="AH105" i="6"/>
  <c r="AI105" i="6" s="1"/>
  <c r="AH104" i="6"/>
  <c r="AI104" i="6" s="1"/>
  <c r="AH101" i="6"/>
  <c r="AI101" i="6" s="1"/>
  <c r="AH99" i="6"/>
  <c r="AI99" i="6" s="1"/>
  <c r="AH97" i="6"/>
  <c r="AI97" i="6" s="1"/>
  <c r="AH96" i="6"/>
  <c r="AI96" i="6" s="1"/>
  <c r="AH93" i="6"/>
  <c r="AI93" i="6" s="1"/>
  <c r="AH91" i="6"/>
  <c r="AI91" i="6" s="1"/>
  <c r="AH89" i="6"/>
  <c r="AI89" i="6" s="1"/>
  <c r="AH88" i="6"/>
  <c r="AI88" i="6" s="1"/>
  <c r="AH83" i="6"/>
  <c r="AI83" i="6" s="1"/>
  <c r="AH82" i="6"/>
  <c r="AI82" i="6" s="1"/>
  <c r="AH81" i="6"/>
  <c r="AI81" i="6" s="1"/>
  <c r="AH80" i="6"/>
  <c r="AI80" i="6" s="1"/>
  <c r="AH77" i="6"/>
  <c r="AI77" i="6" s="1"/>
  <c r="AH75" i="6"/>
  <c r="AI75" i="6" s="1"/>
  <c r="AH74" i="6"/>
  <c r="AI74" i="6" s="1"/>
  <c r="AH72" i="6"/>
  <c r="AI72" i="6" s="1"/>
  <c r="AH66" i="6"/>
  <c r="AI66" i="6" s="1"/>
  <c r="AH65" i="6"/>
  <c r="AI65" i="6" s="1"/>
  <c r="AH63" i="6"/>
  <c r="AI63" i="6" s="1"/>
  <c r="AH60" i="6"/>
  <c r="AI60" i="6" s="1"/>
  <c r="AH58" i="6"/>
  <c r="AI58" i="6" s="1"/>
  <c r="AH57" i="6"/>
  <c r="AI57" i="6" s="1"/>
  <c r="AH55" i="6"/>
  <c r="AI55" i="6" s="1"/>
  <c r="AH50" i="6"/>
  <c r="AI50" i="6" s="1"/>
  <c r="AH49" i="6"/>
  <c r="AI49" i="6" s="1"/>
  <c r="AH48" i="6"/>
  <c r="AI48" i="6" s="1"/>
  <c r="AH47" i="6"/>
  <c r="AI47" i="6" s="1"/>
  <c r="AH44" i="6"/>
  <c r="AI44" i="6" s="1"/>
  <c r="AH42" i="6"/>
  <c r="AI42" i="6" s="1"/>
  <c r="AH41" i="6"/>
  <c r="AI41" i="6" s="1"/>
  <c r="AH40" i="6"/>
  <c r="AI40" i="6" s="1"/>
  <c r="AH39" i="6"/>
  <c r="AI39" i="6" s="1"/>
  <c r="AH34" i="6"/>
  <c r="AI34" i="6" s="1"/>
  <c r="AH33" i="6"/>
  <c r="AI33" i="6" s="1"/>
  <c r="AH31" i="6"/>
  <c r="AI31" i="6" s="1"/>
  <c r="AH27" i="6"/>
  <c r="AI27" i="6" s="1"/>
  <c r="AH25" i="6"/>
  <c r="AI25" i="6" s="1"/>
  <c r="AH24" i="6"/>
  <c r="AI24" i="6" s="1"/>
  <c r="AH22" i="6"/>
  <c r="AI22" i="6" s="1"/>
  <c r="AH17" i="6"/>
  <c r="AI17" i="6" s="1"/>
  <c r="AH16" i="6"/>
  <c r="AI16" i="6" s="1"/>
  <c r="AH15" i="6"/>
  <c r="AI15" i="6" s="1"/>
  <c r="AH14" i="6"/>
  <c r="AI14" i="6" s="1"/>
  <c r="AH11" i="6"/>
  <c r="AI11" i="6" s="1"/>
  <c r="AH9" i="6"/>
  <c r="AI9" i="6" s="1"/>
  <c r="AH173" i="5"/>
  <c r="AI173" i="5" s="1"/>
  <c r="AH172" i="5"/>
  <c r="AI172" i="5" s="1"/>
  <c r="AH171" i="5"/>
  <c r="AI171" i="5" s="1"/>
  <c r="AH170" i="5"/>
  <c r="AI170" i="5" s="1"/>
  <c r="AH169" i="5"/>
  <c r="AI169" i="5" s="1"/>
  <c r="AH167" i="5"/>
  <c r="AI167" i="5" s="1"/>
  <c r="AH166" i="5"/>
  <c r="AI166" i="5" s="1"/>
  <c r="AH165" i="5"/>
  <c r="AI165" i="5" s="1"/>
  <c r="AH164" i="5"/>
  <c r="AI164" i="5" s="1"/>
  <c r="AH163" i="5"/>
  <c r="AI163" i="5" s="1"/>
  <c r="AH162" i="5"/>
  <c r="AI162" i="5" s="1"/>
  <c r="AH161" i="5"/>
  <c r="AI161" i="5" s="1"/>
  <c r="AH159" i="5"/>
  <c r="AI159" i="5" s="1"/>
  <c r="AH158" i="5"/>
  <c r="AI158" i="5" s="1"/>
  <c r="AH157" i="5"/>
  <c r="AI157" i="5" s="1"/>
  <c r="AH156" i="5"/>
  <c r="AI156" i="5" s="1"/>
  <c r="AH155" i="5"/>
  <c r="AI155" i="5" s="1"/>
  <c r="AH154" i="5"/>
  <c r="AI154" i="5" s="1"/>
  <c r="AH153" i="5"/>
  <c r="AI153" i="5" s="1"/>
  <c r="AH151" i="5"/>
  <c r="AI151" i="5" s="1"/>
  <c r="AH150" i="5"/>
  <c r="AI150" i="5" s="1"/>
  <c r="AH149" i="5"/>
  <c r="AI149" i="5" s="1"/>
  <c r="AH148" i="5"/>
  <c r="AI148" i="5" s="1"/>
  <c r="AH147" i="5"/>
  <c r="AI147" i="5" s="1"/>
  <c r="AH146" i="5"/>
  <c r="AI146" i="5" s="1"/>
  <c r="AH145" i="5"/>
  <c r="AI145" i="5" s="1"/>
  <c r="AH143" i="5"/>
  <c r="AI143" i="5" s="1"/>
  <c r="AH142" i="5"/>
  <c r="AI142" i="5" s="1"/>
  <c r="AH141" i="5"/>
  <c r="AI141" i="5" s="1"/>
  <c r="AH140" i="5"/>
  <c r="AI140" i="5" s="1"/>
  <c r="AH139" i="5"/>
  <c r="AI139" i="5" s="1"/>
  <c r="AH138" i="5"/>
  <c r="AI138" i="5" s="1"/>
  <c r="AH137" i="5"/>
  <c r="AI137" i="5" s="1"/>
  <c r="AH135" i="5"/>
  <c r="AI135" i="5" s="1"/>
  <c r="AH134" i="5"/>
  <c r="AI134" i="5" s="1"/>
  <c r="AH133" i="5"/>
  <c r="AI133" i="5" s="1"/>
  <c r="AH132" i="5"/>
  <c r="AI132" i="5" s="1"/>
  <c r="AH131" i="5"/>
  <c r="AI131" i="5" s="1"/>
  <c r="AH130" i="5"/>
  <c r="AI130" i="5" s="1"/>
  <c r="AH129" i="5"/>
  <c r="AI129" i="5" s="1"/>
  <c r="AH127" i="5"/>
  <c r="AI127" i="5" s="1"/>
  <c r="AH126" i="5"/>
  <c r="AI126" i="5" s="1"/>
  <c r="AH125" i="5"/>
  <c r="AI125" i="5" s="1"/>
  <c r="AH124" i="5"/>
  <c r="AI124" i="5" s="1"/>
  <c r="AH123" i="5"/>
  <c r="AI123" i="5" s="1"/>
  <c r="AH122" i="5"/>
  <c r="AI122" i="5" s="1"/>
  <c r="AH121" i="5"/>
  <c r="AI121" i="5" s="1"/>
  <c r="AH119" i="5"/>
  <c r="AI119" i="5" s="1"/>
  <c r="AH118" i="5"/>
  <c r="AI118" i="5" s="1"/>
  <c r="AH116" i="5"/>
  <c r="AI116" i="5" s="1"/>
  <c r="AH115" i="5"/>
  <c r="AI115" i="5" s="1"/>
  <c r="AH114" i="5"/>
  <c r="AI114" i="5" s="1"/>
  <c r="AH113" i="5"/>
  <c r="AI113" i="5" s="1"/>
  <c r="AH111" i="5"/>
  <c r="AI111" i="5" s="1"/>
  <c r="AH110" i="5"/>
  <c r="AI110" i="5" s="1"/>
  <c r="AH107" i="5"/>
  <c r="AI107" i="5" s="1"/>
  <c r="AH106" i="5"/>
  <c r="AI106" i="5" s="1"/>
  <c r="AH104" i="5"/>
  <c r="AI104" i="5" s="1"/>
  <c r="AH103" i="5"/>
  <c r="AI103" i="5" s="1"/>
  <c r="AH102" i="5"/>
  <c r="AI102" i="5" s="1"/>
  <c r="AH100" i="5"/>
  <c r="AI100" i="5" s="1"/>
  <c r="AH99" i="5"/>
  <c r="AI99" i="5" s="1"/>
  <c r="AH98" i="5"/>
  <c r="AI98" i="5" s="1"/>
  <c r="AH95" i="5"/>
  <c r="AI95" i="5" s="1"/>
  <c r="AH94" i="5"/>
  <c r="AI94" i="5" s="1"/>
  <c r="AH92" i="5"/>
  <c r="AI92" i="5" s="1"/>
  <c r="AH91" i="5"/>
  <c r="AI91" i="5" s="1"/>
  <c r="AH90" i="5"/>
  <c r="AI90" i="5" s="1"/>
  <c r="AH89" i="5"/>
  <c r="AI89" i="5" s="1"/>
  <c r="AH87" i="5"/>
  <c r="AI87" i="5" s="1"/>
  <c r="AH86" i="5"/>
  <c r="AI86" i="5" s="1"/>
  <c r="AH84" i="5"/>
  <c r="AI84" i="5" s="1"/>
  <c r="AH83" i="5"/>
  <c r="AI83" i="5" s="1"/>
  <c r="AH82" i="5"/>
  <c r="AI82" i="5" s="1"/>
  <c r="AH81" i="5"/>
  <c r="AI81" i="5" s="1"/>
  <c r="AH79" i="5"/>
  <c r="AI79" i="5" s="1"/>
  <c r="AH78" i="5"/>
  <c r="AI78" i="5" s="1"/>
  <c r="AH76" i="5"/>
  <c r="AI76" i="5" s="1"/>
  <c r="AH75" i="5"/>
  <c r="AI75" i="5" s="1"/>
  <c r="AH74" i="5"/>
  <c r="AI74" i="5" s="1"/>
  <c r="AH71" i="5"/>
  <c r="AI71" i="5" s="1"/>
  <c r="AH70" i="5"/>
  <c r="AI70" i="5" s="1"/>
  <c r="AH67" i="5"/>
  <c r="AI67" i="5" s="1"/>
  <c r="AH66" i="5"/>
  <c r="AI66" i="5" s="1"/>
  <c r="AH65" i="5"/>
  <c r="AI65" i="5" s="1"/>
  <c r="AH63" i="5"/>
  <c r="AI63" i="5" s="1"/>
  <c r="AH62" i="5"/>
  <c r="AI62" i="5" s="1"/>
  <c r="AH61" i="5"/>
  <c r="AI61" i="5" s="1"/>
  <c r="AH59" i="5"/>
  <c r="AI59" i="5" s="1"/>
  <c r="AH58" i="5"/>
  <c r="AI58" i="5" s="1"/>
  <c r="AH57" i="5"/>
  <c r="AI57" i="5" s="1"/>
  <c r="AH54" i="5"/>
  <c r="AI54" i="5" s="1"/>
  <c r="AH53" i="5"/>
  <c r="AI53" i="5" s="1"/>
  <c r="AH51" i="5"/>
  <c r="AI51" i="5" s="1"/>
  <c r="AH50" i="5"/>
  <c r="AI50" i="5" s="1"/>
  <c r="AH49" i="5"/>
  <c r="AI49" i="5" s="1"/>
  <c r="AH48" i="5"/>
  <c r="AI48" i="5" s="1"/>
  <c r="AH46" i="5"/>
  <c r="AI46" i="5" s="1"/>
  <c r="AH45" i="5"/>
  <c r="AI45" i="5" s="1"/>
  <c r="AH43" i="5"/>
  <c r="AI43" i="5" s="1"/>
  <c r="AH42" i="5"/>
  <c r="AI42" i="5" s="1"/>
  <c r="AH41" i="5"/>
  <c r="AI41" i="5" s="1"/>
  <c r="AH40" i="5"/>
  <c r="AI40" i="5" s="1"/>
  <c r="AH38" i="5"/>
  <c r="AI38" i="5" s="1"/>
  <c r="AH37" i="5"/>
  <c r="AI37" i="5" s="1"/>
  <c r="AH35" i="5"/>
  <c r="AI35" i="5" s="1"/>
  <c r="AH34" i="5"/>
  <c r="AI34" i="5" s="1"/>
  <c r="AH33" i="5"/>
  <c r="AI33" i="5" s="1"/>
  <c r="AH32" i="5"/>
  <c r="AI32" i="5" s="1"/>
  <c r="AH30" i="5"/>
  <c r="AI30" i="5" s="1"/>
  <c r="AH29" i="5"/>
  <c r="AI29" i="5" s="1"/>
  <c r="AH26" i="5"/>
  <c r="AI26" i="5" s="1"/>
  <c r="AH25" i="5"/>
  <c r="AI25" i="5" s="1"/>
  <c r="AH24" i="5"/>
  <c r="AI24" i="5" s="1"/>
  <c r="AH21" i="5"/>
  <c r="AI21" i="5" s="1"/>
  <c r="AH20" i="5"/>
  <c r="AI20" i="5" s="1"/>
  <c r="AH18" i="5"/>
  <c r="AI18" i="5" s="1"/>
  <c r="AH17" i="5"/>
  <c r="AI17" i="5" s="1"/>
  <c r="AH16" i="5"/>
  <c r="AI16" i="5" s="1"/>
  <c r="AH15" i="5"/>
  <c r="AI15" i="5" s="1"/>
  <c r="AH14" i="5"/>
  <c r="AI14" i="5" s="1"/>
  <c r="AH10" i="5"/>
  <c r="AI10" i="5" s="1"/>
  <c r="AH36" i="6"/>
  <c r="AI36" i="6" s="1"/>
  <c r="AH52" i="6"/>
  <c r="AI52" i="6" s="1"/>
  <c r="AH68" i="6"/>
  <c r="AI68" i="6" s="1"/>
  <c r="AH85" i="6"/>
  <c r="AI85" i="6" s="1"/>
  <c r="AH90" i="6"/>
  <c r="AI90" i="6" s="1"/>
  <c r="AH98" i="6"/>
  <c r="AI98" i="6" s="1"/>
  <c r="AH106" i="6"/>
  <c r="AI106" i="6" s="1"/>
  <c r="AH114" i="6"/>
  <c r="AI114" i="6" s="1"/>
  <c r="AH117" i="6"/>
  <c r="AI117" i="6" s="1"/>
  <c r="AH122" i="6"/>
  <c r="AI122" i="6" s="1"/>
  <c r="AH130" i="6"/>
  <c r="AI130" i="6" s="1"/>
  <c r="AH133" i="6"/>
  <c r="AI133" i="6" s="1"/>
  <c r="AH134" i="6"/>
  <c r="AI134" i="6" s="1"/>
  <c r="AH137" i="6"/>
  <c r="AI137" i="6" s="1"/>
  <c r="AH138" i="6"/>
  <c r="AI138" i="6" s="1"/>
  <c r="AH141" i="6"/>
  <c r="AI141" i="6" s="1"/>
  <c r="AH142" i="6"/>
  <c r="AI142" i="6" s="1"/>
  <c r="AH145" i="6"/>
  <c r="AI145" i="6" s="1"/>
  <c r="AH146" i="6"/>
  <c r="AI146" i="6" s="1"/>
  <c r="AH149" i="6"/>
  <c r="AI149" i="6" s="1"/>
  <c r="AH150" i="6"/>
  <c r="AI150" i="6" s="1"/>
  <c r="AH153" i="6"/>
  <c r="AI153" i="6" s="1"/>
  <c r="AH154" i="6"/>
  <c r="AI154" i="6" s="1"/>
  <c r="AH157" i="6"/>
  <c r="AI157" i="6" s="1"/>
  <c r="AH158" i="6"/>
  <c r="AI158" i="6" s="1"/>
  <c r="AH161" i="6"/>
  <c r="AI161" i="6" s="1"/>
  <c r="AH162" i="6"/>
  <c r="AI162" i="6" s="1"/>
  <c r="AH163" i="6"/>
  <c r="AI163" i="6" s="1"/>
  <c r="AH165" i="6"/>
  <c r="AI165" i="6" s="1"/>
  <c r="AH166" i="6"/>
  <c r="AI166" i="6" s="1"/>
  <c r="AH167" i="6"/>
  <c r="AI167" i="6" s="1"/>
  <c r="AH169" i="6"/>
  <c r="AI169" i="6" s="1"/>
  <c r="AH170" i="6"/>
  <c r="AI170" i="6" s="1"/>
  <c r="AH171" i="6"/>
  <c r="AI171" i="6" s="1"/>
  <c r="AH172" i="6"/>
  <c r="AI172" i="6" s="1"/>
  <c r="AH173" i="6"/>
  <c r="AI173" i="6" s="1"/>
  <c r="AH22" i="5"/>
  <c r="AI22" i="5" s="1"/>
  <c r="AH31" i="5"/>
  <c r="AI31" i="5" s="1"/>
  <c r="AH39" i="5"/>
  <c r="AI39" i="5" s="1"/>
  <c r="AH47" i="5"/>
  <c r="AI47" i="5" s="1"/>
  <c r="AH55" i="5"/>
  <c r="AI55" i="5" s="1"/>
  <c r="AH72" i="5"/>
  <c r="AI72" i="5" s="1"/>
  <c r="AH80" i="5"/>
  <c r="AI80" i="5" s="1"/>
  <c r="AH88" i="5"/>
  <c r="AI88" i="5" s="1"/>
  <c r="AH96" i="5"/>
  <c r="AI96" i="5" s="1"/>
  <c r="AH108" i="5"/>
  <c r="AI108" i="5" s="1"/>
  <c r="AH112" i="5"/>
  <c r="AI112" i="5" s="1"/>
  <c r="AH120" i="5"/>
  <c r="AI120" i="5" s="1"/>
  <c r="AH128" i="5"/>
  <c r="AI128" i="5" s="1"/>
  <c r="AH136" i="5"/>
  <c r="AI136" i="5" s="1"/>
  <c r="AH144" i="5"/>
  <c r="AI144" i="5" s="1"/>
  <c r="AH152" i="5"/>
  <c r="AI152" i="5" s="1"/>
  <c r="AH160" i="5"/>
  <c r="AI160" i="5" s="1"/>
  <c r="AH168" i="5"/>
  <c r="AI168" i="5" s="1"/>
  <c r="AI22" i="10"/>
  <c r="AJ22" i="10" s="1"/>
  <c r="AI30" i="10"/>
  <c r="AJ30" i="10" s="1"/>
  <c r="AI38" i="10"/>
  <c r="AJ38" i="10" s="1"/>
  <c r="AI46" i="10"/>
  <c r="AJ46" i="10" s="1"/>
  <c r="AI54" i="10"/>
  <c r="AJ54" i="10" s="1"/>
  <c r="AI62" i="10"/>
  <c r="AJ62" i="10" s="1"/>
  <c r="AI22" i="9"/>
  <c r="AJ22" i="9" s="1"/>
  <c r="AI30" i="9"/>
  <c r="AJ30" i="9" s="1"/>
  <c r="AI38" i="9"/>
  <c r="AJ38" i="9" s="1"/>
  <c r="AI46" i="9"/>
  <c r="AJ46" i="9" s="1"/>
  <c r="AI54" i="9"/>
  <c r="AJ54" i="9" s="1"/>
  <c r="AI62" i="9"/>
  <c r="AJ62" i="9" s="1"/>
  <c r="AI22" i="24"/>
  <c r="AJ22" i="24" s="1"/>
  <c r="AI38" i="24"/>
  <c r="AJ38" i="24" s="1"/>
  <c r="AI19" i="11" l="1"/>
  <c r="AJ19" i="11" s="1"/>
  <c r="AI55" i="11"/>
  <c r="AJ55" i="11" s="1"/>
  <c r="AI39" i="11"/>
  <c r="AJ39" i="11" s="1"/>
  <c r="AI23" i="11"/>
  <c r="AJ23" i="11" s="1"/>
  <c r="AI9" i="11"/>
  <c r="AJ9" i="11" s="1"/>
  <c r="AI14" i="11"/>
  <c r="AJ14" i="11" s="1"/>
  <c r="AI16" i="11"/>
  <c r="AJ16" i="11" s="1"/>
  <c r="AI25" i="11"/>
  <c r="AJ25" i="11" s="1"/>
  <c r="AI30" i="11"/>
  <c r="AJ30" i="11" s="1"/>
  <c r="AI32" i="11"/>
  <c r="AJ32" i="11" s="1"/>
  <c r="AI41" i="11"/>
  <c r="AJ41" i="11" s="1"/>
  <c r="AI46" i="11"/>
  <c r="AJ46" i="11" s="1"/>
  <c r="AI48" i="11"/>
  <c r="AJ48" i="11" s="1"/>
  <c r="AI57" i="11"/>
  <c r="AJ57" i="11" s="1"/>
  <c r="AI17" i="11"/>
  <c r="AJ17" i="11" s="1"/>
  <c r="AI22" i="11"/>
  <c r="AJ22" i="11" s="1"/>
  <c r="AI24" i="11"/>
  <c r="AJ24" i="11" s="1"/>
  <c r="AI33" i="11"/>
  <c r="AJ33" i="11" s="1"/>
  <c r="AI38" i="11"/>
  <c r="AJ38" i="11" s="1"/>
  <c r="AI40" i="11"/>
  <c r="AJ40" i="11" s="1"/>
  <c r="AI49" i="11"/>
  <c r="AJ49" i="11" s="1"/>
  <c r="AI54" i="11"/>
  <c r="AJ54" i="11" s="1"/>
  <c r="AI56" i="11"/>
  <c r="AJ56" i="11" s="1"/>
  <c r="AI43" i="25"/>
  <c r="AJ43" i="25" s="1"/>
  <c r="AI59" i="25"/>
  <c r="AJ59" i="25" s="1"/>
  <c r="AI11" i="25"/>
  <c r="AJ11" i="25" s="1"/>
  <c r="AI63" i="25"/>
  <c r="AJ63" i="25" s="1"/>
  <c r="AI47" i="25"/>
  <c r="AJ47" i="25" s="1"/>
  <c r="AI31" i="25"/>
  <c r="AJ31" i="25" s="1"/>
  <c r="AI15" i="25"/>
  <c r="AJ15" i="25" s="1"/>
  <c r="AI17" i="25"/>
  <c r="AJ17" i="25" s="1"/>
  <c r="AI22" i="25"/>
  <c r="AJ22" i="25" s="1"/>
  <c r="AI24" i="25"/>
  <c r="AJ24" i="25" s="1"/>
  <c r="AI27" i="25"/>
  <c r="AJ27" i="25" s="1"/>
  <c r="AI33" i="25"/>
  <c r="AJ33" i="25" s="1"/>
  <c r="AI38" i="25"/>
  <c r="AJ38" i="25" s="1"/>
  <c r="AI40" i="25"/>
  <c r="AJ40" i="25" s="1"/>
  <c r="AI49" i="25"/>
  <c r="AJ49" i="25" s="1"/>
  <c r="AI54" i="25"/>
  <c r="AJ54" i="25" s="1"/>
  <c r="AI56" i="25"/>
  <c r="AJ56" i="25" s="1"/>
  <c r="AI9" i="25"/>
  <c r="AJ9" i="25" s="1"/>
  <c r="AI14" i="25"/>
  <c r="AJ14" i="25" s="1"/>
  <c r="AI16" i="25"/>
  <c r="AJ16" i="25" s="1"/>
  <c r="AI25" i="25"/>
  <c r="AJ25" i="25" s="1"/>
  <c r="AI30" i="25"/>
  <c r="AJ30" i="25" s="1"/>
  <c r="AI32" i="25"/>
  <c r="AJ32" i="25" s="1"/>
  <c r="AI41" i="25"/>
  <c r="AJ41" i="25" s="1"/>
  <c r="AI46" i="25"/>
  <c r="AJ46" i="25" s="1"/>
  <c r="AI48" i="25"/>
  <c r="AJ48" i="25" s="1"/>
  <c r="AI57" i="25"/>
  <c r="AJ57" i="25" s="1"/>
  <c r="AI11" i="10"/>
  <c r="AJ11" i="10" s="1"/>
  <c r="AI44" i="10"/>
  <c r="AJ44" i="10" s="1"/>
  <c r="AI49" i="10"/>
  <c r="AJ49" i="10" s="1"/>
  <c r="AI52" i="10"/>
  <c r="AJ52" i="10" s="1"/>
  <c r="AI57" i="10"/>
  <c r="AJ57" i="10" s="1"/>
  <c r="AI60" i="10"/>
  <c r="AJ60" i="10" s="1"/>
  <c r="AI9" i="10"/>
  <c r="AJ9" i="10" s="1"/>
  <c r="AI10" i="10"/>
  <c r="AJ10" i="10" s="1"/>
  <c r="AI18" i="9"/>
  <c r="AJ18" i="9" s="1"/>
  <c r="AI63" i="9"/>
  <c r="AJ63" i="9" s="1"/>
  <c r="AI10" i="9"/>
  <c r="AJ10" i="9" s="1"/>
  <c r="AI15" i="24"/>
  <c r="AJ15" i="24" s="1"/>
  <c r="AI17" i="24"/>
  <c r="AJ17" i="24" s="1"/>
  <c r="AI24" i="24"/>
  <c r="AJ24" i="24" s="1"/>
  <c r="AI31" i="24"/>
  <c r="AJ31" i="24" s="1"/>
  <c r="AI33" i="24"/>
  <c r="AJ33" i="24" s="1"/>
  <c r="AI40" i="24"/>
  <c r="AJ40" i="24" s="1"/>
  <c r="AI47" i="24"/>
  <c r="AJ47" i="24" s="1"/>
  <c r="AI49" i="24"/>
  <c r="AJ49" i="24" s="1"/>
  <c r="AI54" i="24"/>
  <c r="AJ54" i="24" s="1"/>
  <c r="AI58" i="24"/>
  <c r="AJ58" i="24" s="1"/>
  <c r="AI10" i="24"/>
  <c r="AJ10" i="24" s="1"/>
  <c r="AI9" i="24"/>
  <c r="AJ9" i="24" s="1"/>
  <c r="AI16" i="24"/>
  <c r="AJ16" i="24" s="1"/>
  <c r="AI23" i="24"/>
  <c r="AJ23" i="24" s="1"/>
  <c r="AI25" i="24"/>
  <c r="AJ25" i="24" s="1"/>
  <c r="AI32" i="24"/>
  <c r="AJ32" i="24" s="1"/>
  <c r="AI39" i="24"/>
  <c r="AJ39" i="24" s="1"/>
  <c r="AI41" i="24"/>
  <c r="AJ41" i="24" s="1"/>
  <c r="AI48" i="24"/>
  <c r="AJ48" i="24" s="1"/>
  <c r="AI15" i="8"/>
  <c r="AJ15" i="8" s="1"/>
  <c r="AI10" i="8"/>
  <c r="AJ10" i="8" s="1"/>
  <c r="AI12" i="8"/>
  <c r="AJ12" i="8" s="1"/>
  <c r="AI21" i="8"/>
  <c r="AJ21" i="8" s="1"/>
  <c r="AI26" i="8"/>
  <c r="AJ26" i="8" s="1"/>
  <c r="AI28" i="8"/>
  <c r="AJ28" i="8" s="1"/>
  <c r="AI37" i="8"/>
  <c r="AJ37" i="8" s="1"/>
  <c r="AI42" i="8"/>
  <c r="AJ42" i="8" s="1"/>
  <c r="AI44" i="8"/>
  <c r="AJ44" i="8" s="1"/>
  <c r="AI53" i="8"/>
  <c r="AJ53" i="8" s="1"/>
  <c r="AI13" i="8"/>
  <c r="AJ13" i="8" s="1"/>
  <c r="AI18" i="8"/>
  <c r="AJ18" i="8" s="1"/>
  <c r="AI20" i="8"/>
  <c r="AJ20" i="8" s="1"/>
  <c r="AI29" i="8"/>
  <c r="AJ29" i="8" s="1"/>
  <c r="AI34" i="8"/>
  <c r="AJ34" i="8" s="1"/>
  <c r="AI36" i="8"/>
  <c r="AJ36" i="8" s="1"/>
  <c r="AI45" i="8"/>
  <c r="AJ45" i="8" s="1"/>
  <c r="AI50" i="8"/>
  <c r="AJ50" i="8" s="1"/>
  <c r="AI52" i="8"/>
  <c r="AJ52" i="8" s="1"/>
  <c r="AH23" i="6"/>
  <c r="AI23" i="6" s="1"/>
  <c r="AH32" i="6"/>
  <c r="AI32" i="6" s="1"/>
  <c r="AH64" i="6"/>
  <c r="AI64" i="6" s="1"/>
  <c r="AH19" i="6"/>
  <c r="AI19" i="6" s="1"/>
  <c r="AH73" i="6"/>
  <c r="AI73" i="6" s="1"/>
  <c r="AH56" i="6"/>
  <c r="AI56" i="6" s="1"/>
  <c r="AH13" i="6"/>
  <c r="AI13" i="6" s="1"/>
  <c r="AH18" i="6"/>
  <c r="AI18" i="6" s="1"/>
  <c r="AH20" i="6"/>
  <c r="AI20" i="6" s="1"/>
  <c r="AH30" i="6"/>
  <c r="AI30" i="6" s="1"/>
  <c r="AH35" i="6"/>
  <c r="AI35" i="6" s="1"/>
  <c r="AH37" i="6"/>
  <c r="AI37" i="6" s="1"/>
  <c r="AH46" i="6"/>
  <c r="AI46" i="6" s="1"/>
  <c r="AH51" i="6"/>
  <c r="AI51" i="6" s="1"/>
  <c r="AH53" i="6"/>
  <c r="AI53" i="6" s="1"/>
  <c r="AH62" i="6"/>
  <c r="AI62" i="6" s="1"/>
  <c r="AH67" i="6"/>
  <c r="AI67" i="6" s="1"/>
  <c r="AH70" i="6"/>
  <c r="AI70" i="6" s="1"/>
  <c r="AH79" i="6"/>
  <c r="AI79" i="6" s="1"/>
  <c r="AH84" i="6"/>
  <c r="AI84" i="6" s="1"/>
  <c r="AH86" i="6"/>
  <c r="AI86" i="6" s="1"/>
  <c r="AH95" i="6"/>
  <c r="AI95" i="6" s="1"/>
  <c r="AH100" i="6"/>
  <c r="AI100" i="6" s="1"/>
  <c r="AH102" i="6"/>
  <c r="AI102" i="6" s="1"/>
  <c r="AH111" i="6"/>
  <c r="AI111" i="6" s="1"/>
  <c r="AH116" i="6"/>
  <c r="AI116" i="6" s="1"/>
  <c r="AH118" i="6"/>
  <c r="AI118" i="6" s="1"/>
  <c r="AH127" i="6"/>
  <c r="AI127" i="6" s="1"/>
  <c r="AH132" i="6"/>
  <c r="AI132" i="6" s="1"/>
  <c r="AH136" i="6"/>
  <c r="AI136" i="6" s="1"/>
  <c r="AH140" i="6"/>
  <c r="AI140" i="6" s="1"/>
  <c r="AH10" i="6"/>
  <c r="AI10" i="6" s="1"/>
  <c r="AH12" i="6"/>
  <c r="AI12" i="6" s="1"/>
  <c r="AH21" i="6"/>
  <c r="AI21" i="6" s="1"/>
  <c r="AH26" i="6"/>
  <c r="AI26" i="6" s="1"/>
  <c r="AH29" i="6"/>
  <c r="AI29" i="6" s="1"/>
  <c r="AH38" i="6"/>
  <c r="AI38" i="6" s="1"/>
  <c r="AH43" i="6"/>
  <c r="AI43" i="6" s="1"/>
  <c r="AH45" i="6"/>
  <c r="AI45" i="6" s="1"/>
  <c r="AH54" i="6"/>
  <c r="AI54" i="6" s="1"/>
  <c r="AH59" i="6"/>
  <c r="AI59" i="6" s="1"/>
  <c r="AH61" i="6"/>
  <c r="AI61" i="6" s="1"/>
  <c r="AH71" i="6"/>
  <c r="AI71" i="6" s="1"/>
  <c r="AH76" i="6"/>
  <c r="AI76" i="6" s="1"/>
  <c r="AH78" i="6"/>
  <c r="AI78" i="6" s="1"/>
  <c r="AH87" i="6"/>
  <c r="AI87" i="6" s="1"/>
  <c r="AH92" i="6"/>
  <c r="AI92" i="6" s="1"/>
  <c r="AH94" i="6"/>
  <c r="AI94" i="6" s="1"/>
  <c r="AH103" i="6"/>
  <c r="AI103" i="6" s="1"/>
  <c r="AH108" i="6"/>
  <c r="AI108" i="6" s="1"/>
  <c r="AH110" i="6"/>
  <c r="AI110" i="6" s="1"/>
  <c r="AH119" i="6"/>
  <c r="AI119" i="6" s="1"/>
  <c r="AH124" i="6"/>
  <c r="AI124" i="6" s="1"/>
  <c r="AH126" i="6"/>
  <c r="AI126" i="6" s="1"/>
  <c r="AH23" i="5"/>
  <c r="AI23" i="5" s="1"/>
  <c r="AH56" i="5"/>
  <c r="AI56" i="5" s="1"/>
  <c r="AH64" i="5"/>
  <c r="AI64" i="5" s="1"/>
  <c r="AH97" i="5"/>
  <c r="AI97" i="5" s="1"/>
  <c r="AH105" i="5"/>
  <c r="AI105" i="5" s="1"/>
  <c r="AH73" i="5"/>
  <c r="AI73" i="5" s="1"/>
  <c r="AH117" i="5"/>
  <c r="AI117" i="5" s="1"/>
  <c r="AH109" i="5"/>
  <c r="AI109" i="5" s="1"/>
  <c r="AH101" i="5"/>
  <c r="AI101" i="5" s="1"/>
  <c r="AH93" i="5"/>
  <c r="AI93" i="5" s="1"/>
  <c r="AH85" i="5"/>
  <c r="AI85" i="5" s="1"/>
  <c r="AH77" i="5"/>
  <c r="AI77" i="5" s="1"/>
  <c r="AH68" i="5"/>
  <c r="AI68" i="5" s="1"/>
  <c r="AH60" i="5"/>
  <c r="AI60" i="5" s="1"/>
  <c r="AH52" i="5"/>
  <c r="AI52" i="5" s="1"/>
  <c r="AH44" i="5"/>
  <c r="AI44" i="5" s="1"/>
  <c r="AH36" i="5"/>
  <c r="AI36" i="5" s="1"/>
  <c r="AH27" i="5"/>
  <c r="AI27" i="5" s="1"/>
  <c r="AH19" i="5"/>
  <c r="AI19" i="5" s="1"/>
  <c r="AH11" i="5"/>
  <c r="AI11" i="5" s="1"/>
  <c r="AH13" i="5"/>
  <c r="AI13" i="5" s="1"/>
  <c r="AH9" i="5"/>
  <c r="AI9" i="5" s="1"/>
  <c r="AH12" i="5"/>
  <c r="AI12" i="5" s="1"/>
  <c r="AI916" i="29"/>
  <c r="AI917" i="29"/>
  <c r="AI918" i="29"/>
  <c r="K916" i="29"/>
  <c r="K917" i="29"/>
  <c r="K918" i="29"/>
  <c r="AI850" i="29"/>
  <c r="AI851" i="29"/>
  <c r="AI852" i="29"/>
  <c r="K850" i="29"/>
  <c r="K851" i="29"/>
  <c r="AI784" i="29"/>
  <c r="AI785" i="29"/>
  <c r="AI786" i="29"/>
  <c r="K784" i="29"/>
  <c r="K785" i="29"/>
  <c r="AI718" i="29"/>
  <c r="AI719" i="29"/>
  <c r="AI720" i="29"/>
  <c r="K718" i="29"/>
  <c r="K719" i="29"/>
  <c r="AI652" i="29"/>
  <c r="AI653" i="29"/>
  <c r="AI654" i="29"/>
  <c r="K652" i="29"/>
  <c r="K653" i="29"/>
  <c r="AI586" i="29"/>
  <c r="AI587" i="29"/>
  <c r="AI588" i="29"/>
  <c r="K586" i="29"/>
  <c r="K587" i="29"/>
  <c r="AI520" i="29"/>
  <c r="AI521" i="29"/>
  <c r="K520" i="29"/>
  <c r="K521" i="29"/>
  <c r="AJ918" i="29" l="1"/>
  <c r="AJ916" i="29"/>
  <c r="AJ785" i="29"/>
  <c r="AI11" i="24"/>
  <c r="AJ11" i="24" s="1"/>
  <c r="AJ784" i="29"/>
  <c r="AJ850" i="29"/>
  <c r="AJ917" i="29"/>
  <c r="AJ718" i="29"/>
  <c r="AJ653" i="29"/>
  <c r="AJ851" i="29"/>
  <c r="AJ520" i="29"/>
  <c r="AJ652" i="29"/>
  <c r="AJ719" i="29"/>
  <c r="AJ586" i="29"/>
  <c r="AJ587" i="29"/>
  <c r="AJ521" i="29"/>
  <c r="AI18" i="31" l="1"/>
  <c r="AJ18" i="31" s="1"/>
  <c r="AI19" i="31"/>
  <c r="AJ19" i="31" s="1"/>
  <c r="AI48" i="31" l="1"/>
  <c r="AJ48" i="31" s="1"/>
  <c r="AI13" i="31"/>
  <c r="AJ13" i="31" s="1"/>
  <c r="AI31" i="31"/>
  <c r="AJ31" i="31" s="1"/>
  <c r="AI37" i="31"/>
  <c r="AJ37" i="31" s="1"/>
  <c r="AI39" i="31"/>
  <c r="AJ39" i="31" s="1"/>
  <c r="AI41" i="31"/>
  <c r="AJ41" i="31" s="1"/>
  <c r="AI53" i="31"/>
  <c r="AJ53" i="31" s="1"/>
  <c r="AI55" i="31"/>
  <c r="AJ55" i="31" s="1"/>
  <c r="AI57" i="31"/>
  <c r="AJ57" i="31" s="1"/>
  <c r="AI60" i="31"/>
  <c r="AJ60" i="31" s="1"/>
  <c r="AI63" i="31"/>
  <c r="AJ63" i="31" s="1"/>
  <c r="AI38" i="31"/>
  <c r="AJ38" i="31" s="1"/>
  <c r="AI54" i="31"/>
  <c r="AJ54" i="31" s="1"/>
  <c r="AI10" i="31"/>
  <c r="AJ10" i="31" s="1"/>
  <c r="AI17" i="31"/>
  <c r="AJ17" i="31" s="1"/>
  <c r="AI9" i="31"/>
  <c r="AJ9" i="31" s="1"/>
  <c r="AI47" i="31"/>
  <c r="AJ47" i="31" s="1"/>
  <c r="AI28" i="31"/>
  <c r="AJ28" i="31" s="1"/>
  <c r="AI44" i="31"/>
  <c r="AJ44" i="31" s="1"/>
  <c r="AI43" i="31"/>
  <c r="AJ43" i="31" s="1"/>
  <c r="AI58" i="31"/>
  <c r="AJ58" i="31" s="1"/>
  <c r="AI14" i="31"/>
  <c r="AJ14" i="31" s="1"/>
  <c r="AI35" i="31"/>
  <c r="AJ35" i="31" s="1"/>
  <c r="AI59" i="31"/>
  <c r="AJ59" i="31" s="1"/>
  <c r="AI22" i="31"/>
  <c r="AJ22" i="31" s="1"/>
  <c r="AI26" i="31"/>
  <c r="AJ26" i="31" s="1"/>
  <c r="AI32" i="31"/>
  <c r="AJ32" i="31" s="1"/>
  <c r="AI51" i="31"/>
  <c r="AJ51" i="31" s="1"/>
  <c r="AI21" i="31"/>
  <c r="AJ21" i="31" s="1"/>
  <c r="AI23" i="31"/>
  <c r="AJ23" i="31" s="1"/>
  <c r="AI25" i="31"/>
  <c r="AJ25" i="31" s="1"/>
  <c r="AI27" i="31"/>
  <c r="AJ27" i="31" s="1"/>
  <c r="AI42" i="31"/>
  <c r="AJ42" i="31" s="1"/>
  <c r="AI11" i="31"/>
  <c r="AJ11" i="31" s="1"/>
  <c r="AI16" i="31"/>
  <c r="AJ16" i="31" s="1"/>
  <c r="AI20" i="31"/>
  <c r="AJ20" i="31" s="1"/>
  <c r="AI29" i="31"/>
  <c r="AJ29" i="31" s="1"/>
  <c r="AI34" i="31"/>
  <c r="AJ34" i="31" s="1"/>
  <c r="AI36" i="31"/>
  <c r="AJ36" i="31" s="1"/>
  <c r="AI45" i="31"/>
  <c r="AJ45" i="31" s="1"/>
  <c r="AI50" i="31"/>
  <c r="AJ50" i="31" s="1"/>
  <c r="AI52" i="31"/>
  <c r="AJ52" i="31" s="1"/>
  <c r="AI61" i="31"/>
  <c r="AJ61" i="31" s="1"/>
  <c r="AI15" i="31"/>
  <c r="AJ15" i="31" s="1"/>
  <c r="AI24" i="31"/>
  <c r="AJ24" i="31" s="1"/>
  <c r="AI33" i="31"/>
  <c r="AJ33" i="31" s="1"/>
  <c r="AI40" i="31"/>
  <c r="AJ40" i="31" s="1"/>
  <c r="AI49" i="31"/>
  <c r="AJ49" i="31" s="1"/>
  <c r="AI56" i="31"/>
  <c r="AJ56" i="31" s="1"/>
  <c r="AI12" i="31"/>
  <c r="AJ12" i="31" s="1"/>
  <c r="AI30" i="31"/>
  <c r="AJ30" i="31" s="1"/>
  <c r="AI46" i="31"/>
  <c r="AJ46" i="31" s="1"/>
  <c r="AI62" i="31"/>
  <c r="AJ62" i="31" s="1"/>
  <c r="AI907" i="29"/>
  <c r="AI908" i="29"/>
  <c r="AI909" i="29"/>
  <c r="AI910" i="29"/>
  <c r="AI911" i="29"/>
  <c r="K907" i="29"/>
  <c r="K908" i="29"/>
  <c r="K909" i="29"/>
  <c r="K910" i="29"/>
  <c r="K911" i="29"/>
  <c r="AI841" i="29"/>
  <c r="AI842" i="29"/>
  <c r="AI843" i="29"/>
  <c r="AI844" i="29"/>
  <c r="K841" i="29"/>
  <c r="K842" i="29"/>
  <c r="K843" i="29"/>
  <c r="K844" i="29"/>
  <c r="AI775" i="29"/>
  <c r="AI776" i="29"/>
  <c r="AI777" i="29"/>
  <c r="AI778" i="29"/>
  <c r="K775" i="29"/>
  <c r="K776" i="29"/>
  <c r="K777" i="29"/>
  <c r="K778" i="29"/>
  <c r="AI709" i="29"/>
  <c r="AI710" i="29"/>
  <c r="AI711" i="29"/>
  <c r="AI712" i="29"/>
  <c r="K709" i="29"/>
  <c r="K710" i="29"/>
  <c r="K711" i="29"/>
  <c r="K712" i="29"/>
  <c r="K713" i="29"/>
  <c r="AI643" i="29"/>
  <c r="AI644" i="29"/>
  <c r="AI645" i="29"/>
  <c r="AI646" i="29"/>
  <c r="AI647" i="29"/>
  <c r="AI648" i="29"/>
  <c r="K643" i="29"/>
  <c r="K644" i="29"/>
  <c r="K645" i="29"/>
  <c r="K646" i="29"/>
  <c r="AI577" i="29"/>
  <c r="AI578" i="29"/>
  <c r="AI579" i="29"/>
  <c r="AI580" i="29"/>
  <c r="K577" i="29"/>
  <c r="K578" i="29"/>
  <c r="K579" i="29"/>
  <c r="K580" i="29"/>
  <c r="AI511" i="29"/>
  <c r="AI512" i="29"/>
  <c r="AI513" i="29"/>
  <c r="AI514" i="29"/>
  <c r="AI515" i="29"/>
  <c r="K511" i="29"/>
  <c r="K512" i="29"/>
  <c r="K513" i="29"/>
  <c r="K514" i="29"/>
  <c r="K515" i="29"/>
  <c r="AJ841" i="29" l="1"/>
  <c r="AJ709" i="29"/>
  <c r="AJ577" i="29"/>
  <c r="AJ909" i="29"/>
  <c r="AJ911" i="29"/>
  <c r="AJ907" i="29"/>
  <c r="AJ908" i="29"/>
  <c r="AJ910" i="29"/>
  <c r="AJ842" i="29"/>
  <c r="AJ843" i="29"/>
  <c r="AJ844" i="29"/>
  <c r="AJ777" i="29"/>
  <c r="AJ776" i="29"/>
  <c r="AJ775" i="29"/>
  <c r="AJ778" i="29"/>
  <c r="AJ711" i="29"/>
  <c r="AJ710" i="29"/>
  <c r="AJ643" i="29"/>
  <c r="AJ712" i="29"/>
  <c r="AJ645" i="29"/>
  <c r="AJ644" i="29"/>
  <c r="AJ646" i="29"/>
  <c r="AJ578" i="29"/>
  <c r="AJ515" i="29"/>
  <c r="AJ511" i="29"/>
  <c r="AJ579" i="29"/>
  <c r="AJ580" i="29"/>
  <c r="AJ513" i="29"/>
  <c r="AJ512" i="29"/>
  <c r="AJ514" i="29"/>
  <c r="G2" i="2" l="1"/>
  <c r="EE8" i="3" l="1"/>
  <c r="EE8" i="5"/>
  <c r="EE8" i="6"/>
  <c r="EE8" i="7"/>
  <c r="EE8" i="30"/>
  <c r="EE8" i="8"/>
  <c r="EE8" i="24"/>
  <c r="EE8" i="9"/>
  <c r="EE8" i="10"/>
  <c r="EE8" i="25"/>
  <c r="EE8" i="31"/>
  <c r="EE8" i="11"/>
  <c r="EE8" i="2"/>
  <c r="DS8" i="2"/>
  <c r="DS8" i="3"/>
  <c r="DS8" i="5"/>
  <c r="DS8" i="6"/>
  <c r="DS8" i="7"/>
  <c r="DS8" i="30"/>
  <c r="DS8" i="8"/>
  <c r="DS8" i="24"/>
  <c r="DS8" i="9"/>
  <c r="DS8" i="10"/>
  <c r="DS8" i="25"/>
  <c r="DS8" i="31"/>
  <c r="DS8" i="11"/>
  <c r="H34" i="2" l="1"/>
  <c r="B25" i="1" s="1"/>
  <c r="H43" i="3"/>
  <c r="I34" i="2" l="1"/>
  <c r="E46" i="7"/>
  <c r="F46" i="7"/>
  <c r="G46" i="7"/>
  <c r="H46" i="7"/>
  <c r="I46" i="7"/>
  <c r="K46" i="7"/>
  <c r="L46" i="7"/>
  <c r="M46" i="7"/>
  <c r="N46" i="7"/>
  <c r="O46" i="7"/>
  <c r="P46" i="7"/>
  <c r="Q46" i="7"/>
  <c r="R46" i="7"/>
  <c r="S46" i="7"/>
  <c r="T46" i="7"/>
  <c r="U46" i="7"/>
  <c r="V46" i="7"/>
  <c r="W46" i="7"/>
  <c r="X46" i="7"/>
  <c r="Y46" i="7"/>
  <c r="Z46" i="7"/>
  <c r="AA46" i="7"/>
  <c r="AB46" i="7"/>
  <c r="AC46" i="7"/>
  <c r="AE46" i="7"/>
  <c r="AF46" i="7"/>
  <c r="AG46" i="7"/>
  <c r="AH46" i="7"/>
  <c r="D46" i="7"/>
  <c r="AJ9" i="7"/>
  <c r="AJ10" i="7"/>
  <c r="AJ11" i="7"/>
  <c r="AJ12" i="7"/>
  <c r="AJ13" i="7"/>
  <c r="AJ14" i="7"/>
  <c r="AJ15" i="7"/>
  <c r="AJ16" i="7"/>
  <c r="AJ17" i="7"/>
  <c r="AJ18" i="7"/>
  <c r="AJ19" i="7"/>
  <c r="AJ20" i="7"/>
  <c r="AJ21" i="7"/>
  <c r="AJ22" i="7"/>
  <c r="AJ23" i="7"/>
  <c r="AJ24" i="7"/>
  <c r="AJ25" i="7"/>
  <c r="AJ28" i="7"/>
  <c r="AJ29" i="7"/>
  <c r="AJ30" i="7"/>
  <c r="AJ31" i="7"/>
  <c r="AJ32" i="7"/>
  <c r="AJ34" i="7"/>
  <c r="AJ35" i="7"/>
  <c r="AJ36" i="7"/>
  <c r="AJ37" i="7"/>
  <c r="AJ38" i="7"/>
  <c r="AJ39" i="7"/>
  <c r="AJ40" i="7"/>
  <c r="AJ41" i="7"/>
  <c r="AJ42" i="7"/>
  <c r="AJ43" i="7"/>
  <c r="AJ8" i="7"/>
  <c r="E45" i="7"/>
  <c r="F45" i="7"/>
  <c r="G45" i="7"/>
  <c r="H45" i="7"/>
  <c r="I45" i="7"/>
  <c r="J45" i="7"/>
  <c r="K45" i="7"/>
  <c r="L45" i="7"/>
  <c r="M45" i="7"/>
  <c r="N45" i="7"/>
  <c r="O45" i="7"/>
  <c r="P45" i="7"/>
  <c r="Q45" i="7"/>
  <c r="R45" i="7"/>
  <c r="S45" i="7"/>
  <c r="T45" i="7"/>
  <c r="U45" i="7"/>
  <c r="V45" i="7"/>
  <c r="W45" i="7"/>
  <c r="X45" i="7"/>
  <c r="Y45" i="7"/>
  <c r="Z45" i="7"/>
  <c r="AA45" i="7"/>
  <c r="AB45" i="7"/>
  <c r="AC45" i="7"/>
  <c r="AE45" i="7"/>
  <c r="AF45" i="7"/>
  <c r="AG45" i="7"/>
  <c r="AH45" i="7"/>
  <c r="AI45" i="7"/>
  <c r="D45" i="7"/>
  <c r="I43" i="3"/>
  <c r="B38" i="1" s="1"/>
  <c r="H42" i="3"/>
  <c r="I42" i="3" s="1"/>
  <c r="B37" i="1" s="1"/>
  <c r="H41" i="3"/>
  <c r="I41" i="3" s="1"/>
  <c r="B36" i="1" s="1"/>
  <c r="H40" i="3"/>
  <c r="I40" i="3" s="1"/>
  <c r="B35" i="1" s="1"/>
  <c r="H39" i="3"/>
  <c r="I39" i="3" s="1"/>
  <c r="B34" i="1" s="1"/>
  <c r="AE67" i="31"/>
  <c r="Z67" i="31"/>
  <c r="V67" i="31"/>
  <c r="R67" i="31"/>
  <c r="N67" i="31"/>
  <c r="E67" i="31"/>
  <c r="AF67" i="31"/>
  <c r="AD67" i="31"/>
  <c r="AB67" i="31"/>
  <c r="AA67" i="31"/>
  <c r="Y67" i="31"/>
  <c r="X67" i="31"/>
  <c r="W67" i="31"/>
  <c r="U67" i="31"/>
  <c r="T67" i="31"/>
  <c r="S67" i="31"/>
  <c r="Q67" i="31"/>
  <c r="P67" i="31"/>
  <c r="O67" i="31"/>
  <c r="M67" i="31"/>
  <c r="L67" i="31"/>
  <c r="K67" i="31"/>
  <c r="H67" i="31"/>
  <c r="G67" i="31"/>
  <c r="F67" i="31"/>
  <c r="AF67" i="25"/>
  <c r="AE67" i="25"/>
  <c r="AD67" i="25"/>
  <c r="AB67" i="25"/>
  <c r="AA67" i="25"/>
  <c r="Z67" i="25"/>
  <c r="Y67" i="25"/>
  <c r="X67" i="25"/>
  <c r="W67" i="25"/>
  <c r="V67" i="25"/>
  <c r="U67" i="25"/>
  <c r="T67" i="25"/>
  <c r="S67" i="25"/>
  <c r="R67" i="25"/>
  <c r="Q67" i="25"/>
  <c r="P67" i="25"/>
  <c r="O67" i="25"/>
  <c r="N67" i="25"/>
  <c r="M67" i="25"/>
  <c r="L67" i="25"/>
  <c r="K67" i="25"/>
  <c r="J67" i="25"/>
  <c r="H67" i="25"/>
  <c r="G67" i="25"/>
  <c r="F67" i="25"/>
  <c r="E67" i="25"/>
  <c r="D67" i="25"/>
  <c r="H36" i="3"/>
  <c r="H35" i="3"/>
  <c r="AJ33" i="7" l="1"/>
  <c r="AI46" i="7"/>
  <c r="D67" i="31"/>
  <c r="J67" i="31"/>
  <c r="J46" i="7"/>
  <c r="AI8" i="24"/>
  <c r="H31" i="2"/>
  <c r="H179" i="5"/>
  <c r="H180" i="5"/>
  <c r="AF19" i="3"/>
  <c r="AF18" i="3"/>
  <c r="AI8" i="31"/>
  <c r="AI64" i="31"/>
  <c r="AG67" i="25"/>
  <c r="AI8" i="10"/>
  <c r="AI8" i="9"/>
  <c r="AH67" i="25"/>
  <c r="AG67" i="31"/>
  <c r="AI8" i="11"/>
  <c r="I67" i="25"/>
  <c r="AI8" i="25"/>
  <c r="H178" i="5"/>
  <c r="C67" i="31"/>
  <c r="AI8" i="8"/>
  <c r="H34" i="3"/>
  <c r="H178" i="6"/>
  <c r="H180" i="6"/>
  <c r="H33" i="3"/>
  <c r="H44" i="3"/>
  <c r="H32" i="2"/>
  <c r="H29" i="2"/>
  <c r="H28" i="2"/>
  <c r="H32" i="3"/>
  <c r="AF26" i="3"/>
  <c r="AF25" i="3"/>
  <c r="AF24" i="3"/>
  <c r="AF23" i="3"/>
  <c r="AF22" i="3"/>
  <c r="AF21" i="3"/>
  <c r="AF20" i="3"/>
  <c r="AF15" i="3"/>
  <c r="AF14" i="3"/>
  <c r="AF13" i="3"/>
  <c r="AF12" i="3"/>
  <c r="AF10" i="3"/>
  <c r="AF9" i="3"/>
  <c r="AF8" i="3"/>
  <c r="I67" i="31" l="1"/>
  <c r="H179" i="6"/>
  <c r="H177" i="6"/>
  <c r="H30" i="2"/>
  <c r="AH174" i="5"/>
  <c r="AI174" i="5" s="1"/>
  <c r="H177" i="5"/>
  <c r="AH174" i="6"/>
  <c r="I49" i="7"/>
  <c r="H37" i="3"/>
  <c r="AH67" i="31"/>
  <c r="I48" i="7"/>
  <c r="AH8" i="6"/>
  <c r="AH8" i="5"/>
  <c r="H33" i="2"/>
  <c r="L25" i="2"/>
  <c r="L24" i="2"/>
  <c r="L21" i="2"/>
  <c r="L20" i="2"/>
  <c r="L19" i="2"/>
  <c r="L18" i="2"/>
  <c r="L16" i="2"/>
  <c r="L15" i="2"/>
  <c r="L14" i="2"/>
  <c r="L23" i="2" l="1"/>
  <c r="L22" i="2"/>
  <c r="C449" i="29" l="1"/>
  <c r="F486" i="29"/>
  <c r="AH896" i="29" l="1"/>
  <c r="AG896" i="29"/>
  <c r="AF896" i="29"/>
  <c r="AD896" i="29"/>
  <c r="AC896" i="29"/>
  <c r="AB896" i="29"/>
  <c r="AA896" i="29"/>
  <c r="Z896" i="29"/>
  <c r="Y896" i="29"/>
  <c r="X896" i="29"/>
  <c r="W896" i="29"/>
  <c r="V896" i="29"/>
  <c r="U896" i="29"/>
  <c r="T896" i="29"/>
  <c r="S896" i="29"/>
  <c r="R896" i="29"/>
  <c r="Q896" i="29"/>
  <c r="P896" i="29"/>
  <c r="O896" i="29"/>
  <c r="N896" i="29"/>
  <c r="M896" i="29"/>
  <c r="L896" i="29"/>
  <c r="J896" i="29"/>
  <c r="I896" i="29"/>
  <c r="H896" i="29"/>
  <c r="G896" i="29"/>
  <c r="F896" i="29"/>
  <c r="E896" i="29"/>
  <c r="AI895" i="29"/>
  <c r="K895" i="29"/>
  <c r="AI894" i="29"/>
  <c r="K894" i="29"/>
  <c r="AI893" i="29"/>
  <c r="K893" i="29"/>
  <c r="AI892" i="29"/>
  <c r="K892" i="29"/>
  <c r="AI891" i="29"/>
  <c r="K891" i="29"/>
  <c r="AI890" i="29"/>
  <c r="K890" i="29"/>
  <c r="AI889" i="29"/>
  <c r="K889" i="29"/>
  <c r="AI888" i="29"/>
  <c r="K888" i="29"/>
  <c r="AI887" i="29"/>
  <c r="K887" i="29"/>
  <c r="AI886" i="29"/>
  <c r="K886" i="29"/>
  <c r="AI885" i="29"/>
  <c r="K885" i="29"/>
  <c r="AI884" i="29"/>
  <c r="K884" i="29"/>
  <c r="AI883" i="29"/>
  <c r="K883" i="29"/>
  <c r="AI882" i="29"/>
  <c r="K882" i="29"/>
  <c r="AI881" i="29"/>
  <c r="K881" i="29"/>
  <c r="AI880" i="29"/>
  <c r="K880" i="29"/>
  <c r="AI879" i="29"/>
  <c r="K879" i="29"/>
  <c r="AI878" i="29"/>
  <c r="K878" i="29"/>
  <c r="AI877" i="29"/>
  <c r="K877" i="29"/>
  <c r="AI876" i="29"/>
  <c r="K876" i="29"/>
  <c r="AI875" i="29"/>
  <c r="K875" i="29"/>
  <c r="AI874" i="29"/>
  <c r="K874" i="29"/>
  <c r="AI873" i="29"/>
  <c r="K873" i="29"/>
  <c r="AI872" i="29"/>
  <c r="K872" i="29"/>
  <c r="AI871" i="29"/>
  <c r="K871" i="29"/>
  <c r="AI870" i="29"/>
  <c r="K870" i="29"/>
  <c r="AI869" i="29"/>
  <c r="K869" i="29"/>
  <c r="AI868" i="29"/>
  <c r="K868" i="29"/>
  <c r="AI867" i="29"/>
  <c r="K867" i="29"/>
  <c r="AI866" i="29"/>
  <c r="K866" i="29"/>
  <c r="AI865" i="29"/>
  <c r="K865" i="29"/>
  <c r="AI864" i="29"/>
  <c r="K864" i="29"/>
  <c r="AI863" i="29"/>
  <c r="K863" i="29"/>
  <c r="AI862" i="29"/>
  <c r="K862" i="29"/>
  <c r="AI861" i="29"/>
  <c r="K861" i="29"/>
  <c r="AI860" i="29"/>
  <c r="K860" i="29"/>
  <c r="AI859" i="29"/>
  <c r="K859" i="29"/>
  <c r="AI858" i="29"/>
  <c r="K858" i="29"/>
  <c r="AI857" i="29"/>
  <c r="K857" i="29"/>
  <c r="AI856" i="29"/>
  <c r="K856" i="29"/>
  <c r="AI855" i="29"/>
  <c r="K855" i="29"/>
  <c r="AI854" i="29"/>
  <c r="K854" i="29"/>
  <c r="AI853" i="29"/>
  <c r="K853" i="29"/>
  <c r="K852" i="29"/>
  <c r="AJ852" i="29" s="1"/>
  <c r="AI849" i="29"/>
  <c r="K849" i="29"/>
  <c r="AI848" i="29"/>
  <c r="K848" i="29"/>
  <c r="AI847" i="29"/>
  <c r="K847" i="29"/>
  <c r="AI846" i="29"/>
  <c r="K846" i="29"/>
  <c r="AI845" i="29"/>
  <c r="K845" i="29"/>
  <c r="AI840" i="29"/>
  <c r="K840" i="29"/>
  <c r="AI470" i="29"/>
  <c r="AH470" i="29"/>
  <c r="AG470" i="29"/>
  <c r="AE470" i="29"/>
  <c r="AD470" i="29"/>
  <c r="AC470" i="29"/>
  <c r="AB470" i="29"/>
  <c r="AA470" i="29"/>
  <c r="Z470" i="29"/>
  <c r="Y470" i="29"/>
  <c r="X470" i="29"/>
  <c r="W470" i="29"/>
  <c r="V470" i="29"/>
  <c r="U470" i="29"/>
  <c r="T470" i="29"/>
  <c r="S470" i="29"/>
  <c r="R470" i="29"/>
  <c r="Q470" i="29"/>
  <c r="P470" i="29"/>
  <c r="O470" i="29"/>
  <c r="N470" i="29"/>
  <c r="M470" i="29"/>
  <c r="K470" i="29"/>
  <c r="J470" i="29"/>
  <c r="I470" i="29"/>
  <c r="H470" i="29"/>
  <c r="G470" i="29"/>
  <c r="F470" i="29"/>
  <c r="AJ468" i="29"/>
  <c r="L468" i="29"/>
  <c r="AJ466" i="29"/>
  <c r="L466" i="29"/>
  <c r="AJ465" i="29"/>
  <c r="L465" i="29"/>
  <c r="AJ464" i="29"/>
  <c r="L464" i="29"/>
  <c r="AJ463" i="29"/>
  <c r="L463" i="29"/>
  <c r="AJ462" i="29"/>
  <c r="L462" i="29"/>
  <c r="AJ461" i="29"/>
  <c r="L461" i="29"/>
  <c r="AJ460" i="29"/>
  <c r="L460" i="29"/>
  <c r="AJ458" i="29"/>
  <c r="L458" i="29"/>
  <c r="AJ456" i="29"/>
  <c r="L456" i="29"/>
  <c r="AI454" i="29"/>
  <c r="AH454" i="29"/>
  <c r="AG454" i="29"/>
  <c r="AE454" i="29"/>
  <c r="AD454" i="29"/>
  <c r="AC454" i="29"/>
  <c r="AB454" i="29"/>
  <c r="AA454" i="29"/>
  <c r="Z454" i="29"/>
  <c r="Y454" i="29"/>
  <c r="X454" i="29"/>
  <c r="W454" i="29"/>
  <c r="V454" i="29"/>
  <c r="U454" i="29"/>
  <c r="T454" i="29"/>
  <c r="S454" i="29"/>
  <c r="R454" i="29"/>
  <c r="Q454" i="29"/>
  <c r="P454" i="29"/>
  <c r="O454" i="29"/>
  <c r="N454" i="29"/>
  <c r="M454" i="29"/>
  <c r="K454" i="29"/>
  <c r="J454" i="29"/>
  <c r="I454" i="29"/>
  <c r="H454" i="29"/>
  <c r="G454" i="29"/>
  <c r="F454" i="29"/>
  <c r="AJ502" i="29"/>
  <c r="L502" i="29"/>
  <c r="AJ501" i="29"/>
  <c r="L501" i="29"/>
  <c r="AH962" i="29"/>
  <c r="AG962" i="29"/>
  <c r="AF962" i="29"/>
  <c r="AD962" i="29"/>
  <c r="AC962" i="29"/>
  <c r="AB962" i="29"/>
  <c r="AA962" i="29"/>
  <c r="Z962" i="29"/>
  <c r="Y962" i="29"/>
  <c r="X962" i="29"/>
  <c r="W962" i="29"/>
  <c r="V962" i="29"/>
  <c r="U962" i="29"/>
  <c r="T962" i="29"/>
  <c r="S962" i="29"/>
  <c r="R962" i="29"/>
  <c r="Q962" i="29"/>
  <c r="P962" i="29"/>
  <c r="O962" i="29"/>
  <c r="N962" i="29"/>
  <c r="M962" i="29"/>
  <c r="L962" i="29"/>
  <c r="J962" i="29"/>
  <c r="I962" i="29"/>
  <c r="H962" i="29"/>
  <c r="G962" i="29"/>
  <c r="F962" i="29"/>
  <c r="E962" i="29"/>
  <c r="AI961" i="29"/>
  <c r="K961" i="29"/>
  <c r="AI960" i="29"/>
  <c r="K960" i="29"/>
  <c r="AI959" i="29"/>
  <c r="K959" i="29"/>
  <c r="AI958" i="29"/>
  <c r="K958" i="29"/>
  <c r="AI957" i="29"/>
  <c r="K957" i="29"/>
  <c r="AI956" i="29"/>
  <c r="K956" i="29"/>
  <c r="AI955" i="29"/>
  <c r="K955" i="29"/>
  <c r="AI954" i="29"/>
  <c r="K954" i="29"/>
  <c r="AI953" i="29"/>
  <c r="K953" i="29"/>
  <c r="AI952" i="29"/>
  <c r="K952" i="29"/>
  <c r="AI951" i="29"/>
  <c r="K951" i="29"/>
  <c r="AI950" i="29"/>
  <c r="K950" i="29"/>
  <c r="AI949" i="29"/>
  <c r="K949" i="29"/>
  <c r="AI948" i="29"/>
  <c r="K948" i="29"/>
  <c r="AI947" i="29"/>
  <c r="K947" i="29"/>
  <c r="AI946" i="29"/>
  <c r="K946" i="29"/>
  <c r="AI945" i="29"/>
  <c r="K945" i="29"/>
  <c r="AI944" i="29"/>
  <c r="K944" i="29"/>
  <c r="AI943" i="29"/>
  <c r="K943" i="29"/>
  <c r="AI942" i="29"/>
  <c r="K942" i="29"/>
  <c r="AI941" i="29"/>
  <c r="K941" i="29"/>
  <c r="AI940" i="29"/>
  <c r="K940" i="29"/>
  <c r="AI939" i="29"/>
  <c r="K939" i="29"/>
  <c r="AI938" i="29"/>
  <c r="K938" i="29"/>
  <c r="AI937" i="29"/>
  <c r="K937" i="29"/>
  <c r="AI936" i="29"/>
  <c r="K936" i="29"/>
  <c r="AI935" i="29"/>
  <c r="K935" i="29"/>
  <c r="AI934" i="29"/>
  <c r="K934" i="29"/>
  <c r="AI933" i="29"/>
  <c r="K933" i="29"/>
  <c r="AI932" i="29"/>
  <c r="K932" i="29"/>
  <c r="AI931" i="29"/>
  <c r="K931" i="29"/>
  <c r="AI930" i="29"/>
  <c r="K930" i="29"/>
  <c r="AI929" i="29"/>
  <c r="K929" i="29"/>
  <c r="AI928" i="29"/>
  <c r="K928" i="29"/>
  <c r="AI927" i="29"/>
  <c r="K927" i="29"/>
  <c r="AI926" i="29"/>
  <c r="K926" i="29"/>
  <c r="AI925" i="29"/>
  <c r="K925" i="29"/>
  <c r="AI924" i="29"/>
  <c r="K924" i="29"/>
  <c r="AI923" i="29"/>
  <c r="K923" i="29"/>
  <c r="AI922" i="29"/>
  <c r="K922" i="29"/>
  <c r="AI921" i="29"/>
  <c r="K921" i="29"/>
  <c r="AI920" i="29"/>
  <c r="K920" i="29"/>
  <c r="AI919" i="29"/>
  <c r="K919" i="29"/>
  <c r="AI915" i="29"/>
  <c r="K915" i="29"/>
  <c r="AI914" i="29"/>
  <c r="K914" i="29"/>
  <c r="AI913" i="29"/>
  <c r="K913" i="29"/>
  <c r="AI912" i="29"/>
  <c r="K912" i="29"/>
  <c r="AI906" i="29"/>
  <c r="K906" i="29"/>
  <c r="AH830" i="29"/>
  <c r="AG830" i="29"/>
  <c r="AF830" i="29"/>
  <c r="AD830" i="29"/>
  <c r="AC830" i="29"/>
  <c r="AB830" i="29"/>
  <c r="AA830" i="29"/>
  <c r="Z830" i="29"/>
  <c r="Y830" i="29"/>
  <c r="X830" i="29"/>
  <c r="W830" i="29"/>
  <c r="V830" i="29"/>
  <c r="U830" i="29"/>
  <c r="T830" i="29"/>
  <c r="S830" i="29"/>
  <c r="R830" i="29"/>
  <c r="Q830" i="29"/>
  <c r="P830" i="29"/>
  <c r="O830" i="29"/>
  <c r="N830" i="29"/>
  <c r="M830" i="29"/>
  <c r="L830" i="29"/>
  <c r="J830" i="29"/>
  <c r="I830" i="29"/>
  <c r="H830" i="29"/>
  <c r="G830" i="29"/>
  <c r="F830" i="29"/>
  <c r="E830" i="29"/>
  <c r="AI829" i="29"/>
  <c r="K829" i="29"/>
  <c r="AI828" i="29"/>
  <c r="K828" i="29"/>
  <c r="AI827" i="29"/>
  <c r="K827" i="29"/>
  <c r="AI826" i="29"/>
  <c r="K826" i="29"/>
  <c r="AI825" i="29"/>
  <c r="K825" i="29"/>
  <c r="AI824" i="29"/>
  <c r="K824" i="29"/>
  <c r="AI823" i="29"/>
  <c r="K823" i="29"/>
  <c r="AI822" i="29"/>
  <c r="K822" i="29"/>
  <c r="AI821" i="29"/>
  <c r="K821" i="29"/>
  <c r="AI820" i="29"/>
  <c r="K820" i="29"/>
  <c r="AI819" i="29"/>
  <c r="K819" i="29"/>
  <c r="AI818" i="29"/>
  <c r="K818" i="29"/>
  <c r="AI817" i="29"/>
  <c r="K817" i="29"/>
  <c r="AI816" i="29"/>
  <c r="K816" i="29"/>
  <c r="AI815" i="29"/>
  <c r="K815" i="29"/>
  <c r="AI814" i="29"/>
  <c r="K814" i="29"/>
  <c r="AI813" i="29"/>
  <c r="K813" i="29"/>
  <c r="AI812" i="29"/>
  <c r="K812" i="29"/>
  <c r="AI811" i="29"/>
  <c r="K811" i="29"/>
  <c r="AI810" i="29"/>
  <c r="K810" i="29"/>
  <c r="AI809" i="29"/>
  <c r="K809" i="29"/>
  <c r="AI808" i="29"/>
  <c r="K808" i="29"/>
  <c r="AI807" i="29"/>
  <c r="K807" i="29"/>
  <c r="AI806" i="29"/>
  <c r="K806" i="29"/>
  <c r="AI805" i="29"/>
  <c r="K805" i="29"/>
  <c r="AI804" i="29"/>
  <c r="K804" i="29"/>
  <c r="AI803" i="29"/>
  <c r="K803" i="29"/>
  <c r="AI802" i="29"/>
  <c r="K802" i="29"/>
  <c r="AI801" i="29"/>
  <c r="K801" i="29"/>
  <c r="AI800" i="29"/>
  <c r="K800" i="29"/>
  <c r="AI799" i="29"/>
  <c r="K799" i="29"/>
  <c r="AI798" i="29"/>
  <c r="K798" i="29"/>
  <c r="AI797" i="29"/>
  <c r="K797" i="29"/>
  <c r="AI796" i="29"/>
  <c r="K796" i="29"/>
  <c r="AI795" i="29"/>
  <c r="K795" i="29"/>
  <c r="AI794" i="29"/>
  <c r="K794" i="29"/>
  <c r="AI793" i="29"/>
  <c r="K793" i="29"/>
  <c r="AI792" i="29"/>
  <c r="K792" i="29"/>
  <c r="AI791" i="29"/>
  <c r="K791" i="29"/>
  <c r="AI790" i="29"/>
  <c r="K790" i="29"/>
  <c r="AI789" i="29"/>
  <c r="K789" i="29"/>
  <c r="AI788" i="29"/>
  <c r="K788" i="29"/>
  <c r="AI787" i="29"/>
  <c r="K787" i="29"/>
  <c r="K786" i="29"/>
  <c r="AJ786" i="29" s="1"/>
  <c r="AI783" i="29"/>
  <c r="K783" i="29"/>
  <c r="AI782" i="29"/>
  <c r="K782" i="29"/>
  <c r="AI781" i="29"/>
  <c r="K781" i="29"/>
  <c r="AI780" i="29"/>
  <c r="K780" i="29"/>
  <c r="AI779" i="29"/>
  <c r="K779" i="29"/>
  <c r="AI774" i="29"/>
  <c r="K774" i="29"/>
  <c r="AH764" i="29"/>
  <c r="AG764" i="29"/>
  <c r="AF764" i="29"/>
  <c r="AD764" i="29"/>
  <c r="AC764" i="29"/>
  <c r="AB764" i="29"/>
  <c r="AA764" i="29"/>
  <c r="Z764" i="29"/>
  <c r="Y764" i="29"/>
  <c r="X764" i="29"/>
  <c r="W764" i="29"/>
  <c r="V764" i="29"/>
  <c r="U764" i="29"/>
  <c r="T764" i="29"/>
  <c r="S764" i="29"/>
  <c r="R764" i="29"/>
  <c r="Q764" i="29"/>
  <c r="P764" i="29"/>
  <c r="O764" i="29"/>
  <c r="N764" i="29"/>
  <c r="M764" i="29"/>
  <c r="L764" i="29"/>
  <c r="J764" i="29"/>
  <c r="I764" i="29"/>
  <c r="H764" i="29"/>
  <c r="G764" i="29"/>
  <c r="F764" i="29"/>
  <c r="E764" i="29"/>
  <c r="AI763" i="29"/>
  <c r="K763" i="29"/>
  <c r="AI762" i="29"/>
  <c r="K762" i="29"/>
  <c r="AI761" i="29"/>
  <c r="K761" i="29"/>
  <c r="AI760" i="29"/>
  <c r="K760" i="29"/>
  <c r="AI759" i="29"/>
  <c r="K759" i="29"/>
  <c r="AI758" i="29"/>
  <c r="K758" i="29"/>
  <c r="AI757" i="29"/>
  <c r="K757" i="29"/>
  <c r="AI756" i="29"/>
  <c r="K756" i="29"/>
  <c r="AI755" i="29"/>
  <c r="K755" i="29"/>
  <c r="AI754" i="29"/>
  <c r="K754" i="29"/>
  <c r="AI753" i="29"/>
  <c r="K753" i="29"/>
  <c r="AI752" i="29"/>
  <c r="K752" i="29"/>
  <c r="AI751" i="29"/>
  <c r="K751" i="29"/>
  <c r="AI750" i="29"/>
  <c r="K750" i="29"/>
  <c r="AI749" i="29"/>
  <c r="K749" i="29"/>
  <c r="AI748" i="29"/>
  <c r="K748" i="29"/>
  <c r="AI747" i="29"/>
  <c r="K747" i="29"/>
  <c r="AI746" i="29"/>
  <c r="K746" i="29"/>
  <c r="AI745" i="29"/>
  <c r="K745" i="29"/>
  <c r="AI744" i="29"/>
  <c r="K744" i="29"/>
  <c r="AI743" i="29"/>
  <c r="K743" i="29"/>
  <c r="AI742" i="29"/>
  <c r="K742" i="29"/>
  <c r="AI741" i="29"/>
  <c r="K741" i="29"/>
  <c r="AI740" i="29"/>
  <c r="K740" i="29"/>
  <c r="AI739" i="29"/>
  <c r="K739" i="29"/>
  <c r="AI738" i="29"/>
  <c r="K738" i="29"/>
  <c r="AI737" i="29"/>
  <c r="K737" i="29"/>
  <c r="AI736" i="29"/>
  <c r="K736" i="29"/>
  <c r="AI735" i="29"/>
  <c r="K735" i="29"/>
  <c r="AI734" i="29"/>
  <c r="K734" i="29"/>
  <c r="AI733" i="29"/>
  <c r="K733" i="29"/>
  <c r="AI732" i="29"/>
  <c r="K732" i="29"/>
  <c r="AI731" i="29"/>
  <c r="K731" i="29"/>
  <c r="AI730" i="29"/>
  <c r="K730" i="29"/>
  <c r="AI729" i="29"/>
  <c r="K729" i="29"/>
  <c r="AI728" i="29"/>
  <c r="K728" i="29"/>
  <c r="AI727" i="29"/>
  <c r="K727" i="29"/>
  <c r="AI726" i="29"/>
  <c r="K726" i="29"/>
  <c r="AI725" i="29"/>
  <c r="K725" i="29"/>
  <c r="AI724" i="29"/>
  <c r="K724" i="29"/>
  <c r="AI723" i="29"/>
  <c r="K723" i="29"/>
  <c r="AI722" i="29"/>
  <c r="K722" i="29"/>
  <c r="AI721" i="29"/>
  <c r="K721" i="29"/>
  <c r="K720" i="29"/>
  <c r="AJ720" i="29" s="1"/>
  <c r="AI717" i="29"/>
  <c r="K717" i="29"/>
  <c r="AI716" i="29"/>
  <c r="K716" i="29"/>
  <c r="AI715" i="29"/>
  <c r="K715" i="29"/>
  <c r="AI714" i="29"/>
  <c r="K714" i="29"/>
  <c r="AI713" i="29"/>
  <c r="AI708" i="29"/>
  <c r="K708" i="29"/>
  <c r="AH698" i="29"/>
  <c r="AG698" i="29"/>
  <c r="AF698" i="29"/>
  <c r="AD698" i="29"/>
  <c r="AC698" i="29"/>
  <c r="AB698" i="29"/>
  <c r="AA698" i="29"/>
  <c r="Z698" i="29"/>
  <c r="Y698" i="29"/>
  <c r="X698" i="29"/>
  <c r="W698" i="29"/>
  <c r="V698" i="29"/>
  <c r="U698" i="29"/>
  <c r="T698" i="29"/>
  <c r="S698" i="29"/>
  <c r="R698" i="29"/>
  <c r="Q698" i="29"/>
  <c r="P698" i="29"/>
  <c r="O698" i="29"/>
  <c r="N698" i="29"/>
  <c r="M698" i="29"/>
  <c r="L698" i="29"/>
  <c r="J698" i="29"/>
  <c r="I698" i="29"/>
  <c r="H698" i="29"/>
  <c r="G698" i="29"/>
  <c r="F698" i="29"/>
  <c r="E698" i="29"/>
  <c r="AI697" i="29"/>
  <c r="K697" i="29"/>
  <c r="AI696" i="29"/>
  <c r="K696" i="29"/>
  <c r="AI695" i="29"/>
  <c r="K695" i="29"/>
  <c r="AI694" i="29"/>
  <c r="K694" i="29"/>
  <c r="AI693" i="29"/>
  <c r="K693" i="29"/>
  <c r="AI692" i="29"/>
  <c r="K692" i="29"/>
  <c r="AI691" i="29"/>
  <c r="K691" i="29"/>
  <c r="AI690" i="29"/>
  <c r="K690" i="29"/>
  <c r="AI689" i="29"/>
  <c r="K689" i="29"/>
  <c r="AI688" i="29"/>
  <c r="K688" i="29"/>
  <c r="AI687" i="29"/>
  <c r="K687" i="29"/>
  <c r="AI686" i="29"/>
  <c r="K686" i="29"/>
  <c r="AI685" i="29"/>
  <c r="K685" i="29"/>
  <c r="AI684" i="29"/>
  <c r="K684" i="29"/>
  <c r="AI683" i="29"/>
  <c r="K683" i="29"/>
  <c r="AI682" i="29"/>
  <c r="K682" i="29"/>
  <c r="AI681" i="29"/>
  <c r="K681" i="29"/>
  <c r="AI680" i="29"/>
  <c r="K680" i="29"/>
  <c r="AI679" i="29"/>
  <c r="K679" i="29"/>
  <c r="AI678" i="29"/>
  <c r="K678" i="29"/>
  <c r="AI677" i="29"/>
  <c r="K677" i="29"/>
  <c r="AI676" i="29"/>
  <c r="K676" i="29"/>
  <c r="AI675" i="29"/>
  <c r="K675" i="29"/>
  <c r="AI674" i="29"/>
  <c r="K674" i="29"/>
  <c r="AI673" i="29"/>
  <c r="K673" i="29"/>
  <c r="AI672" i="29"/>
  <c r="K672" i="29"/>
  <c r="AI671" i="29"/>
  <c r="K671" i="29"/>
  <c r="AI670" i="29"/>
  <c r="K670" i="29"/>
  <c r="AI669" i="29"/>
  <c r="K669" i="29"/>
  <c r="AI668" i="29"/>
  <c r="K668" i="29"/>
  <c r="AI667" i="29"/>
  <c r="K667" i="29"/>
  <c r="AI666" i="29"/>
  <c r="K666" i="29"/>
  <c r="AI665" i="29"/>
  <c r="K665" i="29"/>
  <c r="AI664" i="29"/>
  <c r="K664" i="29"/>
  <c r="AI663" i="29"/>
  <c r="K663" i="29"/>
  <c r="AI662" i="29"/>
  <c r="K662" i="29"/>
  <c r="AI661" i="29"/>
  <c r="K661" i="29"/>
  <c r="AI660" i="29"/>
  <c r="K660" i="29"/>
  <c r="AI659" i="29"/>
  <c r="K659" i="29"/>
  <c r="AI658" i="29"/>
  <c r="K658" i="29"/>
  <c r="AI657" i="29"/>
  <c r="K657" i="29"/>
  <c r="AI656" i="29"/>
  <c r="K656" i="29"/>
  <c r="AI655" i="29"/>
  <c r="K655" i="29"/>
  <c r="K654" i="29"/>
  <c r="AJ654" i="29" s="1"/>
  <c r="AI651" i="29"/>
  <c r="K651" i="29"/>
  <c r="AI650" i="29"/>
  <c r="K650" i="29"/>
  <c r="AI649" i="29"/>
  <c r="K649" i="29"/>
  <c r="K648" i="29"/>
  <c r="AJ648" i="29" s="1"/>
  <c r="K647" i="29"/>
  <c r="AI642" i="29"/>
  <c r="K642" i="29"/>
  <c r="AH632" i="29"/>
  <c r="AG632" i="29"/>
  <c r="AF632" i="29"/>
  <c r="AD632" i="29"/>
  <c r="AC632" i="29"/>
  <c r="AB632" i="29"/>
  <c r="AA632" i="29"/>
  <c r="Z632" i="29"/>
  <c r="Y632" i="29"/>
  <c r="X632" i="29"/>
  <c r="W632" i="29"/>
  <c r="V632" i="29"/>
  <c r="U632" i="29"/>
  <c r="T632" i="29"/>
  <c r="S632" i="29"/>
  <c r="R632" i="29"/>
  <c r="Q632" i="29"/>
  <c r="P632" i="29"/>
  <c r="O632" i="29"/>
  <c r="N632" i="29"/>
  <c r="M632" i="29"/>
  <c r="L632" i="29"/>
  <c r="J632" i="29"/>
  <c r="I632" i="29"/>
  <c r="H632" i="29"/>
  <c r="G632" i="29"/>
  <c r="F632" i="29"/>
  <c r="E632" i="29"/>
  <c r="AI631" i="29"/>
  <c r="K631" i="29"/>
  <c r="AI630" i="29"/>
  <c r="K630" i="29"/>
  <c r="AI629" i="29"/>
  <c r="K629" i="29"/>
  <c r="AI628" i="29"/>
  <c r="K628" i="29"/>
  <c r="AI627" i="29"/>
  <c r="K627" i="29"/>
  <c r="AI626" i="29"/>
  <c r="K626" i="29"/>
  <c r="AI625" i="29"/>
  <c r="K625" i="29"/>
  <c r="AI624" i="29"/>
  <c r="K624" i="29"/>
  <c r="AI623" i="29"/>
  <c r="K623" i="29"/>
  <c r="AI622" i="29"/>
  <c r="K622" i="29"/>
  <c r="AI621" i="29"/>
  <c r="K621" i="29"/>
  <c r="AI620" i="29"/>
  <c r="K620" i="29"/>
  <c r="AI619" i="29"/>
  <c r="K619" i="29"/>
  <c r="AI618" i="29"/>
  <c r="K618" i="29"/>
  <c r="AI617" i="29"/>
  <c r="K617" i="29"/>
  <c r="AI616" i="29"/>
  <c r="K616" i="29"/>
  <c r="AI615" i="29"/>
  <c r="K615" i="29"/>
  <c r="AI614" i="29"/>
  <c r="K614" i="29"/>
  <c r="AI613" i="29"/>
  <c r="K613" i="29"/>
  <c r="AI612" i="29"/>
  <c r="K612" i="29"/>
  <c r="AI611" i="29"/>
  <c r="K611" i="29"/>
  <c r="AI610" i="29"/>
  <c r="K610" i="29"/>
  <c r="AI609" i="29"/>
  <c r="K609" i="29"/>
  <c r="AI608" i="29"/>
  <c r="K608" i="29"/>
  <c r="AI607" i="29"/>
  <c r="K607" i="29"/>
  <c r="AI606" i="29"/>
  <c r="K606" i="29"/>
  <c r="AI605" i="29"/>
  <c r="K605" i="29"/>
  <c r="AI604" i="29"/>
  <c r="K604" i="29"/>
  <c r="AI603" i="29"/>
  <c r="K603" i="29"/>
  <c r="AI602" i="29"/>
  <c r="K602" i="29"/>
  <c r="AI601" i="29"/>
  <c r="K601" i="29"/>
  <c r="AI600" i="29"/>
  <c r="K600" i="29"/>
  <c r="AI599" i="29"/>
  <c r="K599" i="29"/>
  <c r="AI598" i="29"/>
  <c r="K598" i="29"/>
  <c r="AI597" i="29"/>
  <c r="K597" i="29"/>
  <c r="AI596" i="29"/>
  <c r="K596" i="29"/>
  <c r="AI595" i="29"/>
  <c r="K595" i="29"/>
  <c r="AI594" i="29"/>
  <c r="K594" i="29"/>
  <c r="AI593" i="29"/>
  <c r="K593" i="29"/>
  <c r="AI592" i="29"/>
  <c r="K592" i="29"/>
  <c r="AI591" i="29"/>
  <c r="K591" i="29"/>
  <c r="AI590" i="29"/>
  <c r="K590" i="29"/>
  <c r="AI589" i="29"/>
  <c r="K589" i="29"/>
  <c r="K588" i="29"/>
  <c r="AJ588" i="29" s="1"/>
  <c r="AI585" i="29"/>
  <c r="K585" i="29"/>
  <c r="AI584" i="29"/>
  <c r="K584" i="29"/>
  <c r="AI583" i="29"/>
  <c r="K583" i="29"/>
  <c r="AI582" i="29"/>
  <c r="K582" i="29"/>
  <c r="AI581" i="29"/>
  <c r="K581" i="29"/>
  <c r="AI576" i="29"/>
  <c r="K576" i="29"/>
  <c r="AH566" i="29"/>
  <c r="AG566" i="29"/>
  <c r="AF566" i="29"/>
  <c r="AD566" i="29"/>
  <c r="AC566" i="29"/>
  <c r="AB566" i="29"/>
  <c r="AA566" i="29"/>
  <c r="Z566" i="29"/>
  <c r="Y566" i="29"/>
  <c r="X566" i="29"/>
  <c r="W566" i="29"/>
  <c r="V566" i="29"/>
  <c r="U566" i="29"/>
  <c r="T566" i="29"/>
  <c r="S566" i="29"/>
  <c r="R566" i="29"/>
  <c r="Q566" i="29"/>
  <c r="P566" i="29"/>
  <c r="O566" i="29"/>
  <c r="N566" i="29"/>
  <c r="M566" i="29"/>
  <c r="L566" i="29"/>
  <c r="J566" i="29"/>
  <c r="I566" i="29"/>
  <c r="H566" i="29"/>
  <c r="G566" i="29"/>
  <c r="F566" i="29"/>
  <c r="E566" i="29"/>
  <c r="AI565" i="29"/>
  <c r="K565" i="29"/>
  <c r="AI564" i="29"/>
  <c r="K564" i="29"/>
  <c r="AI563" i="29"/>
  <c r="K563" i="29"/>
  <c r="AI562" i="29"/>
  <c r="K562" i="29"/>
  <c r="AI561" i="29"/>
  <c r="K561" i="29"/>
  <c r="AI560" i="29"/>
  <c r="K560" i="29"/>
  <c r="AI559" i="29"/>
  <c r="K559" i="29"/>
  <c r="AI558" i="29"/>
  <c r="K558" i="29"/>
  <c r="AI557" i="29"/>
  <c r="K557" i="29"/>
  <c r="AI556" i="29"/>
  <c r="K556" i="29"/>
  <c r="AI555" i="29"/>
  <c r="K555" i="29"/>
  <c r="AI554" i="29"/>
  <c r="K554" i="29"/>
  <c r="AI553" i="29"/>
  <c r="K553" i="29"/>
  <c r="AI552" i="29"/>
  <c r="K552" i="29"/>
  <c r="AI551" i="29"/>
  <c r="K551" i="29"/>
  <c r="AI550" i="29"/>
  <c r="K550" i="29"/>
  <c r="AI549" i="29"/>
  <c r="K549" i="29"/>
  <c r="AI548" i="29"/>
  <c r="K548" i="29"/>
  <c r="AI547" i="29"/>
  <c r="K547" i="29"/>
  <c r="AI546" i="29"/>
  <c r="K546" i="29"/>
  <c r="AI545" i="29"/>
  <c r="K545" i="29"/>
  <c r="AI544" i="29"/>
  <c r="K544" i="29"/>
  <c r="AI543" i="29"/>
  <c r="K543" i="29"/>
  <c r="AI542" i="29"/>
  <c r="K542" i="29"/>
  <c r="AI541" i="29"/>
  <c r="K541" i="29"/>
  <c r="AI540" i="29"/>
  <c r="K540" i="29"/>
  <c r="AI539" i="29"/>
  <c r="K539" i="29"/>
  <c r="AI538" i="29"/>
  <c r="K538" i="29"/>
  <c r="AI537" i="29"/>
  <c r="K537" i="29"/>
  <c r="AI536" i="29"/>
  <c r="K536" i="29"/>
  <c r="AI535" i="29"/>
  <c r="K535" i="29"/>
  <c r="AI534" i="29"/>
  <c r="K534" i="29"/>
  <c r="AI533" i="29"/>
  <c r="K533" i="29"/>
  <c r="AI532" i="29"/>
  <c r="K532" i="29"/>
  <c r="AI531" i="29"/>
  <c r="K531" i="29"/>
  <c r="AI530" i="29"/>
  <c r="K530" i="29"/>
  <c r="AI529" i="29"/>
  <c r="K529" i="29"/>
  <c r="AI528" i="29"/>
  <c r="K528" i="29"/>
  <c r="AI527" i="29"/>
  <c r="K527" i="29"/>
  <c r="AI526" i="29"/>
  <c r="K526" i="29"/>
  <c r="AI525" i="29"/>
  <c r="K525" i="29"/>
  <c r="AI524" i="29"/>
  <c r="K524" i="29"/>
  <c r="AI523" i="29"/>
  <c r="K523" i="29"/>
  <c r="AI522" i="29"/>
  <c r="K522" i="29"/>
  <c r="AI519" i="29"/>
  <c r="K519" i="29"/>
  <c r="AI518" i="29"/>
  <c r="K518" i="29"/>
  <c r="AI517" i="29"/>
  <c r="K517" i="29"/>
  <c r="AI516" i="29"/>
  <c r="K516" i="29"/>
  <c r="AI510" i="29"/>
  <c r="K510" i="29"/>
  <c r="AJ443" i="29"/>
  <c r="L443" i="29"/>
  <c r="AJ442" i="29"/>
  <c r="L442" i="29"/>
  <c r="AJ441" i="29"/>
  <c r="L441" i="29"/>
  <c r="AJ440" i="29"/>
  <c r="L440" i="29"/>
  <c r="AJ439" i="29"/>
  <c r="L439" i="29"/>
  <c r="AJ438" i="29"/>
  <c r="L438" i="29"/>
  <c r="AJ437" i="29"/>
  <c r="L437" i="29"/>
  <c r="AJ436" i="29"/>
  <c r="L436" i="29"/>
  <c r="AJ435" i="29"/>
  <c r="L435" i="29"/>
  <c r="AJ434" i="29"/>
  <c r="L434" i="29"/>
  <c r="AJ431" i="29"/>
  <c r="L431" i="29"/>
  <c r="AJ430" i="29"/>
  <c r="L430" i="29"/>
  <c r="AJ429" i="29"/>
  <c r="L429" i="29"/>
  <c r="AJ428" i="29"/>
  <c r="L428" i="29"/>
  <c r="AJ425" i="29"/>
  <c r="L425" i="29"/>
  <c r="AJ424" i="29"/>
  <c r="L424" i="29"/>
  <c r="AJ423" i="29"/>
  <c r="L423" i="29"/>
  <c r="AJ422" i="29"/>
  <c r="L422" i="29"/>
  <c r="AJ421" i="29"/>
  <c r="L421" i="29"/>
  <c r="AJ420" i="29"/>
  <c r="L420" i="29"/>
  <c r="AJ419" i="29"/>
  <c r="L419" i="29"/>
  <c r="AJ418" i="29"/>
  <c r="L418" i="29"/>
  <c r="AJ417" i="29"/>
  <c r="L417" i="29"/>
  <c r="AJ416" i="29"/>
  <c r="L416" i="29"/>
  <c r="AJ415" i="29"/>
  <c r="L415" i="29"/>
  <c r="AJ414" i="29"/>
  <c r="L414" i="29"/>
  <c r="AJ413" i="29"/>
  <c r="L413" i="29"/>
  <c r="AJ412" i="29"/>
  <c r="L412" i="29"/>
  <c r="AJ411" i="29"/>
  <c r="L411" i="29"/>
  <c r="AJ410" i="29"/>
  <c r="L410" i="29"/>
  <c r="AI409" i="29"/>
  <c r="AI433" i="29" s="1"/>
  <c r="AH409" i="29"/>
  <c r="AH433" i="29" s="1"/>
  <c r="AG409" i="29"/>
  <c r="AG433" i="29" s="1"/>
  <c r="AE409" i="29"/>
  <c r="AE433" i="29" s="1"/>
  <c r="AD409" i="29"/>
  <c r="AD433" i="29" s="1"/>
  <c r="AC409" i="29"/>
  <c r="AC433" i="29" s="1"/>
  <c r="AB409" i="29"/>
  <c r="AB433" i="29" s="1"/>
  <c r="AA409" i="29"/>
  <c r="AA433" i="29" s="1"/>
  <c r="Z409" i="29"/>
  <c r="Z433" i="29" s="1"/>
  <c r="Y409" i="29"/>
  <c r="Y433" i="29" s="1"/>
  <c r="X409" i="29"/>
  <c r="X433" i="29" s="1"/>
  <c r="W409" i="29"/>
  <c r="W433" i="29" s="1"/>
  <c r="V409" i="29"/>
  <c r="V433" i="29" s="1"/>
  <c r="U409" i="29"/>
  <c r="U433" i="29" s="1"/>
  <c r="T409" i="29"/>
  <c r="T433" i="29" s="1"/>
  <c r="S409" i="29"/>
  <c r="S433" i="29" s="1"/>
  <c r="R409" i="29"/>
  <c r="R433" i="29" s="1"/>
  <c r="Q409" i="29"/>
  <c r="Q433" i="29" s="1"/>
  <c r="P409" i="29"/>
  <c r="P433" i="29" s="1"/>
  <c r="O409" i="29"/>
  <c r="N409" i="29"/>
  <c r="N433" i="29" s="1"/>
  <c r="M409" i="29"/>
  <c r="M433" i="29" s="1"/>
  <c r="K409" i="29"/>
  <c r="K433" i="29" s="1"/>
  <c r="J409" i="29"/>
  <c r="J433" i="29" s="1"/>
  <c r="I409" i="29"/>
  <c r="I433" i="29" s="1"/>
  <c r="H409" i="29"/>
  <c r="H433" i="29" s="1"/>
  <c r="G409" i="29"/>
  <c r="G433" i="29" s="1"/>
  <c r="F409" i="29"/>
  <c r="F433" i="29" s="1"/>
  <c r="AI408" i="29"/>
  <c r="AI432" i="29" s="1"/>
  <c r="AH408" i="29"/>
  <c r="AH432" i="29" s="1"/>
  <c r="AG408" i="29"/>
  <c r="AG432" i="29" s="1"/>
  <c r="AE408" i="29"/>
  <c r="AE432" i="29" s="1"/>
  <c r="AD408" i="29"/>
  <c r="AD432" i="29" s="1"/>
  <c r="AC408" i="29"/>
  <c r="AC432" i="29" s="1"/>
  <c r="AB408" i="29"/>
  <c r="AB432" i="29" s="1"/>
  <c r="AA408" i="29"/>
  <c r="AA432" i="29" s="1"/>
  <c r="Z408" i="29"/>
  <c r="Z432" i="29" s="1"/>
  <c r="Y408" i="29"/>
  <c r="Y432" i="29" s="1"/>
  <c r="X408" i="29"/>
  <c r="X432" i="29" s="1"/>
  <c r="W408" i="29"/>
  <c r="W432" i="29" s="1"/>
  <c r="V408" i="29"/>
  <c r="V432" i="29" s="1"/>
  <c r="U408" i="29"/>
  <c r="U432" i="29" s="1"/>
  <c r="T408" i="29"/>
  <c r="T432" i="29" s="1"/>
  <c r="S408" i="29"/>
  <c r="S432" i="29" s="1"/>
  <c r="R408" i="29"/>
  <c r="R432" i="29" s="1"/>
  <c r="Q408" i="29"/>
  <c r="Q432" i="29" s="1"/>
  <c r="P408" i="29"/>
  <c r="P432" i="29" s="1"/>
  <c r="O408" i="29"/>
  <c r="O432" i="29" s="1"/>
  <c r="N408" i="29"/>
  <c r="N432" i="29" s="1"/>
  <c r="M408" i="29"/>
  <c r="M432" i="29" s="1"/>
  <c r="K408" i="29"/>
  <c r="K432" i="29" s="1"/>
  <c r="J408" i="29"/>
  <c r="J432" i="29" s="1"/>
  <c r="I408" i="29"/>
  <c r="I432" i="29" s="1"/>
  <c r="H408" i="29"/>
  <c r="H432" i="29" s="1"/>
  <c r="G408" i="29"/>
  <c r="G432" i="29" s="1"/>
  <c r="F408" i="29"/>
  <c r="F432" i="29" s="1"/>
  <c r="AG400" i="29"/>
  <c r="AF400" i="29"/>
  <c r="AE400" i="29"/>
  <c r="AC400" i="29"/>
  <c r="AB400" i="29"/>
  <c r="AA400" i="29"/>
  <c r="Z400" i="29"/>
  <c r="Y400" i="29"/>
  <c r="X400" i="29"/>
  <c r="W400" i="29"/>
  <c r="V400" i="29"/>
  <c r="U400" i="29"/>
  <c r="T400" i="29"/>
  <c r="S400" i="29"/>
  <c r="R400" i="29"/>
  <c r="Q400" i="29"/>
  <c r="P400" i="29"/>
  <c r="O400" i="29"/>
  <c r="N400" i="29"/>
  <c r="M400" i="29"/>
  <c r="L400" i="29"/>
  <c r="K400" i="29"/>
  <c r="I400" i="29"/>
  <c r="H400" i="29"/>
  <c r="G400" i="29"/>
  <c r="F400" i="29"/>
  <c r="E400" i="29"/>
  <c r="AH399" i="29"/>
  <c r="J399" i="29"/>
  <c r="AH398" i="29"/>
  <c r="J398" i="29"/>
  <c r="AH397" i="29"/>
  <c r="J397" i="29"/>
  <c r="AH396" i="29"/>
  <c r="J396" i="29"/>
  <c r="AH395" i="29"/>
  <c r="J395" i="29"/>
  <c r="AH394" i="29"/>
  <c r="J394" i="29"/>
  <c r="AH393" i="29"/>
  <c r="J393" i="29"/>
  <c r="AH392" i="29"/>
  <c r="J392" i="29"/>
  <c r="AH391" i="29"/>
  <c r="J391" i="29"/>
  <c r="AH390" i="29"/>
  <c r="J390" i="29"/>
  <c r="AH389" i="29"/>
  <c r="J389" i="29"/>
  <c r="AH388" i="29"/>
  <c r="J388" i="29"/>
  <c r="AH387" i="29"/>
  <c r="J387" i="29"/>
  <c r="AH386" i="29"/>
  <c r="J386" i="29"/>
  <c r="AH385" i="29"/>
  <c r="J385" i="29"/>
  <c r="AH384" i="29"/>
  <c r="J384" i="29"/>
  <c r="AH383" i="29"/>
  <c r="J383" i="29"/>
  <c r="AH382" i="29"/>
  <c r="J382" i="29"/>
  <c r="AH381" i="29"/>
  <c r="J381" i="29"/>
  <c r="AH380" i="29"/>
  <c r="J380" i="29"/>
  <c r="AH379" i="29"/>
  <c r="J379" i="29"/>
  <c r="AH378" i="29"/>
  <c r="J378" i="29"/>
  <c r="AH377" i="29"/>
  <c r="J377" i="29"/>
  <c r="AH376" i="29"/>
  <c r="J376" i="29"/>
  <c r="AH375" i="29"/>
  <c r="J375" i="29"/>
  <c r="AH374" i="29"/>
  <c r="J374" i="29"/>
  <c r="AH373" i="29"/>
  <c r="J373" i="29"/>
  <c r="AH372" i="29"/>
  <c r="J372" i="29"/>
  <c r="AH371" i="29"/>
  <c r="J371" i="29"/>
  <c r="AH370" i="29"/>
  <c r="J370" i="29"/>
  <c r="AH369" i="29"/>
  <c r="J369" i="29"/>
  <c r="AH368" i="29"/>
  <c r="J368" i="29"/>
  <c r="AH367" i="29"/>
  <c r="J367" i="29"/>
  <c r="AH366" i="29"/>
  <c r="J366" i="29"/>
  <c r="AH365" i="29"/>
  <c r="J365" i="29"/>
  <c r="AH364" i="29"/>
  <c r="J364" i="29"/>
  <c r="AH363" i="29"/>
  <c r="J363" i="29"/>
  <c r="AH362" i="29"/>
  <c r="J362" i="29"/>
  <c r="AH361" i="29"/>
  <c r="J361" i="29"/>
  <c r="AH360" i="29"/>
  <c r="J360" i="29"/>
  <c r="AH359" i="29"/>
  <c r="J359" i="29"/>
  <c r="AH358" i="29"/>
  <c r="J358" i="29"/>
  <c r="AH357" i="29"/>
  <c r="J357" i="29"/>
  <c r="AH356" i="29"/>
  <c r="J356" i="29"/>
  <c r="AH355" i="29"/>
  <c r="J355" i="29"/>
  <c r="AH354" i="29"/>
  <c r="J354" i="29"/>
  <c r="AH353" i="29"/>
  <c r="J353" i="29"/>
  <c r="AH352" i="29"/>
  <c r="J352" i="29"/>
  <c r="AH351" i="29"/>
  <c r="J351" i="29"/>
  <c r="AH350" i="29"/>
  <c r="J350" i="29"/>
  <c r="AH349" i="29"/>
  <c r="J349" i="29"/>
  <c r="AH348" i="29"/>
  <c r="J348" i="29"/>
  <c r="AH347" i="29"/>
  <c r="J347" i="29"/>
  <c r="AH346" i="29"/>
  <c r="J346" i="29"/>
  <c r="AH345" i="29"/>
  <c r="J345" i="29"/>
  <c r="AH344" i="29"/>
  <c r="J344" i="29"/>
  <c r="AH343" i="29"/>
  <c r="J343" i="29"/>
  <c r="AH342" i="29"/>
  <c r="J342" i="29"/>
  <c r="AH341" i="29"/>
  <c r="J341" i="29"/>
  <c r="AH340" i="29"/>
  <c r="J340" i="29"/>
  <c r="AH339" i="29"/>
  <c r="J339" i="29"/>
  <c r="AH338" i="29"/>
  <c r="J338" i="29"/>
  <c r="AH337" i="29"/>
  <c r="J337" i="29"/>
  <c r="AH336" i="29"/>
  <c r="J336" i="29"/>
  <c r="AH335" i="29"/>
  <c r="J335" i="29"/>
  <c r="AH334" i="29"/>
  <c r="J334" i="29"/>
  <c r="AH333" i="29"/>
  <c r="J333" i="29"/>
  <c r="AH332" i="29"/>
  <c r="J332" i="29"/>
  <c r="AH331" i="29"/>
  <c r="J331" i="29"/>
  <c r="AH330" i="29"/>
  <c r="J330" i="29"/>
  <c r="AH329" i="29"/>
  <c r="J329" i="29"/>
  <c r="AH328" i="29"/>
  <c r="J328" i="29"/>
  <c r="AH327" i="29"/>
  <c r="J327" i="29"/>
  <c r="AH326" i="29"/>
  <c r="J326" i="29"/>
  <c r="AH325" i="29"/>
  <c r="J325" i="29"/>
  <c r="AH324" i="29"/>
  <c r="J324" i="29"/>
  <c r="AH323" i="29"/>
  <c r="J323" i="29"/>
  <c r="AH322" i="29"/>
  <c r="J322" i="29"/>
  <c r="AH321" i="29"/>
  <c r="J321" i="29"/>
  <c r="AH320" i="29"/>
  <c r="J320" i="29"/>
  <c r="AH319" i="29"/>
  <c r="J319" i="29"/>
  <c r="AH318" i="29"/>
  <c r="J318" i="29"/>
  <c r="AH317" i="29"/>
  <c r="J317" i="29"/>
  <c r="AH316" i="29"/>
  <c r="J316" i="29"/>
  <c r="AH315" i="29"/>
  <c r="J315" i="29"/>
  <c r="AH314" i="29"/>
  <c r="J314" i="29"/>
  <c r="AH313" i="29"/>
  <c r="J313" i="29"/>
  <c r="AH312" i="29"/>
  <c r="J312" i="29"/>
  <c r="AH311" i="29"/>
  <c r="J311" i="29"/>
  <c r="AH310" i="29"/>
  <c r="J310" i="29"/>
  <c r="AH309" i="29"/>
  <c r="J309" i="29"/>
  <c r="AH308" i="29"/>
  <c r="J308" i="29"/>
  <c r="AH307" i="29"/>
  <c r="J307" i="29"/>
  <c r="AH306" i="29"/>
  <c r="J306" i="29"/>
  <c r="AH305" i="29"/>
  <c r="J305" i="29"/>
  <c r="AH304" i="29"/>
  <c r="J304" i="29"/>
  <c r="AH303" i="29"/>
  <c r="J303" i="29"/>
  <c r="AH302" i="29"/>
  <c r="J302" i="29"/>
  <c r="AH301" i="29"/>
  <c r="J301" i="29"/>
  <c r="AH300" i="29"/>
  <c r="J300" i="29"/>
  <c r="AH299" i="29"/>
  <c r="J299" i="29"/>
  <c r="AH298" i="29"/>
  <c r="J298" i="29"/>
  <c r="AH297" i="29"/>
  <c r="J297" i="29"/>
  <c r="AH296" i="29"/>
  <c r="J296" i="29"/>
  <c r="AH294" i="29"/>
  <c r="J294" i="29"/>
  <c r="AH293" i="29"/>
  <c r="J293" i="29"/>
  <c r="AH292" i="29"/>
  <c r="J292" i="29"/>
  <c r="AH291" i="29"/>
  <c r="J291" i="29"/>
  <c r="AH290" i="29"/>
  <c r="J290" i="29"/>
  <c r="AH289" i="29"/>
  <c r="J289" i="29"/>
  <c r="AH288" i="29"/>
  <c r="J288" i="29"/>
  <c r="AH287" i="29"/>
  <c r="J287" i="29"/>
  <c r="AH286" i="29"/>
  <c r="J286" i="29"/>
  <c r="AH285" i="29"/>
  <c r="J285" i="29"/>
  <c r="AH284" i="29"/>
  <c r="J284" i="29"/>
  <c r="AH283" i="29"/>
  <c r="J283" i="29"/>
  <c r="AH282" i="29"/>
  <c r="J282" i="29"/>
  <c r="AH281" i="29"/>
  <c r="J281" i="29"/>
  <c r="AH280" i="29"/>
  <c r="J280" i="29"/>
  <c r="AH279" i="29"/>
  <c r="J279" i="29"/>
  <c r="AH278" i="29"/>
  <c r="J278" i="29"/>
  <c r="AH277" i="29"/>
  <c r="J277" i="29"/>
  <c r="AH276" i="29"/>
  <c r="J276" i="29"/>
  <c r="AH275" i="29"/>
  <c r="J275" i="29"/>
  <c r="AH274" i="29"/>
  <c r="J274" i="29"/>
  <c r="AH273" i="29"/>
  <c r="J273" i="29"/>
  <c r="AH272" i="29"/>
  <c r="J272" i="29"/>
  <c r="AH271" i="29"/>
  <c r="J271" i="29"/>
  <c r="AH270" i="29"/>
  <c r="J270" i="29"/>
  <c r="AH269" i="29"/>
  <c r="J269" i="29"/>
  <c r="AH268" i="29"/>
  <c r="J268" i="29"/>
  <c r="AH267" i="29"/>
  <c r="J267" i="29"/>
  <c r="AH266" i="29"/>
  <c r="J266" i="29"/>
  <c r="AH265" i="29"/>
  <c r="J265" i="29"/>
  <c r="AH264" i="29"/>
  <c r="J264" i="29"/>
  <c r="AH263" i="29"/>
  <c r="J263" i="29"/>
  <c r="AH262" i="29"/>
  <c r="J262" i="29"/>
  <c r="AH261" i="29"/>
  <c r="J261" i="29"/>
  <c r="AH260" i="29"/>
  <c r="J260" i="29"/>
  <c r="AH259" i="29"/>
  <c r="J259" i="29"/>
  <c r="AH258" i="29"/>
  <c r="J258" i="29"/>
  <c r="AH257" i="29"/>
  <c r="J257" i="29"/>
  <c r="AH256" i="29"/>
  <c r="J256" i="29"/>
  <c r="AH255" i="29"/>
  <c r="J255" i="29"/>
  <c r="AH253" i="29"/>
  <c r="J253" i="29"/>
  <c r="AH252" i="29"/>
  <c r="J252" i="29"/>
  <c r="AH251" i="29"/>
  <c r="J251" i="29"/>
  <c r="AH250" i="29"/>
  <c r="J250" i="29"/>
  <c r="AH249" i="29"/>
  <c r="J249" i="29"/>
  <c r="AH248" i="29"/>
  <c r="J248" i="29"/>
  <c r="AH247" i="29"/>
  <c r="J247" i="29"/>
  <c r="AH246" i="29"/>
  <c r="J246" i="29"/>
  <c r="AH245" i="29"/>
  <c r="J245" i="29"/>
  <c r="AH244" i="29"/>
  <c r="J244" i="29"/>
  <c r="AH243" i="29"/>
  <c r="J243" i="29"/>
  <c r="AH242" i="29"/>
  <c r="J242" i="29"/>
  <c r="AH241" i="29"/>
  <c r="J241" i="29"/>
  <c r="AH240" i="29"/>
  <c r="J240" i="29"/>
  <c r="AH239" i="29"/>
  <c r="J239" i="29"/>
  <c r="AH238" i="29"/>
  <c r="J238" i="29"/>
  <c r="AH237" i="29"/>
  <c r="J237" i="29"/>
  <c r="AH236" i="29"/>
  <c r="J236" i="29"/>
  <c r="AH235" i="29"/>
  <c r="J235" i="29"/>
  <c r="AH234" i="29"/>
  <c r="J234" i="29"/>
  <c r="AG226" i="29"/>
  <c r="AF226" i="29"/>
  <c r="AE226" i="29"/>
  <c r="AC226" i="29"/>
  <c r="AB226" i="29"/>
  <c r="AA226" i="29"/>
  <c r="Z226" i="29"/>
  <c r="Y226" i="29"/>
  <c r="X226" i="29"/>
  <c r="W226" i="29"/>
  <c r="V226" i="29"/>
  <c r="U226" i="29"/>
  <c r="T226" i="29"/>
  <c r="S226" i="29"/>
  <c r="R226" i="29"/>
  <c r="Q226" i="29"/>
  <c r="P226" i="29"/>
  <c r="O226" i="29"/>
  <c r="N226" i="29"/>
  <c r="M226" i="29"/>
  <c r="L226" i="29"/>
  <c r="K226" i="29"/>
  <c r="I226" i="29"/>
  <c r="H226" i="29"/>
  <c r="G226" i="29"/>
  <c r="F226" i="29"/>
  <c r="E226" i="29"/>
  <c r="AH225" i="29"/>
  <c r="J225" i="29"/>
  <c r="AH224" i="29"/>
  <c r="J224" i="29"/>
  <c r="AH223" i="29"/>
  <c r="J223" i="29"/>
  <c r="AH222" i="29"/>
  <c r="J222" i="29"/>
  <c r="AH221" i="29"/>
  <c r="J221" i="29"/>
  <c r="AH220" i="29"/>
  <c r="J220" i="29"/>
  <c r="AH219" i="29"/>
  <c r="J219" i="29"/>
  <c r="AH218" i="29"/>
  <c r="J218" i="29"/>
  <c r="AH217" i="29"/>
  <c r="J217" i="29"/>
  <c r="AH216" i="29"/>
  <c r="J216" i="29"/>
  <c r="AH215" i="29"/>
  <c r="J215" i="29"/>
  <c r="AH214" i="29"/>
  <c r="J214" i="29"/>
  <c r="AH213" i="29"/>
  <c r="J213" i="29"/>
  <c r="AH212" i="29"/>
  <c r="J212" i="29"/>
  <c r="AH211" i="29"/>
  <c r="J211" i="29"/>
  <c r="AH210" i="29"/>
  <c r="J210" i="29"/>
  <c r="AH209" i="29"/>
  <c r="J209" i="29"/>
  <c r="AH208" i="29"/>
  <c r="J208" i="29"/>
  <c r="AH207" i="29"/>
  <c r="J207" i="29"/>
  <c r="AH206" i="29"/>
  <c r="J206" i="29"/>
  <c r="AH205" i="29"/>
  <c r="J205" i="29"/>
  <c r="AH204" i="29"/>
  <c r="J204" i="29"/>
  <c r="AH203" i="29"/>
  <c r="J203" i="29"/>
  <c r="AH202" i="29"/>
  <c r="J202" i="29"/>
  <c r="AH201" i="29"/>
  <c r="J201" i="29"/>
  <c r="AH200" i="29"/>
  <c r="J200" i="29"/>
  <c r="AH199" i="29"/>
  <c r="J199" i="29"/>
  <c r="AH198" i="29"/>
  <c r="J198" i="29"/>
  <c r="AH197" i="29"/>
  <c r="J197" i="29"/>
  <c r="AH196" i="29"/>
  <c r="J196" i="29"/>
  <c r="AH195" i="29"/>
  <c r="J195" i="29"/>
  <c r="AH194" i="29"/>
  <c r="J194" i="29"/>
  <c r="AH193" i="29"/>
  <c r="J193" i="29"/>
  <c r="AH192" i="29"/>
  <c r="J192" i="29"/>
  <c r="AH191" i="29"/>
  <c r="J191" i="29"/>
  <c r="AH190" i="29"/>
  <c r="J190" i="29"/>
  <c r="AH189" i="29"/>
  <c r="J189" i="29"/>
  <c r="AH188" i="29"/>
  <c r="J188" i="29"/>
  <c r="AH187" i="29"/>
  <c r="J187" i="29"/>
  <c r="AH186" i="29"/>
  <c r="J186" i="29"/>
  <c r="AH185" i="29"/>
  <c r="J185" i="29"/>
  <c r="AH184" i="29"/>
  <c r="J184" i="29"/>
  <c r="AH183" i="29"/>
  <c r="J183" i="29"/>
  <c r="AH182" i="29"/>
  <c r="J182" i="29"/>
  <c r="AH181" i="29"/>
  <c r="J181" i="29"/>
  <c r="AH180" i="29"/>
  <c r="J180" i="29"/>
  <c r="AH179" i="29"/>
  <c r="J179" i="29"/>
  <c r="AH178" i="29"/>
  <c r="J178" i="29"/>
  <c r="AH177" i="29"/>
  <c r="J177" i="29"/>
  <c r="AH176" i="29"/>
  <c r="J176" i="29"/>
  <c r="AH175" i="29"/>
  <c r="J175" i="29"/>
  <c r="AH174" i="29"/>
  <c r="J174" i="29"/>
  <c r="AH173" i="29"/>
  <c r="J173" i="29"/>
  <c r="AH172" i="29"/>
  <c r="J172" i="29"/>
  <c r="AH171" i="29"/>
  <c r="J171" i="29"/>
  <c r="AH170" i="29"/>
  <c r="J170" i="29"/>
  <c r="AH169" i="29"/>
  <c r="J169" i="29"/>
  <c r="AH168" i="29"/>
  <c r="J168" i="29"/>
  <c r="AH167" i="29"/>
  <c r="J167" i="29"/>
  <c r="AH166" i="29"/>
  <c r="J166" i="29"/>
  <c r="AH165" i="29"/>
  <c r="J165" i="29"/>
  <c r="AH164" i="29"/>
  <c r="J164" i="29"/>
  <c r="AH163" i="29"/>
  <c r="J163" i="29"/>
  <c r="AH162" i="29"/>
  <c r="J162" i="29"/>
  <c r="AH161" i="29"/>
  <c r="J161" i="29"/>
  <c r="AH160" i="29"/>
  <c r="J160" i="29"/>
  <c r="AH159" i="29"/>
  <c r="J159" i="29"/>
  <c r="AH158" i="29"/>
  <c r="J158" i="29"/>
  <c r="AH157" i="29"/>
  <c r="J157" i="29"/>
  <c r="AH156" i="29"/>
  <c r="J156" i="29"/>
  <c r="AH155" i="29"/>
  <c r="J155" i="29"/>
  <c r="AH154" i="29"/>
  <c r="J154" i="29"/>
  <c r="AH153" i="29"/>
  <c r="J153" i="29"/>
  <c r="AH152" i="29"/>
  <c r="J152" i="29"/>
  <c r="AH151" i="29"/>
  <c r="J151" i="29"/>
  <c r="AH150" i="29"/>
  <c r="J150" i="29"/>
  <c r="AH149" i="29"/>
  <c r="J149" i="29"/>
  <c r="AH148" i="29"/>
  <c r="J148" i="29"/>
  <c r="AH147" i="29"/>
  <c r="J147" i="29"/>
  <c r="AH146" i="29"/>
  <c r="J146" i="29"/>
  <c r="AH145" i="29"/>
  <c r="J145" i="29"/>
  <c r="AH144" i="29"/>
  <c r="J144" i="29"/>
  <c r="AH143" i="29"/>
  <c r="J143" i="29"/>
  <c r="AH142" i="29"/>
  <c r="J142" i="29"/>
  <c r="AH141" i="29"/>
  <c r="J141" i="29"/>
  <c r="AH140" i="29"/>
  <c r="J140" i="29"/>
  <c r="AH139" i="29"/>
  <c r="J139" i="29"/>
  <c r="AH138" i="29"/>
  <c r="J138" i="29"/>
  <c r="AH137" i="29"/>
  <c r="J137" i="29"/>
  <c r="AH136" i="29"/>
  <c r="J136" i="29"/>
  <c r="AH135" i="29"/>
  <c r="J135" i="29"/>
  <c r="AH134" i="29"/>
  <c r="J134" i="29"/>
  <c r="AH133" i="29"/>
  <c r="J133" i="29"/>
  <c r="AH132" i="29"/>
  <c r="J132" i="29"/>
  <c r="AH131" i="29"/>
  <c r="J131" i="29"/>
  <c r="AH130" i="29"/>
  <c r="J130" i="29"/>
  <c r="AH129" i="29"/>
  <c r="J129" i="29"/>
  <c r="AH128" i="29"/>
  <c r="J128" i="29"/>
  <c r="AH127" i="29"/>
  <c r="J127" i="29"/>
  <c r="AH126" i="29"/>
  <c r="J126" i="29"/>
  <c r="AH125" i="29"/>
  <c r="J125" i="29"/>
  <c r="AH124" i="29"/>
  <c r="J124" i="29"/>
  <c r="AH123" i="29"/>
  <c r="J123" i="29"/>
  <c r="AH122" i="29"/>
  <c r="J122" i="29"/>
  <c r="AH120" i="29"/>
  <c r="J120" i="29"/>
  <c r="AH119" i="29"/>
  <c r="J119" i="29"/>
  <c r="AH118" i="29"/>
  <c r="J118" i="29"/>
  <c r="AH117" i="29"/>
  <c r="J117" i="29"/>
  <c r="AH116" i="29"/>
  <c r="J116" i="29"/>
  <c r="AH115" i="29"/>
  <c r="J115" i="29"/>
  <c r="AH114" i="29"/>
  <c r="J114" i="29"/>
  <c r="AH113" i="29"/>
  <c r="J113" i="29"/>
  <c r="AH112" i="29"/>
  <c r="J112" i="29"/>
  <c r="AH111" i="29"/>
  <c r="J111" i="29"/>
  <c r="AH110" i="29"/>
  <c r="J110" i="29"/>
  <c r="AH109" i="29"/>
  <c r="J109" i="29"/>
  <c r="AH108" i="29"/>
  <c r="J108" i="29"/>
  <c r="AH107" i="29"/>
  <c r="J107" i="29"/>
  <c r="AH106" i="29"/>
  <c r="J106" i="29"/>
  <c r="AH105" i="29"/>
  <c r="J105" i="29"/>
  <c r="AH104" i="29"/>
  <c r="J104" i="29"/>
  <c r="AH103" i="29"/>
  <c r="J103" i="29"/>
  <c r="AH102" i="29"/>
  <c r="J102" i="29"/>
  <c r="AH101" i="29"/>
  <c r="J101" i="29"/>
  <c r="AH100" i="29"/>
  <c r="J100" i="29"/>
  <c r="AH99" i="29"/>
  <c r="J99" i="29"/>
  <c r="AH98" i="29"/>
  <c r="J98" i="29"/>
  <c r="AH97" i="29"/>
  <c r="J97" i="29"/>
  <c r="AH96" i="29"/>
  <c r="J96" i="29"/>
  <c r="AH95" i="29"/>
  <c r="J95" i="29"/>
  <c r="AH94" i="29"/>
  <c r="J94" i="29"/>
  <c r="AH93" i="29"/>
  <c r="J93" i="29"/>
  <c r="AH92" i="29"/>
  <c r="J92" i="29"/>
  <c r="AH91" i="29"/>
  <c r="J91" i="29"/>
  <c r="AH90" i="29"/>
  <c r="J90" i="29"/>
  <c r="AH89" i="29"/>
  <c r="J89" i="29"/>
  <c r="AH88" i="29"/>
  <c r="J88" i="29"/>
  <c r="AH87" i="29"/>
  <c r="J87" i="29"/>
  <c r="AH86" i="29"/>
  <c r="J86" i="29"/>
  <c r="AH85" i="29"/>
  <c r="J85" i="29"/>
  <c r="AH84" i="29"/>
  <c r="J84" i="29"/>
  <c r="AH83" i="29"/>
  <c r="J83" i="29"/>
  <c r="AH82" i="29"/>
  <c r="J82" i="29"/>
  <c r="AH81" i="29"/>
  <c r="J81" i="29"/>
  <c r="AH79" i="29"/>
  <c r="J79" i="29"/>
  <c r="AH78" i="29"/>
  <c r="J78" i="29"/>
  <c r="AH77" i="29"/>
  <c r="J77" i="29"/>
  <c r="AH76" i="29"/>
  <c r="J76" i="29"/>
  <c r="AH75" i="29"/>
  <c r="J75" i="29"/>
  <c r="AH74" i="29"/>
  <c r="J74" i="29"/>
  <c r="AH73" i="29"/>
  <c r="J73" i="29"/>
  <c r="AH72" i="29"/>
  <c r="J72" i="29"/>
  <c r="AH71" i="29"/>
  <c r="J71" i="29"/>
  <c r="AH70" i="29"/>
  <c r="J70" i="29"/>
  <c r="AH69" i="29"/>
  <c r="J69" i="29"/>
  <c r="AH68" i="29"/>
  <c r="J68" i="29"/>
  <c r="AH67" i="29"/>
  <c r="J67" i="29"/>
  <c r="AH66" i="29"/>
  <c r="J66" i="29"/>
  <c r="AH65" i="29"/>
  <c r="J65" i="29"/>
  <c r="AH64" i="29"/>
  <c r="J64" i="29"/>
  <c r="AH63" i="29"/>
  <c r="J63" i="29"/>
  <c r="AH62" i="29"/>
  <c r="J62" i="29"/>
  <c r="AH61" i="29"/>
  <c r="J61" i="29"/>
  <c r="AH60" i="29"/>
  <c r="J60" i="29"/>
  <c r="AE51" i="29"/>
  <c r="AE50" i="29"/>
  <c r="AE49" i="29"/>
  <c r="AE48" i="29"/>
  <c r="AE47" i="29"/>
  <c r="AE46" i="29"/>
  <c r="AE45" i="29"/>
  <c r="AD43" i="29"/>
  <c r="AD44" i="29" s="1"/>
  <c r="AC43" i="29"/>
  <c r="AC44" i="29" s="1"/>
  <c r="AB43" i="29"/>
  <c r="AB44" i="29" s="1"/>
  <c r="Z43" i="29"/>
  <c r="Z44" i="29" s="1"/>
  <c r="Y43" i="29"/>
  <c r="Y44" i="29" s="1"/>
  <c r="X43" i="29"/>
  <c r="X44" i="29" s="1"/>
  <c r="W43" i="29"/>
  <c r="W44" i="29" s="1"/>
  <c r="V43" i="29"/>
  <c r="V44" i="29" s="1"/>
  <c r="U43" i="29"/>
  <c r="U44" i="29" s="1"/>
  <c r="T43" i="29"/>
  <c r="T44" i="29" s="1"/>
  <c r="S43" i="29"/>
  <c r="S44" i="29" s="1"/>
  <c r="R43" i="29"/>
  <c r="R44" i="29" s="1"/>
  <c r="Q43" i="29"/>
  <c r="Q44" i="29" s="1"/>
  <c r="P43" i="29"/>
  <c r="P44" i="29" s="1"/>
  <c r="O43" i="29"/>
  <c r="O44" i="29" s="1"/>
  <c r="N43" i="29"/>
  <c r="N44" i="29" s="1"/>
  <c r="M43" i="29"/>
  <c r="M44" i="29" s="1"/>
  <c r="L43" i="29"/>
  <c r="L44" i="29" s="1"/>
  <c r="K43" i="29"/>
  <c r="K44" i="29" s="1"/>
  <c r="J43" i="29"/>
  <c r="J44" i="29" s="1"/>
  <c r="I43" i="29"/>
  <c r="I44" i="29" s="1"/>
  <c r="H43" i="29"/>
  <c r="H44" i="29" s="1"/>
  <c r="G43" i="29"/>
  <c r="G44" i="29" s="1"/>
  <c r="F44" i="29"/>
  <c r="E43" i="29"/>
  <c r="E44" i="29" s="1"/>
  <c r="AE42" i="29"/>
  <c r="AE40" i="29"/>
  <c r="AE39" i="29"/>
  <c r="AE38" i="29"/>
  <c r="AE37" i="29"/>
  <c r="AE36" i="29"/>
  <c r="AE35" i="29"/>
  <c r="AE34" i="29"/>
  <c r="AE33" i="29"/>
  <c r="K24" i="29"/>
  <c r="K23" i="29"/>
  <c r="J21" i="29"/>
  <c r="J22" i="29" s="1"/>
  <c r="I21" i="29"/>
  <c r="I22" i="29" s="1"/>
  <c r="H21" i="29"/>
  <c r="H22" i="29" s="1"/>
  <c r="G21" i="29"/>
  <c r="G22" i="29" s="1"/>
  <c r="F21" i="29"/>
  <c r="F22" i="29" s="1"/>
  <c r="E22" i="29"/>
  <c r="K20" i="29"/>
  <c r="K19" i="29"/>
  <c r="K18" i="29"/>
  <c r="K17" i="29"/>
  <c r="K15" i="29"/>
  <c r="K14" i="29"/>
  <c r="K13" i="29"/>
  <c r="J226" i="29" l="1"/>
  <c r="AJ782" i="29"/>
  <c r="AJ647" i="29"/>
  <c r="AJ759" i="29"/>
  <c r="AJ931" i="29"/>
  <c r="AJ935" i="29"/>
  <c r="AJ763" i="29"/>
  <c r="AI127" i="29"/>
  <c r="AI129" i="29"/>
  <c r="AI145" i="29"/>
  <c r="AI151" i="29"/>
  <c r="AI153" i="29"/>
  <c r="AI155" i="29"/>
  <c r="AI157" i="29"/>
  <c r="AI159" i="29"/>
  <c r="AI161" i="29"/>
  <c r="AI165" i="29"/>
  <c r="AI191" i="29"/>
  <c r="AI193" i="29"/>
  <c r="AI209" i="29"/>
  <c r="AI215" i="29"/>
  <c r="AI217" i="29"/>
  <c r="AI219" i="29"/>
  <c r="AI221" i="29"/>
  <c r="AI223" i="29"/>
  <c r="AI225" i="29"/>
  <c r="AJ556" i="29"/>
  <c r="AJ558" i="29"/>
  <c r="AJ560" i="29"/>
  <c r="AJ564" i="29"/>
  <c r="AJ584" i="29"/>
  <c r="AJ590" i="29"/>
  <c r="AJ594" i="29"/>
  <c r="AJ602" i="29"/>
  <c r="AJ608" i="29"/>
  <c r="AJ610" i="29"/>
  <c r="AJ614" i="29"/>
  <c r="AJ616" i="29"/>
  <c r="AJ618" i="29"/>
  <c r="AI89" i="29"/>
  <c r="AI91" i="29"/>
  <c r="AI93" i="29"/>
  <c r="AI101" i="29"/>
  <c r="AI126" i="29"/>
  <c r="AI146" i="29"/>
  <c r="AI150" i="29"/>
  <c r="AI162" i="29"/>
  <c r="AI261" i="29"/>
  <c r="AI273" i="29"/>
  <c r="AI277" i="29"/>
  <c r="AI326" i="29"/>
  <c r="AI330" i="29"/>
  <c r="AJ713" i="29"/>
  <c r="AJ717" i="29"/>
  <c r="AJ721" i="29"/>
  <c r="AJ723" i="29"/>
  <c r="AJ729" i="29"/>
  <c r="AJ731" i="29"/>
  <c r="AJ735" i="29"/>
  <c r="AJ737" i="29"/>
  <c r="AJ745" i="29"/>
  <c r="AJ747" i="29"/>
  <c r="AK425" i="29"/>
  <c r="AI63" i="29"/>
  <c r="AI356" i="29"/>
  <c r="AI364" i="29"/>
  <c r="AI380" i="29"/>
  <c r="AI72" i="29"/>
  <c r="AI74" i="29"/>
  <c r="AI78" i="29"/>
  <c r="AJ623" i="29"/>
  <c r="AJ631" i="29"/>
  <c r="AJ649" i="29"/>
  <c r="AJ651" i="29"/>
  <c r="AJ655" i="29"/>
  <c r="AJ661" i="29"/>
  <c r="AJ663" i="29"/>
  <c r="AJ667" i="29"/>
  <c r="AJ671" i="29"/>
  <c r="AJ687" i="29"/>
  <c r="AJ739" i="29"/>
  <c r="AI351" i="29"/>
  <c r="AJ853" i="29"/>
  <c r="AJ861" i="29"/>
  <c r="AJ869" i="29"/>
  <c r="AK439" i="29"/>
  <c r="AJ519" i="29"/>
  <c r="AJ523" i="29"/>
  <c r="AJ525" i="29"/>
  <c r="AJ541" i="29"/>
  <c r="AJ549" i="29"/>
  <c r="AJ553" i="29"/>
  <c r="AJ555" i="29"/>
  <c r="AJ816" i="29"/>
  <c r="AJ820" i="29"/>
  <c r="AJ822" i="29"/>
  <c r="AJ824" i="29"/>
  <c r="AJ914" i="29"/>
  <c r="AI62" i="29"/>
  <c r="AI71" i="29"/>
  <c r="AI104" i="29"/>
  <c r="AI348" i="29"/>
  <c r="AI363" i="29"/>
  <c r="AI367" i="29"/>
  <c r="AK428" i="29"/>
  <c r="AK438" i="29"/>
  <c r="AJ524" i="29"/>
  <c r="AJ526" i="29"/>
  <c r="AJ528" i="29"/>
  <c r="AJ532" i="29"/>
  <c r="AJ540" i="29"/>
  <c r="AJ557" i="29"/>
  <c r="AJ789" i="29"/>
  <c r="AJ797" i="29"/>
  <c r="AJ805" i="29"/>
  <c r="AJ813" i="29"/>
  <c r="AJ919" i="29"/>
  <c r="AI169" i="29"/>
  <c r="AI248" i="29"/>
  <c r="AI252" i="29"/>
  <c r="AI257" i="29"/>
  <c r="AJ593" i="29"/>
  <c r="AJ605" i="29"/>
  <c r="AJ613" i="29"/>
  <c r="AJ796" i="29"/>
  <c r="AJ800" i="29"/>
  <c r="AJ924" i="29"/>
  <c r="AJ932" i="29"/>
  <c r="AK464" i="29"/>
  <c r="AJ846" i="29"/>
  <c r="AJ848" i="29"/>
  <c r="AJ856" i="29"/>
  <c r="AJ858" i="29"/>
  <c r="AJ862" i="29"/>
  <c r="AJ864" i="29"/>
  <c r="AJ866" i="29"/>
  <c r="AJ870" i="29"/>
  <c r="AJ872" i="29"/>
  <c r="AJ874" i="29"/>
  <c r="AJ890" i="29"/>
  <c r="AI61" i="29"/>
  <c r="AI172" i="29"/>
  <c r="AI180" i="29"/>
  <c r="AI204" i="29"/>
  <c r="AI243" i="29"/>
  <c r="AI247" i="29"/>
  <c r="AI249" i="29"/>
  <c r="AI253" i="29"/>
  <c r="AI258" i="29"/>
  <c r="AI270" i="29"/>
  <c r="AI290" i="29"/>
  <c r="AI294" i="29"/>
  <c r="AI297" i="29"/>
  <c r="AI307" i="29"/>
  <c r="AI313" i="29"/>
  <c r="AI315" i="29"/>
  <c r="AI319" i="29"/>
  <c r="AI323" i="29"/>
  <c r="AI333" i="29"/>
  <c r="AI335" i="29"/>
  <c r="AK413" i="29"/>
  <c r="AJ752" i="29"/>
  <c r="AJ754" i="29"/>
  <c r="AJ760" i="29"/>
  <c r="AJ762" i="29"/>
  <c r="AJ780" i="29"/>
  <c r="AI181" i="29"/>
  <c r="AI185" i="29"/>
  <c r="AI197" i="29"/>
  <c r="AI278" i="29"/>
  <c r="AI299" i="29"/>
  <c r="AI303" i="29"/>
  <c r="AI370" i="29"/>
  <c r="AI378" i="29"/>
  <c r="AI386" i="29"/>
  <c r="AI394" i="29"/>
  <c r="AJ675" i="29"/>
  <c r="AJ938" i="29"/>
  <c r="AJ946" i="29"/>
  <c r="AJ954" i="29"/>
  <c r="K962" i="29"/>
  <c r="AI68" i="29"/>
  <c r="AI85" i="29"/>
  <c r="AI73" i="29"/>
  <c r="AI75" i="29"/>
  <c r="AI77" i="29"/>
  <c r="AI79" i="29"/>
  <c r="AI88" i="29"/>
  <c r="AI94" i="29"/>
  <c r="AI96" i="29"/>
  <c r="AI98" i="29"/>
  <c r="AI100" i="29"/>
  <c r="AI102" i="29"/>
  <c r="AI115" i="29"/>
  <c r="AI140" i="29"/>
  <c r="AI190" i="29"/>
  <c r="AI210" i="29"/>
  <c r="AI214" i="29"/>
  <c r="AI238" i="29"/>
  <c r="AI265" i="29"/>
  <c r="AI267" i="29"/>
  <c r="AI296" i="29"/>
  <c r="AI298" i="29"/>
  <c r="AI312" i="29"/>
  <c r="AI314" i="29"/>
  <c r="AI316" i="29"/>
  <c r="AI322" i="29"/>
  <c r="AI332" i="29"/>
  <c r="AI347" i="29"/>
  <c r="AI371" i="29"/>
  <c r="AI373" i="29"/>
  <c r="AI375" i="29"/>
  <c r="AI381" i="29"/>
  <c r="AI383" i="29"/>
  <c r="AI387" i="29"/>
  <c r="AI389" i="29"/>
  <c r="AI391" i="29"/>
  <c r="AI397" i="29"/>
  <c r="AI399" i="29"/>
  <c r="AK431" i="29"/>
  <c r="AK435" i="29"/>
  <c r="AK437" i="29"/>
  <c r="AK440" i="29"/>
  <c r="AK442" i="29"/>
  <c r="AJ533" i="29"/>
  <c r="AJ537" i="29"/>
  <c r="AJ539" i="29"/>
  <c r="AJ542" i="29"/>
  <c r="AJ544" i="29"/>
  <c r="AJ548" i="29"/>
  <c r="AJ565" i="29"/>
  <c r="AJ622" i="29"/>
  <c r="AJ658" i="29"/>
  <c r="AJ666" i="29"/>
  <c r="AJ676" i="29"/>
  <c r="AJ684" i="29"/>
  <c r="AJ693" i="29"/>
  <c r="AJ819" i="29"/>
  <c r="AJ827" i="29"/>
  <c r="AJ913" i="29"/>
  <c r="AJ939" i="29"/>
  <c r="AJ941" i="29"/>
  <c r="AJ943" i="29"/>
  <c r="AJ949" i="29"/>
  <c r="AJ951" i="29"/>
  <c r="AJ955" i="29"/>
  <c r="AJ957" i="29"/>
  <c r="AJ959" i="29"/>
  <c r="AK502" i="29"/>
  <c r="AK458" i="29"/>
  <c r="AJ879" i="29"/>
  <c r="AJ887" i="29"/>
  <c r="AJ583" i="29"/>
  <c r="AJ669" i="29"/>
  <c r="AJ694" i="29"/>
  <c r="AJ696" i="29"/>
  <c r="AJ708" i="29"/>
  <c r="AJ895" i="29"/>
  <c r="AI108" i="29"/>
  <c r="AI120" i="29"/>
  <c r="AI133" i="29"/>
  <c r="AI239" i="29"/>
  <c r="AI338" i="29"/>
  <c r="AJ716" i="29"/>
  <c r="AJ726" i="29"/>
  <c r="AJ734" i="29"/>
  <c r="AJ812" i="29"/>
  <c r="AE52" i="29"/>
  <c r="AI65" i="29"/>
  <c r="AI67" i="29"/>
  <c r="AI69" i="29"/>
  <c r="AI76" i="29"/>
  <c r="AI81" i="29"/>
  <c r="AI83" i="29"/>
  <c r="AI87" i="29"/>
  <c r="AI92" i="29"/>
  <c r="AI110" i="29"/>
  <c r="AI112" i="29"/>
  <c r="AI114" i="29"/>
  <c r="AI116" i="29"/>
  <c r="AI118" i="29"/>
  <c r="AI124" i="29"/>
  <c r="AI130" i="29"/>
  <c r="AI134" i="29"/>
  <c r="AI142" i="29"/>
  <c r="AI149" i="29"/>
  <c r="AI171" i="29"/>
  <c r="AI173" i="29"/>
  <c r="AI175" i="29"/>
  <c r="AI177" i="29"/>
  <c r="AI183" i="29"/>
  <c r="AI188" i="29"/>
  <c r="AI194" i="29"/>
  <c r="AI198" i="29"/>
  <c r="AI206" i="29"/>
  <c r="AI213" i="29"/>
  <c r="AI240" i="29"/>
  <c r="AI262" i="29"/>
  <c r="AI264" i="29"/>
  <c r="AI279" i="29"/>
  <c r="AI281" i="29"/>
  <c r="AI283" i="29"/>
  <c r="AI289" i="29"/>
  <c r="AI306" i="29"/>
  <c r="AI310" i="29"/>
  <c r="AI328" i="29"/>
  <c r="AI331" i="29"/>
  <c r="AH226" i="29"/>
  <c r="AI64" i="29"/>
  <c r="AI66" i="29"/>
  <c r="AI70" i="29"/>
  <c r="AI82" i="29"/>
  <c r="AI84" i="29"/>
  <c r="AI86" i="29"/>
  <c r="AI99" i="29"/>
  <c r="AI105" i="29"/>
  <c r="AI109" i="29"/>
  <c r="AI117" i="29"/>
  <c r="AI135" i="29"/>
  <c r="AI137" i="29"/>
  <c r="AI139" i="29"/>
  <c r="AI141" i="29"/>
  <c r="AI143" i="29"/>
  <c r="AI156" i="29"/>
  <c r="AI160" i="29"/>
  <c r="AI166" i="29"/>
  <c r="AI174" i="29"/>
  <c r="AI182" i="29"/>
  <c r="AI199" i="29"/>
  <c r="AI201" i="29"/>
  <c r="AI203" i="29"/>
  <c r="AI205" i="29"/>
  <c r="AI207" i="29"/>
  <c r="AI220" i="29"/>
  <c r="AI235" i="29"/>
  <c r="AI241" i="29"/>
  <c r="AI246" i="29"/>
  <c r="AI263" i="29"/>
  <c r="AI266" i="29"/>
  <c r="AI274" i="29"/>
  <c r="AI280" i="29"/>
  <c r="AI282" i="29"/>
  <c r="AI286" i="29"/>
  <c r="AI293" i="29"/>
  <c r="AI300" i="29"/>
  <c r="AI311" i="29"/>
  <c r="AI327" i="29"/>
  <c r="AI329" i="29"/>
  <c r="AI340" i="29"/>
  <c r="AI355" i="29"/>
  <c r="AI357" i="29"/>
  <c r="AI359" i="29"/>
  <c r="AI365" i="29"/>
  <c r="AI388" i="29"/>
  <c r="AI396" i="29"/>
  <c r="AJ409" i="29"/>
  <c r="AK410" i="29"/>
  <c r="AJ597" i="29"/>
  <c r="AJ599" i="29"/>
  <c r="AJ607" i="29"/>
  <c r="AJ615" i="29"/>
  <c r="AJ660" i="29"/>
  <c r="AJ668" i="29"/>
  <c r="AJ695" i="29"/>
  <c r="AJ697" i="29"/>
  <c r="AJ736" i="29"/>
  <c r="AJ738" i="29"/>
  <c r="AJ744" i="29"/>
  <c r="AJ746" i="29"/>
  <c r="AJ779" i="29"/>
  <c r="AJ804" i="29"/>
  <c r="AJ806" i="29"/>
  <c r="AJ808" i="29"/>
  <c r="AJ814" i="29"/>
  <c r="AJ923" i="29"/>
  <c r="AJ925" i="29"/>
  <c r="AJ927" i="29"/>
  <c r="AJ933" i="29"/>
  <c r="AJ956" i="29"/>
  <c r="AK501" i="29"/>
  <c r="L454" i="29"/>
  <c r="AJ863" i="29"/>
  <c r="AJ871" i="29"/>
  <c r="AJ894" i="29"/>
  <c r="K896" i="29"/>
  <c r="AI346" i="29"/>
  <c r="AI379" i="29"/>
  <c r="AK416" i="29"/>
  <c r="AK420" i="29"/>
  <c r="AK424" i="29"/>
  <c r="AJ621" i="29"/>
  <c r="AJ629" i="29"/>
  <c r="AJ674" i="29"/>
  <c r="AJ682" i="29"/>
  <c r="AJ727" i="29"/>
  <c r="AJ787" i="29"/>
  <c r="AJ795" i="29"/>
  <c r="AJ828" i="29"/>
  <c r="AJ912" i="29"/>
  <c r="AJ947" i="29"/>
  <c r="AK462" i="29"/>
  <c r="AJ854" i="29"/>
  <c r="AJ877" i="29"/>
  <c r="AJ885" i="29"/>
  <c r="AI339" i="29"/>
  <c r="AI341" i="29"/>
  <c r="AI343" i="29"/>
  <c r="AI349" i="29"/>
  <c r="AI354" i="29"/>
  <c r="AI362" i="29"/>
  <c r="AI372" i="29"/>
  <c r="AI395" i="29"/>
  <c r="AK417" i="29"/>
  <c r="AK419" i="29"/>
  <c r="AK421" i="29"/>
  <c r="AK434" i="29"/>
  <c r="AK443" i="29"/>
  <c r="AJ516" i="29"/>
  <c r="AJ518" i="29"/>
  <c r="AJ529" i="29"/>
  <c r="AJ531" i="29"/>
  <c r="AJ534" i="29"/>
  <c r="AJ536" i="29"/>
  <c r="AJ545" i="29"/>
  <c r="AJ547" i="29"/>
  <c r="AJ550" i="29"/>
  <c r="AJ552" i="29"/>
  <c r="AJ561" i="29"/>
  <c r="AJ563" i="29"/>
  <c r="K566" i="29"/>
  <c r="AJ576" i="29"/>
  <c r="AJ596" i="29"/>
  <c r="AJ606" i="29"/>
  <c r="AJ624" i="29"/>
  <c r="AJ626" i="29"/>
  <c r="AJ630" i="29"/>
  <c r="AJ650" i="29"/>
  <c r="AJ659" i="29"/>
  <c r="AJ677" i="29"/>
  <c r="AJ679" i="29"/>
  <c r="AJ683" i="29"/>
  <c r="AJ685" i="29"/>
  <c r="AJ690" i="29"/>
  <c r="AJ722" i="29"/>
  <c r="AJ728" i="29"/>
  <c r="AJ743" i="29"/>
  <c r="AJ751" i="29"/>
  <c r="AJ753" i="29"/>
  <c r="AJ755" i="29"/>
  <c r="AJ761" i="29"/>
  <c r="AJ788" i="29"/>
  <c r="AJ790" i="29"/>
  <c r="AJ792" i="29"/>
  <c r="AJ798" i="29"/>
  <c r="AJ803" i="29"/>
  <c r="AJ811" i="29"/>
  <c r="AJ821" i="29"/>
  <c r="AJ829" i="29"/>
  <c r="AI830" i="29"/>
  <c r="AJ915" i="29"/>
  <c r="AJ922" i="29"/>
  <c r="AJ930" i="29"/>
  <c r="AJ940" i="29"/>
  <c r="AJ948" i="29"/>
  <c r="AK463" i="29"/>
  <c r="AK465" i="29"/>
  <c r="AK468" i="29"/>
  <c r="AJ845" i="29"/>
  <c r="AJ855" i="29"/>
  <c r="AJ878" i="29"/>
  <c r="AJ880" i="29"/>
  <c r="AJ882" i="29"/>
  <c r="AJ886" i="29"/>
  <c r="AJ888" i="29"/>
  <c r="AJ893" i="29"/>
  <c r="K22" i="29"/>
  <c r="AI90" i="29"/>
  <c r="AI95" i="29"/>
  <c r="AI97" i="29"/>
  <c r="AI106" i="29"/>
  <c r="AI111" i="29"/>
  <c r="AI113" i="29"/>
  <c r="AI123" i="29"/>
  <c r="AI125" i="29"/>
  <c r="AI132" i="29"/>
  <c r="AI158" i="29"/>
  <c r="AI167" i="29"/>
  <c r="AI176" i="29"/>
  <c r="AI178" i="29"/>
  <c r="AI187" i="29"/>
  <c r="AI189" i="29"/>
  <c r="AI196" i="29"/>
  <c r="AI222" i="29"/>
  <c r="AI224" i="29"/>
  <c r="AI60" i="29"/>
  <c r="AI103" i="29"/>
  <c r="AI144" i="29"/>
  <c r="AI164" i="29"/>
  <c r="AI208" i="29"/>
  <c r="AE43" i="29"/>
  <c r="AI107" i="29"/>
  <c r="AI128" i="29"/>
  <c r="AI148" i="29"/>
  <c r="AI192" i="29"/>
  <c r="AI212" i="29"/>
  <c r="AI119" i="29"/>
  <c r="AI122" i="29"/>
  <c r="AI131" i="29"/>
  <c r="AI136" i="29"/>
  <c r="AI138" i="29"/>
  <c r="AI147" i="29"/>
  <c r="AI152" i="29"/>
  <c r="AI154" i="29"/>
  <c r="AI163" i="29"/>
  <c r="AI168" i="29"/>
  <c r="AI170" i="29"/>
  <c r="AI179" i="29"/>
  <c r="AI184" i="29"/>
  <c r="AI186" i="29"/>
  <c r="AI195" i="29"/>
  <c r="AI200" i="29"/>
  <c r="AI202" i="29"/>
  <c r="AI211" i="29"/>
  <c r="AI216" i="29"/>
  <c r="AI218" i="29"/>
  <c r="AI237" i="29"/>
  <c r="AI242" i="29"/>
  <c r="AI244" i="29"/>
  <c r="AI256" i="29"/>
  <c r="AI259" i="29"/>
  <c r="AI269" i="29"/>
  <c r="AI271" i="29"/>
  <c r="AI288" i="29"/>
  <c r="AI291" i="29"/>
  <c r="AI302" i="29"/>
  <c r="AI304" i="29"/>
  <c r="AI321" i="29"/>
  <c r="AI324" i="29"/>
  <c r="AI334" i="29"/>
  <c r="AI336" i="29"/>
  <c r="AI345" i="29"/>
  <c r="AI350" i="29"/>
  <c r="AI352" i="29"/>
  <c r="AI361" i="29"/>
  <c r="AI366" i="29"/>
  <c r="AI368" i="29"/>
  <c r="AI377" i="29"/>
  <c r="AI382" i="29"/>
  <c r="AI384" i="29"/>
  <c r="AI393" i="29"/>
  <c r="AI398" i="29"/>
  <c r="AK412" i="29"/>
  <c r="AK414" i="29"/>
  <c r="AK423" i="29"/>
  <c r="AK430" i="29"/>
  <c r="AK411" i="29"/>
  <c r="AK418" i="29"/>
  <c r="AK429" i="29"/>
  <c r="AK436" i="29"/>
  <c r="AK441" i="29"/>
  <c r="AJ510" i="29"/>
  <c r="AJ517" i="29"/>
  <c r="AJ522" i="29"/>
  <c r="AJ527" i="29"/>
  <c r="AJ530" i="29"/>
  <c r="AJ535" i="29"/>
  <c r="AJ538" i="29"/>
  <c r="AJ543" i="29"/>
  <c r="AJ546" i="29"/>
  <c r="AJ551" i="29"/>
  <c r="AJ554" i="29"/>
  <c r="AJ559" i="29"/>
  <c r="AJ562" i="29"/>
  <c r="AI566" i="29"/>
  <c r="AJ582" i="29"/>
  <c r="AJ589" i="29"/>
  <c r="AH400" i="29"/>
  <c r="AI236" i="29"/>
  <c r="AI245" i="29"/>
  <c r="AI250" i="29"/>
  <c r="AI255" i="29"/>
  <c r="AI272" i="29"/>
  <c r="AI275" i="29"/>
  <c r="AI285" i="29"/>
  <c r="AI287" i="29"/>
  <c r="AI305" i="29"/>
  <c r="AI308" i="29"/>
  <c r="AI318" i="29"/>
  <c r="AI320" i="29"/>
  <c r="AI337" i="29"/>
  <c r="AI342" i="29"/>
  <c r="AI344" i="29"/>
  <c r="AI353" i="29"/>
  <c r="AI358" i="29"/>
  <c r="AI360" i="29"/>
  <c r="AI369" i="29"/>
  <c r="AI374" i="29"/>
  <c r="AI376" i="29"/>
  <c r="AI385" i="29"/>
  <c r="AI390" i="29"/>
  <c r="AI392" i="29"/>
  <c r="AK415" i="29"/>
  <c r="AK422" i="29"/>
  <c r="AJ598" i="29"/>
  <c r="AJ585" i="29"/>
  <c r="AJ592" i="29"/>
  <c r="AJ595" i="29"/>
  <c r="AJ601" i="29"/>
  <c r="AJ603" i="29"/>
  <c r="AJ612" i="29"/>
  <c r="AJ617" i="29"/>
  <c r="AJ619" i="29"/>
  <c r="AJ628" i="29"/>
  <c r="AJ656" i="29"/>
  <c r="AJ665" i="29"/>
  <c r="AJ670" i="29"/>
  <c r="AJ672" i="29"/>
  <c r="AJ681" i="29"/>
  <c r="AJ686" i="29"/>
  <c r="AJ688" i="29"/>
  <c r="AJ692" i="29"/>
  <c r="AJ715" i="29"/>
  <c r="AJ724" i="29"/>
  <c r="AJ733" i="29"/>
  <c r="AJ740" i="29"/>
  <c r="AJ742" i="29"/>
  <c r="AJ749" i="29"/>
  <c r="AJ756" i="29"/>
  <c r="AJ758" i="29"/>
  <c r="AI764" i="29"/>
  <c r="AJ791" i="29"/>
  <c r="AJ793" i="29"/>
  <c r="AJ802" i="29"/>
  <c r="AJ807" i="29"/>
  <c r="AJ809" i="29"/>
  <c r="AJ818" i="29"/>
  <c r="AJ823" i="29"/>
  <c r="AJ825" i="29"/>
  <c r="AJ906" i="29"/>
  <c r="AJ921" i="29"/>
  <c r="AJ926" i="29"/>
  <c r="AJ928" i="29"/>
  <c r="AJ937" i="29"/>
  <c r="AJ942" i="29"/>
  <c r="AJ944" i="29"/>
  <c r="AJ953" i="29"/>
  <c r="AJ958" i="29"/>
  <c r="AJ960" i="29"/>
  <c r="AJ454" i="29"/>
  <c r="AK461" i="29"/>
  <c r="AK466" i="29"/>
  <c r="L470" i="29"/>
  <c r="AJ840" i="29"/>
  <c r="AJ847" i="29"/>
  <c r="AJ849" i="29"/>
  <c r="AJ860" i="29"/>
  <c r="AJ865" i="29"/>
  <c r="AJ867" i="29"/>
  <c r="AJ876" i="29"/>
  <c r="AJ881" i="29"/>
  <c r="AJ883" i="29"/>
  <c r="AJ892" i="29"/>
  <c r="K632" i="29"/>
  <c r="AJ581" i="29"/>
  <c r="AJ591" i="29"/>
  <c r="AJ604" i="29"/>
  <c r="AJ609" i="29"/>
  <c r="AJ611" i="29"/>
  <c r="AJ620" i="29"/>
  <c r="AJ625" i="29"/>
  <c r="AJ627" i="29"/>
  <c r="AJ642" i="29"/>
  <c r="AJ657" i="29"/>
  <c r="AJ662" i="29"/>
  <c r="AJ664" i="29"/>
  <c r="AJ673" i="29"/>
  <c r="AJ678" i="29"/>
  <c r="AJ680" i="29"/>
  <c r="AJ689" i="29"/>
  <c r="AJ691" i="29"/>
  <c r="AJ714" i="29"/>
  <c r="AJ725" i="29"/>
  <c r="AJ730" i="29"/>
  <c r="AJ732" i="29"/>
  <c r="AJ741" i="29"/>
  <c r="AJ748" i="29"/>
  <c r="AJ750" i="29"/>
  <c r="AJ757" i="29"/>
  <c r="K764" i="29"/>
  <c r="AJ774" i="29"/>
  <c r="AJ781" i="29"/>
  <c r="AJ783" i="29"/>
  <c r="AJ794" i="29"/>
  <c r="AJ799" i="29"/>
  <c r="AJ801" i="29"/>
  <c r="AJ810" i="29"/>
  <c r="AJ815" i="29"/>
  <c r="AJ817" i="29"/>
  <c r="AJ826" i="29"/>
  <c r="AJ920" i="29"/>
  <c r="AJ929" i="29"/>
  <c r="AJ934" i="29"/>
  <c r="AJ936" i="29"/>
  <c r="AJ945" i="29"/>
  <c r="AJ950" i="29"/>
  <c r="AJ952" i="29"/>
  <c r="AJ961" i="29"/>
  <c r="AI962" i="29"/>
  <c r="AK456" i="29"/>
  <c r="AK460" i="29"/>
  <c r="AJ470" i="29"/>
  <c r="AJ857" i="29"/>
  <c r="AJ859" i="29"/>
  <c r="AJ868" i="29"/>
  <c r="AJ873" i="29"/>
  <c r="AJ875" i="29"/>
  <c r="AJ884" i="29"/>
  <c r="AJ889" i="29"/>
  <c r="AJ891" i="29"/>
  <c r="K698" i="29"/>
  <c r="AI698" i="29"/>
  <c r="K830" i="29"/>
  <c r="AI896" i="29"/>
  <c r="AE44" i="29"/>
  <c r="K21" i="29"/>
  <c r="AI251" i="29"/>
  <c r="AI260" i="29"/>
  <c r="AI268" i="29"/>
  <c r="AI276" i="29"/>
  <c r="AI284" i="29"/>
  <c r="AI292" i="29"/>
  <c r="AI301" i="29"/>
  <c r="AI309" i="29"/>
  <c r="AI317" i="29"/>
  <c r="AI325" i="29"/>
  <c r="AJ432" i="29"/>
  <c r="AI234" i="29"/>
  <c r="O433" i="29"/>
  <c r="AJ433" i="29" s="1"/>
  <c r="AJ600" i="29"/>
  <c r="AJ408" i="29"/>
  <c r="AI632" i="29"/>
  <c r="L409" i="29"/>
  <c r="L408" i="29"/>
  <c r="AJ962" i="29" l="1"/>
  <c r="AJ830" i="29"/>
  <c r="AJ896" i="29"/>
  <c r="AJ764" i="29"/>
  <c r="AJ566" i="29"/>
  <c r="AK454" i="29"/>
  <c r="AJ632" i="29"/>
  <c r="AJ698" i="29"/>
  <c r="AK470" i="29"/>
  <c r="AI226" i="29"/>
  <c r="AK409" i="29"/>
  <c r="L433" i="29"/>
  <c r="AK433" i="29" s="1"/>
  <c r="AI400" i="29"/>
  <c r="AK408" i="29"/>
  <c r="L432" i="29"/>
  <c r="AK432" i="29" s="1"/>
  <c r="D40" i="30"/>
  <c r="F12" i="39" l="1"/>
  <c r="F76" i="39"/>
  <c r="L68" i="39"/>
  <c r="L67" i="39"/>
  <c r="L66" i="39"/>
  <c r="L65" i="39"/>
  <c r="L64" i="39"/>
  <c r="L63" i="39"/>
  <c r="L62" i="39"/>
  <c r="L60" i="39"/>
  <c r="F52" i="39"/>
  <c r="F45" i="39"/>
  <c r="F44" i="39"/>
  <c r="F43" i="39"/>
  <c r="F42" i="39"/>
  <c r="F41" i="39"/>
  <c r="F40" i="39"/>
  <c r="F39" i="39"/>
  <c r="F38" i="39"/>
  <c r="F37" i="39"/>
  <c r="F36" i="39"/>
  <c r="F34" i="39"/>
  <c r="F30" i="39"/>
  <c r="F28" i="39"/>
  <c r="F25" i="39"/>
  <c r="F24" i="39"/>
  <c r="F23" i="39"/>
  <c r="F22" i="39"/>
  <c r="F20" i="39"/>
  <c r="F17" i="39"/>
  <c r="F16" i="39"/>
  <c r="F15" i="39"/>
  <c r="F14" i="39"/>
  <c r="I121" i="39"/>
  <c r="D45" i="30" s="1"/>
  <c r="D50" i="30" s="1"/>
  <c r="L105" i="39"/>
  <c r="F105" i="39"/>
  <c r="L93" i="39"/>
  <c r="F93" i="39"/>
  <c r="L88" i="39"/>
  <c r="F88" i="39"/>
  <c r="C72" i="39"/>
  <c r="L69" i="39" l="1"/>
  <c r="L70" i="39" s="1"/>
  <c r="L71" i="39" s="1"/>
  <c r="L72" i="39" s="1"/>
  <c r="N77" i="39" s="1"/>
  <c r="F31" i="39"/>
  <c r="F32" i="39" s="1"/>
  <c r="F46" i="39"/>
  <c r="F47" i="39" s="1"/>
  <c r="F18" i="39"/>
  <c r="F26" i="39"/>
  <c r="N78" i="39" l="1"/>
  <c r="F62" i="39"/>
  <c r="F63" i="39" s="1"/>
  <c r="F64" i="39" s="1"/>
  <c r="F70" i="39"/>
  <c r="F71" i="39" s="1"/>
  <c r="M78" i="39" s="1"/>
  <c r="F66" i="39"/>
  <c r="F67" i="39" s="1"/>
  <c r="L78" i="39" s="1"/>
  <c r="K78" i="39" l="1"/>
  <c r="F68" i="39"/>
  <c r="L77" i="39" s="1"/>
  <c r="F72" i="39"/>
  <c r="M77" i="39" s="1"/>
  <c r="F79" i="39"/>
  <c r="K77" i="39"/>
  <c r="D42" i="30" l="1"/>
  <c r="D49" i="30"/>
  <c r="F78" i="39"/>
  <c r="F81" i="39"/>
  <c r="F80" i="39"/>
  <c r="G3" i="2" l="1"/>
  <c r="F12" i="34" l="1"/>
  <c r="D473" i="29" s="1"/>
  <c r="B27" i="30" l="1"/>
  <c r="D5" i="1"/>
  <c r="G5" i="1"/>
  <c r="B18" i="1"/>
  <c r="B27" i="1"/>
  <c r="B41" i="1"/>
  <c r="B48" i="1"/>
  <c r="B55" i="1"/>
  <c r="D26" i="2"/>
  <c r="E26" i="2"/>
  <c r="F26" i="2"/>
  <c r="G26" i="2"/>
  <c r="H26" i="2"/>
  <c r="I26" i="2"/>
  <c r="H27" i="2"/>
  <c r="A2" i="3"/>
  <c r="A3" i="3"/>
  <c r="F28" i="3"/>
  <c r="J28" i="3"/>
  <c r="N28" i="3"/>
  <c r="R28" i="3"/>
  <c r="V28" i="3"/>
  <c r="AA28" i="3"/>
  <c r="D28" i="3"/>
  <c r="G28" i="3"/>
  <c r="H28" i="3"/>
  <c r="K28" i="3"/>
  <c r="L28" i="3"/>
  <c r="O28" i="3"/>
  <c r="P28" i="3"/>
  <c r="S28" i="3"/>
  <c r="T28" i="3"/>
  <c r="W28" i="3"/>
  <c r="X28" i="3"/>
  <c r="AB28" i="3"/>
  <c r="AC28" i="3"/>
  <c r="U29" i="3"/>
  <c r="K30" i="3"/>
  <c r="P30" i="3"/>
  <c r="O31" i="3"/>
  <c r="AA31" i="3"/>
  <c r="I38" i="3"/>
  <c r="I44" i="3"/>
  <c r="B39" i="1" s="1"/>
  <c r="A2" i="5"/>
  <c r="A3" i="5"/>
  <c r="C175" i="5"/>
  <c r="D175" i="5"/>
  <c r="E175" i="5"/>
  <c r="F175" i="5"/>
  <c r="G175" i="5"/>
  <c r="I175" i="5"/>
  <c r="J175" i="5"/>
  <c r="K175" i="5"/>
  <c r="L175" i="5"/>
  <c r="M175" i="5"/>
  <c r="N175" i="5"/>
  <c r="O175" i="5"/>
  <c r="P175" i="5"/>
  <c r="Q175" i="5"/>
  <c r="R175" i="5"/>
  <c r="S175" i="5"/>
  <c r="T175" i="5"/>
  <c r="U175" i="5"/>
  <c r="V175" i="5"/>
  <c r="W175" i="5"/>
  <c r="X175" i="5"/>
  <c r="Y175" i="5"/>
  <c r="Z175" i="5"/>
  <c r="AA175" i="5"/>
  <c r="AC175" i="5"/>
  <c r="AD175" i="5"/>
  <c r="AE175" i="5"/>
  <c r="A2" i="6"/>
  <c r="A3" i="6"/>
  <c r="C175" i="6"/>
  <c r="D175" i="6"/>
  <c r="F175" i="6"/>
  <c r="G175" i="6"/>
  <c r="I175" i="6"/>
  <c r="J175" i="6"/>
  <c r="K175" i="6"/>
  <c r="L175" i="6"/>
  <c r="M175" i="6"/>
  <c r="N175" i="6"/>
  <c r="O175" i="6"/>
  <c r="P175" i="6"/>
  <c r="Q175" i="6"/>
  <c r="S175" i="6"/>
  <c r="T175" i="6"/>
  <c r="U175" i="6"/>
  <c r="V175" i="6"/>
  <c r="W175" i="6"/>
  <c r="X175" i="6"/>
  <c r="Y175" i="6"/>
  <c r="Z175" i="6"/>
  <c r="AA175" i="6"/>
  <c r="AC175" i="6"/>
  <c r="AD175" i="6"/>
  <c r="AE175" i="6"/>
  <c r="E175" i="6"/>
  <c r="R175" i="6"/>
  <c r="A2" i="7"/>
  <c r="A3" i="7"/>
  <c r="K44" i="7"/>
  <c r="S44" i="7"/>
  <c r="D44" i="7"/>
  <c r="H44" i="7"/>
  <c r="L44" i="7"/>
  <c r="T44" i="7"/>
  <c r="X44" i="7"/>
  <c r="AB44" i="7"/>
  <c r="AG44" i="7"/>
  <c r="A2" i="30"/>
  <c r="A3" i="30"/>
  <c r="AK8" i="30"/>
  <c r="AK9" i="30"/>
  <c r="AK10" i="30"/>
  <c r="AK11" i="30"/>
  <c r="AK12" i="30"/>
  <c r="AK13" i="30"/>
  <c r="AK14" i="30"/>
  <c r="AK15" i="30"/>
  <c r="AK16" i="30"/>
  <c r="AK17" i="30"/>
  <c r="AK18" i="30"/>
  <c r="AK19" i="30"/>
  <c r="AK20" i="30"/>
  <c r="AK21" i="30"/>
  <c r="AK22" i="30"/>
  <c r="AK23" i="30"/>
  <c r="AK24" i="30"/>
  <c r="AK25" i="30"/>
  <c r="A2" i="8"/>
  <c r="A3" i="8"/>
  <c r="A2" i="24"/>
  <c r="A3" i="24"/>
  <c r="A2" i="9"/>
  <c r="A3" i="9"/>
  <c r="A2" i="10"/>
  <c r="A3" i="10"/>
  <c r="A2" i="25"/>
  <c r="A3" i="25"/>
  <c r="A2" i="31"/>
  <c r="A3" i="31"/>
  <c r="A2" i="11"/>
  <c r="A3" i="11"/>
  <c r="F14" i="34"/>
  <c r="C15" i="34"/>
  <c r="C16" i="34" s="1"/>
  <c r="C17" i="34" s="1"/>
  <c r="C18" i="34" s="1"/>
  <c r="F15" i="34"/>
  <c r="F16" i="34"/>
  <c r="F17" i="34"/>
  <c r="F20" i="34"/>
  <c r="F22" i="34"/>
  <c r="C23" i="34"/>
  <c r="C24" i="34" s="1"/>
  <c r="F26" i="34"/>
  <c r="F28" i="34"/>
  <c r="C29" i="34"/>
  <c r="C30" i="34" s="1"/>
  <c r="C31" i="34" s="1"/>
  <c r="C32" i="34" s="1"/>
  <c r="C33" i="34" s="1"/>
  <c r="C37" i="34" s="1"/>
  <c r="C38" i="34" s="1"/>
  <c r="C39" i="34" s="1"/>
  <c r="C40" i="34" s="1"/>
  <c r="C41" i="34" s="1"/>
  <c r="C42" i="34" s="1"/>
  <c r="C43" i="34" s="1"/>
  <c r="C44" i="34" s="1"/>
  <c r="C45" i="34" s="1"/>
  <c r="C46" i="34" s="1"/>
  <c r="C47" i="34" s="1"/>
  <c r="C48" i="34" s="1"/>
  <c r="C57" i="34" s="1"/>
  <c r="C58" i="34" s="1"/>
  <c r="C59" i="34" s="1"/>
  <c r="C61" i="34" s="1"/>
  <c r="C62" i="34" s="1"/>
  <c r="C63" i="34" s="1"/>
  <c r="C65" i="34" s="1"/>
  <c r="C66" i="34" s="1"/>
  <c r="C67" i="34" s="1"/>
  <c r="C78" i="34" s="1"/>
  <c r="C79" i="34" s="1"/>
  <c r="C91" i="34" s="1"/>
  <c r="C92" i="34" s="1"/>
  <c r="C98" i="34" s="1"/>
  <c r="C99" i="34" s="1"/>
  <c r="C100" i="34" s="1"/>
  <c r="C101" i="34" s="1"/>
  <c r="F29" i="34"/>
  <c r="F30" i="34"/>
  <c r="F31" i="34"/>
  <c r="F35" i="34"/>
  <c r="F37" i="34"/>
  <c r="F38" i="34"/>
  <c r="F39" i="34"/>
  <c r="F40" i="34"/>
  <c r="F41" i="34"/>
  <c r="F42" i="34"/>
  <c r="F43" i="34"/>
  <c r="F44" i="34"/>
  <c r="F45" i="34"/>
  <c r="F46" i="34"/>
  <c r="F51" i="34"/>
  <c r="L55" i="34"/>
  <c r="L57" i="34"/>
  <c r="L58" i="34"/>
  <c r="L59" i="34"/>
  <c r="L60" i="34"/>
  <c r="L61" i="34"/>
  <c r="L62" i="34"/>
  <c r="L63" i="34"/>
  <c r="F74" i="34"/>
  <c r="F89" i="34"/>
  <c r="F96" i="34"/>
  <c r="L96" i="34"/>
  <c r="L97" i="34"/>
  <c r="F112" i="34"/>
  <c r="L112" i="34"/>
  <c r="L113" i="34"/>
  <c r="C115" i="34"/>
  <c r="J57" i="34" s="1"/>
  <c r="J58" i="34" s="1"/>
  <c r="J59" i="34" s="1"/>
  <c r="J60" i="34" s="1"/>
  <c r="J61" i="34" s="1"/>
  <c r="J62" i="34" s="1"/>
  <c r="J63" i="34" s="1"/>
  <c r="J64" i="34" s="1"/>
  <c r="J65" i="34" s="1"/>
  <c r="J66" i="34" s="1"/>
  <c r="J67" i="34" s="1"/>
  <c r="J98" i="34" s="1"/>
  <c r="J99" i="34" s="1"/>
  <c r="J100" i="34" s="1"/>
  <c r="J101" i="34" s="1"/>
  <c r="J102" i="34" s="1"/>
  <c r="J103" i="34" s="1"/>
  <c r="J104" i="34" s="1"/>
  <c r="J105" i="34" s="1"/>
  <c r="J106" i="34" s="1"/>
  <c r="J114" i="34" s="1"/>
  <c r="J115" i="34" s="1"/>
  <c r="D92" i="28"/>
  <c r="D94" i="28" s="1"/>
  <c r="D96" i="28"/>
  <c r="D100" i="28" s="1"/>
  <c r="D104" i="28"/>
  <c r="D109" i="28" s="1"/>
  <c r="D107" i="28"/>
  <c r="D108" i="28" s="1"/>
  <c r="E4" i="35"/>
  <c r="E5" i="35"/>
  <c r="E6" i="35"/>
  <c r="E7" i="35"/>
  <c r="E8" i="35"/>
  <c r="E9" i="35"/>
  <c r="E10" i="35"/>
  <c r="E11" i="35"/>
  <c r="E12" i="35"/>
  <c r="E13" i="35"/>
  <c r="E14" i="35"/>
  <c r="E15" i="35"/>
  <c r="E16" i="35"/>
  <c r="E17" i="35"/>
  <c r="E18" i="35"/>
  <c r="E19" i="35"/>
  <c r="E20" i="35"/>
  <c r="E21" i="35"/>
  <c r="E22" i="35"/>
  <c r="E23" i="35"/>
  <c r="E24" i="35"/>
  <c r="E25" i="35"/>
  <c r="E26" i="35"/>
  <c r="E27" i="35"/>
  <c r="E28" i="35"/>
  <c r="E29" i="35"/>
  <c r="E30" i="35"/>
  <c r="E31" i="35"/>
  <c r="E32" i="35"/>
  <c r="E33" i="35"/>
  <c r="E34" i="35"/>
  <c r="E35" i="35"/>
  <c r="E36" i="35"/>
  <c r="E37" i="35"/>
  <c r="E38" i="35"/>
  <c r="E39" i="35"/>
  <c r="E40" i="35"/>
  <c r="E41" i="35"/>
  <c r="E42" i="35"/>
  <c r="E43" i="35"/>
  <c r="E44" i="35"/>
  <c r="E45" i="35"/>
  <c r="E46" i="35"/>
  <c r="E47" i="35"/>
  <c r="E48" i="35"/>
  <c r="E49" i="35"/>
  <c r="E50" i="35"/>
  <c r="E51" i="35"/>
  <c r="E52" i="35"/>
  <c r="E53" i="35"/>
  <c r="E54" i="35"/>
  <c r="E55" i="35"/>
  <c r="E56" i="35"/>
  <c r="E57" i="35"/>
  <c r="E58" i="35"/>
  <c r="E59" i="35"/>
  <c r="E60" i="35"/>
  <c r="E61" i="35"/>
  <c r="E62" i="35"/>
  <c r="E63" i="35"/>
  <c r="E64" i="35"/>
  <c r="E65" i="35"/>
  <c r="E66" i="35"/>
  <c r="E67" i="35"/>
  <c r="E68" i="35"/>
  <c r="E69" i="35"/>
  <c r="E70" i="35"/>
  <c r="E71" i="35"/>
  <c r="E72" i="35"/>
  <c r="E73" i="35"/>
  <c r="E74" i="35"/>
  <c r="E75" i="35"/>
  <c r="E76" i="35"/>
  <c r="E77" i="35"/>
  <c r="E78" i="35"/>
  <c r="E79" i="35"/>
  <c r="E80" i="35"/>
  <c r="E81" i="35"/>
  <c r="E82" i="35"/>
  <c r="E83" i="35"/>
  <c r="E84" i="35"/>
  <c r="E85" i="35"/>
  <c r="E86" i="35"/>
  <c r="E87" i="35"/>
  <c r="E88" i="35"/>
  <c r="E89" i="35"/>
  <c r="E90" i="35"/>
  <c r="E91" i="35"/>
  <c r="E92" i="35"/>
  <c r="E93" i="35"/>
  <c r="E94" i="35"/>
  <c r="E95" i="35"/>
  <c r="E96" i="35"/>
  <c r="E97" i="35"/>
  <c r="E98" i="35"/>
  <c r="E99" i="35"/>
  <c r="E100" i="35"/>
  <c r="E101" i="35"/>
  <c r="E102" i="35"/>
  <c r="E103" i="35"/>
  <c r="E104" i="35"/>
  <c r="E105" i="35"/>
  <c r="E106" i="35"/>
  <c r="E107" i="35"/>
  <c r="E108" i="35"/>
  <c r="E109" i="35"/>
  <c r="E110" i="35"/>
  <c r="E111" i="35"/>
  <c r="E112" i="35"/>
  <c r="E113" i="35"/>
  <c r="E114" i="35"/>
  <c r="E115" i="35"/>
  <c r="E116" i="35"/>
  <c r="E117" i="35"/>
  <c r="E118" i="35"/>
  <c r="E119" i="35"/>
  <c r="E120" i="35"/>
  <c r="E121" i="35"/>
  <c r="E122" i="35"/>
  <c r="E123" i="35"/>
  <c r="E124" i="35"/>
  <c r="E125" i="35"/>
  <c r="E126" i="35"/>
  <c r="E127" i="35"/>
  <c r="E128" i="35"/>
  <c r="E129" i="35"/>
  <c r="E130" i="35"/>
  <c r="E131" i="35"/>
  <c r="E132" i="35"/>
  <c r="E133" i="35"/>
  <c r="E134" i="35"/>
  <c r="E135" i="35"/>
  <c r="E136" i="35"/>
  <c r="E137" i="35"/>
  <c r="E138" i="35"/>
  <c r="E139" i="35"/>
  <c r="E140" i="35"/>
  <c r="E141" i="35"/>
  <c r="E142" i="35"/>
  <c r="E143" i="35"/>
  <c r="E144" i="35"/>
  <c r="E145" i="35"/>
  <c r="E146" i="35"/>
  <c r="E147" i="35"/>
  <c r="E148" i="35"/>
  <c r="E149" i="35"/>
  <c r="E150" i="35"/>
  <c r="E151" i="35"/>
  <c r="E152" i="35"/>
  <c r="E153" i="35"/>
  <c r="E154" i="35"/>
  <c r="E155" i="35"/>
  <c r="E156" i="35"/>
  <c r="E157" i="35"/>
  <c r="E158" i="35"/>
  <c r="E159" i="35"/>
  <c r="E160" i="35"/>
  <c r="E161" i="35"/>
  <c r="E162" i="35"/>
  <c r="E163" i="35"/>
  <c r="E164" i="35"/>
  <c r="E165" i="35"/>
  <c r="E166" i="35"/>
  <c r="E167" i="35"/>
  <c r="E168" i="35"/>
  <c r="E169" i="35"/>
  <c r="E170" i="35"/>
  <c r="E171" i="35"/>
  <c r="E172" i="35"/>
  <c r="E173" i="35"/>
  <c r="E174" i="35"/>
  <c r="E175" i="35"/>
  <c r="E176" i="35"/>
  <c r="E177" i="35"/>
  <c r="E178" i="35"/>
  <c r="E179" i="35"/>
  <c r="E180" i="35"/>
  <c r="E181" i="35"/>
  <c r="E182" i="35"/>
  <c r="E183" i="35"/>
  <c r="E184" i="35"/>
  <c r="E185" i="35"/>
  <c r="E186" i="35"/>
  <c r="E187" i="35"/>
  <c r="E188" i="35"/>
  <c r="E189" i="35"/>
  <c r="E190" i="35"/>
  <c r="E191" i="35"/>
  <c r="E192" i="35"/>
  <c r="E193" i="35"/>
  <c r="E194" i="35"/>
  <c r="E195" i="35"/>
  <c r="E196" i="35"/>
  <c r="E197" i="35"/>
  <c r="E198" i="35"/>
  <c r="E199" i="35"/>
  <c r="E200" i="35"/>
  <c r="E201" i="35"/>
  <c r="E202" i="35"/>
  <c r="E203" i="35"/>
  <c r="E204" i="35"/>
  <c r="E205" i="35"/>
  <c r="E206" i="35"/>
  <c r="E207" i="35"/>
  <c r="E208" i="35"/>
  <c r="E209" i="35"/>
  <c r="E210" i="35"/>
  <c r="E211" i="35"/>
  <c r="E212" i="35"/>
  <c r="E213" i="35"/>
  <c r="E214" i="35"/>
  <c r="E215" i="35"/>
  <c r="E216" i="35"/>
  <c r="E217" i="35"/>
  <c r="E218" i="35"/>
  <c r="E219" i="35"/>
  <c r="E220" i="35"/>
  <c r="E221" i="35"/>
  <c r="E222" i="35"/>
  <c r="E223" i="35"/>
  <c r="E224" i="35"/>
  <c r="E225" i="35"/>
  <c r="E226" i="35"/>
  <c r="E227" i="35"/>
  <c r="E228" i="35"/>
  <c r="E229" i="35"/>
  <c r="E230" i="35"/>
  <c r="E231" i="35"/>
  <c r="E232" i="35"/>
  <c r="E233" i="35"/>
  <c r="E234" i="35"/>
  <c r="E235" i="35"/>
  <c r="E236" i="35"/>
  <c r="E237" i="35"/>
  <c r="E238" i="35"/>
  <c r="E239" i="35"/>
  <c r="E240" i="35"/>
  <c r="E241" i="35"/>
  <c r="E242" i="35"/>
  <c r="E243" i="35"/>
  <c r="E244" i="35"/>
  <c r="E245" i="35"/>
  <c r="E246" i="35"/>
  <c r="E247" i="35"/>
  <c r="E248" i="35"/>
  <c r="E249" i="35"/>
  <c r="E250" i="35"/>
  <c r="E251" i="35"/>
  <c r="E252" i="35"/>
  <c r="E253" i="35"/>
  <c r="E254" i="35"/>
  <c r="E255" i="35"/>
  <c r="E256" i="35"/>
  <c r="E257" i="35"/>
  <c r="E258" i="35"/>
  <c r="E259" i="35"/>
  <c r="E260" i="35"/>
  <c r="E261" i="35"/>
  <c r="E262" i="35"/>
  <c r="E263" i="35"/>
  <c r="E264" i="35"/>
  <c r="E265" i="35"/>
  <c r="E266" i="35"/>
  <c r="E267" i="35"/>
  <c r="E268" i="35"/>
  <c r="E269" i="35"/>
  <c r="E270" i="35"/>
  <c r="E271" i="35"/>
  <c r="E272" i="35"/>
  <c r="E273" i="35"/>
  <c r="E274" i="35"/>
  <c r="E275" i="35"/>
  <c r="E276" i="35"/>
  <c r="E277" i="35"/>
  <c r="E278" i="35"/>
  <c r="E279" i="35"/>
  <c r="E280" i="35"/>
  <c r="E281" i="35"/>
  <c r="E282" i="35"/>
  <c r="E283" i="35"/>
  <c r="E284" i="35"/>
  <c r="E285" i="35"/>
  <c r="E286" i="35"/>
  <c r="E287" i="35"/>
  <c r="E288" i="35"/>
  <c r="E289" i="35"/>
  <c r="E290" i="35"/>
  <c r="E291" i="35"/>
  <c r="E292" i="35"/>
  <c r="E293" i="35"/>
  <c r="E294" i="35"/>
  <c r="E295" i="35"/>
  <c r="E296" i="35"/>
  <c r="E297" i="35"/>
  <c r="E298" i="35"/>
  <c r="E299" i="35"/>
  <c r="E300" i="35"/>
  <c r="E301" i="35"/>
  <c r="E302" i="35"/>
  <c r="E303" i="35"/>
  <c r="E304" i="35"/>
  <c r="E305" i="35"/>
  <c r="E306" i="35"/>
  <c r="E307" i="35"/>
  <c r="E308" i="35"/>
  <c r="E309" i="35"/>
  <c r="E310" i="35"/>
  <c r="E311" i="35"/>
  <c r="E312" i="35"/>
  <c r="E313" i="35"/>
  <c r="E314" i="35"/>
  <c r="E315" i="35"/>
  <c r="E316" i="35"/>
  <c r="E317" i="35"/>
  <c r="E318" i="35"/>
  <c r="E319" i="35"/>
  <c r="E320" i="35"/>
  <c r="E321" i="35"/>
  <c r="E322" i="35"/>
  <c r="E323" i="35"/>
  <c r="E324" i="35"/>
  <c r="E325" i="35"/>
  <c r="E326" i="35"/>
  <c r="E327" i="35"/>
  <c r="E328" i="35"/>
  <c r="E329" i="35"/>
  <c r="E330" i="35"/>
  <c r="E331" i="35"/>
  <c r="E332" i="35"/>
  <c r="E333" i="35"/>
  <c r="E334" i="35"/>
  <c r="E335" i="35"/>
  <c r="E336" i="35"/>
  <c r="E337" i="35"/>
  <c r="E338" i="35"/>
  <c r="E339" i="35"/>
  <c r="E340" i="35"/>
  <c r="E341" i="35"/>
  <c r="E342" i="35"/>
  <c r="E343" i="35"/>
  <c r="E344" i="35"/>
  <c r="E345" i="35"/>
  <c r="E346" i="35"/>
  <c r="E347" i="35"/>
  <c r="F128" i="34" l="1"/>
  <c r="O44" i="7"/>
  <c r="AK20" i="7"/>
  <c r="I32" i="3"/>
  <c r="B28" i="1" s="1"/>
  <c r="G44" i="7"/>
  <c r="AK24" i="7"/>
  <c r="AK34" i="7"/>
  <c r="P44" i="7"/>
  <c r="I35" i="3"/>
  <c r="B31" i="1" s="1"/>
  <c r="F23" i="34"/>
  <c r="F24" i="34" s="1"/>
  <c r="F32" i="34"/>
  <c r="F33" i="34" s="1"/>
  <c r="F18" i="34"/>
  <c r="D101" i="28"/>
  <c r="AJ8" i="10"/>
  <c r="AJ8" i="24"/>
  <c r="L64" i="34"/>
  <c r="L65" i="34" s="1"/>
  <c r="L66" i="34" s="1"/>
  <c r="F47" i="34"/>
  <c r="F48" i="34" s="1"/>
  <c r="AC44" i="7"/>
  <c r="Y44" i="7"/>
  <c r="U44" i="7"/>
  <c r="Q44" i="7"/>
  <c r="M44" i="7"/>
  <c r="AK43" i="7"/>
  <c r="AK38" i="7"/>
  <c r="AK30" i="7"/>
  <c r="AK17" i="7"/>
  <c r="AK12" i="7"/>
  <c r="AK42" i="7"/>
  <c r="AK39" i="7"/>
  <c r="AK31" i="7"/>
  <c r="AK21" i="7"/>
  <c r="AK16" i="7"/>
  <c r="AK13" i="7"/>
  <c r="AK35" i="7"/>
  <c r="AK25" i="7"/>
  <c r="I44" i="7"/>
  <c r="E44" i="7"/>
  <c r="B43" i="1"/>
  <c r="B45" i="1"/>
  <c r="AF175" i="5"/>
  <c r="B40" i="1"/>
  <c r="T30" i="3"/>
  <c r="J31" i="3"/>
  <c r="D99" i="28"/>
  <c r="D98" i="28"/>
  <c r="J26" i="2"/>
  <c r="AJ8" i="11"/>
  <c r="AJ8" i="25"/>
  <c r="AJ8" i="31"/>
  <c r="AJ8" i="9"/>
  <c r="AE44" i="7"/>
  <c r="Z44" i="7"/>
  <c r="V44" i="7"/>
  <c r="R44" i="7"/>
  <c r="N44" i="7"/>
  <c r="F44" i="7"/>
  <c r="AK40" i="7"/>
  <c r="AK36" i="7"/>
  <c r="AK28" i="7"/>
  <c r="AK22" i="7"/>
  <c r="AK18" i="7"/>
  <c r="AK14" i="7"/>
  <c r="AK41" i="7"/>
  <c r="AK37" i="7"/>
  <c r="AK29" i="7"/>
  <c r="AK23" i="7"/>
  <c r="AK19" i="7"/>
  <c r="AK15" i="7"/>
  <c r="AK11" i="7"/>
  <c r="AA44" i="7"/>
  <c r="W44" i="7"/>
  <c r="AF44" i="7"/>
  <c r="AK10" i="7"/>
  <c r="B26" i="1"/>
  <c r="B20" i="1"/>
  <c r="I29" i="2"/>
  <c r="AI8" i="5"/>
  <c r="W31" i="3"/>
  <c r="Y30" i="3"/>
  <c r="L29" i="3"/>
  <c r="S31" i="3"/>
  <c r="V30" i="3"/>
  <c r="X29" i="3"/>
  <c r="AD28" i="3"/>
  <c r="Y28" i="3"/>
  <c r="U28" i="3"/>
  <c r="Q28" i="3"/>
  <c r="M28" i="3"/>
  <c r="I28" i="3"/>
  <c r="E28" i="3"/>
  <c r="Q29" i="3"/>
  <c r="AG66" i="8" l="1"/>
  <c r="X66" i="8"/>
  <c r="Y11" i="30" s="1"/>
  <c r="O66" i="8"/>
  <c r="P11" i="30" s="1"/>
  <c r="F66" i="8"/>
  <c r="G11" i="30" s="1"/>
  <c r="AC66" i="8"/>
  <c r="AD11" i="30" s="1"/>
  <c r="P66" i="8"/>
  <c r="Q11" i="30" s="1"/>
  <c r="AG66" i="24"/>
  <c r="X66" i="24"/>
  <c r="O66" i="24"/>
  <c r="F66" i="24"/>
  <c r="AE66" i="9"/>
  <c r="AF13" i="30" s="1"/>
  <c r="V66" i="9"/>
  <c r="W13" i="30" s="1"/>
  <c r="M66" i="9"/>
  <c r="N13" i="30" s="1"/>
  <c r="D66" i="9"/>
  <c r="E13" i="30" s="1"/>
  <c r="Z66" i="10"/>
  <c r="AA21" i="30" s="1"/>
  <c r="Q66" i="10"/>
  <c r="R21" i="30" s="1"/>
  <c r="H66" i="10"/>
  <c r="I21" i="30" s="1"/>
  <c r="AD66" i="25"/>
  <c r="U66" i="25"/>
  <c r="L66" i="25"/>
  <c r="C66" i="25"/>
  <c r="AB66" i="11"/>
  <c r="AC23" i="30" s="1"/>
  <c r="S66" i="11"/>
  <c r="T23" i="30" s="1"/>
  <c r="J66" i="11"/>
  <c r="K23" i="30" s="1"/>
  <c r="AF66" i="8"/>
  <c r="AG11" i="30" s="1"/>
  <c r="S66" i="8"/>
  <c r="T11" i="30" s="1"/>
  <c r="E66" i="8"/>
  <c r="F11" i="30" s="1"/>
  <c r="Z66" i="24"/>
  <c r="Q66" i="24"/>
  <c r="H66" i="24"/>
  <c r="AD66" i="9"/>
  <c r="AE13" i="30" s="1"/>
  <c r="U66" i="9"/>
  <c r="V13" i="30" s="1"/>
  <c r="L66" i="9"/>
  <c r="M13" i="30" s="1"/>
  <c r="C66" i="9"/>
  <c r="D13" i="30" s="1"/>
  <c r="AB66" i="10"/>
  <c r="AC21" i="30" s="1"/>
  <c r="AC25" i="30" s="1"/>
  <c r="S66" i="10"/>
  <c r="T21" i="30" s="1"/>
  <c r="T25" i="30" s="1"/>
  <c r="J66" i="10"/>
  <c r="K21" i="30" s="1"/>
  <c r="AF66" i="25"/>
  <c r="W66" i="25"/>
  <c r="N66" i="25"/>
  <c r="E66" i="25"/>
  <c r="AA66" i="11"/>
  <c r="AB23" i="30" s="1"/>
  <c r="R66" i="11"/>
  <c r="S23" i="30" s="1"/>
  <c r="I66" i="11"/>
  <c r="AE66" i="8"/>
  <c r="AF11" i="30" s="1"/>
  <c r="AF9" i="30" s="1"/>
  <c r="AH66" i="24"/>
  <c r="G66" i="24"/>
  <c r="H66" i="9"/>
  <c r="I13" i="30" s="1"/>
  <c r="O66" i="10"/>
  <c r="P21" i="30" s="1"/>
  <c r="S66" i="25"/>
  <c r="T66" i="11"/>
  <c r="U23" i="30" s="1"/>
  <c r="AC66" i="31"/>
  <c r="T66" i="31"/>
  <c r="K66" i="31"/>
  <c r="Z66" i="8"/>
  <c r="AA11" i="30" s="1"/>
  <c r="V66" i="24"/>
  <c r="AF66" i="9"/>
  <c r="AG13" i="30" s="1"/>
  <c r="E66" i="9"/>
  <c r="F13" i="30" s="1"/>
  <c r="L66" i="10"/>
  <c r="M21" i="30" s="1"/>
  <c r="Y66" i="25"/>
  <c r="Z66" i="11"/>
  <c r="AA23" i="30" s="1"/>
  <c r="V66" i="8"/>
  <c r="W11" i="30" s="1"/>
  <c r="W9" i="30" s="1"/>
  <c r="S66" i="24"/>
  <c r="T66" i="9"/>
  <c r="U13" i="30" s="1"/>
  <c r="R66" i="10"/>
  <c r="S21" i="30" s="1"/>
  <c r="S25" i="30" s="1"/>
  <c r="V66" i="25"/>
  <c r="AF66" i="11"/>
  <c r="AG23" i="30" s="1"/>
  <c r="E66" i="11"/>
  <c r="F23" i="30" s="1"/>
  <c r="V66" i="31"/>
  <c r="I66" i="31"/>
  <c r="AD66" i="31"/>
  <c r="P66" i="31"/>
  <c r="C66" i="31"/>
  <c r="X66" i="31"/>
  <c r="J66" i="31"/>
  <c r="W66" i="11"/>
  <c r="X23" i="30" s="1"/>
  <c r="R66" i="31"/>
  <c r="Y66" i="31"/>
  <c r="AG66" i="31"/>
  <c r="F66" i="31"/>
  <c r="AD66" i="8"/>
  <c r="AE11" i="30" s="1"/>
  <c r="AE9" i="30" s="1"/>
  <c r="U66" i="8"/>
  <c r="V11" i="30" s="1"/>
  <c r="V9" i="30" s="1"/>
  <c r="L66" i="8"/>
  <c r="M11" i="30" s="1"/>
  <c r="M9" i="30" s="1"/>
  <c r="C66" i="8"/>
  <c r="D11" i="30" s="1"/>
  <c r="Y66" i="8"/>
  <c r="Z11" i="30" s="1"/>
  <c r="K66" i="8"/>
  <c r="L11" i="30" s="1"/>
  <c r="AD66" i="24"/>
  <c r="U66" i="24"/>
  <c r="L66" i="24"/>
  <c r="C66" i="24"/>
  <c r="AB66" i="9"/>
  <c r="AC13" i="30" s="1"/>
  <c r="S66" i="9"/>
  <c r="T13" i="30" s="1"/>
  <c r="J66" i="9"/>
  <c r="K13" i="30" s="1"/>
  <c r="AF66" i="10"/>
  <c r="AG21" i="30" s="1"/>
  <c r="AG25" i="30" s="1"/>
  <c r="W66" i="10"/>
  <c r="X21" i="30" s="1"/>
  <c r="X25" i="30" s="1"/>
  <c r="N66" i="10"/>
  <c r="O21" i="30" s="1"/>
  <c r="E66" i="10"/>
  <c r="F21" i="30" s="1"/>
  <c r="F25" i="30" s="1"/>
  <c r="AA66" i="25"/>
  <c r="R66" i="25"/>
  <c r="I66" i="25"/>
  <c r="AH66" i="11"/>
  <c r="Y66" i="11"/>
  <c r="Z23" i="30" s="1"/>
  <c r="P66" i="11"/>
  <c r="Q23" i="30" s="1"/>
  <c r="G66" i="11"/>
  <c r="H23" i="30" s="1"/>
  <c r="AB66" i="8"/>
  <c r="AC11" i="30" s="1"/>
  <c r="AC9" i="30" s="1"/>
  <c r="N66" i="8"/>
  <c r="O11" i="30" s="1"/>
  <c r="AF66" i="24"/>
  <c r="W66" i="24"/>
  <c r="N66" i="24"/>
  <c r="E66" i="24"/>
  <c r="AA66" i="9"/>
  <c r="AB13" i="30" s="1"/>
  <c r="R66" i="9"/>
  <c r="S13" i="30" s="1"/>
  <c r="I66" i="9"/>
  <c r="AH66" i="10"/>
  <c r="Y66" i="10"/>
  <c r="Z21" i="30" s="1"/>
  <c r="Z25" i="30" s="1"/>
  <c r="P66" i="10"/>
  <c r="Q21" i="30" s="1"/>
  <c r="Q25" i="30" s="1"/>
  <c r="G66" i="10"/>
  <c r="H21" i="30" s="1"/>
  <c r="AC66" i="25"/>
  <c r="T66" i="25"/>
  <c r="K66" i="25"/>
  <c r="AG66" i="11"/>
  <c r="X66" i="11"/>
  <c r="Y23" i="30" s="1"/>
  <c r="O66" i="11"/>
  <c r="P23" i="30" s="1"/>
  <c r="F66" i="11"/>
  <c r="G23" i="30" s="1"/>
  <c r="Q66" i="8"/>
  <c r="R11" i="30" s="1"/>
  <c r="Y66" i="24"/>
  <c r="Z66" i="9"/>
  <c r="AA13" i="30" s="1"/>
  <c r="AG66" i="10"/>
  <c r="F66" i="10"/>
  <c r="G21" i="30" s="1"/>
  <c r="J66" i="25"/>
  <c r="K66" i="11"/>
  <c r="L23" i="30" s="1"/>
  <c r="Z66" i="31"/>
  <c r="Q66" i="31"/>
  <c r="H66" i="31"/>
  <c r="M66" i="8"/>
  <c r="N11" i="30" s="1"/>
  <c r="N9" i="30" s="1"/>
  <c r="M66" i="24"/>
  <c r="W66" i="9"/>
  <c r="X13" i="30" s="1"/>
  <c r="AD66" i="10"/>
  <c r="AE21" i="30" s="1"/>
  <c r="C66" i="10"/>
  <c r="D21" i="30" s="1"/>
  <c r="P66" i="25"/>
  <c r="Q66" i="11"/>
  <c r="R23" i="30" s="1"/>
  <c r="H66" i="8"/>
  <c r="I11" i="30" s="1"/>
  <c r="I9" i="30" s="1"/>
  <c r="J66" i="24"/>
  <c r="K66" i="9"/>
  <c r="L13" i="30" s="1"/>
  <c r="I66" i="10"/>
  <c r="M66" i="25"/>
  <c r="AE66" i="31"/>
  <c r="D66" i="31"/>
  <c r="L66" i="31"/>
  <c r="S66" i="31"/>
  <c r="AA66" i="8"/>
  <c r="AB11" i="30" s="1"/>
  <c r="AB9" i="30" s="1"/>
  <c r="R66" i="8"/>
  <c r="S11" i="30" s="1"/>
  <c r="S9" i="30" s="1"/>
  <c r="I66" i="8"/>
  <c r="AH66" i="8"/>
  <c r="T66" i="8"/>
  <c r="U11" i="30" s="1"/>
  <c r="U9" i="30" s="1"/>
  <c r="G66" i="8"/>
  <c r="H11" i="30" s="1"/>
  <c r="AA66" i="24"/>
  <c r="R66" i="24"/>
  <c r="I66" i="24"/>
  <c r="AH66" i="9"/>
  <c r="Y66" i="9"/>
  <c r="Z13" i="30" s="1"/>
  <c r="P66" i="9"/>
  <c r="Q13" i="30" s="1"/>
  <c r="G66" i="9"/>
  <c r="H13" i="30" s="1"/>
  <c r="AC66" i="10"/>
  <c r="AD21" i="30" s="1"/>
  <c r="T66" i="10"/>
  <c r="U21" i="30" s="1"/>
  <c r="U25" i="30" s="1"/>
  <c r="K66" i="10"/>
  <c r="L21" i="30" s="1"/>
  <c r="L25" i="30" s="1"/>
  <c r="AG66" i="25"/>
  <c r="X66" i="25"/>
  <c r="O66" i="25"/>
  <c r="F66" i="25"/>
  <c r="AE66" i="11"/>
  <c r="AF23" i="30" s="1"/>
  <c r="V66" i="11"/>
  <c r="W23" i="30" s="1"/>
  <c r="M66" i="11"/>
  <c r="N23" i="30" s="1"/>
  <c r="D66" i="11"/>
  <c r="E23" i="30" s="1"/>
  <c r="W66" i="8"/>
  <c r="X11" i="30" s="1"/>
  <c r="X9" i="30" s="1"/>
  <c r="J66" i="8"/>
  <c r="K11" i="30" s="1"/>
  <c r="AC66" i="24"/>
  <c r="T66" i="24"/>
  <c r="K66" i="24"/>
  <c r="AG66" i="9"/>
  <c r="X66" i="9"/>
  <c r="Y13" i="30" s="1"/>
  <c r="O66" i="9"/>
  <c r="P13" i="30" s="1"/>
  <c r="F66" i="9"/>
  <c r="G13" i="30" s="1"/>
  <c r="AE66" i="10"/>
  <c r="AF21" i="30" s="1"/>
  <c r="AF25" i="30" s="1"/>
  <c r="V66" i="10"/>
  <c r="W21" i="30" s="1"/>
  <c r="W25" i="30" s="1"/>
  <c r="M66" i="10"/>
  <c r="N21" i="30" s="1"/>
  <c r="D66" i="10"/>
  <c r="E21" i="30" s="1"/>
  <c r="E25" i="30" s="1"/>
  <c r="Z66" i="25"/>
  <c r="Q66" i="25"/>
  <c r="H66" i="25"/>
  <c r="AD66" i="11"/>
  <c r="AE23" i="30" s="1"/>
  <c r="U66" i="11"/>
  <c r="V23" i="30" s="1"/>
  <c r="L66" i="11"/>
  <c r="M23" i="30" s="1"/>
  <c r="C66" i="11"/>
  <c r="D23" i="30" s="1"/>
  <c r="D66" i="8"/>
  <c r="E11" i="30" s="1"/>
  <c r="E9" i="30" s="1"/>
  <c r="P66" i="24"/>
  <c r="Q66" i="9"/>
  <c r="R13" i="30" s="1"/>
  <c r="X66" i="10"/>
  <c r="Y21" i="30" s="1"/>
  <c r="Y25" i="30" s="1"/>
  <c r="AB66" i="25"/>
  <c r="AC66" i="11"/>
  <c r="AD23" i="30" s="1"/>
  <c r="AF66" i="31"/>
  <c r="AF69" i="31" s="1"/>
  <c r="W66" i="31"/>
  <c r="N66" i="31"/>
  <c r="E66" i="31"/>
  <c r="AE66" i="24"/>
  <c r="D66" i="24"/>
  <c r="N66" i="9"/>
  <c r="O13" i="30" s="1"/>
  <c r="U66" i="10"/>
  <c r="V21" i="30" s="1"/>
  <c r="V25" i="30" s="1"/>
  <c r="AH66" i="25"/>
  <c r="G66" i="25"/>
  <c r="H66" i="11"/>
  <c r="I23" i="30" s="1"/>
  <c r="AB66" i="24"/>
  <c r="AC66" i="9"/>
  <c r="AD13" i="30" s="1"/>
  <c r="AA66" i="10"/>
  <c r="AB21" i="30" s="1"/>
  <c r="AB25" i="30" s="1"/>
  <c r="AE66" i="25"/>
  <c r="D66" i="25"/>
  <c r="D69" i="25" s="1"/>
  <c r="N66" i="11"/>
  <c r="O23" i="30" s="1"/>
  <c r="AA66" i="31"/>
  <c r="M66" i="31"/>
  <c r="M69" i="31" s="1"/>
  <c r="AH66" i="31"/>
  <c r="U66" i="31"/>
  <c r="G66" i="31"/>
  <c r="AB66" i="31"/>
  <c r="O66" i="31"/>
  <c r="K69" i="24"/>
  <c r="AA69" i="25"/>
  <c r="X69" i="24"/>
  <c r="Q69" i="24"/>
  <c r="AH69" i="24"/>
  <c r="G69" i="24"/>
  <c r="AG69" i="25"/>
  <c r="F69" i="25"/>
  <c r="N69" i="25"/>
  <c r="V69" i="25"/>
  <c r="AE68" i="31"/>
  <c r="I69" i="31"/>
  <c r="N69" i="31"/>
  <c r="AD69" i="31"/>
  <c r="C69" i="24"/>
  <c r="AG69" i="8"/>
  <c r="M69" i="24"/>
  <c r="J69" i="31"/>
  <c r="O69" i="31"/>
  <c r="AH69" i="31"/>
  <c r="T69" i="25"/>
  <c r="Z69" i="24"/>
  <c r="E69" i="24"/>
  <c r="F69" i="31"/>
  <c r="F69" i="24"/>
  <c r="Y69" i="25"/>
  <c r="U69" i="24"/>
  <c r="R68" i="31"/>
  <c r="AB69" i="25"/>
  <c r="AH69" i="8"/>
  <c r="S69" i="31"/>
  <c r="Q69" i="31"/>
  <c r="R69" i="25"/>
  <c r="W69" i="24"/>
  <c r="AE69" i="25"/>
  <c r="AE69" i="24"/>
  <c r="V69" i="24"/>
  <c r="AH69" i="9"/>
  <c r="AB69" i="24"/>
  <c r="AA69" i="31"/>
  <c r="AG69" i="11"/>
  <c r="Z69" i="25"/>
  <c r="H69" i="25"/>
  <c r="I69" i="9"/>
  <c r="G69" i="25"/>
  <c r="AH69" i="11"/>
  <c r="Q69" i="25"/>
  <c r="L69" i="25"/>
  <c r="I69" i="8"/>
  <c r="W69" i="31"/>
  <c r="AD68" i="25"/>
  <c r="T69" i="24"/>
  <c r="H69" i="31"/>
  <c r="H69" i="24"/>
  <c r="P69" i="25"/>
  <c r="L69" i="31"/>
  <c r="X69" i="25"/>
  <c r="V69" i="31"/>
  <c r="U68" i="31"/>
  <c r="AF69" i="24"/>
  <c r="L69" i="24"/>
  <c r="Z69" i="31"/>
  <c r="U69" i="25"/>
  <c r="AG69" i="9"/>
  <c r="C69" i="25"/>
  <c r="K69" i="25"/>
  <c r="S69" i="24"/>
  <c r="N69" i="24"/>
  <c r="AG69" i="24"/>
  <c r="D69" i="31"/>
  <c r="I69" i="24"/>
  <c r="O69" i="25"/>
  <c r="J69" i="25"/>
  <c r="J69" i="24"/>
  <c r="D69" i="24"/>
  <c r="R68" i="24"/>
  <c r="I69" i="10"/>
  <c r="I69" i="11"/>
  <c r="K69" i="31"/>
  <c r="M69" i="25"/>
  <c r="X69" i="31"/>
  <c r="AF69" i="25"/>
  <c r="P69" i="31"/>
  <c r="AG69" i="10"/>
  <c r="C69" i="31"/>
  <c r="S69" i="25"/>
  <c r="I69" i="25"/>
  <c r="AD69" i="24"/>
  <c r="Y69" i="24"/>
  <c r="E69" i="31"/>
  <c r="AB68" i="31"/>
  <c r="Y69" i="31"/>
  <c r="P69" i="24"/>
  <c r="O69" i="24"/>
  <c r="G69" i="31"/>
  <c r="AA69" i="24"/>
  <c r="T69" i="31"/>
  <c r="W69" i="25"/>
  <c r="E69" i="25"/>
  <c r="AG69" i="31"/>
  <c r="AH69" i="25"/>
  <c r="AH69" i="10"/>
  <c r="AE964" i="29"/>
  <c r="AE898" i="29"/>
  <c r="AE832" i="29"/>
  <c r="AE766" i="29"/>
  <c r="AE700" i="29"/>
  <c r="AE634" i="29"/>
  <c r="AE568" i="29"/>
  <c r="F964" i="29"/>
  <c r="J964" i="29"/>
  <c r="N964" i="29"/>
  <c r="R964" i="29"/>
  <c r="V964" i="29"/>
  <c r="Z964" i="29"/>
  <c r="AD964" i="29"/>
  <c r="AI964" i="29"/>
  <c r="G898" i="29"/>
  <c r="K898" i="29"/>
  <c r="O898" i="29"/>
  <c r="S898" i="29"/>
  <c r="W898" i="29"/>
  <c r="AA898" i="29"/>
  <c r="AF898" i="29"/>
  <c r="AJ898" i="29"/>
  <c r="H832" i="29"/>
  <c r="L832" i="29"/>
  <c r="P832" i="29"/>
  <c r="T832" i="29"/>
  <c r="X832" i="29"/>
  <c r="AB832" i="29"/>
  <c r="AG832" i="29"/>
  <c r="E832" i="29"/>
  <c r="I766" i="29"/>
  <c r="M766" i="29"/>
  <c r="Q766" i="29"/>
  <c r="U766" i="29"/>
  <c r="Y766" i="29"/>
  <c r="AC766" i="29"/>
  <c r="AH766" i="29"/>
  <c r="F700" i="29"/>
  <c r="J700" i="29"/>
  <c r="N700" i="29"/>
  <c r="R700" i="29"/>
  <c r="V700" i="29"/>
  <c r="Z700" i="29"/>
  <c r="AD700" i="29"/>
  <c r="AI700" i="29"/>
  <c r="G634" i="29"/>
  <c r="K634" i="29"/>
  <c r="O634" i="29"/>
  <c r="S634" i="29"/>
  <c r="W634" i="29"/>
  <c r="AA634" i="29"/>
  <c r="AF634" i="29"/>
  <c r="AJ634" i="29"/>
  <c r="H568" i="29"/>
  <c r="L568" i="29"/>
  <c r="P568" i="29"/>
  <c r="T568" i="29"/>
  <c r="X568" i="29"/>
  <c r="AB568" i="29"/>
  <c r="AG568" i="29"/>
  <c r="E568" i="29"/>
  <c r="G964" i="29"/>
  <c r="K964" i="29"/>
  <c r="O964" i="29"/>
  <c r="S964" i="29"/>
  <c r="W964" i="29"/>
  <c r="AA964" i="29"/>
  <c r="AF964" i="29"/>
  <c r="AJ964" i="29"/>
  <c r="H898" i="29"/>
  <c r="L898" i="29"/>
  <c r="P898" i="29"/>
  <c r="T898" i="29"/>
  <c r="X898" i="29"/>
  <c r="AB898" i="29"/>
  <c r="AG898" i="29"/>
  <c r="E898" i="29"/>
  <c r="I832" i="29"/>
  <c r="M832" i="29"/>
  <c r="Q832" i="29"/>
  <c r="U832" i="29"/>
  <c r="Y832" i="29"/>
  <c r="AC832" i="29"/>
  <c r="AH832" i="29"/>
  <c r="F766" i="29"/>
  <c r="J766" i="29"/>
  <c r="N766" i="29"/>
  <c r="R766" i="29"/>
  <c r="V766" i="29"/>
  <c r="Z766" i="29"/>
  <c r="AD766" i="29"/>
  <c r="AI766" i="29"/>
  <c r="G700" i="29"/>
  <c r="K700" i="29"/>
  <c r="O700" i="29"/>
  <c r="S700" i="29"/>
  <c r="W700" i="29"/>
  <c r="AA700" i="29"/>
  <c r="AF700" i="29"/>
  <c r="AJ700" i="29"/>
  <c r="H634" i="29"/>
  <c r="L634" i="29"/>
  <c r="P634" i="29"/>
  <c r="T634" i="29"/>
  <c r="X634" i="29"/>
  <c r="AB634" i="29"/>
  <c r="AG634" i="29"/>
  <c r="E634" i="29"/>
  <c r="I568" i="29"/>
  <c r="M568" i="29"/>
  <c r="Q568" i="29"/>
  <c r="U568" i="29"/>
  <c r="Y568" i="29"/>
  <c r="AC568" i="29"/>
  <c r="AH568" i="29"/>
  <c r="H964" i="29"/>
  <c r="L964" i="29"/>
  <c r="P964" i="29"/>
  <c r="T964" i="29"/>
  <c r="X964" i="29"/>
  <c r="AB964" i="29"/>
  <c r="AG964" i="29"/>
  <c r="E964" i="29"/>
  <c r="I898" i="29"/>
  <c r="M898" i="29"/>
  <c r="Q898" i="29"/>
  <c r="U898" i="29"/>
  <c r="Y898" i="29"/>
  <c r="AC898" i="29"/>
  <c r="AH898" i="29"/>
  <c r="F832" i="29"/>
  <c r="J832" i="29"/>
  <c r="N832" i="29"/>
  <c r="R832" i="29"/>
  <c r="V832" i="29"/>
  <c r="Z832" i="29"/>
  <c r="AD832" i="29"/>
  <c r="AI832" i="29"/>
  <c r="G766" i="29"/>
  <c r="K766" i="29"/>
  <c r="O766" i="29"/>
  <c r="S766" i="29"/>
  <c r="W766" i="29"/>
  <c r="AA766" i="29"/>
  <c r="AF766" i="29"/>
  <c r="AJ766" i="29"/>
  <c r="H700" i="29"/>
  <c r="L700" i="29"/>
  <c r="P700" i="29"/>
  <c r="T700" i="29"/>
  <c r="X700" i="29"/>
  <c r="AB700" i="29"/>
  <c r="AG700" i="29"/>
  <c r="E700" i="29"/>
  <c r="I634" i="29"/>
  <c r="M634" i="29"/>
  <c r="Q634" i="29"/>
  <c r="U634" i="29"/>
  <c r="Y634" i="29"/>
  <c r="AC634" i="29"/>
  <c r="AH634" i="29"/>
  <c r="F568" i="29"/>
  <c r="J568" i="29"/>
  <c r="N568" i="29"/>
  <c r="R568" i="29"/>
  <c r="V568" i="29"/>
  <c r="Z568" i="29"/>
  <c r="AD568" i="29"/>
  <c r="AI568" i="29"/>
  <c r="I964" i="29"/>
  <c r="M964" i="29"/>
  <c r="Q964" i="29"/>
  <c r="U964" i="29"/>
  <c r="Y964" i="29"/>
  <c r="AC964" i="29"/>
  <c r="AH964" i="29"/>
  <c r="F898" i="29"/>
  <c r="J898" i="29"/>
  <c r="N898" i="29"/>
  <c r="R898" i="29"/>
  <c r="V898" i="29"/>
  <c r="Z898" i="29"/>
  <c r="AD898" i="29"/>
  <c r="AI898" i="29"/>
  <c r="G832" i="29"/>
  <c r="K832" i="29"/>
  <c r="O832" i="29"/>
  <c r="S832" i="29"/>
  <c r="W832" i="29"/>
  <c r="AA832" i="29"/>
  <c r="AF832" i="29"/>
  <c r="AJ832" i="29"/>
  <c r="H766" i="29"/>
  <c r="L766" i="29"/>
  <c r="P766" i="29"/>
  <c r="T766" i="29"/>
  <c r="X766" i="29"/>
  <c r="AB766" i="29"/>
  <c r="AG766" i="29"/>
  <c r="E766" i="29"/>
  <c r="I700" i="29"/>
  <c r="M700" i="29"/>
  <c r="Q700" i="29"/>
  <c r="U700" i="29"/>
  <c r="Y700" i="29"/>
  <c r="AC700" i="29"/>
  <c r="AH700" i="29"/>
  <c r="F634" i="29"/>
  <c r="J634" i="29"/>
  <c r="N634" i="29"/>
  <c r="R634" i="29"/>
  <c r="V634" i="29"/>
  <c r="Z634" i="29"/>
  <c r="AD634" i="29"/>
  <c r="AI634" i="29"/>
  <c r="G568" i="29"/>
  <c r="K568" i="29"/>
  <c r="O568" i="29"/>
  <c r="S568" i="29"/>
  <c r="W568" i="29"/>
  <c r="AA568" i="29"/>
  <c r="AF568" i="29"/>
  <c r="AJ568" i="29"/>
  <c r="E72" i="31"/>
  <c r="F72" i="31" s="1"/>
  <c r="E72" i="25"/>
  <c r="F72" i="25" s="1"/>
  <c r="E72" i="24"/>
  <c r="F72" i="24" s="1"/>
  <c r="E72" i="11"/>
  <c r="F72" i="11" s="1"/>
  <c r="E72" i="8"/>
  <c r="F72" i="8" s="1"/>
  <c r="E72" i="9"/>
  <c r="F72" i="9" s="1"/>
  <c r="E72" i="10"/>
  <c r="F72" i="10" s="1"/>
  <c r="H181" i="5"/>
  <c r="H181" i="6"/>
  <c r="F491" i="29"/>
  <c r="I180" i="5"/>
  <c r="I33" i="3"/>
  <c r="B29" i="1" s="1"/>
  <c r="I178" i="5"/>
  <c r="A66" i="9"/>
  <c r="I36" i="3"/>
  <c r="B32" i="1" s="1"/>
  <c r="A66" i="25"/>
  <c r="F61" i="34"/>
  <c r="F62" i="34" s="1"/>
  <c r="F63" i="34" s="1"/>
  <c r="A66" i="8"/>
  <c r="B54" i="1"/>
  <c r="AI8" i="6"/>
  <c r="A66" i="11"/>
  <c r="A66" i="10"/>
  <c r="A66" i="31"/>
  <c r="A66" i="24"/>
  <c r="F65" i="34"/>
  <c r="F66" i="34" s="1"/>
  <c r="L77" i="34" s="1"/>
  <c r="C568" i="29"/>
  <c r="C634" i="29"/>
  <c r="C700" i="29"/>
  <c r="C766" i="29"/>
  <c r="C832" i="29"/>
  <c r="C898" i="29"/>
  <c r="C964" i="29"/>
  <c r="F57" i="34"/>
  <c r="F58" i="34" s="1"/>
  <c r="M77" i="34" s="1"/>
  <c r="AG175" i="6"/>
  <c r="AK8" i="7"/>
  <c r="AG175" i="5"/>
  <c r="J44" i="7"/>
  <c r="AK9" i="7"/>
  <c r="B19" i="1"/>
  <c r="I28" i="2"/>
  <c r="B23" i="1"/>
  <c r="I32" i="2"/>
  <c r="B47" i="1"/>
  <c r="H175" i="6"/>
  <c r="AF175" i="6"/>
  <c r="L67" i="34"/>
  <c r="N76" i="34" s="1"/>
  <c r="N77" i="34"/>
  <c r="H175" i="5"/>
  <c r="AJ8" i="8"/>
  <c r="N25" i="30" l="1"/>
  <c r="H9" i="30"/>
  <c r="AE25" i="30"/>
  <c r="G25" i="30"/>
  <c r="H25" i="30"/>
  <c r="O25" i="30"/>
  <c r="AH13" i="30"/>
  <c r="J11" i="30"/>
  <c r="D9" i="30"/>
  <c r="F9" i="30"/>
  <c r="AH23" i="30"/>
  <c r="AA25" i="30"/>
  <c r="Q9" i="30"/>
  <c r="P9" i="30"/>
  <c r="J23" i="30"/>
  <c r="K9" i="30"/>
  <c r="AH11" i="30"/>
  <c r="AD25" i="30"/>
  <c r="R9" i="30"/>
  <c r="L9" i="30"/>
  <c r="M25" i="30"/>
  <c r="T9" i="30"/>
  <c r="I25" i="30"/>
  <c r="AD9" i="30"/>
  <c r="Y9" i="30"/>
  <c r="D25" i="30"/>
  <c r="J25" i="30" s="1"/>
  <c r="J21" i="30"/>
  <c r="O9" i="30"/>
  <c r="Z9" i="30"/>
  <c r="Z63" i="30" s="1"/>
  <c r="AA9" i="30"/>
  <c r="P25" i="30"/>
  <c r="K25" i="30"/>
  <c r="AH25" i="30" s="1"/>
  <c r="AH21" i="30"/>
  <c r="J13" i="30"/>
  <c r="AI13" i="30" s="1"/>
  <c r="AG9" i="30"/>
  <c r="AG63" i="30" s="1"/>
  <c r="R25" i="30"/>
  <c r="G9" i="30"/>
  <c r="AB63" i="30"/>
  <c r="O63" i="30"/>
  <c r="T63" i="30"/>
  <c r="W63" i="30"/>
  <c r="N63" i="30"/>
  <c r="Y63" i="30"/>
  <c r="Q63" i="30"/>
  <c r="U63" i="30"/>
  <c r="H63" i="30"/>
  <c r="L97" i="39"/>
  <c r="F63" i="30"/>
  <c r="G63" i="30"/>
  <c r="V63" i="30"/>
  <c r="AE63" i="30"/>
  <c r="E63" i="30"/>
  <c r="P63" i="30"/>
  <c r="R63" i="30"/>
  <c r="X63" i="30"/>
  <c r="L63" i="30"/>
  <c r="AF63" i="30"/>
  <c r="AC63" i="30"/>
  <c r="AA63" i="30"/>
  <c r="S63" i="30"/>
  <c r="I63" i="30"/>
  <c r="M63" i="30"/>
  <c r="AF469" i="29"/>
  <c r="AF467" i="29"/>
  <c r="AF459" i="29"/>
  <c r="AF457" i="29"/>
  <c r="AD467" i="29"/>
  <c r="S68" i="25"/>
  <c r="V68" i="24"/>
  <c r="M68" i="25"/>
  <c r="U69" i="31"/>
  <c r="AF68" i="31"/>
  <c r="F496" i="29"/>
  <c r="V68" i="31"/>
  <c r="C69" i="8"/>
  <c r="U68" i="25"/>
  <c r="AE69" i="31"/>
  <c r="AD69" i="25"/>
  <c r="R69" i="24"/>
  <c r="F467" i="29"/>
  <c r="S68" i="31"/>
  <c r="D68" i="24"/>
  <c r="AH68" i="11"/>
  <c r="I51" i="7"/>
  <c r="AG67" i="8"/>
  <c r="AG70" i="8"/>
  <c r="AH70" i="9"/>
  <c r="AH67" i="9"/>
  <c r="Y70" i="8"/>
  <c r="Y67" i="8"/>
  <c r="D70" i="31"/>
  <c r="D70" i="25"/>
  <c r="D70" i="10"/>
  <c r="D67" i="10"/>
  <c r="N67" i="8"/>
  <c r="N70" i="8"/>
  <c r="U70" i="9"/>
  <c r="U67" i="9"/>
  <c r="Y67" i="11"/>
  <c r="Y70" i="11"/>
  <c r="E70" i="9"/>
  <c r="E67" i="9"/>
  <c r="N70" i="11"/>
  <c r="N67" i="11"/>
  <c r="V67" i="24"/>
  <c r="V70" i="24"/>
  <c r="AB70" i="25"/>
  <c r="AB70" i="31"/>
  <c r="AB67" i="10"/>
  <c r="AB70" i="10"/>
  <c r="I70" i="24"/>
  <c r="I67" i="24"/>
  <c r="AI64" i="24"/>
  <c r="AJ64" i="24" s="1"/>
  <c r="AD67" i="8"/>
  <c r="AD70" i="8"/>
  <c r="H70" i="31"/>
  <c r="H70" i="25"/>
  <c r="H70" i="10"/>
  <c r="H67" i="10"/>
  <c r="R67" i="8"/>
  <c r="R70" i="8"/>
  <c r="Y70" i="9"/>
  <c r="Y67" i="9"/>
  <c r="AD67" i="11"/>
  <c r="AD70" i="11"/>
  <c r="J67" i="9"/>
  <c r="J70" i="9"/>
  <c r="R70" i="11"/>
  <c r="R67" i="11"/>
  <c r="Z67" i="24"/>
  <c r="Z70" i="24"/>
  <c r="F70" i="11"/>
  <c r="F67" i="11"/>
  <c r="F70" i="24"/>
  <c r="F67" i="24"/>
  <c r="M70" i="31"/>
  <c r="M70" i="25"/>
  <c r="M70" i="10"/>
  <c r="M67" i="10"/>
  <c r="V67" i="8"/>
  <c r="V70" i="8"/>
  <c r="AD70" i="9"/>
  <c r="AD67" i="9"/>
  <c r="F67" i="8"/>
  <c r="F70" i="8"/>
  <c r="N70" i="9"/>
  <c r="N67" i="9"/>
  <c r="V70" i="11"/>
  <c r="V67" i="11"/>
  <c r="AE70" i="24"/>
  <c r="AE67" i="24"/>
  <c r="K70" i="11"/>
  <c r="K67" i="11"/>
  <c r="D67" i="8"/>
  <c r="D70" i="8"/>
  <c r="L70" i="9"/>
  <c r="L67" i="9"/>
  <c r="T70" i="11"/>
  <c r="T67" i="11"/>
  <c r="AB70" i="24"/>
  <c r="AB67" i="24"/>
  <c r="D70" i="11"/>
  <c r="D67" i="11"/>
  <c r="M67" i="24"/>
  <c r="M70" i="24"/>
  <c r="W70" i="25"/>
  <c r="W70" i="31"/>
  <c r="W67" i="10"/>
  <c r="W70" i="10"/>
  <c r="AB67" i="8"/>
  <c r="AB70" i="8"/>
  <c r="G70" i="31"/>
  <c r="G70" i="25"/>
  <c r="G70" i="10"/>
  <c r="G67" i="10"/>
  <c r="Q67" i="8"/>
  <c r="Q70" i="8"/>
  <c r="AG70" i="24"/>
  <c r="AG67" i="24"/>
  <c r="O67" i="24"/>
  <c r="O70" i="24"/>
  <c r="U70" i="31"/>
  <c r="U70" i="25"/>
  <c r="U70" i="10"/>
  <c r="U67" i="10"/>
  <c r="AE67" i="8"/>
  <c r="AE70" i="8"/>
  <c r="J70" i="25"/>
  <c r="J70" i="10"/>
  <c r="J67" i="10"/>
  <c r="J70" i="31"/>
  <c r="O67" i="8"/>
  <c r="O70" i="8"/>
  <c r="V70" i="9"/>
  <c r="V67" i="9"/>
  <c r="AE70" i="11"/>
  <c r="AE67" i="11"/>
  <c r="K67" i="9"/>
  <c r="K70" i="9"/>
  <c r="S70" i="11"/>
  <c r="S67" i="11"/>
  <c r="I70" i="11"/>
  <c r="I67" i="11"/>
  <c r="AI64" i="11"/>
  <c r="AJ64" i="11" s="1"/>
  <c r="I56" i="7"/>
  <c r="B64" i="1" s="1"/>
  <c r="S67" i="24"/>
  <c r="S70" i="24"/>
  <c r="Y70" i="31"/>
  <c r="Y70" i="25"/>
  <c r="Y70" i="10"/>
  <c r="Y67" i="10"/>
  <c r="C70" i="24"/>
  <c r="C67" i="24"/>
  <c r="N70" i="25"/>
  <c r="N70" i="10"/>
  <c r="N67" i="10"/>
  <c r="N70" i="31"/>
  <c r="S67" i="8"/>
  <c r="S70" i="8"/>
  <c r="Z67" i="9"/>
  <c r="Z70" i="9"/>
  <c r="C67" i="8"/>
  <c r="C70" i="8"/>
  <c r="O70" i="9"/>
  <c r="O67" i="9"/>
  <c r="W70" i="11"/>
  <c r="W67" i="11"/>
  <c r="W70" i="24"/>
  <c r="W67" i="24"/>
  <c r="AD70" i="31"/>
  <c r="AD70" i="25"/>
  <c r="AD70" i="10"/>
  <c r="AD67" i="10"/>
  <c r="G70" i="24"/>
  <c r="G67" i="24"/>
  <c r="R70" i="25"/>
  <c r="R70" i="10"/>
  <c r="R67" i="10"/>
  <c r="R70" i="31"/>
  <c r="W67" i="8"/>
  <c r="W70" i="8"/>
  <c r="AE70" i="9"/>
  <c r="AE67" i="9"/>
  <c r="G67" i="8"/>
  <c r="G70" i="8"/>
  <c r="S67" i="9"/>
  <c r="S70" i="9"/>
  <c r="AA70" i="11"/>
  <c r="AA67" i="11"/>
  <c r="U67" i="8"/>
  <c r="U70" i="8"/>
  <c r="AB70" i="9"/>
  <c r="AB67" i="9"/>
  <c r="J67" i="8"/>
  <c r="J70" i="8"/>
  <c r="Q70" i="9"/>
  <c r="Q67" i="9"/>
  <c r="U67" i="11"/>
  <c r="U70" i="11"/>
  <c r="AD67" i="24"/>
  <c r="AD70" i="24"/>
  <c r="J70" i="11"/>
  <c r="J67" i="11"/>
  <c r="R70" i="24"/>
  <c r="R67" i="24"/>
  <c r="X70" i="31"/>
  <c r="X70" i="25"/>
  <c r="X70" i="10"/>
  <c r="X67" i="10"/>
  <c r="AH70" i="24"/>
  <c r="AH67" i="24"/>
  <c r="AG67" i="11"/>
  <c r="I57" i="7"/>
  <c r="AG70" i="11"/>
  <c r="AF70" i="24"/>
  <c r="AF67" i="24"/>
  <c r="G70" i="11"/>
  <c r="G67" i="11"/>
  <c r="P70" i="24"/>
  <c r="P67" i="24"/>
  <c r="Z70" i="25"/>
  <c r="Z70" i="10"/>
  <c r="Z67" i="10"/>
  <c r="Z70" i="31"/>
  <c r="AF67" i="8"/>
  <c r="AF70" i="8"/>
  <c r="K70" i="31"/>
  <c r="K70" i="25"/>
  <c r="K67" i="10"/>
  <c r="K70" i="10"/>
  <c r="P67" i="8"/>
  <c r="P70" i="8"/>
  <c r="AA67" i="9"/>
  <c r="AA70" i="9"/>
  <c r="AG67" i="9"/>
  <c r="AG70" i="9"/>
  <c r="I53" i="7"/>
  <c r="AG70" i="31"/>
  <c r="AG70" i="25"/>
  <c r="AG67" i="10"/>
  <c r="AG70" i="10"/>
  <c r="I55" i="7"/>
  <c r="C70" i="9"/>
  <c r="C67" i="9"/>
  <c r="L70" i="11"/>
  <c r="L67" i="11"/>
  <c r="T70" i="24"/>
  <c r="T67" i="24"/>
  <c r="AE70" i="25"/>
  <c r="AE70" i="10"/>
  <c r="AE67" i="10"/>
  <c r="AE70" i="31"/>
  <c r="D67" i="24"/>
  <c r="D70" i="24"/>
  <c r="O70" i="31"/>
  <c r="O70" i="25"/>
  <c r="O70" i="10"/>
  <c r="O67" i="10"/>
  <c r="T67" i="8"/>
  <c r="T70" i="8"/>
  <c r="AF70" i="9"/>
  <c r="AF67" i="9"/>
  <c r="AH70" i="11"/>
  <c r="AH67" i="11"/>
  <c r="G67" i="9"/>
  <c r="G70" i="9"/>
  <c r="P70" i="11"/>
  <c r="P67" i="11"/>
  <c r="X70" i="24"/>
  <c r="X67" i="24"/>
  <c r="C70" i="25"/>
  <c r="C67" i="25"/>
  <c r="AI64" i="25"/>
  <c r="AJ64" i="25" s="1"/>
  <c r="H67" i="24"/>
  <c r="H70" i="24"/>
  <c r="S70" i="25"/>
  <c r="S70" i="31"/>
  <c r="S70" i="10"/>
  <c r="S67" i="10"/>
  <c r="X70" i="8"/>
  <c r="X67" i="8"/>
  <c r="C70" i="10"/>
  <c r="C67" i="10"/>
  <c r="C70" i="31"/>
  <c r="I67" i="9"/>
  <c r="I52" i="7"/>
  <c r="AI64" i="9"/>
  <c r="AJ64" i="9" s="1"/>
  <c r="I70" i="9"/>
  <c r="K70" i="24"/>
  <c r="K67" i="24"/>
  <c r="Q70" i="31"/>
  <c r="Q70" i="25"/>
  <c r="Q70" i="10"/>
  <c r="Q67" i="10"/>
  <c r="Z67" i="8"/>
  <c r="Z70" i="8"/>
  <c r="E70" i="25"/>
  <c r="E70" i="10"/>
  <c r="E67" i="10"/>
  <c r="E70" i="31"/>
  <c r="K67" i="8"/>
  <c r="K70" i="8"/>
  <c r="R70" i="9"/>
  <c r="R67" i="9"/>
  <c r="Z70" i="11"/>
  <c r="Z67" i="11"/>
  <c r="F70" i="9"/>
  <c r="F67" i="9"/>
  <c r="O70" i="11"/>
  <c r="O67" i="11"/>
  <c r="AH67" i="8"/>
  <c r="AH70" i="8"/>
  <c r="H67" i="8"/>
  <c r="H70" i="8"/>
  <c r="P70" i="9"/>
  <c r="P67" i="9"/>
  <c r="X70" i="11"/>
  <c r="X67" i="11"/>
  <c r="D70" i="9"/>
  <c r="D67" i="9"/>
  <c r="H67" i="11"/>
  <c r="H70" i="11"/>
  <c r="Q70" i="24"/>
  <c r="Q67" i="24"/>
  <c r="AA70" i="31"/>
  <c r="AA70" i="25"/>
  <c r="AA70" i="10"/>
  <c r="AA67" i="10"/>
  <c r="E70" i="24"/>
  <c r="E67" i="24"/>
  <c r="L70" i="25"/>
  <c r="L70" i="10"/>
  <c r="L70" i="31"/>
  <c r="L67" i="10"/>
  <c r="AH70" i="31"/>
  <c r="AH70" i="25"/>
  <c r="AH70" i="10"/>
  <c r="AH67" i="10"/>
  <c r="M70" i="8"/>
  <c r="M67" i="8"/>
  <c r="T70" i="9"/>
  <c r="T67" i="9"/>
  <c r="AB70" i="11"/>
  <c r="AB67" i="11"/>
  <c r="H70" i="9"/>
  <c r="H67" i="9"/>
  <c r="M67" i="11"/>
  <c r="M70" i="11"/>
  <c r="U67" i="24"/>
  <c r="U70" i="24"/>
  <c r="AF70" i="31"/>
  <c r="AF70" i="25"/>
  <c r="AF70" i="10"/>
  <c r="AF67" i="10"/>
  <c r="J67" i="24"/>
  <c r="J70" i="24"/>
  <c r="P70" i="31"/>
  <c r="P70" i="25"/>
  <c r="P70" i="10"/>
  <c r="P67" i="10"/>
  <c r="I67" i="8"/>
  <c r="I70" i="8"/>
  <c r="I50" i="7"/>
  <c r="B58" i="1" s="1"/>
  <c r="AI64" i="8"/>
  <c r="AJ64" i="8" s="1"/>
  <c r="X67" i="9"/>
  <c r="X70" i="9"/>
  <c r="E67" i="8"/>
  <c r="E70" i="8"/>
  <c r="M70" i="9"/>
  <c r="M67" i="9"/>
  <c r="Q67" i="11"/>
  <c r="Q70" i="11"/>
  <c r="Y67" i="24"/>
  <c r="Y70" i="24"/>
  <c r="E70" i="11"/>
  <c r="E67" i="11"/>
  <c r="N67" i="24"/>
  <c r="N70" i="24"/>
  <c r="T70" i="31"/>
  <c r="T70" i="25"/>
  <c r="T67" i="10"/>
  <c r="T70" i="10"/>
  <c r="I67" i="10"/>
  <c r="I54" i="7"/>
  <c r="B62" i="1" s="1"/>
  <c r="I70" i="10"/>
  <c r="I70" i="25"/>
  <c r="I70" i="31"/>
  <c r="AI64" i="10"/>
  <c r="AJ64" i="10" s="1"/>
  <c r="AA67" i="24"/>
  <c r="AA70" i="24"/>
  <c r="C70" i="11"/>
  <c r="C67" i="11"/>
  <c r="L70" i="24"/>
  <c r="L67" i="24"/>
  <c r="V70" i="25"/>
  <c r="V70" i="10"/>
  <c r="V67" i="10"/>
  <c r="V70" i="31"/>
  <c r="AA67" i="8"/>
  <c r="AA70" i="8"/>
  <c r="F70" i="25"/>
  <c r="F70" i="10"/>
  <c r="F70" i="31"/>
  <c r="F67" i="10"/>
  <c r="L67" i="8"/>
  <c r="L70" i="8"/>
  <c r="W70" i="9"/>
  <c r="W67" i="9"/>
  <c r="AF70" i="11"/>
  <c r="AF67" i="11"/>
  <c r="AD68" i="31"/>
  <c r="R69" i="8"/>
  <c r="Q69" i="9"/>
  <c r="P69" i="10"/>
  <c r="AF69" i="11"/>
  <c r="O69" i="11"/>
  <c r="AD69" i="8"/>
  <c r="M69" i="8"/>
  <c r="AB69" i="9"/>
  <c r="L69" i="9"/>
  <c r="AA69" i="10"/>
  <c r="K69" i="10"/>
  <c r="Z69" i="11"/>
  <c r="J69" i="11"/>
  <c r="X69" i="8"/>
  <c r="H69" i="8"/>
  <c r="W69" i="9"/>
  <c r="G69" i="9"/>
  <c r="V69" i="10"/>
  <c r="F69" i="10"/>
  <c r="U69" i="11"/>
  <c r="E69" i="11"/>
  <c r="S69" i="8"/>
  <c r="C69" i="9"/>
  <c r="R69" i="9"/>
  <c r="Q69" i="10"/>
  <c r="P69" i="11"/>
  <c r="AE69" i="8"/>
  <c r="N69" i="8"/>
  <c r="AD69" i="9"/>
  <c r="M69" i="9"/>
  <c r="AB69" i="10"/>
  <c r="L69" i="10"/>
  <c r="AA69" i="11"/>
  <c r="K69" i="11"/>
  <c r="Y69" i="8"/>
  <c r="X69" i="9"/>
  <c r="H69" i="9"/>
  <c r="W69" i="10"/>
  <c r="G69" i="10"/>
  <c r="V69" i="11"/>
  <c r="F69" i="11"/>
  <c r="T69" i="8"/>
  <c r="D69" i="8"/>
  <c r="S69" i="9"/>
  <c r="C69" i="10"/>
  <c r="R69" i="10"/>
  <c r="Q69" i="11"/>
  <c r="AF69" i="8"/>
  <c r="O69" i="8"/>
  <c r="AE69" i="9"/>
  <c r="N69" i="9"/>
  <c r="AD69" i="10"/>
  <c r="M69" i="10"/>
  <c r="AB69" i="31"/>
  <c r="AB69" i="11"/>
  <c r="L69" i="11"/>
  <c r="Z69" i="8"/>
  <c r="J69" i="8"/>
  <c r="Y69" i="9"/>
  <c r="X69" i="10"/>
  <c r="H69" i="10"/>
  <c r="W69" i="11"/>
  <c r="G69" i="11"/>
  <c r="U69" i="8"/>
  <c r="E69" i="8"/>
  <c r="T69" i="9"/>
  <c r="D69" i="9"/>
  <c r="S69" i="10"/>
  <c r="R69" i="31"/>
  <c r="R69" i="11"/>
  <c r="P69" i="8"/>
  <c r="AF69" i="9"/>
  <c r="O69" i="9"/>
  <c r="AE69" i="10"/>
  <c r="N69" i="10"/>
  <c r="AD69" i="11"/>
  <c r="M69" i="11"/>
  <c r="AA69" i="8"/>
  <c r="K69" i="8"/>
  <c r="Z69" i="9"/>
  <c r="J69" i="9"/>
  <c r="Y69" i="10"/>
  <c r="X69" i="11"/>
  <c r="H69" i="11"/>
  <c r="V69" i="8"/>
  <c r="F69" i="8"/>
  <c r="U69" i="9"/>
  <c r="E69" i="9"/>
  <c r="T69" i="10"/>
  <c r="D69" i="10"/>
  <c r="C69" i="11"/>
  <c r="S69" i="11"/>
  <c r="Q69" i="8"/>
  <c r="P69" i="9"/>
  <c r="AF69" i="10"/>
  <c r="O69" i="10"/>
  <c r="AE69" i="11"/>
  <c r="N69" i="11"/>
  <c r="AB69" i="8"/>
  <c r="L69" i="8"/>
  <c r="AA69" i="9"/>
  <c r="K69" i="9"/>
  <c r="Z69" i="10"/>
  <c r="J69" i="10"/>
  <c r="Y69" i="11"/>
  <c r="W69" i="8"/>
  <c r="G69" i="8"/>
  <c r="V69" i="9"/>
  <c r="F69" i="9"/>
  <c r="U69" i="10"/>
  <c r="E69" i="10"/>
  <c r="T69" i="11"/>
  <c r="D69" i="11"/>
  <c r="R469" i="29"/>
  <c r="O68" i="31"/>
  <c r="U469" i="29"/>
  <c r="Y68" i="25"/>
  <c r="N68" i="31"/>
  <c r="T68" i="31"/>
  <c r="F68" i="31"/>
  <c r="Y68" i="31"/>
  <c r="G68" i="31"/>
  <c r="AA68" i="31"/>
  <c r="Z68" i="31"/>
  <c r="P68" i="25"/>
  <c r="M68" i="31"/>
  <c r="E68" i="31"/>
  <c r="L68" i="31"/>
  <c r="Q68" i="31"/>
  <c r="J68" i="31"/>
  <c r="K68" i="31"/>
  <c r="P68" i="31"/>
  <c r="D68" i="31"/>
  <c r="T68" i="24"/>
  <c r="H68" i="31"/>
  <c r="W68" i="31"/>
  <c r="X68" i="31"/>
  <c r="R68" i="25"/>
  <c r="AA469" i="29"/>
  <c r="AH68" i="9"/>
  <c r="AI66" i="9"/>
  <c r="AJ66" i="9" s="1"/>
  <c r="N459" i="29"/>
  <c r="I181" i="6"/>
  <c r="B53" i="1"/>
  <c r="I181" i="5"/>
  <c r="B46" i="1"/>
  <c r="N68" i="24"/>
  <c r="Q68" i="11"/>
  <c r="R68" i="11"/>
  <c r="AI66" i="11"/>
  <c r="I68" i="11"/>
  <c r="U68" i="11"/>
  <c r="E68" i="11"/>
  <c r="V68" i="11"/>
  <c r="F68" i="11"/>
  <c r="W68" i="11"/>
  <c r="L68" i="11"/>
  <c r="AB68" i="11"/>
  <c r="S68" i="11"/>
  <c r="X68" i="11"/>
  <c r="Z457" i="29"/>
  <c r="AG68" i="11"/>
  <c r="H68" i="11"/>
  <c r="Y68" i="11"/>
  <c r="J68" i="11"/>
  <c r="Z68" i="11"/>
  <c r="K68" i="11"/>
  <c r="AA68" i="11"/>
  <c r="P68" i="11"/>
  <c r="G68" i="11"/>
  <c r="AI66" i="31"/>
  <c r="AI66" i="24"/>
  <c r="AI66" i="25"/>
  <c r="AI66" i="10"/>
  <c r="AJ66" i="10" s="1"/>
  <c r="M68" i="11"/>
  <c r="AD68" i="11"/>
  <c r="N68" i="11"/>
  <c r="AE68" i="11"/>
  <c r="O68" i="11"/>
  <c r="AF68" i="11"/>
  <c r="T68" i="11"/>
  <c r="AG68" i="31"/>
  <c r="C68" i="31"/>
  <c r="I68" i="31"/>
  <c r="AH68" i="31"/>
  <c r="S68" i="24"/>
  <c r="AI66" i="8"/>
  <c r="AJ66" i="8" s="1"/>
  <c r="AB457" i="29"/>
  <c r="R459" i="29"/>
  <c r="T469" i="29"/>
  <c r="U459" i="29"/>
  <c r="F459" i="29"/>
  <c r="Q459" i="29"/>
  <c r="Y457" i="29"/>
  <c r="K469" i="29"/>
  <c r="AB469" i="29"/>
  <c r="V457" i="29"/>
  <c r="I469" i="29"/>
  <c r="M457" i="29"/>
  <c r="AA459" i="29"/>
  <c r="G469" i="29"/>
  <c r="O469" i="29"/>
  <c r="N467" i="29"/>
  <c r="N68" i="9"/>
  <c r="X469" i="29"/>
  <c r="O68" i="10"/>
  <c r="H457" i="29"/>
  <c r="K459" i="29"/>
  <c r="AD469" i="29"/>
  <c r="K457" i="29"/>
  <c r="H469" i="29"/>
  <c r="AI467" i="29"/>
  <c r="U467" i="29"/>
  <c r="S68" i="9"/>
  <c r="J469" i="29"/>
  <c r="X467" i="29"/>
  <c r="V469" i="29"/>
  <c r="AE459" i="29"/>
  <c r="R467" i="29"/>
  <c r="J459" i="29"/>
  <c r="AE469" i="29"/>
  <c r="V467" i="29"/>
  <c r="AG467" i="29"/>
  <c r="T457" i="29"/>
  <c r="AG469" i="29"/>
  <c r="AC459" i="29"/>
  <c r="M469" i="29"/>
  <c r="O467" i="29"/>
  <c r="Q469" i="29"/>
  <c r="F494" i="29"/>
  <c r="Z469" i="29"/>
  <c r="Z467" i="29"/>
  <c r="M467" i="29"/>
  <c r="Z459" i="29"/>
  <c r="AD457" i="29"/>
  <c r="AC467" i="29"/>
  <c r="P467" i="29"/>
  <c r="AH457" i="29"/>
  <c r="J467" i="29"/>
  <c r="T467" i="29"/>
  <c r="N469" i="29"/>
  <c r="AA467" i="29"/>
  <c r="AH469" i="29"/>
  <c r="U457" i="29"/>
  <c r="G457" i="29"/>
  <c r="W457" i="29"/>
  <c r="Q467" i="29"/>
  <c r="AD459" i="29"/>
  <c r="X68" i="10"/>
  <c r="X457" i="29"/>
  <c r="AH467" i="29"/>
  <c r="AI457" i="29"/>
  <c r="AA457" i="29"/>
  <c r="W469" i="29"/>
  <c r="S457" i="29"/>
  <c r="AE467" i="29"/>
  <c r="AC457" i="29"/>
  <c r="Y469" i="29"/>
  <c r="AE457" i="29"/>
  <c r="I457" i="29"/>
  <c r="P457" i="29"/>
  <c r="Y467" i="29"/>
  <c r="H459" i="29"/>
  <c r="H467" i="29"/>
  <c r="V459" i="29"/>
  <c r="V68" i="9"/>
  <c r="AG459" i="29"/>
  <c r="H68" i="10"/>
  <c r="AC469" i="29"/>
  <c r="Y459" i="29"/>
  <c r="AB467" i="29"/>
  <c r="AI459" i="29"/>
  <c r="R68" i="10"/>
  <c r="F457" i="29"/>
  <c r="S459" i="29"/>
  <c r="P469" i="29"/>
  <c r="AH459" i="29"/>
  <c r="S467" i="29"/>
  <c r="Q68" i="10"/>
  <c r="S68" i="10"/>
  <c r="I467" i="29"/>
  <c r="T459" i="29"/>
  <c r="D68" i="11"/>
  <c r="K68" i="9"/>
  <c r="G467" i="29"/>
  <c r="N68" i="10"/>
  <c r="F469" i="29"/>
  <c r="W467" i="29"/>
  <c r="N457" i="29"/>
  <c r="AI469" i="29"/>
  <c r="W459" i="29"/>
  <c r="Z68" i="10"/>
  <c r="J457" i="29"/>
  <c r="K467" i="29"/>
  <c r="AH68" i="24"/>
  <c r="S469" i="29"/>
  <c r="G459" i="29"/>
  <c r="M459" i="29"/>
  <c r="AG457" i="29"/>
  <c r="O457" i="29"/>
  <c r="Q457" i="29"/>
  <c r="R457" i="29"/>
  <c r="X459" i="29"/>
  <c r="I459" i="29"/>
  <c r="U68" i="10"/>
  <c r="J68" i="10"/>
  <c r="X68" i="8"/>
  <c r="O459" i="29"/>
  <c r="AB459" i="29"/>
  <c r="M68" i="9"/>
  <c r="P459" i="29"/>
  <c r="R68" i="9"/>
  <c r="D68" i="10"/>
  <c r="T68" i="9"/>
  <c r="H68" i="8"/>
  <c r="Q68" i="8"/>
  <c r="E68" i="8"/>
  <c r="AA68" i="9"/>
  <c r="T68" i="10"/>
  <c r="P68" i="8"/>
  <c r="AB68" i="9"/>
  <c r="AF68" i="8"/>
  <c r="E68" i="9"/>
  <c r="M68" i="8"/>
  <c r="X68" i="25"/>
  <c r="AH68" i="10"/>
  <c r="I68" i="8"/>
  <c r="F68" i="10"/>
  <c r="AE68" i="24"/>
  <c r="AB68" i="25"/>
  <c r="Y68" i="10"/>
  <c r="Y68" i="8"/>
  <c r="AE68" i="9"/>
  <c r="L68" i="10"/>
  <c r="W68" i="9"/>
  <c r="AA68" i="10"/>
  <c r="E68" i="10"/>
  <c r="V68" i="10"/>
  <c r="T68" i="8"/>
  <c r="L68" i="8"/>
  <c r="G68" i="10"/>
  <c r="C68" i="10"/>
  <c r="W68" i="24"/>
  <c r="H68" i="9"/>
  <c r="Q68" i="25"/>
  <c r="J68" i="24"/>
  <c r="AD68" i="10"/>
  <c r="Y68" i="9"/>
  <c r="P68" i="10"/>
  <c r="AF68" i="9"/>
  <c r="AF68" i="25"/>
  <c r="D68" i="8"/>
  <c r="C68" i="11"/>
  <c r="O68" i="9"/>
  <c r="M68" i="10"/>
  <c r="O68" i="24"/>
  <c r="AH68" i="8"/>
  <c r="AB68" i="10"/>
  <c r="W68" i="10"/>
  <c r="AD68" i="9"/>
  <c r="AF68" i="24"/>
  <c r="G68" i="24"/>
  <c r="D68" i="9"/>
  <c r="T68" i="25"/>
  <c r="U68" i="9"/>
  <c r="AB68" i="8"/>
  <c r="F68" i="9"/>
  <c r="Q68" i="9"/>
  <c r="L68" i="9"/>
  <c r="Z68" i="24"/>
  <c r="F68" i="24"/>
  <c r="U68" i="8"/>
  <c r="AA68" i="24"/>
  <c r="K68" i="24"/>
  <c r="D68" i="25"/>
  <c r="P68" i="9"/>
  <c r="AE68" i="10"/>
  <c r="AG68" i="24"/>
  <c r="AG68" i="9"/>
  <c r="C68" i="25"/>
  <c r="E68" i="25"/>
  <c r="O68" i="25"/>
  <c r="AG68" i="25"/>
  <c r="AD68" i="8"/>
  <c r="K77" i="34"/>
  <c r="K76" i="34"/>
  <c r="AF68" i="10"/>
  <c r="H68" i="25"/>
  <c r="I68" i="9"/>
  <c r="Z68" i="9"/>
  <c r="X68" i="9"/>
  <c r="C68" i="24"/>
  <c r="F67" i="34"/>
  <c r="L76" i="34" s="1"/>
  <c r="V68" i="8"/>
  <c r="F68" i="8"/>
  <c r="C68" i="9"/>
  <c r="I68" i="10"/>
  <c r="J68" i="25"/>
  <c r="Z68" i="25"/>
  <c r="H68" i="24"/>
  <c r="AB68" i="24"/>
  <c r="AG68" i="8"/>
  <c r="L68" i="24"/>
  <c r="S68" i="8"/>
  <c r="Q68" i="24"/>
  <c r="R68" i="8"/>
  <c r="G68" i="9"/>
  <c r="I68" i="25"/>
  <c r="N68" i="25"/>
  <c r="AE68" i="25"/>
  <c r="P68" i="24"/>
  <c r="O68" i="8"/>
  <c r="E68" i="24"/>
  <c r="U68" i="24"/>
  <c r="AE68" i="8"/>
  <c r="N68" i="8"/>
  <c r="C68" i="8"/>
  <c r="G68" i="25"/>
  <c r="W68" i="25"/>
  <c r="AA68" i="8"/>
  <c r="K68" i="8"/>
  <c r="I68" i="24"/>
  <c r="Y68" i="24"/>
  <c r="J68" i="9"/>
  <c r="L68" i="25"/>
  <c r="Z68" i="8"/>
  <c r="J68" i="8"/>
  <c r="AG68" i="10"/>
  <c r="F68" i="25"/>
  <c r="V68" i="25"/>
  <c r="X68" i="24"/>
  <c r="K68" i="25"/>
  <c r="AA68" i="25"/>
  <c r="W68" i="8"/>
  <c r="G68" i="8"/>
  <c r="M68" i="24"/>
  <c r="AD68" i="24"/>
  <c r="AI174" i="6"/>
  <c r="K68" i="10"/>
  <c r="F59" i="34"/>
  <c r="M76" i="34" s="1"/>
  <c r="B66" i="1"/>
  <c r="AH44" i="7"/>
  <c r="B42" i="1"/>
  <c r="I177" i="5"/>
  <c r="I37" i="3"/>
  <c r="B33" i="1" s="1"/>
  <c r="AH68" i="25"/>
  <c r="AJ64" i="31"/>
  <c r="B24" i="1"/>
  <c r="I33" i="2"/>
  <c r="B51" i="1"/>
  <c r="I179" i="6"/>
  <c r="B57" i="1"/>
  <c r="J49" i="7"/>
  <c r="B44" i="1"/>
  <c r="I179" i="5"/>
  <c r="B21" i="1"/>
  <c r="I30" i="2"/>
  <c r="B56" i="1"/>
  <c r="J48" i="7"/>
  <c r="B50" i="1"/>
  <c r="I178" i="6"/>
  <c r="B49" i="1"/>
  <c r="I177" i="6"/>
  <c r="B52" i="1"/>
  <c r="I180" i="6"/>
  <c r="AK32" i="7"/>
  <c r="AK33" i="7"/>
  <c r="I34" i="3"/>
  <c r="B30" i="1" s="1"/>
  <c r="I31" i="2"/>
  <c r="B22" i="1"/>
  <c r="AI21" i="30" l="1"/>
  <c r="AI23" i="30"/>
  <c r="J9" i="30"/>
  <c r="AI25" i="30"/>
  <c r="AI11" i="30"/>
  <c r="AH9" i="30"/>
  <c r="AF471" i="29"/>
  <c r="AF455" i="29"/>
  <c r="AD471" i="29"/>
  <c r="D63" i="30"/>
  <c r="K63" i="30"/>
  <c r="F471" i="29"/>
  <c r="J50" i="7"/>
  <c r="E71" i="31"/>
  <c r="F71" i="31" s="1"/>
  <c r="J56" i="7"/>
  <c r="J54" i="7"/>
  <c r="E71" i="25"/>
  <c r="F71" i="25" s="1"/>
  <c r="E71" i="10"/>
  <c r="F71" i="10" s="1"/>
  <c r="E71" i="24"/>
  <c r="F71" i="24" s="1"/>
  <c r="E71" i="11"/>
  <c r="F71" i="11" s="1"/>
  <c r="E71" i="9"/>
  <c r="F71" i="9" s="1"/>
  <c r="E71" i="8"/>
  <c r="F71" i="8" s="1"/>
  <c r="B60" i="1"/>
  <c r="J52" i="7"/>
  <c r="B63" i="1"/>
  <c r="J55" i="7"/>
  <c r="B61" i="1"/>
  <c r="J53" i="7"/>
  <c r="B65" i="1"/>
  <c r="J57" i="7"/>
  <c r="J51" i="7"/>
  <c r="B59" i="1"/>
  <c r="AJ66" i="25"/>
  <c r="AI69" i="25"/>
  <c r="AJ66" i="24"/>
  <c r="AI69" i="24"/>
  <c r="AJ66" i="31"/>
  <c r="AI69" i="31"/>
  <c r="AJ66" i="11"/>
  <c r="AI69" i="11"/>
  <c r="R471" i="29"/>
  <c r="U471" i="29"/>
  <c r="AA471" i="29"/>
  <c r="Z455" i="29"/>
  <c r="N455" i="29"/>
  <c r="R455" i="29"/>
  <c r="AB455" i="29"/>
  <c r="T471" i="29"/>
  <c r="U455" i="29"/>
  <c r="Y455" i="29"/>
  <c r="K455" i="29"/>
  <c r="Q455" i="29"/>
  <c r="AH471" i="29"/>
  <c r="G471" i="29"/>
  <c r="I471" i="29"/>
  <c r="O471" i="29"/>
  <c r="AB471" i="29"/>
  <c r="M471" i="29"/>
  <c r="X471" i="29"/>
  <c r="V455" i="29"/>
  <c r="M455" i="29"/>
  <c r="AE455" i="29"/>
  <c r="AA455" i="29"/>
  <c r="N471" i="29"/>
  <c r="H455" i="29"/>
  <c r="J471" i="29"/>
  <c r="J455" i="29"/>
  <c r="H471" i="29"/>
  <c r="T455" i="29"/>
  <c r="X455" i="29"/>
  <c r="AI471" i="29"/>
  <c r="P455" i="29"/>
  <c r="V471" i="29"/>
  <c r="W455" i="29"/>
  <c r="AC471" i="29"/>
  <c r="AG471" i="29"/>
  <c r="AE471" i="29"/>
  <c r="AC455" i="29"/>
  <c r="AD455" i="29"/>
  <c r="G455" i="29"/>
  <c r="AH455" i="29"/>
  <c r="Q471" i="29"/>
  <c r="Z471" i="29"/>
  <c r="Y471" i="29"/>
  <c r="W471" i="29"/>
  <c r="P471" i="29"/>
  <c r="AG455" i="29"/>
  <c r="AI455" i="29"/>
  <c r="S455" i="29"/>
  <c r="L457" i="29"/>
  <c r="I455" i="29"/>
  <c r="AJ467" i="29"/>
  <c r="L99" i="39"/>
  <c r="S471" i="29"/>
  <c r="L469" i="29"/>
  <c r="E62" i="30"/>
  <c r="F455" i="29"/>
  <c r="F62" i="30"/>
  <c r="O62" i="30"/>
  <c r="AE62" i="30"/>
  <c r="L467" i="29"/>
  <c r="I62" i="30"/>
  <c r="AJ469" i="29"/>
  <c r="T62" i="30"/>
  <c r="AJ457" i="29"/>
  <c r="K471" i="29"/>
  <c r="L62" i="30"/>
  <c r="L459" i="29"/>
  <c r="O455" i="29"/>
  <c r="L98" i="39"/>
  <c r="L101" i="39"/>
  <c r="AJ459" i="29"/>
  <c r="L100" i="39"/>
  <c r="U62" i="30"/>
  <c r="AC62" i="30"/>
  <c r="Z62" i="30"/>
  <c r="L95" i="39"/>
  <c r="P62" i="30"/>
  <c r="W62" i="30"/>
  <c r="M62" i="30"/>
  <c r="F96" i="39"/>
  <c r="G62" i="34"/>
  <c r="F55" i="34" s="1"/>
  <c r="L99" i="34"/>
  <c r="L96" i="39"/>
  <c r="F79" i="34"/>
  <c r="F99" i="34"/>
  <c r="AA62" i="30"/>
  <c r="X62" i="30"/>
  <c r="Q62" i="30"/>
  <c r="AG62" i="30"/>
  <c r="AF62" i="30"/>
  <c r="D62" i="30"/>
  <c r="L102" i="34"/>
  <c r="V62" i="30"/>
  <c r="L100" i="34"/>
  <c r="R62" i="30"/>
  <c r="H62" i="30"/>
  <c r="F78" i="34"/>
  <c r="K62" i="30"/>
  <c r="AI44" i="7"/>
  <c r="F80" i="34"/>
  <c r="AI9" i="30" l="1"/>
  <c r="AI63" i="30"/>
  <c r="L90" i="39"/>
  <c r="L91" i="39" s="1"/>
  <c r="J63" i="30"/>
  <c r="AH63" i="30"/>
  <c r="L471" i="29"/>
  <c r="AJ471" i="29"/>
  <c r="AK457" i="29"/>
  <c r="L455" i="29"/>
  <c r="AJ455" i="29"/>
  <c r="AK469" i="29"/>
  <c r="AK467" i="29"/>
  <c r="S62" i="30"/>
  <c r="L101" i="34"/>
  <c r="F90" i="39"/>
  <c r="F91" i="39" s="1"/>
  <c r="AK459" i="29"/>
  <c r="L104" i="34"/>
  <c r="AB62" i="30"/>
  <c r="L103" i="34"/>
  <c r="F488" i="29"/>
  <c r="F495" i="29"/>
  <c r="Y62" i="30"/>
  <c r="G62" i="30"/>
  <c r="L98" i="34"/>
  <c r="N62" i="30"/>
  <c r="F77" i="34"/>
  <c r="F487" i="29" s="1"/>
  <c r="H487" i="29" s="1"/>
  <c r="L102" i="39"/>
  <c r="L103" i="39" s="1"/>
  <c r="F490" i="29" l="1"/>
  <c r="F489" i="29"/>
  <c r="AK471" i="29"/>
  <c r="AK455" i="29"/>
  <c r="L107" i="39"/>
  <c r="L108" i="39" s="1"/>
  <c r="F91" i="34"/>
  <c r="F92" i="34" s="1"/>
  <c r="J62" i="30"/>
  <c r="L105" i="34"/>
  <c r="L106" i="34" s="1"/>
  <c r="D41" i="30"/>
  <c r="F98" i="34"/>
  <c r="F100" i="34" s="1"/>
  <c r="F101" i="34" s="1"/>
  <c r="F95" i="39"/>
  <c r="F97" i="39" s="1"/>
  <c r="F98" i="39" s="1"/>
  <c r="F107" i="39" s="1"/>
  <c r="F108" i="39" s="1"/>
  <c r="AH62" i="30"/>
  <c r="AI62" i="30"/>
  <c r="D111" i="28"/>
  <c r="J111" i="39" l="1"/>
  <c r="F122" i="39"/>
  <c r="D47" i="30" s="1"/>
  <c r="F114" i="34"/>
  <c r="F115" i="34" s="1"/>
  <c r="L114" i="34"/>
  <c r="L115" i="34" s="1"/>
  <c r="K119" i="34" s="1"/>
  <c r="F41" i="30"/>
  <c r="I122" i="39"/>
  <c r="C111" i="39"/>
  <c r="D44" i="30" l="1"/>
  <c r="D43" i="30"/>
  <c r="D119" i="34"/>
  <c r="F133" i="34"/>
  <c r="D127" i="34"/>
  <c r="F493" i="29" l="1"/>
  <c r="AK491"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Martina Repikova</author>
    <author>ROBIN_E</author>
  </authors>
  <commentList>
    <comment ref="H12" authorId="0" shapeId="0" xr:uid="{00000000-0006-0000-0100-000001000000}">
      <text>
        <r>
          <rPr>
            <b/>
            <sz val="8"/>
            <color indexed="81"/>
            <rFont val="Tahoma"/>
            <family val="2"/>
          </rPr>
          <t xml:space="preserve">Biofuels:
</t>
        </r>
        <r>
          <rPr>
            <sz val="8"/>
            <color indexed="81"/>
            <rFont val="Tahoma"/>
            <family val="2"/>
          </rPr>
          <t>Report under this category the following. Please note that the quantities of liquid biofuels reported in this category should relate to the quantities of biofuel and not to the total volume of liquids into which the biofuels are blended.
•</t>
        </r>
        <r>
          <rPr>
            <b/>
            <sz val="8"/>
            <color indexed="81"/>
            <rFont val="Tahoma"/>
            <family val="2"/>
          </rPr>
          <t xml:space="preserve">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37%) and bioMTBE (methyl-tertio-butyl-ether produced on the basis of biomethanol: the percentage by volume of bioMTBE that is calculated as biofuel is 22%).
• </t>
        </r>
        <r>
          <rPr>
            <b/>
            <sz val="8"/>
            <color indexed="81"/>
            <rFont val="Tahoma"/>
            <family val="2"/>
          </rPr>
          <t>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Gas/diesel oil.
• </t>
        </r>
        <r>
          <rPr>
            <b/>
            <sz val="8"/>
            <color indexed="81"/>
            <rFont val="Tahoma"/>
            <family val="2"/>
          </rPr>
          <t>Bio jet kerosene</t>
        </r>
        <r>
          <rPr>
            <sz val="8"/>
            <color indexed="81"/>
            <rFont val="Tahoma"/>
            <family val="2"/>
          </rPr>
          <t xml:space="preserve">: Liquid biofuels derived from biomass and blended with Jet kerosene.
• </t>
        </r>
        <r>
          <rPr>
            <b/>
            <sz val="8"/>
            <color indexed="81"/>
            <rFont val="Tahoma"/>
            <family val="2"/>
          </rPr>
          <t xml:space="preserve">Other liquid biofuels: </t>
        </r>
        <r>
          <rPr>
            <sz val="8"/>
            <color indexed="81"/>
            <rFont val="Tahoma"/>
            <family val="2"/>
          </rPr>
          <t xml:space="preserve">Liquid biofuels not included in any of the previous categories, such as Bio-LPG.
</t>
        </r>
        <r>
          <rPr>
            <b/>
            <sz val="8"/>
            <color indexed="81"/>
            <rFont val="Tahoma"/>
            <family val="2"/>
          </rPr>
          <t xml:space="preserve">
Only the quantity of pure biofuels that are already blended or intended to be blended </t>
        </r>
        <r>
          <rPr>
            <sz val="8"/>
            <color indexed="81"/>
            <rFont val="Tahoma"/>
            <family val="2"/>
          </rPr>
          <t>with fossil fuels should be reported here. The final blended biofuel should be reported in the appropriate product (i.e. Total motor gasoline, Total Kerosene, Total diesel) indicating the biofuel and the non-biofuel portion.</t>
        </r>
        <r>
          <rPr>
            <b/>
            <sz val="8"/>
            <color indexed="81"/>
            <rFont val="Tahoma"/>
            <family val="2"/>
          </rPr>
          <t xml:space="preserve">
</t>
        </r>
        <r>
          <rPr>
            <sz val="8"/>
            <color indexed="81"/>
            <rFont val="Tahoma"/>
            <family val="2"/>
          </rPr>
          <t xml:space="preserve">Stock changes of pure biofuels already blended or intended to be blended should be declared in Table 2 and Table 5. Only if the category of biofuel is unknown it can be declared in stock changes in Table 1. </t>
        </r>
      </text>
    </comment>
    <comment ref="B14" authorId="1" shapeId="0" xr:uid="{00000000-0006-0000-0100-000002000000}">
      <text>
        <r>
          <rPr>
            <b/>
            <sz val="8"/>
            <color indexed="81"/>
            <rFont val="Tahoma"/>
            <family val="2"/>
          </rPr>
          <t xml:space="preserve">Indigenous production:
</t>
        </r>
        <r>
          <rPr>
            <sz val="8"/>
            <color indexed="81"/>
            <rFont val="Tahoma"/>
            <family val="2"/>
          </rPr>
          <t>Report all production within national boundaries including offshore production. Production should only include marketable production, excluding volumes returned to formation. Such production should include all crude oil, NGL, condensates and oil from shale and tar sands, etc. It should also include the receipts of additives/oxygenates by refineries and blending plants, from outside the refinery sector.</t>
        </r>
      </text>
    </comment>
    <comment ref="B15" authorId="1" shapeId="0" xr:uid="{00000000-0006-0000-0100-000003000000}">
      <text>
        <r>
          <rPr>
            <b/>
            <sz val="8"/>
            <color indexed="81"/>
            <rFont val="Tahoma"/>
            <family val="2"/>
          </rPr>
          <t xml:space="preserve">Receipts from other sources:
</t>
        </r>
        <r>
          <rPr>
            <sz val="8"/>
            <color indexed="81"/>
            <rFont val="Tahoma"/>
            <family val="2"/>
          </rPr>
          <t>Report supplies of additives/oxygenates, biofuels and other hydrocarbons, the production of which has already been covered in other fuel balances e.g. in NZ the manufacture of synthetic gasoline requires natural gas as feedstock. The amount of gas for methanol manufacture is accounted for in the natural gas balance, while the receipts of methanol are reported as Receipts from other sources in the oil balance.</t>
        </r>
      </text>
    </comment>
    <comment ref="B16" authorId="1" shapeId="0" xr:uid="{00000000-0006-0000-0100-000004000000}">
      <text>
        <r>
          <rPr>
            <b/>
            <sz val="8"/>
            <color indexed="81"/>
            <rFont val="Tahoma"/>
            <family val="2"/>
          </rPr>
          <t>Backflows:</t>
        </r>
        <r>
          <rPr>
            <sz val="8"/>
            <color indexed="81"/>
            <rFont val="Tahoma"/>
            <family val="2"/>
          </rPr>
          <t xml:space="preserve">
These are finished or semi-finished products, which are returned from final consumers to refineries for processing, blending or sale. They are usually by-products of petrochemical manufacturing. For integrated petrochemical industries this flow should be estimated. Transfers from one refinery to another within the country should be excluded. </t>
        </r>
        <r>
          <rPr>
            <b/>
            <sz val="8"/>
            <color indexed="81"/>
            <rFont val="Tahoma"/>
            <family val="2"/>
          </rPr>
          <t xml:space="preserve">
Total backflows in Table 1 (reference G3) must be equal to Total Backflows from petrochemical sector to refineries (reference Z19) in Table 2.</t>
        </r>
      </text>
    </comment>
    <comment ref="B17" authorId="1" shapeId="0" xr:uid="{00000000-0006-0000-0100-000005000000}">
      <text>
        <r>
          <rPr>
            <b/>
            <sz val="8"/>
            <color indexed="81"/>
            <rFont val="Tahoma"/>
            <family val="2"/>
          </rPr>
          <t xml:space="preserve">Products transferred:
</t>
        </r>
        <r>
          <rPr>
            <sz val="8"/>
            <color indexed="81"/>
            <rFont val="Tahoma"/>
            <family val="2"/>
          </rPr>
          <t xml:space="preserve">These are usually imported petroleum products, which are reclassified as feedstocks for further processing in the refinery, without delivery to final consumers. For example, naphtha imported for upgrading would be first reported as imports of naphtha (reference F5 in Table 2), and then appear also as products transferred of naphtha (reference F9 in Table 2).
</t>
        </r>
        <r>
          <rPr>
            <b/>
            <sz val="8"/>
            <color indexed="81"/>
            <rFont val="Tahoma"/>
            <family val="2"/>
          </rPr>
          <t>The sum of the references for Products transferred (reference Z9 in Table 2) should be reported in reference C4, Table 1.</t>
        </r>
      </text>
    </comment>
    <comment ref="B18" authorId="1" shapeId="0" xr:uid="{00000000-0006-0000-0100-000006000000}">
      <text>
        <r>
          <rPr>
            <b/>
            <sz val="8"/>
            <color indexed="81"/>
            <rFont val="Tahoma"/>
            <family val="2"/>
          </rPr>
          <t xml:space="preserve">Imports and Exports (Balance):
</t>
        </r>
        <r>
          <rPr>
            <sz val="8"/>
            <color indexed="81"/>
            <rFont val="Tahoma"/>
            <family val="2"/>
          </rPr>
          <t xml:space="preserve">Data should reflect amounts having crossed the national territorial boundaries, whether customs clearance has taken place or not. Quantities of crude oil and products imported or exported under processing agreements (i.e. refining on account) should be included. Crude oil and NGLs should be reported as coming from the country of ultimate origin; refinery feedstocks and finished products should be reported as coming from the country of last consignment. Any gas liquids (e.g. LPG) extracted during the regasification process of imported LNG should be reported under inputs “Receipts from other sources” of “Other hydrocarbons” in this questionnaire. Petroleum products imported or exported directly by the petrochemical industry should be included.
</t>
        </r>
        <r>
          <rPr>
            <b/>
            <sz val="8"/>
            <color indexed="81"/>
            <rFont val="Tahoma"/>
            <family val="2"/>
          </rPr>
          <t xml:space="preserve">Note: Imports or exports of ethanol (reported in the Additives/oxygenates column) should relate to the quantities destined for fuel use.
</t>
        </r>
        <r>
          <rPr>
            <sz val="8"/>
            <color indexed="81"/>
            <rFont val="Tahoma"/>
            <family val="2"/>
          </rPr>
          <t xml:space="preserve">Re-exports of oil imported for processing within bonded areas should be included as an export of product from the processing country to the final destination.
</t>
        </r>
        <r>
          <rPr>
            <b/>
            <sz val="8"/>
            <color indexed="81"/>
            <rFont val="Tahoma"/>
            <family val="2"/>
          </rPr>
          <t xml:space="preserve">
Imports and exports reported in Tables 1 and 2 should correspond to Total Imports, line 165 in Table 3 and to Total Exports, line 165 in Table 4.</t>
        </r>
      </text>
    </comment>
    <comment ref="B20" authorId="1" shapeId="0" xr:uid="{00000000-0006-0000-0100-000007000000}">
      <text>
        <r>
          <rPr>
            <b/>
            <sz val="8"/>
            <color indexed="81"/>
            <rFont val="Tahoma"/>
            <family val="2"/>
          </rPr>
          <t xml:space="preserve">Direct use:
</t>
        </r>
        <r>
          <rPr>
            <sz val="8"/>
            <color indexed="81"/>
            <rFont val="Tahoma"/>
            <family val="2"/>
          </rPr>
          <t xml:space="preserve">Crude oil, NGL and Other hydrocarbons which are used directly without being processed in oil refineries are reported as Direct use. This includes, for example, crude oil burned for electricity generation.
</t>
        </r>
        <r>
          <rPr>
            <b/>
            <sz val="8"/>
            <color indexed="81"/>
            <rFont val="Tahoma"/>
            <family val="2"/>
          </rPr>
          <t>Such quantities will also be reported in the supply of products under Primary product receipts in line 1 of Table 2 (see notes for Table 2).</t>
        </r>
      </text>
    </comment>
    <comment ref="B21" authorId="1" shapeId="0" xr:uid="{00000000-0006-0000-0100-000008000000}">
      <text>
        <r>
          <rPr>
            <b/>
            <sz val="8"/>
            <color indexed="81"/>
            <rFont val="Tahoma"/>
            <family val="2"/>
          </rPr>
          <t xml:space="preserve">Stock changes:
</t>
        </r>
        <r>
          <rPr>
            <sz val="8"/>
            <color indexed="81"/>
            <rFont val="Tahoma"/>
            <family val="2"/>
          </rPr>
          <t>Stock changes should reflect the difference between closing stock level and opening stock level for stocks held on national territory, as given in category (a) (lines 1 and 2 of Table 5). A stock build is shown as a positive number, and a stock draw as a negative number.</t>
        </r>
      </text>
    </comment>
    <comment ref="B22" authorId="1" shapeId="0" xr:uid="{00000000-0006-0000-0100-000009000000}">
      <text>
        <r>
          <rPr>
            <b/>
            <sz val="8"/>
            <color indexed="81"/>
            <rFont val="Tahoma"/>
            <family val="2"/>
          </rPr>
          <t xml:space="preserve">Refinery intake (Calculated):
</t>
        </r>
        <r>
          <rPr>
            <sz val="8"/>
            <color indexed="81"/>
            <rFont val="Tahoma"/>
            <family val="2"/>
          </rPr>
          <t xml:space="preserve">This is defined as the total amount of oil calculated to have entered the refinery process. It is defined as:
                                          </t>
        </r>
        <r>
          <rPr>
            <b/>
            <sz val="8"/>
            <color indexed="81"/>
            <rFont val="Tahoma"/>
            <family val="2"/>
          </rPr>
          <t>+ Indigenous production
                                          + Receipts from other sources
                                          + Backflows
                                          + Products transferred
                                          + Imports (Balance)
                                          – Exports (Balance)
                                          – Direct use
                                          – Stock changes
                                          = Refinery intake (Calculated)</t>
        </r>
      </text>
    </comment>
    <comment ref="B23" authorId="1" shapeId="0" xr:uid="{00000000-0006-0000-0100-00000A000000}">
      <text>
        <r>
          <rPr>
            <b/>
            <sz val="8"/>
            <color indexed="81"/>
            <rFont val="Tahoma"/>
            <family val="2"/>
          </rPr>
          <t xml:space="preserve">Statistical difference:
</t>
        </r>
        <r>
          <rPr>
            <sz val="8"/>
            <color indexed="81"/>
            <rFont val="Tahoma"/>
            <family val="2"/>
          </rPr>
          <t>This is the difference between calculated and observed refinery intake.</t>
        </r>
        <r>
          <rPr>
            <b/>
            <sz val="8"/>
            <color indexed="81"/>
            <rFont val="Tahoma"/>
            <family val="2"/>
          </rPr>
          <t xml:space="preserve"> </t>
        </r>
        <r>
          <rPr>
            <i/>
            <sz val="8"/>
            <color indexed="81"/>
            <rFont val="Tahoma"/>
            <family val="2"/>
          </rPr>
          <t>Reasons for any major differences should be stated in the section provided for remarks.</t>
        </r>
      </text>
    </comment>
    <comment ref="B24" authorId="1" shapeId="0" xr:uid="{00000000-0006-0000-0100-00000B000000}">
      <text>
        <r>
          <rPr>
            <b/>
            <sz val="8"/>
            <color indexed="81"/>
            <rFont val="Tahoma"/>
            <family val="2"/>
          </rPr>
          <t xml:space="preserve">Refinery intake (Observed):
</t>
        </r>
        <r>
          <rPr>
            <sz val="8"/>
            <color indexed="81"/>
            <rFont val="Tahoma"/>
            <family val="2"/>
          </rPr>
          <t>This is defined as the total amount of oil (including Other hydrocarbons and Additives) observed to have entered the refinery process.</t>
        </r>
      </text>
    </comment>
    <comment ref="B25" authorId="0" shapeId="0" xr:uid="{00000000-0006-0000-0100-00000C000000}">
      <text>
        <r>
          <rPr>
            <b/>
            <sz val="8"/>
            <color indexed="81"/>
            <rFont val="Tahoma"/>
            <family val="2"/>
          </rPr>
          <t>Refinery Losses:</t>
        </r>
        <r>
          <rPr>
            <sz val="8"/>
            <color indexed="81"/>
            <rFont val="Tahoma"/>
            <family val="2"/>
          </rPr>
          <t xml:space="preserve">
These are the differences between observed refinery intake (reference G11) and gross refinery output (reference Z2 of Table 2).  Losses may occur during the distillation processes due to evaporation.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Martina Repikova</author>
    <author>Ryszard Pospiech</author>
    <author>ROBIN_E</author>
    <author>A satisfied Microsoft Office user</author>
    <author>ELLIOTT</author>
  </authors>
  <commentList>
    <comment ref="K6" authorId="0" shapeId="0" xr:uid="{00000000-0006-0000-0200-000001000000}">
      <text>
        <r>
          <rPr>
            <b/>
            <sz val="8"/>
            <color indexed="81"/>
            <rFont val="Tahoma"/>
            <family val="2"/>
          </rPr>
          <t xml:space="preserve">Biogasoline:
</t>
        </r>
        <r>
          <rPr>
            <sz val="8"/>
            <color indexed="81"/>
            <rFont val="Tahoma"/>
            <family val="2"/>
          </rPr>
          <t xml:space="preserve">This category includes bioethanol (ethanol produced from biomass and/or the biodegradable fraction of waste), biomethanol (methanol produced from biomass and/or the biodegradable fraction of waste), bioETBE (ethyl-tertiobutyl- ether produced on the basis of bioethanol: the percentage by volume of bioETBE that is calculated as biofuel is 37%) and bioMTBE (methyl-tertio-butyl-ether produced on the basis of biomethanol: the percentage by volume of bioMTBE that is calculated as biofuel is 22%).
</t>
        </r>
        <r>
          <rPr>
            <b/>
            <sz val="8"/>
            <color indexed="81"/>
            <rFont val="Tahoma"/>
            <family val="2"/>
          </rPr>
          <t>Only the quantity of pure biogasoline that has already been blended</t>
        </r>
        <r>
          <rPr>
            <sz val="8"/>
            <color indexed="81"/>
            <rFont val="Tahoma"/>
            <family val="2"/>
          </rPr>
          <t xml:space="preserve"> should be reported here, except for </t>
        </r>
        <r>
          <rPr>
            <b/>
            <u/>
            <sz val="8"/>
            <color indexed="81"/>
            <rFont val="Tahoma"/>
            <family val="2"/>
          </rPr>
          <t>Primary Product Receipts</t>
        </r>
        <r>
          <rPr>
            <b/>
            <sz val="8"/>
            <color indexed="81"/>
            <rFont val="Tahoma"/>
            <family val="2"/>
          </rPr>
          <t xml:space="preserve">, and </t>
        </r>
        <r>
          <rPr>
            <b/>
            <u/>
            <sz val="8"/>
            <color indexed="81"/>
            <rFont val="Tahoma"/>
            <family val="2"/>
          </rPr>
          <t>Stock Changes</t>
        </r>
        <r>
          <rPr>
            <sz val="8"/>
            <color indexed="81"/>
            <rFont val="Tahoma"/>
            <family val="2"/>
          </rPr>
          <t>, where pure biogasoline</t>
        </r>
        <r>
          <rPr>
            <b/>
            <sz val="8"/>
            <color indexed="81"/>
            <rFont val="Tahoma"/>
            <family val="2"/>
          </rPr>
          <t xml:space="preserve"> intended for blending but not yet blended should also be reported.</t>
        </r>
      </text>
    </comment>
    <comment ref="L6" authorId="0" shapeId="0" xr:uid="{00000000-0006-0000-0200-000002000000}">
      <text>
        <r>
          <rPr>
            <b/>
            <sz val="8"/>
            <color indexed="81"/>
            <rFont val="Tahoma"/>
            <family val="2"/>
          </rPr>
          <t xml:space="preserve">Non-biogasoline:
</t>
        </r>
        <r>
          <rPr>
            <sz val="8"/>
            <color indexed="81"/>
            <rFont val="Tahoma"/>
            <family val="2"/>
          </rPr>
          <t>Both motor gasoline without bio-components and the non-bio portion of motor gasoline blended with pure biogasoline should be reported here.</t>
        </r>
      </text>
    </comment>
    <comment ref="P6" authorId="1" shapeId="0" xr:uid="{00000000-0006-0000-0200-000003000000}">
      <text>
        <r>
          <rPr>
            <b/>
            <sz val="8"/>
            <color indexed="81"/>
            <rFont val="Tahoma"/>
            <family val="2"/>
          </rPr>
          <t xml:space="preserve">Bio jet kerosene:
</t>
        </r>
        <r>
          <rPr>
            <sz val="8"/>
            <color indexed="81"/>
            <rFont val="Tahoma"/>
            <family val="2"/>
          </rPr>
          <t xml:space="preserve">Liquid biofuels derived from biomass and blended with Jet kerosene.
</t>
        </r>
        <r>
          <rPr>
            <b/>
            <sz val="8"/>
            <color indexed="81"/>
            <rFont val="Tahoma"/>
            <family val="2"/>
          </rPr>
          <t>Only the quantity of pure bio jet kerosene that has already been blended</t>
        </r>
        <r>
          <rPr>
            <sz val="8"/>
            <color indexed="81"/>
            <rFont val="Tahoma"/>
            <family val="2"/>
          </rPr>
          <t xml:space="preserve"> should be reported here, except for </t>
        </r>
        <r>
          <rPr>
            <b/>
            <u/>
            <sz val="8"/>
            <color indexed="81"/>
            <rFont val="Tahoma"/>
            <family val="2"/>
          </rPr>
          <t>Primary Product Receipts</t>
        </r>
        <r>
          <rPr>
            <b/>
            <sz val="8"/>
            <color indexed="81"/>
            <rFont val="Tahoma"/>
            <family val="2"/>
          </rPr>
          <t xml:space="preserve"> and </t>
        </r>
        <r>
          <rPr>
            <b/>
            <u/>
            <sz val="8"/>
            <color indexed="81"/>
            <rFont val="Tahoma"/>
            <family val="2"/>
          </rPr>
          <t>Stock Changes</t>
        </r>
        <r>
          <rPr>
            <sz val="8"/>
            <color indexed="81"/>
            <rFont val="Tahoma"/>
            <family val="2"/>
          </rPr>
          <t>, where pure bio jet kerosene</t>
        </r>
        <r>
          <rPr>
            <b/>
            <sz val="8"/>
            <color indexed="81"/>
            <rFont val="Tahoma"/>
            <family val="2"/>
          </rPr>
          <t xml:space="preserve"> intended for blending but not yet blended should also be reported</t>
        </r>
        <r>
          <rPr>
            <sz val="8"/>
            <color indexed="81"/>
            <rFont val="Tahoma"/>
            <family val="2"/>
          </rPr>
          <t xml:space="preserve">.
</t>
        </r>
      </text>
    </comment>
    <comment ref="Q6" authorId="1" shapeId="0" xr:uid="{00000000-0006-0000-0200-000004000000}">
      <text>
        <r>
          <rPr>
            <b/>
            <sz val="8"/>
            <color indexed="81"/>
            <rFont val="Tahoma"/>
            <family val="2"/>
          </rPr>
          <t xml:space="preserve">Non-bio jet kerosene:
</t>
        </r>
        <r>
          <rPr>
            <sz val="8"/>
            <color indexed="81"/>
            <rFont val="Tahoma"/>
            <family val="2"/>
          </rPr>
          <t>Both jet kerosene without bio-components and the non-bio portion of jet kerosene blended with pure bio jet kerosene should be reported here.</t>
        </r>
      </text>
    </comment>
    <comment ref="S6" authorId="1" shapeId="0" xr:uid="{00000000-0006-0000-0200-000005000000}">
      <text>
        <r>
          <rPr>
            <b/>
            <sz val="8"/>
            <color indexed="81"/>
            <rFont val="Tahoma"/>
            <family val="2"/>
          </rPr>
          <t>Road diesel:</t>
        </r>
        <r>
          <rPr>
            <sz val="8"/>
            <color indexed="81"/>
            <rFont val="Tahoma"/>
            <family val="2"/>
          </rPr>
          <t xml:space="preserve">
On road diesel oil for diesel compression ignition (cars, trucks etc.), usually of low sulphur content.
</t>
        </r>
      </text>
    </comment>
    <comment ref="T6" authorId="1" shapeId="0" xr:uid="{00000000-0006-0000-0200-000006000000}">
      <text>
        <r>
          <rPr>
            <b/>
            <sz val="8"/>
            <color indexed="81"/>
            <rFont val="Tahoma"/>
            <family val="2"/>
          </rPr>
          <t xml:space="preserve">Heating and other gasoil:
   - </t>
        </r>
        <r>
          <rPr>
            <sz val="8"/>
            <color indexed="81"/>
            <rFont val="Tahoma"/>
            <family val="2"/>
          </rPr>
          <t xml:space="preserve">Light heating oil for industrial and commercial uses;
    - Marine diesel and diesel used in rail traffic;
   - Other gas oil including heavy gas oils which distil
    between 380ºC and 540ºC and which are used as
    petrochemical feedstocks.
</t>
        </r>
      </text>
    </comment>
    <comment ref="V6" authorId="0" shapeId="0" xr:uid="{00000000-0006-0000-0200-000007000000}">
      <text>
        <r>
          <rPr>
            <b/>
            <sz val="8"/>
            <color indexed="81"/>
            <rFont val="Tahoma"/>
            <family val="2"/>
          </rPr>
          <t>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Gas/diesel oil.
</t>
        </r>
        <r>
          <rPr>
            <b/>
            <sz val="8"/>
            <color indexed="81"/>
            <rFont val="Tahoma"/>
            <family val="2"/>
          </rPr>
          <t xml:space="preserve">Only the quantity of pure biodiesel that has already been blended </t>
        </r>
        <r>
          <rPr>
            <sz val="8"/>
            <color indexed="81"/>
            <rFont val="Tahoma"/>
            <family val="2"/>
          </rPr>
          <t xml:space="preserve">should be reported here, except for </t>
        </r>
        <r>
          <rPr>
            <b/>
            <u/>
            <sz val="8"/>
            <color indexed="81"/>
            <rFont val="Tahoma"/>
            <family val="2"/>
          </rPr>
          <t>Primary Product Receipts</t>
        </r>
        <r>
          <rPr>
            <b/>
            <sz val="8"/>
            <color indexed="81"/>
            <rFont val="Tahoma"/>
            <family val="2"/>
          </rPr>
          <t xml:space="preserve"> and </t>
        </r>
        <r>
          <rPr>
            <b/>
            <u/>
            <sz val="8"/>
            <color indexed="81"/>
            <rFont val="Tahoma"/>
            <family val="2"/>
          </rPr>
          <t>Stock Changes</t>
        </r>
        <r>
          <rPr>
            <sz val="8"/>
            <color indexed="81"/>
            <rFont val="Tahoma"/>
            <family val="2"/>
          </rPr>
          <t xml:space="preserve">, where pure biodiesel </t>
        </r>
        <r>
          <rPr>
            <b/>
            <sz val="8"/>
            <color indexed="81"/>
            <rFont val="Tahoma"/>
            <family val="2"/>
          </rPr>
          <t>intended for blending but not yet blended should also be reported</t>
        </r>
        <r>
          <rPr>
            <sz val="8"/>
            <color indexed="81"/>
            <rFont val="Tahoma"/>
            <family val="2"/>
          </rPr>
          <t>.</t>
        </r>
      </text>
    </comment>
    <comment ref="W6" authorId="1" shapeId="0" xr:uid="{00000000-0006-0000-0200-000008000000}">
      <text>
        <r>
          <rPr>
            <b/>
            <sz val="8"/>
            <color indexed="81"/>
            <rFont val="Tahoma"/>
            <family val="2"/>
          </rPr>
          <t xml:space="preserve">Non-bio gas/diesel oil:
</t>
        </r>
        <r>
          <rPr>
            <sz val="8"/>
            <color indexed="81"/>
            <rFont val="Tahoma"/>
            <family val="2"/>
          </rPr>
          <t xml:space="preserve">Both gas/diesel oil without bio-components and the non-bio portion of gas/diesel oil blended with pure biodiesel should be reported here.
</t>
        </r>
      </text>
    </comment>
    <comment ref="Y6" authorId="1" shapeId="0" xr:uid="{00000000-0006-0000-0200-000009000000}">
      <text>
        <r>
          <rPr>
            <b/>
            <sz val="8"/>
            <color indexed="81"/>
            <rFont val="Tahoma"/>
            <family val="2"/>
          </rPr>
          <t xml:space="preserve">Low sulphur content: 
</t>
        </r>
        <r>
          <rPr>
            <sz val="8"/>
            <color indexed="81"/>
            <rFont val="Tahoma"/>
            <family val="2"/>
          </rPr>
          <t>Heavy fuel oil with sulphur content lower than 1%</t>
        </r>
        <r>
          <rPr>
            <b/>
            <sz val="8"/>
            <color indexed="81"/>
            <rFont val="Tahoma"/>
            <family val="2"/>
          </rPr>
          <t>.</t>
        </r>
      </text>
    </comment>
    <comment ref="AA6" authorId="1" shapeId="0" xr:uid="{00000000-0006-0000-0200-00000A000000}">
      <text>
        <r>
          <rPr>
            <b/>
            <sz val="8"/>
            <color indexed="81"/>
            <rFont val="Tahoma"/>
            <family val="2"/>
          </rPr>
          <t xml:space="preserve">High sulphur content:
</t>
        </r>
        <r>
          <rPr>
            <sz val="8"/>
            <color indexed="81"/>
            <rFont val="Tahoma"/>
            <family val="2"/>
          </rPr>
          <t xml:space="preserve">Heavy fuel oil with sulphur content of 1% or higher.
</t>
        </r>
      </text>
    </comment>
    <comment ref="B8" authorId="2" shapeId="0" xr:uid="{00000000-0006-0000-0200-00000B000000}">
      <text>
        <r>
          <rPr>
            <b/>
            <sz val="8"/>
            <color indexed="81"/>
            <rFont val="Tahoma"/>
            <family val="2"/>
          </rPr>
          <t xml:space="preserve">Primary product receipts:
</t>
        </r>
        <r>
          <rPr>
            <sz val="8"/>
            <color indexed="81"/>
            <rFont val="Tahoma"/>
            <family val="2"/>
          </rPr>
          <t>Quantities of indigenous or imported crude oil (including condensate) and indigenous NGL which are</t>
        </r>
        <r>
          <rPr>
            <b/>
            <i/>
            <sz val="8"/>
            <color indexed="81"/>
            <rFont val="Tahoma"/>
            <family val="2"/>
          </rPr>
          <t xml:space="preserve"> used directly</t>
        </r>
        <r>
          <rPr>
            <sz val="8"/>
            <color indexed="81"/>
            <rFont val="Tahoma"/>
            <family val="2"/>
          </rPr>
          <t xml:space="preserve"> without being processed in an oil refinery. For example, crude oil used to generate electricity should be placed in Primary product receipts of crude oil (reference A1). Quantities of indigenous NGL which are not included in refinery intake should be reported in Primary product receipts of NGL (reference B1), then transferred through the Interproduct transfers row to the allocated product type.
Please note that this flow includes the amounts of Backflows which, although not primary fuel, are used directly.</t>
        </r>
      </text>
    </comment>
    <comment ref="B9" authorId="2" shapeId="0" xr:uid="{00000000-0006-0000-0200-00000C000000}">
      <text>
        <r>
          <rPr>
            <b/>
            <sz val="8"/>
            <color indexed="81"/>
            <rFont val="Tahoma"/>
            <family val="2"/>
          </rPr>
          <t xml:space="preserve">Refinery gross output:
</t>
        </r>
        <r>
          <rPr>
            <sz val="8"/>
            <color indexed="81"/>
            <rFont val="Tahoma"/>
            <family val="2"/>
          </rPr>
          <t>This is the production of oil petroleum products at a refining or blending plant. It excludes Refinery losses, but includes Refinery fuel.</t>
        </r>
        <r>
          <rPr>
            <b/>
            <sz val="8"/>
            <color indexed="81"/>
            <rFont val="Tahoma"/>
            <family val="2"/>
          </rPr>
          <t xml:space="preserve">
The Total (reference Z2) must be equal to Refinery intake (Observed) minus Refinery losses (references G11 and G12 respectively of Table 1).</t>
        </r>
      </text>
    </comment>
    <comment ref="B10" authorId="2" shapeId="0" xr:uid="{00000000-0006-0000-0200-00000D000000}">
      <text>
        <r>
          <rPr>
            <b/>
            <sz val="8"/>
            <color indexed="81"/>
            <rFont val="Tahoma"/>
            <family val="2"/>
          </rPr>
          <t xml:space="preserve">Recycled products:
</t>
        </r>
        <r>
          <rPr>
            <sz val="8"/>
            <color indexed="81"/>
            <rFont val="Tahoma"/>
            <family val="2"/>
          </rPr>
          <t xml:space="preserve">These are finished products which pass a second time through the marketing network, </t>
        </r>
        <r>
          <rPr>
            <u/>
            <sz val="8"/>
            <color indexed="81"/>
            <rFont val="Tahoma"/>
            <family val="2"/>
          </rPr>
          <t>after</t>
        </r>
        <r>
          <rPr>
            <sz val="8"/>
            <color indexed="81"/>
            <rFont val="Tahoma"/>
            <family val="2"/>
          </rPr>
          <t xml:space="preserve"> having been once delivered to final consumers (e.g. used lubricants which are reprocessed). These quantities should be distinguished from petrochemical Backflows (see definitions).</t>
        </r>
      </text>
    </comment>
    <comment ref="B11" authorId="2" shapeId="0" xr:uid="{00000000-0006-0000-0200-00000E000000}">
      <text>
        <r>
          <rPr>
            <b/>
            <sz val="8"/>
            <color indexed="81"/>
            <rFont val="Tahoma"/>
            <family val="2"/>
          </rPr>
          <t xml:space="preserve">Refinery fuel:
</t>
        </r>
        <r>
          <rPr>
            <sz val="8"/>
            <color indexed="81"/>
            <rFont val="Tahoma"/>
            <family val="2"/>
          </rPr>
          <t>These are all petroleum products consumed in support of the operation of a refinery. This should not include products used by oil companies outside the refining process, e.g. bunkers or oil tankers.</t>
        </r>
      </text>
    </comment>
    <comment ref="B12" authorId="2" shapeId="0" xr:uid="{00000000-0006-0000-0200-00000F000000}">
      <text>
        <r>
          <rPr>
            <b/>
            <sz val="8"/>
            <color indexed="81"/>
            <rFont val="Tahoma"/>
            <family val="2"/>
          </rPr>
          <t xml:space="preserve">Imports and Exports (Balance):
</t>
        </r>
        <r>
          <rPr>
            <sz val="8"/>
            <color indexed="81"/>
            <rFont val="Tahoma"/>
            <family val="2"/>
          </rPr>
          <t>See definitions in Table 1.</t>
        </r>
      </text>
    </comment>
    <comment ref="B14" authorId="2" shapeId="0" xr:uid="{00000000-0006-0000-0200-000010000000}">
      <text>
        <r>
          <rPr>
            <b/>
            <sz val="8"/>
            <color indexed="81"/>
            <rFont val="Tahoma"/>
            <family val="2"/>
          </rPr>
          <t xml:space="preserve">International marine bunkers:
</t>
        </r>
        <r>
          <rPr>
            <sz val="8"/>
            <color indexed="81"/>
            <rFont val="Tahoma"/>
            <family val="2"/>
          </rPr>
          <t>Bunkers cover the quantities of fuels delivered to sea-going ships of all flags, including warships. Consumption by ships engaged in transport in inland and coastal waters is not included. Note that fuel delivered for deep-sea fishing should not be included.</t>
        </r>
      </text>
    </comment>
    <comment ref="B15" authorId="2" shapeId="0" xr:uid="{00000000-0006-0000-0200-000011000000}">
      <text>
        <r>
          <rPr>
            <b/>
            <sz val="8"/>
            <color indexed="81"/>
            <rFont val="Tahoma"/>
            <family val="2"/>
          </rPr>
          <t xml:space="preserve">Interproduct transfers:
</t>
        </r>
        <r>
          <rPr>
            <sz val="8"/>
            <color indexed="81"/>
            <rFont val="Tahoma"/>
            <family val="2"/>
          </rPr>
          <t xml:space="preserve">Result from the reclassification of products either because their specification has changed, or because they are blended into another product. For example, quantities of kerosene may be reclassified as gasoil after blending with the latter in order to meet its winter diesel specification. A negative entry for one product must be compensated by a positive entry (or several entries) for one or several products and vice versa.
</t>
        </r>
        <r>
          <rPr>
            <b/>
            <sz val="8"/>
            <color indexed="81"/>
            <rFont val="Tahoma"/>
            <family val="2"/>
          </rPr>
          <t>The total net effect (reference Z8) should be zero.</t>
        </r>
      </text>
    </comment>
    <comment ref="B16" authorId="2" shapeId="0" xr:uid="{00000000-0006-0000-0200-000012000000}">
      <text>
        <r>
          <rPr>
            <b/>
            <sz val="8"/>
            <color indexed="81"/>
            <rFont val="Tahoma"/>
            <family val="2"/>
          </rPr>
          <t xml:space="preserve">Products transferred:
</t>
        </r>
        <r>
          <rPr>
            <sz val="8"/>
            <color indexed="81"/>
            <rFont val="Tahoma"/>
            <family val="2"/>
          </rPr>
          <t>See definitions in Table 1.</t>
        </r>
      </text>
    </comment>
    <comment ref="B17" authorId="2" shapeId="0" xr:uid="{00000000-0006-0000-0200-000013000000}">
      <text>
        <r>
          <rPr>
            <b/>
            <sz val="8"/>
            <color indexed="81"/>
            <rFont val="Tahoma"/>
            <family val="2"/>
          </rPr>
          <t>Stock changes:</t>
        </r>
        <r>
          <rPr>
            <sz val="8"/>
            <color indexed="81"/>
            <rFont val="Tahoma"/>
            <family val="2"/>
          </rPr>
          <t xml:space="preserve">
See definitions under Table 1.</t>
        </r>
      </text>
    </comment>
    <comment ref="B18" authorId="2" shapeId="0" xr:uid="{00000000-0006-0000-0200-000014000000}">
      <text>
        <r>
          <rPr>
            <b/>
            <sz val="8"/>
            <color indexed="81"/>
            <rFont val="Tahoma"/>
            <family val="2"/>
          </rPr>
          <t xml:space="preserve">Gross inland deliveries (Calculated):
</t>
        </r>
        <r>
          <rPr>
            <sz val="8"/>
            <color indexed="81"/>
            <rFont val="Tahoma"/>
            <family val="2"/>
          </rPr>
          <t>This is defined as:</t>
        </r>
        <r>
          <rPr>
            <b/>
            <sz val="8"/>
            <color indexed="81"/>
            <rFont val="Tahoma"/>
            <family val="2"/>
          </rPr>
          <t xml:space="preserve">
                                   + Primary product receipts
                                   + Refinery gross output
                                   + Recycled products
                                   – Refinery fuel
                                   + Imports (Balance)
                                   – Exports (Balance)
                                   – International marine bunkers
                                   + Interproduct transfers
                                   – Products transferred
                                   – Stock changes
                                   = Gross inland deliveries (Calculated)</t>
        </r>
      </text>
    </comment>
    <comment ref="B19" authorId="2" shapeId="0" xr:uid="{00000000-0006-0000-0200-000015000000}">
      <text>
        <r>
          <rPr>
            <b/>
            <sz val="8"/>
            <color indexed="81"/>
            <rFont val="Tahoma"/>
            <family val="2"/>
          </rPr>
          <t>Statistical Difference:</t>
        </r>
        <r>
          <rPr>
            <sz val="8"/>
            <color indexed="81"/>
            <rFont val="Tahoma"/>
            <family val="2"/>
          </rPr>
          <t xml:space="preserve"> 
This is the difference between calculated and observed gross inland deliveries.  </t>
        </r>
        <r>
          <rPr>
            <i/>
            <sz val="8"/>
            <color indexed="81"/>
            <rFont val="Tahoma"/>
            <family val="2"/>
          </rPr>
          <t>Reasons for any major differences should be stated in the space provided for on the remarks sheet.</t>
        </r>
      </text>
    </comment>
    <comment ref="B20" authorId="2" shapeId="0" xr:uid="{00000000-0006-0000-0200-000016000000}">
      <text>
        <r>
          <rPr>
            <b/>
            <sz val="8"/>
            <color indexed="81"/>
            <rFont val="Tahoma"/>
            <family val="2"/>
          </rPr>
          <t xml:space="preserve">Gross inland deliveries (Observed):
</t>
        </r>
        <r>
          <rPr>
            <sz val="8"/>
            <color indexed="81"/>
            <rFont val="Tahoma"/>
            <family val="2"/>
          </rPr>
          <t>These are the observed deliveries of oil products from primary sources (e.g. refineries, blending plants etc.) to the inland market. This figure may differ from the calculated figure due, for example, to differences in coverage and/or differences of definition in different reporting systems.</t>
        </r>
      </text>
    </comment>
    <comment ref="B21" authorId="3" shapeId="0" xr:uid="{00000000-0006-0000-0200-000017000000}">
      <text>
        <r>
          <rPr>
            <b/>
            <sz val="8"/>
            <color indexed="81"/>
            <rFont val="Tahoma"/>
            <family val="2"/>
          </rPr>
          <t xml:space="preserve">Deliveries to international aviation: 
</t>
        </r>
        <r>
          <rPr>
            <sz val="8"/>
            <color indexed="81"/>
            <rFont val="Tahoma"/>
            <family val="2"/>
          </rPr>
          <t xml:space="preserve">Report all deliveries of aviation fuels other than for domestic aircraft activities.
</t>
        </r>
      </text>
    </comment>
    <comment ref="B22" authorId="2" shapeId="0" xr:uid="{00000000-0006-0000-0200-000018000000}">
      <text>
        <r>
          <rPr>
            <b/>
            <sz val="8"/>
            <color indexed="81"/>
            <rFont val="Tahoma"/>
            <family val="2"/>
          </rPr>
          <t xml:space="preserve">Deliveries to main activity producer power plants:
</t>
        </r>
        <r>
          <rPr>
            <sz val="8"/>
            <color indexed="81"/>
            <rFont val="Tahoma"/>
            <family val="2"/>
          </rPr>
          <t>Report quantities of oil products used for electricity and heat generation in main activity producer power plants.</t>
        </r>
      </text>
    </comment>
    <comment ref="B23" authorId="2" shapeId="0" xr:uid="{00000000-0006-0000-0200-000019000000}">
      <text>
        <r>
          <rPr>
            <b/>
            <sz val="8"/>
            <color indexed="81"/>
            <rFont val="Tahoma"/>
            <family val="2"/>
          </rPr>
          <t xml:space="preserve">Deliveries of automotive LPG:
</t>
        </r>
        <r>
          <rPr>
            <sz val="8"/>
            <color indexed="81"/>
            <rFont val="Tahoma"/>
            <family val="2"/>
          </rPr>
          <t>Report all deliveries of LPG used for road transport vehicles.</t>
        </r>
      </text>
    </comment>
    <comment ref="B24" authorId="2" shapeId="0" xr:uid="{00000000-0006-0000-0200-00001A000000}">
      <text>
        <r>
          <rPr>
            <b/>
            <sz val="8"/>
            <color indexed="81"/>
            <rFont val="Tahoma"/>
            <family val="2"/>
          </rPr>
          <t xml:space="preserve">Deliveries of rail and marine diesel:
</t>
        </r>
        <r>
          <rPr>
            <sz val="8"/>
            <color indexed="81"/>
            <rFont val="Tahoma"/>
            <family val="2"/>
          </rPr>
          <t>Report marine diesel and diesel used in rail traffic.</t>
        </r>
      </text>
    </comment>
    <comment ref="B25" authorId="4" shapeId="0" xr:uid="{00000000-0006-0000-0200-00001B000000}">
      <text>
        <r>
          <rPr>
            <b/>
            <sz val="8"/>
            <color indexed="81"/>
            <rFont val="Tahoma"/>
            <family val="2"/>
          </rPr>
          <t xml:space="preserve">Gross deliveries to the petrochemical industry:
</t>
        </r>
        <r>
          <rPr>
            <sz val="8"/>
            <color indexed="81"/>
            <rFont val="Tahoma"/>
            <family val="2"/>
          </rPr>
          <t>Report only those quantities of fuels delivered to the petrochemical sector.</t>
        </r>
      </text>
    </comment>
    <comment ref="B26" authorId="2" shapeId="0" xr:uid="{00000000-0006-0000-0200-00001C000000}">
      <text>
        <r>
          <rPr>
            <b/>
            <sz val="8"/>
            <color indexed="81"/>
            <rFont val="Tahoma"/>
            <family val="2"/>
          </rPr>
          <t xml:space="preserve">Backflows to refineries:
</t>
        </r>
        <r>
          <rPr>
            <sz val="8"/>
            <color indexed="81"/>
            <rFont val="Tahoma"/>
            <family val="2"/>
          </rPr>
          <t>Total product Backflows to refineries reported in reference Z19 must be equal to total Backflows reported in reference C3 in Table 1. (See Backflows in Table 1). Those quantities of backflows returned to refinery should be shown as Backflows in Table 1 and subsequently as a part of Refinery intake, Refinery gross output and of Gross inland deliveries of the relevant products.
Quantities of backflows that are used directly as finished products should be included in the data reported under Backflows and subsequently as Direct use in Table 1 and Primary product receipts in Table 2.</t>
        </r>
      </text>
    </comment>
    <comment ref="B27" authorId="4" shapeId="0" xr:uid="{00000000-0006-0000-0200-00001D000000}">
      <text>
        <r>
          <rPr>
            <b/>
            <sz val="8"/>
            <color indexed="81"/>
            <rFont val="Tahoma"/>
            <family val="2"/>
          </rPr>
          <t>Net deliveries of Total products:</t>
        </r>
        <r>
          <rPr>
            <sz val="8"/>
            <color indexed="81"/>
            <rFont val="Tahoma"/>
            <family val="2"/>
          </rPr>
          <t xml:space="preserve">
This is defined as Gross inland deliveries (Observed) minus Backflows to refineries.
</t>
        </r>
        <r>
          <rPr>
            <b/>
            <sz val="8"/>
            <color indexed="81"/>
            <rFont val="Tahoma"/>
            <family val="2"/>
          </rPr>
          <t>Thus reference Z20 = reference Z13 - reference Z19</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Martina Repikova</author>
    <author>Ryszard Pospiech</author>
  </authors>
  <commentList>
    <comment ref="M6" authorId="0" shapeId="0" xr:uid="{00000000-0006-0000-0300-000001000000}">
      <text>
        <r>
          <rPr>
            <b/>
            <sz val="8"/>
            <color indexed="81"/>
            <rFont val="Tahoma"/>
            <family val="2"/>
          </rPr>
          <t xml:space="preserve">Biogasoline:
</t>
        </r>
        <r>
          <rPr>
            <sz val="8"/>
            <color indexed="81"/>
            <rFont val="Tahoma"/>
            <family val="2"/>
          </rPr>
          <t>This category includes bioethanol (ethanol produced from biomass and/or the biodegradable fraction of waste), biomethanol (methanol produced from biomass and/or the biodegradable fraction of waste), bioETBE (ethyl-tertiobutyl- ether produced on the basis of bioethanol: the percentage by volume of bioETBE that is calculated as biofuel is 37%) and bioMTBE (methyl-tertio-butyl-ether produced on the basis of biomethanol: the percentage by volume of bioMTBE that is calculated as biofuel is 22%).</t>
        </r>
      </text>
    </comment>
    <comment ref="N6" authorId="0" shapeId="0" xr:uid="{00000000-0006-0000-0300-000002000000}">
      <text>
        <r>
          <rPr>
            <b/>
            <sz val="8"/>
            <color indexed="81"/>
            <rFont val="Tahoma"/>
            <family val="2"/>
          </rPr>
          <t xml:space="preserve">Non-biogasoline:
</t>
        </r>
        <r>
          <rPr>
            <sz val="8"/>
            <color indexed="81"/>
            <rFont val="Tahoma"/>
            <family val="2"/>
          </rPr>
          <t>This category covers Motor gasoline as defined above excluding Biogasoline.</t>
        </r>
      </text>
    </comment>
    <comment ref="R6" authorId="1" shapeId="0" xr:uid="{00000000-0006-0000-0300-000003000000}">
      <text>
        <r>
          <rPr>
            <b/>
            <sz val="8"/>
            <color indexed="81"/>
            <rFont val="Tahoma"/>
            <family val="2"/>
          </rPr>
          <t xml:space="preserve">Bio jet kerosene:
</t>
        </r>
        <r>
          <rPr>
            <sz val="8"/>
            <color indexed="81"/>
            <rFont val="Tahoma"/>
            <family val="2"/>
          </rPr>
          <t xml:space="preserve">Liquid biofuels derived from biomass and blended with Jet kerosene.
</t>
        </r>
      </text>
    </comment>
    <comment ref="S6" authorId="1" shapeId="0" xr:uid="{00000000-0006-0000-0300-000004000000}">
      <text>
        <r>
          <rPr>
            <b/>
            <sz val="8"/>
            <color indexed="81"/>
            <rFont val="Tahoma"/>
            <family val="2"/>
          </rPr>
          <t xml:space="preserve">Non-bio jet kerosene:
</t>
        </r>
        <r>
          <rPr>
            <sz val="8"/>
            <color indexed="81"/>
            <rFont val="Tahoma"/>
            <family val="2"/>
          </rPr>
          <t>This category covers jet kerosene as defined above excluding Bio jet kerosene.</t>
        </r>
      </text>
    </comment>
    <comment ref="U6" authorId="1" shapeId="0" xr:uid="{00000000-0006-0000-0300-000005000000}">
      <text>
        <r>
          <rPr>
            <b/>
            <sz val="8"/>
            <color indexed="81"/>
            <rFont val="Tahoma"/>
            <family val="2"/>
          </rPr>
          <t>Road diesel:</t>
        </r>
        <r>
          <rPr>
            <sz val="8"/>
            <color indexed="81"/>
            <rFont val="Tahoma"/>
            <family val="2"/>
          </rPr>
          <t xml:space="preserve">
On road diesel oil for diesel compression ignition (cars, trucks etc.), usually of low sulphur content.
</t>
        </r>
      </text>
    </comment>
    <comment ref="V6" authorId="1" shapeId="0" xr:uid="{00000000-0006-0000-0300-000006000000}">
      <text>
        <r>
          <rPr>
            <b/>
            <sz val="8"/>
            <color indexed="81"/>
            <rFont val="Tahoma"/>
            <family val="2"/>
          </rPr>
          <t xml:space="preserve">Heating and other gasoil:
   - </t>
        </r>
        <r>
          <rPr>
            <sz val="8"/>
            <color indexed="81"/>
            <rFont val="Tahoma"/>
            <family val="2"/>
          </rPr>
          <t xml:space="preserve">Light heating oil for industrial and commercial uses;
    - Marine diesel and diesel used in rail traffic;
   - Other gas oil including heavy gas oils which distil
    between 380ºC and 540ºC and which are used as
    petrochemical feedstocks.
</t>
        </r>
      </text>
    </comment>
    <comment ref="X6" authorId="0" shapeId="0" xr:uid="{00000000-0006-0000-0300-000007000000}">
      <text>
        <r>
          <rPr>
            <b/>
            <sz val="8"/>
            <color indexed="81"/>
            <rFont val="Tahoma"/>
            <family val="2"/>
          </rPr>
          <t>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Gas/diesel oil.</t>
        </r>
      </text>
    </comment>
    <comment ref="Y6" authorId="1" shapeId="0" xr:uid="{00000000-0006-0000-0300-000008000000}">
      <text>
        <r>
          <rPr>
            <b/>
            <sz val="8"/>
            <color indexed="81"/>
            <rFont val="Tahoma"/>
            <family val="2"/>
          </rPr>
          <t xml:space="preserve">Non-bio gas/diesel oil:
</t>
        </r>
        <r>
          <rPr>
            <sz val="8"/>
            <color indexed="81"/>
            <rFont val="Tahoma"/>
            <family val="2"/>
          </rPr>
          <t xml:space="preserve">This category consists of gas diesel oil as defined above excluding Biodiesel.
</t>
        </r>
      </text>
    </comment>
    <comment ref="AA6" authorId="1" shapeId="0" xr:uid="{00000000-0006-0000-0300-000009000000}">
      <text>
        <r>
          <rPr>
            <b/>
            <sz val="8"/>
            <color indexed="81"/>
            <rFont val="Tahoma"/>
            <family val="2"/>
          </rPr>
          <t xml:space="preserve">Low sulphur content: 
</t>
        </r>
        <r>
          <rPr>
            <sz val="8"/>
            <color indexed="81"/>
            <rFont val="Tahoma"/>
            <family val="2"/>
          </rPr>
          <t>Heavy fuel oil with sulphur content lower than 1%</t>
        </r>
        <r>
          <rPr>
            <b/>
            <sz val="8"/>
            <color indexed="81"/>
            <rFont val="Tahoma"/>
            <family val="2"/>
          </rPr>
          <t>.</t>
        </r>
      </text>
    </comment>
    <comment ref="AC6" authorId="1" shapeId="0" xr:uid="{00000000-0006-0000-0300-00000A000000}">
      <text>
        <r>
          <rPr>
            <b/>
            <sz val="8"/>
            <color indexed="81"/>
            <rFont val="Tahoma"/>
            <family val="2"/>
          </rPr>
          <t xml:space="preserve">High sulphur content:
</t>
        </r>
        <r>
          <rPr>
            <sz val="8"/>
            <color indexed="81"/>
            <rFont val="Tahoma"/>
            <family val="2"/>
          </rPr>
          <t xml:space="preserve">Heavy fuel oil with sulphur content of 1% or higher.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Martina Repikova</author>
    <author>Ryszard Pospiech</author>
  </authors>
  <commentList>
    <comment ref="M6" authorId="0" shapeId="0" xr:uid="{00000000-0006-0000-0400-000001000000}">
      <text>
        <r>
          <rPr>
            <b/>
            <sz val="8"/>
            <color indexed="81"/>
            <rFont val="Tahoma"/>
            <family val="2"/>
          </rPr>
          <t xml:space="preserve">Biogasoline:
</t>
        </r>
        <r>
          <rPr>
            <sz val="8"/>
            <color indexed="81"/>
            <rFont val="Tahoma"/>
            <family val="2"/>
          </rPr>
          <t>This category includes bioethanol (ethanol produced from biomass and/or the biodegradable fraction of waste), biomethanol (methanol produced from biomass and/or the biodegradable fraction of waste), bioETBE (ethyl-tertiobutyl- ether produced on the basis of bioethanol: the percentage by volume of bioETBE that is calculated as biofuel is 37%) and bioMTBE (methyl-tertio-butyl-ether produced on the basis of biomethanol: the percentage by volume of bioMTBE that is calculated as biofuel is 22%).</t>
        </r>
      </text>
    </comment>
    <comment ref="N6" authorId="0" shapeId="0" xr:uid="{00000000-0006-0000-0400-000002000000}">
      <text>
        <r>
          <rPr>
            <b/>
            <sz val="8"/>
            <color indexed="81"/>
            <rFont val="Tahoma"/>
            <family val="2"/>
          </rPr>
          <t xml:space="preserve">Non-biogasoline:
</t>
        </r>
        <r>
          <rPr>
            <sz val="8"/>
            <color indexed="81"/>
            <rFont val="Tahoma"/>
            <family val="2"/>
          </rPr>
          <t>This category covers Motor gasoline as defined above excluding Biogasoline.</t>
        </r>
      </text>
    </comment>
    <comment ref="R6" authorId="1" shapeId="0" xr:uid="{00000000-0006-0000-0400-000003000000}">
      <text>
        <r>
          <rPr>
            <b/>
            <sz val="8"/>
            <color indexed="81"/>
            <rFont val="Tahoma"/>
            <family val="2"/>
          </rPr>
          <t xml:space="preserve">Bio jet kerosene:
</t>
        </r>
        <r>
          <rPr>
            <sz val="8"/>
            <color indexed="81"/>
            <rFont val="Tahoma"/>
            <family val="2"/>
          </rPr>
          <t xml:space="preserve">Liquid biofuels derived from biomass and blended with Jet kerosene.
</t>
        </r>
      </text>
    </comment>
    <comment ref="S6" authorId="1" shapeId="0" xr:uid="{00000000-0006-0000-0400-000004000000}">
      <text>
        <r>
          <rPr>
            <b/>
            <sz val="8"/>
            <color indexed="81"/>
            <rFont val="Tahoma"/>
            <family val="2"/>
          </rPr>
          <t xml:space="preserve">Non-bio jet kerosene:
</t>
        </r>
        <r>
          <rPr>
            <sz val="8"/>
            <color indexed="81"/>
            <rFont val="Tahoma"/>
            <family val="2"/>
          </rPr>
          <t>This category covers jet kerosene as defined above excluding Bio jet kerosene.</t>
        </r>
      </text>
    </comment>
    <comment ref="U6" authorId="1" shapeId="0" xr:uid="{00000000-0006-0000-0400-000005000000}">
      <text>
        <r>
          <rPr>
            <b/>
            <sz val="8"/>
            <color indexed="81"/>
            <rFont val="Tahoma"/>
            <family val="2"/>
          </rPr>
          <t>Road diesel:</t>
        </r>
        <r>
          <rPr>
            <sz val="8"/>
            <color indexed="81"/>
            <rFont val="Tahoma"/>
            <family val="2"/>
          </rPr>
          <t xml:space="preserve">
On road diesel oil for diesel compression ignition (cars, trucks etc.), usually of low sulphur content.
</t>
        </r>
      </text>
    </comment>
    <comment ref="V6" authorId="1" shapeId="0" xr:uid="{00000000-0006-0000-0400-000006000000}">
      <text>
        <r>
          <rPr>
            <b/>
            <sz val="8"/>
            <color indexed="81"/>
            <rFont val="Tahoma"/>
            <family val="2"/>
          </rPr>
          <t xml:space="preserve">Heating and other gasoil:
   - </t>
        </r>
        <r>
          <rPr>
            <sz val="8"/>
            <color indexed="81"/>
            <rFont val="Tahoma"/>
            <family val="2"/>
          </rPr>
          <t xml:space="preserve">Light heating oil for industrial and commercial uses;
    - Marine diesel and diesel used in rail traffic;
   - Other gas oil including heavy gas oils which distil
    between 380ºC and 540ºC and which are used as
    petrochemical feedstocks.
</t>
        </r>
      </text>
    </comment>
    <comment ref="X6" authorId="0" shapeId="0" xr:uid="{00000000-0006-0000-0400-000007000000}">
      <text>
        <r>
          <rPr>
            <b/>
            <sz val="8"/>
            <color indexed="81"/>
            <rFont val="Tahoma"/>
            <family val="2"/>
          </rPr>
          <t>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Gas/diesel oil.</t>
        </r>
      </text>
    </comment>
    <comment ref="Y6" authorId="1" shapeId="0" xr:uid="{00000000-0006-0000-0400-000008000000}">
      <text>
        <r>
          <rPr>
            <b/>
            <sz val="8"/>
            <color indexed="81"/>
            <rFont val="Tahoma"/>
            <family val="2"/>
          </rPr>
          <t xml:space="preserve">Non-bio gas/diesel oil:
</t>
        </r>
        <r>
          <rPr>
            <sz val="8"/>
            <color indexed="81"/>
            <rFont val="Tahoma"/>
            <family val="2"/>
          </rPr>
          <t xml:space="preserve">This category consists of gas diesel oil as defined above excluding Biodiesel.
</t>
        </r>
      </text>
    </comment>
    <comment ref="AA6" authorId="1" shapeId="0" xr:uid="{00000000-0006-0000-0400-000009000000}">
      <text>
        <r>
          <rPr>
            <b/>
            <sz val="8"/>
            <color indexed="81"/>
            <rFont val="Tahoma"/>
            <family val="2"/>
          </rPr>
          <t xml:space="preserve">Low sulphur content: 
</t>
        </r>
        <r>
          <rPr>
            <sz val="8"/>
            <color indexed="81"/>
            <rFont val="Tahoma"/>
            <family val="2"/>
          </rPr>
          <t>Heavy fuel oil with sulphur content lower than 1%</t>
        </r>
        <r>
          <rPr>
            <b/>
            <sz val="8"/>
            <color indexed="81"/>
            <rFont val="Tahoma"/>
            <family val="2"/>
          </rPr>
          <t>.</t>
        </r>
      </text>
    </comment>
    <comment ref="AC6" authorId="1" shapeId="0" xr:uid="{00000000-0006-0000-0400-00000A000000}">
      <text>
        <r>
          <rPr>
            <b/>
            <sz val="8"/>
            <color indexed="81"/>
            <rFont val="Tahoma"/>
            <family val="2"/>
          </rPr>
          <t xml:space="preserve">High sulphur content:
</t>
        </r>
        <r>
          <rPr>
            <sz val="8"/>
            <color indexed="81"/>
            <rFont val="Tahoma"/>
            <family val="2"/>
          </rPr>
          <t xml:space="preserve">Heavy fuel oil with sulphur content of 1% or higher.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Martina Repikova</author>
    <author>Ryszard Pospiech</author>
    <author>ROBIN_E</author>
    <author>GERVAIS Steve, IEA/EXD/EDC/SES</author>
    <author>ELLIOTT</author>
  </authors>
  <commentList>
    <comment ref="H6" authorId="0" shapeId="0" xr:uid="{00000000-0006-0000-0500-000001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O6" authorId="0" shapeId="0" xr:uid="{00000000-0006-0000-0500-000002000000}">
      <text>
        <r>
          <rPr>
            <b/>
            <sz val="8"/>
            <color indexed="81"/>
            <rFont val="Tahoma"/>
            <family val="2"/>
          </rPr>
          <t xml:space="preserve">Biogasoline:
</t>
        </r>
        <r>
          <rPr>
            <sz val="8"/>
            <color indexed="81"/>
            <rFont val="Tahoma"/>
            <family val="2"/>
          </rPr>
          <t>This category includes bioethanol (ethanol produced from biomass and/or the biodegradable fraction of waste), biomethanol (methanol produced from biomass and/or the biodegradable fraction of waste), bioETBE (ethyl-tertiobutyl- ether produced on the basis of bioethanol: the percentage by volume of bioETBE that is calculated as biofuel is 37%) and bioMTBE (methyl-tertio-butyl-ether produced on the basis of biomethanol: the percentage by volume of bioMTBE that is calculated as biofuel is 22%).</t>
        </r>
      </text>
    </comment>
    <comment ref="P6" authorId="0" shapeId="0" xr:uid="{00000000-0006-0000-0500-000003000000}">
      <text>
        <r>
          <rPr>
            <b/>
            <sz val="8"/>
            <color indexed="81"/>
            <rFont val="Tahoma"/>
            <family val="2"/>
          </rPr>
          <t xml:space="preserve">Non-biogasoline:
</t>
        </r>
        <r>
          <rPr>
            <sz val="8"/>
            <color indexed="81"/>
            <rFont val="Tahoma"/>
            <family val="2"/>
          </rPr>
          <t>This category covers Motor gasoline as defined above excluding Biogasoline.</t>
        </r>
      </text>
    </comment>
    <comment ref="T6" authorId="1" shapeId="0" xr:uid="{00000000-0006-0000-0500-000004000000}">
      <text>
        <r>
          <rPr>
            <b/>
            <sz val="8"/>
            <color indexed="81"/>
            <rFont val="Tahoma"/>
            <family val="2"/>
          </rPr>
          <t xml:space="preserve">Bio jet kerosene:
</t>
        </r>
        <r>
          <rPr>
            <sz val="8"/>
            <color indexed="81"/>
            <rFont val="Tahoma"/>
            <family val="2"/>
          </rPr>
          <t xml:space="preserve">Liquid biofuels derived from biomass and blended with Jet kerosene.
</t>
        </r>
      </text>
    </comment>
    <comment ref="U6" authorId="1" shapeId="0" xr:uid="{00000000-0006-0000-0500-000005000000}">
      <text>
        <r>
          <rPr>
            <b/>
            <sz val="8"/>
            <color indexed="81"/>
            <rFont val="Tahoma"/>
            <family val="2"/>
          </rPr>
          <t xml:space="preserve">Non-bio jet kerosene:
</t>
        </r>
        <r>
          <rPr>
            <sz val="8"/>
            <color indexed="81"/>
            <rFont val="Tahoma"/>
            <family val="2"/>
          </rPr>
          <t>This category covers jet kerosene as defined above excluding Bio jet kerosene.</t>
        </r>
      </text>
    </comment>
    <comment ref="W6" authorId="1" shapeId="0" xr:uid="{00000000-0006-0000-0500-000006000000}">
      <text>
        <r>
          <rPr>
            <b/>
            <sz val="8"/>
            <color indexed="81"/>
            <rFont val="Tahoma"/>
            <family val="2"/>
          </rPr>
          <t>Road diesel:</t>
        </r>
        <r>
          <rPr>
            <sz val="8"/>
            <color indexed="81"/>
            <rFont val="Tahoma"/>
            <family val="2"/>
          </rPr>
          <t xml:space="preserve">
On road diesel oil for diesel compression ignition (cars, trucks etc.), usually of low sulphur content.
</t>
        </r>
      </text>
    </comment>
    <comment ref="X6" authorId="1" shapeId="0" xr:uid="{00000000-0006-0000-0500-000007000000}">
      <text>
        <r>
          <rPr>
            <b/>
            <sz val="8"/>
            <color indexed="81"/>
            <rFont val="Tahoma"/>
            <family val="2"/>
          </rPr>
          <t xml:space="preserve">Heating and other gasoil:
   - </t>
        </r>
        <r>
          <rPr>
            <sz val="8"/>
            <color indexed="81"/>
            <rFont val="Tahoma"/>
            <family val="2"/>
          </rPr>
          <t xml:space="preserve">Light heating oil for industrial and commercial uses;
    - Marine diesel and diesel used in rail traffic;
   - Other gas oil including heavy gas oils which distil
    between 380ºC and 540ºC and which are used as
    petrochemical feedstocks.
</t>
        </r>
      </text>
    </comment>
    <comment ref="Z6" authorId="0" shapeId="0" xr:uid="{00000000-0006-0000-0500-000008000000}">
      <text>
        <r>
          <rPr>
            <b/>
            <sz val="8"/>
            <color indexed="81"/>
            <rFont val="Tahoma"/>
            <family val="2"/>
          </rPr>
          <t>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Gas/diesel oil.</t>
        </r>
      </text>
    </comment>
    <comment ref="AA6" authorId="1" shapeId="0" xr:uid="{00000000-0006-0000-0500-000009000000}">
      <text>
        <r>
          <rPr>
            <b/>
            <sz val="8"/>
            <color indexed="81"/>
            <rFont val="Tahoma"/>
            <family val="2"/>
          </rPr>
          <t xml:space="preserve">Non-bio gas/diesel oil:
</t>
        </r>
        <r>
          <rPr>
            <sz val="8"/>
            <color indexed="81"/>
            <rFont val="Tahoma"/>
            <family val="2"/>
          </rPr>
          <t xml:space="preserve">This category consists of gas diesel oil as defined above excluding Biodiesel.
</t>
        </r>
      </text>
    </comment>
    <comment ref="AC6" authorId="1" shapeId="0" xr:uid="{00000000-0006-0000-0500-00000A000000}">
      <text>
        <r>
          <rPr>
            <b/>
            <sz val="8"/>
            <color indexed="81"/>
            <rFont val="Tahoma"/>
            <family val="2"/>
          </rPr>
          <t xml:space="preserve">Low sulphur content: 
</t>
        </r>
        <r>
          <rPr>
            <sz val="8"/>
            <color indexed="81"/>
            <rFont val="Tahoma"/>
            <family val="2"/>
          </rPr>
          <t>Heavy fuel oil with sulphur content lower than 1%</t>
        </r>
        <r>
          <rPr>
            <b/>
            <sz val="8"/>
            <color indexed="81"/>
            <rFont val="Tahoma"/>
            <family val="2"/>
          </rPr>
          <t>.</t>
        </r>
      </text>
    </comment>
    <comment ref="AE6" authorId="1" shapeId="0" xr:uid="{00000000-0006-0000-0500-00000B000000}">
      <text>
        <r>
          <rPr>
            <b/>
            <sz val="8"/>
            <color indexed="81"/>
            <rFont val="Tahoma"/>
            <family val="2"/>
          </rPr>
          <t xml:space="preserve">High sulphur content:
</t>
        </r>
        <r>
          <rPr>
            <sz val="8"/>
            <color indexed="81"/>
            <rFont val="Tahoma"/>
            <family val="2"/>
          </rPr>
          <t xml:space="preserve">Heavy fuel oil with sulphur content of 1% or higher.
</t>
        </r>
      </text>
    </comment>
    <comment ref="A8" authorId="2" shapeId="0" xr:uid="{00000000-0006-0000-0500-00000C000000}">
      <text>
        <r>
          <rPr>
            <b/>
            <sz val="8"/>
            <color indexed="81"/>
            <rFont val="Tahoma"/>
            <family val="2"/>
          </rPr>
          <t>Stocks on national territory:</t>
        </r>
        <r>
          <rPr>
            <sz val="8"/>
            <color indexed="81"/>
            <rFont val="Tahoma"/>
            <family val="2"/>
          </rPr>
          <t xml:space="preserve"> 
This is the sum of categories (b) to (i) below.  Include stocks held by all importers, refiners, stock holding organisations, governments, and major consumers, whose stocks are subject to government control. 
</t>
        </r>
        <r>
          <rPr>
            <b/>
            <sz val="8"/>
            <color indexed="81"/>
            <rFont val="Tahoma"/>
            <family val="2"/>
          </rPr>
          <t>Line 8 in Table 1 and line 10 in Table 2, should correspond to line 2 minus line 1 in Table 5.</t>
        </r>
        <r>
          <rPr>
            <sz val="8"/>
            <color indexed="81"/>
            <rFont val="Tahoma"/>
            <family val="2"/>
          </rPr>
          <t xml:space="preserve"> </t>
        </r>
      </text>
    </comment>
    <comment ref="A10" authorId="2" shapeId="0" xr:uid="{00000000-0006-0000-0500-00000D000000}">
      <text>
        <r>
          <rPr>
            <b/>
            <sz val="8"/>
            <color indexed="81"/>
            <rFont val="Tahoma"/>
            <family val="2"/>
          </rPr>
          <t>Stocks held for other countries under bilateral government agreements:</t>
        </r>
        <r>
          <rPr>
            <sz val="8"/>
            <color indexed="81"/>
            <rFont val="Tahoma"/>
            <family val="2"/>
          </rPr>
          <t xml:space="preserve"> 
Include stocks in your national territory, which belong to another country and to which the access is guaranteed by an agreement between the respective governments.  Closing amounts should correspond to totals (line 57) in Table 6.</t>
        </r>
      </text>
    </comment>
    <comment ref="A12" authorId="2" shapeId="0" xr:uid="{00000000-0006-0000-0500-00000E000000}">
      <text>
        <r>
          <rPr>
            <b/>
            <sz val="8"/>
            <color indexed="81"/>
            <rFont val="Tahoma"/>
            <family val="2"/>
          </rPr>
          <t>Stocks with known foreign destination:</t>
        </r>
        <r>
          <rPr>
            <sz val="8"/>
            <color indexed="81"/>
            <rFont val="Tahoma"/>
            <family val="2"/>
          </rPr>
          <t xml:space="preserve"> 
Include stocks (not included in category (b) ) in your national territory which belong to and are destined for another country.  These stocks may be located inside or outside bonded areas. Closing amounts should correspond to totals (line 57) in Table 7.</t>
        </r>
      </text>
    </comment>
    <comment ref="A14" authorId="2" shapeId="0" xr:uid="{00000000-0006-0000-0500-00000F000000}">
      <text>
        <r>
          <rPr>
            <b/>
            <sz val="8"/>
            <color indexed="81"/>
            <rFont val="Tahoma"/>
            <family val="2"/>
          </rPr>
          <t>Stocks held in bonded areas and not included in (b) or (c):</t>
        </r>
        <r>
          <rPr>
            <sz val="8"/>
            <color indexed="81"/>
            <rFont val="Tahoma"/>
            <family val="2"/>
          </rPr>
          <t xml:space="preserve"> 
Include stocks which are eligible under IEA commitments (irrespective of whether they have received customs clearance or not), not included in categories (b) or (c) above.</t>
        </r>
      </text>
    </comment>
    <comment ref="A16" authorId="2" shapeId="0" xr:uid="{00000000-0006-0000-0500-000010000000}">
      <text>
        <r>
          <rPr>
            <b/>
            <sz val="8"/>
            <color indexed="81"/>
            <rFont val="Tahoma"/>
            <family val="2"/>
          </rPr>
          <t>Stocks held by major consumers, eligible under IEA commitments:</t>
        </r>
        <r>
          <rPr>
            <sz val="8"/>
            <color indexed="81"/>
            <rFont val="Tahoma"/>
            <family val="2"/>
          </rPr>
          <t xml:space="preserve"> 
Include stocks, which are subject to government control.  This definition does not include other consumer stocks.
</t>
        </r>
      </text>
    </comment>
    <comment ref="A18" authorId="2" shapeId="0" xr:uid="{00000000-0006-0000-0500-000011000000}">
      <text>
        <r>
          <rPr>
            <b/>
            <sz val="8"/>
            <color indexed="81"/>
            <rFont val="Tahoma"/>
            <family val="2"/>
          </rPr>
          <t xml:space="preserve">Stocks held on board incoming ocean vessels in port or at mooring: 
</t>
        </r>
        <r>
          <rPr>
            <sz val="8"/>
            <color indexed="81"/>
            <rFont val="Tahoma"/>
            <family val="2"/>
          </rPr>
          <t>Include stocks irrespective of whether they have been cleared by customs or not.  This category excludes stocks on board vessels at high seas.  It includes oil in coastal tankers if both their port of departure and destination are in your country.  In the case of incoming vessels with more than one port of unloading, only report the amount to be unloaded in your country.</t>
        </r>
      </text>
    </comment>
    <comment ref="A20" authorId="2" shapeId="0" xr:uid="{00000000-0006-0000-0500-000012000000}">
      <text>
        <r>
          <rPr>
            <b/>
            <sz val="8"/>
            <color indexed="81"/>
            <rFont val="Tahoma"/>
            <family val="2"/>
          </rPr>
          <t>Stocks held by governments on national territory:</t>
        </r>
        <r>
          <rPr>
            <sz val="8"/>
            <color indexed="81"/>
            <rFont val="Tahoma"/>
            <family val="2"/>
          </rPr>
          <t xml:space="preserve"> 
Include non-military stocks held within the national territory by government, which are government owned or controlled and held exclusively for emergency purposes.  It does not include stocks held by state oil companies or electric utilities, neither does it include stocks held directly by industry to fulfil mandatory stock obligations. </t>
        </r>
      </text>
    </comment>
    <comment ref="A22" authorId="2" shapeId="0" xr:uid="{00000000-0006-0000-0500-000013000000}">
      <text>
        <r>
          <rPr>
            <b/>
            <sz val="8"/>
            <color indexed="81"/>
            <rFont val="Tahoma"/>
            <family val="2"/>
          </rPr>
          <t>Stocks held by stock holding organisations on national territory:</t>
        </r>
        <r>
          <rPr>
            <sz val="8"/>
            <color indexed="81"/>
            <rFont val="Tahoma"/>
            <family val="2"/>
          </rPr>
          <t xml:space="preserve">
 Include stocks held on national territory by both public and private corporations established to maintain stocks exclusively for emergency purposes.  It does not include mandatory stocks held by private companies.</t>
        </r>
      </text>
    </comment>
    <comment ref="A24" authorId="2" shapeId="0" xr:uid="{00000000-0006-0000-0500-000014000000}">
      <text>
        <r>
          <rPr>
            <b/>
            <sz val="8"/>
            <color indexed="81"/>
            <rFont val="Tahoma"/>
            <family val="2"/>
          </rPr>
          <t xml:space="preserve">All other stocks held on national territory:
 </t>
        </r>
        <r>
          <rPr>
            <sz val="8"/>
            <color indexed="81"/>
            <rFont val="Tahoma"/>
            <family val="2"/>
          </rPr>
          <t>Include all other stocks satisfying the conditions described in category (a) above.</t>
        </r>
      </text>
    </comment>
    <comment ref="A26" authorId="3" shapeId="0" xr:uid="{976DD03F-F146-45FA-9EE2-7BBD33C04AF6}">
      <text>
        <r>
          <rPr>
            <b/>
            <sz val="8"/>
            <color indexed="81"/>
            <rFont val="Tahoma"/>
            <family val="2"/>
          </rPr>
          <t>Of which: obligated industry stocks:</t>
        </r>
        <r>
          <rPr>
            <sz val="8"/>
            <color indexed="81"/>
            <rFont val="Tahoma"/>
            <family val="2"/>
          </rPr>
          <t xml:space="preserve">
Include the actual physical amount of industry stocks on national territory that are held by refiners, importers, wholesalers under a government-imposed obligation.
</t>
        </r>
      </text>
    </comment>
    <comment ref="A28" authorId="2" shapeId="0" xr:uid="{00000000-0006-0000-0500-000015000000}">
      <text>
        <r>
          <rPr>
            <b/>
            <sz val="8"/>
            <color indexed="81"/>
            <rFont val="Tahoma"/>
            <family val="2"/>
          </rPr>
          <t xml:space="preserve">Stocks held abroad under bilateral government agreements: 
</t>
        </r>
        <r>
          <rPr>
            <sz val="8"/>
            <color indexed="81"/>
            <rFont val="Tahoma"/>
            <family val="2"/>
          </rPr>
          <t>Include stocks belonging to your country but held in another country, to which access is guaranteed by an agreement between the respective governments. This category is comprised of stocks abroad owned by your government, stocks abroad held by stock holding organisations, and all other types of stocks belonging to your country but held in another country under bilateral government agreements.  Please provide the breakdown of these stocks by type under categories o, p and q (see below). Closing amounts should correspond to the country specific breakdown (line 57) in Table 8.</t>
        </r>
      </text>
    </comment>
    <comment ref="A30" authorId="2" shapeId="0" xr:uid="{00000000-0006-0000-0500-000016000000}">
      <text>
        <r>
          <rPr>
            <b/>
            <sz val="8"/>
            <color indexed="81"/>
            <rFont val="Tahoma"/>
            <family val="2"/>
          </rPr>
          <t>Stocks held abroad designated definitely for import into your country:</t>
        </r>
        <r>
          <rPr>
            <sz val="8"/>
            <color indexed="81"/>
            <rFont val="Tahoma"/>
            <family val="2"/>
          </rPr>
          <t xml:space="preserve"> 
Include stocks (not included in category (j) ) belonging to your country, which are held in another country and which are awaiting import into your country.  Closing amounts should correspond to line 57 in Table 9.</t>
        </r>
      </text>
    </comment>
    <comment ref="A32" authorId="2" shapeId="0" xr:uid="{00000000-0006-0000-0500-000017000000}">
      <text>
        <r>
          <rPr>
            <b/>
            <sz val="8"/>
            <color indexed="81"/>
            <rFont val="Tahoma"/>
            <family val="2"/>
          </rPr>
          <t>Total Stocks:</t>
        </r>
        <r>
          <rPr>
            <sz val="8"/>
            <color indexed="81"/>
            <rFont val="Tahoma"/>
            <family val="2"/>
          </rPr>
          <t xml:space="preserve"> 
Include all stocks belonging to your country, whether on national territory or in the territory of another country.</t>
        </r>
      </text>
    </comment>
    <comment ref="A34" authorId="2" shapeId="0" xr:uid="{00000000-0006-0000-0500-000018000000}">
      <text>
        <r>
          <rPr>
            <b/>
            <sz val="8"/>
            <color indexed="81"/>
            <rFont val="Tahoma"/>
            <family val="2"/>
          </rPr>
          <t>Other stocks in bonded areas (not included above):</t>
        </r>
        <r>
          <rPr>
            <sz val="8"/>
            <color indexed="81"/>
            <rFont val="Tahoma"/>
            <family val="2"/>
          </rPr>
          <t xml:space="preserve"> 
Include other stocks in the national territory not eligible under IEA commitments and which are not included in the above categories</t>
        </r>
      </text>
    </comment>
    <comment ref="A36" authorId="2" shapeId="0" xr:uid="{00000000-0006-0000-0500-000019000000}">
      <text>
        <r>
          <rPr>
            <b/>
            <sz val="8"/>
            <color indexed="81"/>
            <rFont val="Tahoma"/>
            <family val="2"/>
          </rPr>
          <t xml:space="preserve">Pipeline Fill (not included above):
</t>
        </r>
        <r>
          <rPr>
            <sz val="8"/>
            <color indexed="81"/>
            <rFont val="Tahoma"/>
            <family val="2"/>
          </rPr>
          <t>Include oil (crude oil and petroleum products) contained in pipelines, necessary to maintain the flow in the pipelines.</t>
        </r>
      </text>
    </comment>
    <comment ref="A38" authorId="4" shapeId="0" xr:uid="{00000000-0006-0000-0500-00001A000000}">
      <text>
        <r>
          <rPr>
            <b/>
            <sz val="8"/>
            <color indexed="81"/>
            <rFont val="Tahoma"/>
            <family val="2"/>
          </rPr>
          <t>Detail of category (j):</t>
        </r>
        <r>
          <rPr>
            <sz val="8"/>
            <color indexed="81"/>
            <rFont val="Tahoma"/>
            <family val="2"/>
          </rPr>
          <t xml:space="preserve">
The portion of "Stocks held abroad under bilateral government agreement", category (j), which are government stocks.</t>
        </r>
      </text>
    </comment>
    <comment ref="A40" authorId="4" shapeId="0" xr:uid="{00000000-0006-0000-0500-00001B000000}">
      <text>
        <r>
          <rPr>
            <b/>
            <sz val="8"/>
            <color indexed="81"/>
            <rFont val="Tahoma"/>
            <family val="2"/>
          </rPr>
          <t>Detail of category (j):</t>
        </r>
        <r>
          <rPr>
            <sz val="8"/>
            <color indexed="81"/>
            <rFont val="Tahoma"/>
            <family val="2"/>
          </rPr>
          <t xml:space="preserve">
The portion of "Stocks held abroad under bilateral government agreement", category (j), which are stock holding organization's stocks.
</t>
        </r>
      </text>
    </comment>
    <comment ref="A42" authorId="4" shapeId="0" xr:uid="{00000000-0006-0000-0500-00001C000000}">
      <text>
        <r>
          <rPr>
            <b/>
            <sz val="8"/>
            <color indexed="81"/>
            <rFont val="Tahoma"/>
            <family val="2"/>
          </rPr>
          <t>Detail of category (j):</t>
        </r>
        <r>
          <rPr>
            <sz val="8"/>
            <color indexed="81"/>
            <rFont val="Tahoma"/>
            <family val="2"/>
          </rPr>
          <t xml:space="preserve">
The portion of "Stocks held abroad under bilateral government agreement", category (j), which are not included in the above stocks type (o) and (p).</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Martina Repikova</author>
    <author>Ryszard Pospiech</author>
    <author>KROEPPL Christian (ESTAT)</author>
    <author>DE NORRE Bart (ESTAT)</author>
    <author>ROBIN_E</author>
    <author>GERVAIS Steve, IEA/EXD/EDC/EDC2</author>
  </authors>
  <commentList>
    <comment ref="H6" authorId="0" shapeId="0" xr:uid="{00000000-0006-0000-0600-000001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O6" authorId="0" shapeId="0" xr:uid="{00000000-0006-0000-0600-000002000000}">
      <text>
        <r>
          <rPr>
            <b/>
            <sz val="8"/>
            <color indexed="81"/>
            <rFont val="Tahoma"/>
            <family val="2"/>
          </rPr>
          <t xml:space="preserve">Biogasoline:
</t>
        </r>
        <r>
          <rPr>
            <sz val="8"/>
            <color indexed="81"/>
            <rFont val="Tahoma"/>
            <family val="2"/>
          </rPr>
          <t>This category includes bioethanol (ethanol produced from biomass and/or the biodegradable fraction of waste), biomethanol (methanol produced from biomass and/or the biodegradable fraction of waste), bioETBE (ethyl-tertiobutyl- ether produced on the basis of bioethanol: the percentage by volume of bioETBE that is calculated as biofuel is 37%) and bioMTBE (methyl-tertio-butyl-ether produced on the basis of biomethanol: the percentage by volume of bioMTBE that is calculated as biofuel is 22%).</t>
        </r>
      </text>
    </comment>
    <comment ref="P6" authorId="0" shapeId="0" xr:uid="{00000000-0006-0000-0600-000003000000}">
      <text>
        <r>
          <rPr>
            <b/>
            <sz val="8"/>
            <color indexed="81"/>
            <rFont val="Tahoma"/>
            <family val="2"/>
          </rPr>
          <t xml:space="preserve">Non-biogasoline:
</t>
        </r>
        <r>
          <rPr>
            <sz val="8"/>
            <color indexed="81"/>
            <rFont val="Tahoma"/>
            <family val="2"/>
          </rPr>
          <t>This category covers Motor gasoline as defined above excluding Biogasoline.</t>
        </r>
      </text>
    </comment>
    <comment ref="T6" authorId="1" shapeId="0" xr:uid="{00000000-0006-0000-0600-000004000000}">
      <text>
        <r>
          <rPr>
            <b/>
            <sz val="8"/>
            <color indexed="81"/>
            <rFont val="Tahoma"/>
            <family val="2"/>
          </rPr>
          <t xml:space="preserve">Bio jet kerosene:
</t>
        </r>
        <r>
          <rPr>
            <sz val="8"/>
            <color indexed="81"/>
            <rFont val="Tahoma"/>
            <family val="2"/>
          </rPr>
          <t xml:space="preserve">Liquid biofuels derived from biomass and blended with Jet kerosene.
</t>
        </r>
      </text>
    </comment>
    <comment ref="U6" authorId="1" shapeId="0" xr:uid="{00000000-0006-0000-0600-000005000000}">
      <text>
        <r>
          <rPr>
            <b/>
            <sz val="8"/>
            <color indexed="81"/>
            <rFont val="Tahoma"/>
            <family val="2"/>
          </rPr>
          <t xml:space="preserve">Non-bio jet kerosene:
</t>
        </r>
        <r>
          <rPr>
            <sz val="8"/>
            <color indexed="81"/>
            <rFont val="Tahoma"/>
            <family val="2"/>
          </rPr>
          <t>This category covers jet kerosene as defined above excluding Bio jet kerosene.</t>
        </r>
      </text>
    </comment>
    <comment ref="W6" authorId="1" shapeId="0" xr:uid="{00000000-0006-0000-0600-000006000000}">
      <text>
        <r>
          <rPr>
            <b/>
            <sz val="8"/>
            <color indexed="81"/>
            <rFont val="Tahoma"/>
            <family val="2"/>
          </rPr>
          <t>Road diesel:</t>
        </r>
        <r>
          <rPr>
            <sz val="8"/>
            <color indexed="81"/>
            <rFont val="Tahoma"/>
            <family val="2"/>
          </rPr>
          <t xml:space="preserve">
On road diesel oil for diesel compression ignition (cars, trucks etc.), usually of low sulphur content.
</t>
        </r>
      </text>
    </comment>
    <comment ref="X6" authorId="1" shapeId="0" xr:uid="{00000000-0006-0000-0600-000007000000}">
      <text>
        <r>
          <rPr>
            <b/>
            <sz val="8"/>
            <color indexed="81"/>
            <rFont val="Tahoma"/>
            <family val="2"/>
          </rPr>
          <t xml:space="preserve">Heating and other gasoil:
   - </t>
        </r>
        <r>
          <rPr>
            <sz val="8"/>
            <color indexed="81"/>
            <rFont val="Tahoma"/>
            <family val="2"/>
          </rPr>
          <t xml:space="preserve">Light heating oil for industrial and commercial uses;
    - Marine diesel and diesel used in rail traffic;
   - Other gas oil including heavy gas oils which distil
    between 380ºC and 540ºC and which are used as
    petrochemical feedstocks.
</t>
        </r>
      </text>
    </comment>
    <comment ref="Z6" authorId="0" shapeId="0" xr:uid="{00000000-0006-0000-0600-000008000000}">
      <text>
        <r>
          <rPr>
            <b/>
            <sz val="8"/>
            <color indexed="81"/>
            <rFont val="Tahoma"/>
            <family val="2"/>
          </rPr>
          <t>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Gas/diesel oil.</t>
        </r>
      </text>
    </comment>
    <comment ref="AA6" authorId="1" shapeId="0" xr:uid="{00000000-0006-0000-0600-000009000000}">
      <text>
        <r>
          <rPr>
            <b/>
            <sz val="8"/>
            <color indexed="81"/>
            <rFont val="Tahoma"/>
            <family val="2"/>
          </rPr>
          <t xml:space="preserve">Non-bio gas/diesel oil:
</t>
        </r>
        <r>
          <rPr>
            <sz val="8"/>
            <color indexed="81"/>
            <rFont val="Tahoma"/>
            <family val="2"/>
          </rPr>
          <t xml:space="preserve">This category consists of gas diesel oil as defined above excluding Biodiesel.
</t>
        </r>
      </text>
    </comment>
    <comment ref="AC6" authorId="1" shapeId="0" xr:uid="{00000000-0006-0000-0600-00000A000000}">
      <text>
        <r>
          <rPr>
            <b/>
            <sz val="8"/>
            <color indexed="81"/>
            <rFont val="Tahoma"/>
            <family val="2"/>
          </rPr>
          <t xml:space="preserve">Low sulphur content: 
</t>
        </r>
        <r>
          <rPr>
            <sz val="8"/>
            <color indexed="81"/>
            <rFont val="Tahoma"/>
            <family val="2"/>
          </rPr>
          <t>Heavy fuel oil with sulphur content lower than 1%</t>
        </r>
        <r>
          <rPr>
            <b/>
            <sz val="8"/>
            <color indexed="81"/>
            <rFont val="Tahoma"/>
            <family val="2"/>
          </rPr>
          <t>.</t>
        </r>
      </text>
    </comment>
    <comment ref="AE6" authorId="1" shapeId="0" xr:uid="{00000000-0006-0000-0600-00000B000000}">
      <text>
        <r>
          <rPr>
            <b/>
            <sz val="8"/>
            <color indexed="81"/>
            <rFont val="Tahoma"/>
            <family val="2"/>
          </rPr>
          <t xml:space="preserve">High sulphur content:
</t>
        </r>
        <r>
          <rPr>
            <sz val="8"/>
            <color indexed="81"/>
            <rFont val="Tahoma"/>
            <family val="2"/>
          </rPr>
          <t xml:space="preserve">Heavy fuel oil with sulphur content of 1% or higher.
</t>
        </r>
      </text>
    </comment>
    <comment ref="A8" authorId="2" shapeId="0" xr:uid="{00000000-0006-0000-0600-00000C000000}">
      <text>
        <r>
          <rPr>
            <b/>
            <sz val="8"/>
            <color indexed="81"/>
            <rFont val="Tahoma"/>
            <family val="2"/>
          </rPr>
          <t>(EU-a) Emergency stocks (Total)  on national territory</t>
        </r>
        <r>
          <rPr>
            <sz val="8"/>
            <color indexed="81"/>
            <rFont val="Tahoma"/>
            <family val="2"/>
          </rPr>
          <t xml:space="preserve">
These are the stocks on your national territory held by the Government, the Central Stockholding Entity and the obligated and delegated Economic Operators, in accordance with Directive 2009/119/EC. These quantities are calculated as the Sum of the categories EU-b, EU-c, EU-g, EU-h and EU-ie. They represent the emergency stocks held on the national territory of your country that count towards the stockholding obligation of all the EU Member States (including your country).</t>
        </r>
      </text>
    </comment>
    <comment ref="A10" authorId="2" shapeId="0" xr:uid="{00000000-0006-0000-0600-00000D000000}">
      <text>
        <r>
          <rPr>
            <b/>
            <sz val="8"/>
            <color indexed="81"/>
            <rFont val="Tahoma"/>
            <family val="2"/>
          </rPr>
          <t>(EU-b) Stocks held for other EU Member States under official agreement</t>
        </r>
        <r>
          <rPr>
            <sz val="8"/>
            <color indexed="81"/>
            <rFont val="Tahoma"/>
            <family val="2"/>
          </rPr>
          <t xml:space="preserve">
Include stocks in your national territory which are held for another EU Member State and to which access is guaranteed in accordance with the provisions of Directive 2009/119/EC. In the EU, emergency stocks may be held for another EU Member State pursuant to a delegation request of the Government, the Central Stockholding Entity or the obligated Economic Operators of the other Member State. The necessary modalities for holding stocks within the EU are stipulated in articles 7 and 8 of the Directive 2009/119/EC.
Closing amounts should correspond to line 58 "Total EU MS" of the country specific breakdown in Table 6.
</t>
        </r>
      </text>
    </comment>
    <comment ref="A12" authorId="2" shapeId="0" xr:uid="{00000000-0006-0000-0600-00000E000000}">
      <text>
        <r>
          <rPr>
            <b/>
            <sz val="8"/>
            <color indexed="81"/>
            <rFont val="Tahoma"/>
            <family val="2"/>
          </rPr>
          <t>(EU-c) Stocks with known foreign EU destination</t>
        </r>
        <r>
          <rPr>
            <sz val="8"/>
            <color indexed="81"/>
            <rFont val="Tahoma"/>
            <family val="2"/>
          </rPr>
          <t xml:space="preserve">
Include stocks (not included in category EU-b) in your national territory which belong to and are destined for another EU Member State. These stocks may be located inside or outside bonded areas.
Closing amounts should correspond to line 58 "Total EU MS" in Table 7.</t>
        </r>
      </text>
    </comment>
    <comment ref="A14" authorId="2" shapeId="0" xr:uid="{00000000-0006-0000-0600-00000F000000}">
      <text>
        <r>
          <rPr>
            <b/>
            <sz val="8"/>
            <color indexed="81"/>
            <rFont val="Tahoma"/>
            <family val="2"/>
          </rPr>
          <t xml:space="preserve">(EU-g) Stocks held by government on national territory
</t>
        </r>
        <r>
          <rPr>
            <sz val="8"/>
            <color indexed="81"/>
            <rFont val="Tahoma"/>
            <family val="2"/>
          </rPr>
          <t>Include non-military stocks held within the national territory by government, which are government owned or controlled and held exclusively for emergency purposes. It does not include stocks held by Central Stockholding Entities (CSEs), state oil companies or electric utilities, neither does it include stocks held directly by industry to fulfil mandatory stock obligations. Government stocks held outside of national territory, in other countries, should not be included here but reported instead in Table 8 and Table 9. 
Stocks held by the government on behalf of other countries should not be included here but reported instead in the category EU–b and in Table 6.</t>
        </r>
        <r>
          <rPr>
            <b/>
            <sz val="8"/>
            <color indexed="81"/>
            <rFont val="Tahoma"/>
            <family val="2"/>
          </rPr>
          <t xml:space="preserve">
</t>
        </r>
      </text>
    </comment>
    <comment ref="A16" authorId="2" shapeId="0" xr:uid="{00000000-0006-0000-0600-000010000000}">
      <text>
        <r>
          <rPr>
            <b/>
            <sz val="8"/>
            <color indexed="81"/>
            <rFont val="Tahoma"/>
            <family val="2"/>
          </rPr>
          <t>(EU-h) Stocks held by the Central Stockholding Entity (CSE) on national territory</t>
        </r>
        <r>
          <rPr>
            <sz val="8"/>
            <color indexed="81"/>
            <rFont val="Tahoma"/>
            <family val="2"/>
          </rPr>
          <t xml:space="preserve">
Include stocks held by the central stockholding entity (CSE) as defined by the Directive 2009/119/EC. It does not include mandatory stocks held by private companies. CSE stocks held outside the national territory, in other countries, should not be included here but reported instead in Table 8 and Table 9. Stocks held by the CSE on behalf of other countries should not be included here but reported instead
in the category EU–b and in Table 6.
</t>
        </r>
      </text>
    </comment>
    <comment ref="A18" authorId="2" shapeId="0" xr:uid="{00000000-0006-0000-0600-000011000000}">
      <text>
        <r>
          <rPr>
            <b/>
            <sz val="8"/>
            <color indexed="81"/>
            <rFont val="Tahoma"/>
            <family val="2"/>
          </rPr>
          <t>(EU-ie) Stocks held by Economic Operators on national territory</t>
        </r>
        <r>
          <rPr>
            <sz val="8"/>
            <color indexed="81"/>
            <rFont val="Tahoma"/>
            <family val="2"/>
          </rPr>
          <t xml:space="preserve">
Include stocks held on national territory by the obligated Economic Operators (Economic Operators on which the Member State has imposed a stockholding obligation) and the delegated Economic Operators (Economic Operators holding stocks as a result of a delegation granted by the government or CSE of your country as well as by other domestic obligated economic operators - articles 7 and 8 of the 2009/119/EC Directive). Only emergency stocks held by the Economic Operators on national territory as required by the Member State under Directive 2009/119/EC will be reported here. 
Also, stocks held by a stockholding organisation which does not qualify as a CSE should be reported here. Stocks held by the Economic Operators abroad will be reported in category EU-j and in Table 8 and Table 9 while stocks maintained by the Economic Operators on behalf of other countries should be reported in the category EU–b and in Table 6. Stocks held by economic operators which are not a requirement under the Directive should be reported in Table 5B.</t>
        </r>
      </text>
    </comment>
    <comment ref="A20" authorId="2" shapeId="0" xr:uid="{00000000-0006-0000-0600-000012000000}">
      <text>
        <r>
          <rPr>
            <b/>
            <sz val="8"/>
            <color indexed="81"/>
            <rFont val="Tahoma"/>
            <family val="2"/>
          </rPr>
          <t>(EU-j) Stocks held abroad in other EU Member States under offical agreement</t>
        </r>
        <r>
          <rPr>
            <sz val="8"/>
            <color indexed="81"/>
            <rFont val="Tahoma"/>
            <family val="2"/>
          </rPr>
          <t xml:space="preserve">
Include stocks that belong to your country but are held in another EU country to which access is guaranteed in accordance with the provisions of Directive 2009/119/EC.
In the EU, emergency stocks may be held abroad, in other EU Member States pursuant to a delegation of the Government, the Central Stockholding Entity or the obligated Economic Operators. The necessary modalities for holding stocks within the EU are stipulated in articles 7 and 8 of the Directive 2009/119/EC.
Closing amounts should correspond to line 58 "Total EU MS" in Table 8.
</t>
        </r>
      </text>
    </comment>
    <comment ref="A22" authorId="2" shapeId="0" xr:uid="{00000000-0006-0000-0600-000013000000}">
      <text>
        <r>
          <rPr>
            <b/>
            <sz val="8"/>
            <color indexed="81"/>
            <rFont val="Tahoma"/>
            <family val="2"/>
          </rPr>
          <t xml:space="preserve">(EU-k) Stocks held abroad in EU, designated definitely for import into your country
</t>
        </r>
        <r>
          <rPr>
            <sz val="8"/>
            <color indexed="81"/>
            <rFont val="Tahoma"/>
            <family val="2"/>
          </rPr>
          <t>Include stocks (not included in category EU-j) belonging to your country, which are held in another EU country and which are awaiting import into your country.
Closing amounts should correspond to line 58 "Total EU MS" in Table 9</t>
        </r>
        <r>
          <rPr>
            <b/>
            <sz val="8"/>
            <color indexed="81"/>
            <rFont val="Tahoma"/>
            <family val="2"/>
          </rPr>
          <t xml:space="preserve">
</t>
        </r>
        <r>
          <rPr>
            <sz val="8"/>
            <color indexed="81"/>
            <rFont val="Tahoma"/>
            <family val="2"/>
          </rPr>
          <t xml:space="preserve">
</t>
        </r>
      </text>
    </comment>
    <comment ref="A24" authorId="2" shapeId="0" xr:uid="{00000000-0006-0000-0600-000014000000}">
      <text>
        <r>
          <rPr>
            <b/>
            <sz val="8"/>
            <color indexed="81"/>
            <rFont val="Tahoma"/>
            <family val="2"/>
          </rPr>
          <t>(EU-l) Total Emergency Stocks held by the MS in accordance with the EU Directive 2006/119/EC</t>
        </r>
        <r>
          <rPr>
            <sz val="8"/>
            <color indexed="81"/>
            <rFont val="Tahoma"/>
            <family val="2"/>
          </rPr>
          <t xml:space="preserve">
These are the emergency stocks maintained by the Member State in accordance with the Directive 2009/119/EC, held by the Government, the CSE and the obligated / delegated economic operators either on the national territory or in other EU Member States. This quantity is calculated as the Sum of the stocks reported under EU-g, EU-h, EU-ie, EU-j and EU-k.</t>
        </r>
      </text>
    </comment>
    <comment ref="B27" authorId="2" shapeId="0" xr:uid="{00000000-0006-0000-0600-000015000000}">
      <text>
        <r>
          <rPr>
            <sz val="8"/>
            <color indexed="81"/>
            <rFont val="Tahoma"/>
            <family val="2"/>
          </rPr>
          <t xml:space="preserve">Year for which monthly cumulated data will be used to estimate obligation.
Until 2019: for reporting periods January to March year-2, April to December the previous year.
From 2020: for reporting periods January to June year-2, April to December the previous year.
</t>
        </r>
      </text>
    </comment>
    <comment ref="A28" authorId="2" shapeId="0" xr:uid="{00000000-0006-0000-0600-000016000000}">
      <text>
        <r>
          <rPr>
            <b/>
            <sz val="8"/>
            <color indexed="81"/>
            <rFont val="Tahoma"/>
            <family val="2"/>
          </rPr>
          <t xml:space="preserve">Refinery gross output
</t>
        </r>
        <r>
          <rPr>
            <sz val="8"/>
            <color indexed="81"/>
            <rFont val="Tahoma"/>
            <family val="2"/>
          </rPr>
          <t xml:space="preserve">See definitions in Table 2
</t>
        </r>
      </text>
    </comment>
    <comment ref="DV28" authorId="3" shapeId="0" xr:uid="{00000000-0006-0000-0600-000017000000}">
      <text>
        <r>
          <rPr>
            <b/>
            <sz val="9"/>
            <color indexed="81"/>
            <rFont val="Tahoma"/>
            <family val="2"/>
          </rPr>
          <t>DE NORRE Bart (ESTAT):</t>
        </r>
        <r>
          <rPr>
            <sz val="9"/>
            <color indexed="81"/>
            <rFont val="Tahoma"/>
            <family val="2"/>
          </rPr>
          <t xml:space="preserve">
new codes needed to indicatet hat his flow is the cumulated monthly data of Y-1 or Y-2; Suffix 
MO for Mos Oil
</t>
        </r>
      </text>
    </comment>
    <comment ref="A29" authorId="4" shapeId="0" xr:uid="{00000000-0006-0000-0600-000018000000}">
      <text>
        <r>
          <rPr>
            <b/>
            <sz val="8"/>
            <color indexed="81"/>
            <rFont val="Tahoma"/>
            <family val="2"/>
          </rPr>
          <t xml:space="preserve">Refinery Fuel:
</t>
        </r>
        <r>
          <rPr>
            <sz val="8"/>
            <color indexed="81"/>
            <rFont val="Tahoma"/>
            <family val="2"/>
          </rPr>
          <t>See definitions in Table 2</t>
        </r>
      </text>
    </comment>
    <comment ref="A30" authorId="4" shapeId="0" xr:uid="{00000000-0006-0000-0600-000019000000}">
      <text>
        <r>
          <rPr>
            <b/>
            <sz val="8"/>
            <color indexed="81"/>
            <rFont val="Tahoma"/>
            <family val="2"/>
          </rPr>
          <t>Imports and Exports:</t>
        </r>
        <r>
          <rPr>
            <sz val="8"/>
            <color indexed="81"/>
            <rFont val="Tahoma"/>
            <family val="2"/>
          </rPr>
          <t xml:space="preserve">
See definitions in Table 1</t>
        </r>
      </text>
    </comment>
    <comment ref="A32" authorId="2" shapeId="0" xr:uid="{00000000-0006-0000-0600-00001A000000}">
      <text>
        <r>
          <rPr>
            <b/>
            <sz val="8"/>
            <color indexed="81"/>
            <rFont val="Tahoma"/>
            <family val="2"/>
          </rPr>
          <t xml:space="preserve">Refinery intake (Calculated)
</t>
        </r>
        <r>
          <rPr>
            <sz val="8"/>
            <color indexed="81"/>
            <rFont val="Tahoma"/>
            <family val="2"/>
          </rPr>
          <t>See definitions in Table 1</t>
        </r>
        <r>
          <rPr>
            <b/>
            <sz val="8"/>
            <color indexed="81"/>
            <rFont val="Tahoma"/>
            <family val="2"/>
          </rPr>
          <t xml:space="preserve">
</t>
        </r>
        <r>
          <rPr>
            <sz val="8"/>
            <color indexed="81"/>
            <rFont val="Tahoma"/>
            <family val="2"/>
          </rPr>
          <t xml:space="preserve">
</t>
        </r>
      </text>
    </comment>
    <comment ref="A33" authorId="2" shapeId="0" xr:uid="{00000000-0006-0000-0600-00001B000000}">
      <text>
        <r>
          <rPr>
            <b/>
            <sz val="8"/>
            <color indexed="81"/>
            <rFont val="Tahoma"/>
            <family val="2"/>
          </rPr>
          <t xml:space="preserve">International marine bunkers
</t>
        </r>
        <r>
          <rPr>
            <sz val="8"/>
            <color indexed="81"/>
            <rFont val="Tahoma"/>
            <family val="2"/>
          </rPr>
          <t>See definitions in Table 2</t>
        </r>
        <r>
          <rPr>
            <b/>
            <sz val="8"/>
            <color indexed="81"/>
            <rFont val="Tahoma"/>
            <family val="2"/>
          </rPr>
          <t xml:space="preserve">
</t>
        </r>
        <r>
          <rPr>
            <sz val="8"/>
            <color indexed="81"/>
            <rFont val="Tahoma"/>
            <family val="2"/>
          </rPr>
          <t xml:space="preserve">
</t>
        </r>
      </text>
    </comment>
    <comment ref="A34" authorId="2" shapeId="0" xr:uid="{00000000-0006-0000-0600-00001C000000}">
      <text>
        <r>
          <rPr>
            <b/>
            <sz val="8"/>
            <color indexed="81"/>
            <rFont val="Tahoma"/>
            <family val="2"/>
          </rPr>
          <t xml:space="preserve">Gross inland deliveries (Observed)
</t>
        </r>
        <r>
          <rPr>
            <sz val="8"/>
            <color indexed="81"/>
            <rFont val="Tahoma"/>
            <family val="2"/>
          </rPr>
          <t>See definitions in Table 2</t>
        </r>
        <r>
          <rPr>
            <b/>
            <sz val="8"/>
            <color indexed="81"/>
            <rFont val="Tahoma"/>
            <family val="2"/>
          </rPr>
          <t xml:space="preserve">
</t>
        </r>
      </text>
    </comment>
    <comment ref="A35" authorId="2" shapeId="0" xr:uid="{00000000-0006-0000-0600-00001D000000}">
      <text>
        <r>
          <rPr>
            <b/>
            <sz val="8"/>
            <color indexed="81"/>
            <rFont val="Tahoma"/>
            <family val="2"/>
          </rPr>
          <t xml:space="preserve">All stocks on national territory </t>
        </r>
        <r>
          <rPr>
            <sz val="8"/>
            <color indexed="81"/>
            <rFont val="Tahoma"/>
            <family val="2"/>
          </rPr>
          <t xml:space="preserve">
See definitions in Table 5
Opening amounts should correspond to January of the year for which monthly cumulated data will be used to estimate obligation. Closing amounts should correspond to December of the year for which monthly cumulated data will be used to estimate obligation.</t>
        </r>
      </text>
    </comment>
    <comment ref="A37" authorId="2" shapeId="0" xr:uid="{00000000-0006-0000-0600-00001E000000}">
      <text>
        <r>
          <rPr>
            <b/>
            <sz val="8"/>
            <color indexed="81"/>
            <rFont val="Tahoma"/>
            <family val="2"/>
          </rPr>
          <t xml:space="preserve">Backflows to refineries
</t>
        </r>
        <r>
          <rPr>
            <sz val="8"/>
            <color indexed="81"/>
            <rFont val="Tahoma"/>
            <family val="2"/>
          </rPr>
          <t>See definitions in Table 2</t>
        </r>
        <r>
          <rPr>
            <b/>
            <sz val="8"/>
            <color indexed="81"/>
            <rFont val="Tahoma"/>
            <family val="2"/>
          </rPr>
          <t xml:space="preserve">
</t>
        </r>
        <r>
          <rPr>
            <sz val="8"/>
            <color indexed="81"/>
            <rFont val="Tahoma"/>
            <family val="2"/>
          </rPr>
          <t xml:space="preserve">
</t>
        </r>
      </text>
    </comment>
    <comment ref="EB48" authorId="3" shapeId="0" xr:uid="{00000000-0006-0000-0600-00001F000000}">
      <text>
        <r>
          <rPr>
            <b/>
            <sz val="9"/>
            <color indexed="81"/>
            <rFont val="Tahoma"/>
            <family val="2"/>
          </rPr>
          <t>DE NORRE Bart (ESTAT):</t>
        </r>
        <r>
          <rPr>
            <sz val="9"/>
            <color indexed="81"/>
            <rFont val="Tahoma"/>
            <family val="2"/>
          </rPr>
          <t xml:space="preserve">
new measure code for indicating the method  for calculating the deduction for naphtha yield; to be coded in OBS_VALUE as 1, 2 or 3 </t>
        </r>
      </text>
    </comment>
    <comment ref="EB49" authorId="3" shapeId="0" xr:uid="{00000000-0006-0000-0600-000020000000}">
      <text>
        <r>
          <rPr>
            <b/>
            <sz val="9"/>
            <color indexed="81"/>
            <rFont val="Tahoma"/>
            <family val="2"/>
          </rPr>
          <t>DE NORRE Bart (ESTAT):</t>
        </r>
        <r>
          <rPr>
            <sz val="9"/>
            <color indexed="81"/>
            <rFont val="Tahoma"/>
            <family val="2"/>
          </rPr>
          <t xml:space="preserve">
new measure to indicate what was the basis of calculation of the minimum stock level; to be coded in OBS_VALUE as 1 or 2</t>
        </r>
      </text>
    </comment>
    <comment ref="EB50" authorId="3" shapeId="0" xr:uid="{00000000-0006-0000-0600-000021000000}">
      <text>
        <r>
          <rPr>
            <b/>
            <sz val="9"/>
            <color indexed="81"/>
            <rFont val="Tahoma"/>
            <family val="2"/>
          </rPr>
          <t>DE NORRE Bart (ESTAT):</t>
        </r>
        <r>
          <rPr>
            <sz val="9"/>
            <color indexed="81"/>
            <rFont val="Tahoma"/>
            <family val="2"/>
          </rPr>
          <t xml:space="preserve">
new measure code for indicating method of calculation; to be coded in OBS_VALUE as 1 or 2</t>
        </r>
      </text>
    </comment>
    <comment ref="H53" authorId="0" shapeId="0" xr:uid="{00000000-0006-0000-0600-000022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O53" authorId="0" shapeId="0" xr:uid="{00000000-0006-0000-0600-000023000000}">
      <text>
        <r>
          <rPr>
            <b/>
            <sz val="8"/>
            <color indexed="81"/>
            <rFont val="Tahoma"/>
            <family val="2"/>
          </rPr>
          <t>Of Which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t>
        </r>
      </text>
    </comment>
    <comment ref="P53" authorId="0" shapeId="0" xr:uid="{00000000-0006-0000-0600-000024000000}">
      <text>
        <r>
          <rPr>
            <b/>
            <sz val="8"/>
            <color indexed="81"/>
            <rFont val="Tahoma"/>
            <family val="2"/>
          </rPr>
          <t xml:space="preserve">Non-biogasoline:
</t>
        </r>
        <r>
          <rPr>
            <sz val="8"/>
            <color indexed="81"/>
            <rFont val="Tahoma"/>
            <family val="2"/>
          </rPr>
          <t>This category covers Motor gasoline as defined above excluding Biogasoline.</t>
        </r>
      </text>
    </comment>
    <comment ref="Z53" authorId="0" shapeId="0" xr:uid="{00000000-0006-0000-0600-000025000000}">
      <text>
        <r>
          <rPr>
            <b/>
            <sz val="8"/>
            <color indexed="81"/>
            <rFont val="Tahoma"/>
            <family val="2"/>
          </rPr>
          <t>Of Which 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t>
        </r>
      </text>
    </comment>
    <comment ref="A55" authorId="2" shapeId="0" xr:uid="{00000000-0006-0000-0600-000026000000}">
      <text>
        <r>
          <rPr>
            <sz val="8"/>
            <color indexed="81"/>
            <rFont val="Tahoma"/>
            <family val="2"/>
          </rPr>
          <t xml:space="preserve">"Commercial stocks" means those oil stocks held by economic operators which are not a requirement
under Directive 2009/119/EC [see Article 2 (k) and Article 14 (1) thereof].
</t>
        </r>
      </text>
    </comment>
    <comment ref="D1000" authorId="5" shapeId="0" xr:uid="{00000000-0006-0000-0600-000027000000}">
      <text>
        <r>
          <rPr>
            <sz val="9"/>
            <color indexed="81"/>
            <rFont val="Tahoma"/>
            <family val="2"/>
          </rPr>
          <t xml:space="preserve">Data from rows 42 to 50 are exported with product O4100 for user-friendliness of the design. This data correspond to product O4000. This is solved in our mapping.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Martina Repikova</author>
    <author>Ryszard Pospiech</author>
  </authors>
  <commentList>
    <comment ref="G6" authorId="0" shapeId="0" xr:uid="{00000000-0006-0000-0700-000001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H6" authorId="0" shapeId="0" xr:uid="{00000000-0006-0000-0700-000002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N6" authorId="0" shapeId="0" xr:uid="{00000000-0006-0000-0700-000003000000}">
      <text>
        <r>
          <rPr>
            <b/>
            <sz val="8"/>
            <color indexed="81"/>
            <rFont val="Tahoma"/>
            <family val="2"/>
          </rPr>
          <t xml:space="preserve">Biogasoline:
</t>
        </r>
        <r>
          <rPr>
            <sz val="8"/>
            <color indexed="81"/>
            <rFont val="Tahoma"/>
            <family val="2"/>
          </rPr>
          <t>This category includes bioethanol (ethanol produced from biomass and/or the biodegradable fraction of waste), biomethanol (methanol produced from biomass and/or the biodegradable fraction of waste), bioETBE (ethyl-tertiobutyl- ether produced on the basis of bioethanol: the percentage by volume of bioETBE that is calculated as biofuel is 37%) and bioMTBE (methyl-tertio-butyl-ether produced on the basis of biomethanol: the percentage by volume of bioMTBE that is calculated as biofuel is 22%).</t>
        </r>
      </text>
    </comment>
    <comment ref="O6" authorId="0" shapeId="0" xr:uid="{00000000-0006-0000-0700-000004000000}">
      <text>
        <r>
          <rPr>
            <b/>
            <sz val="8"/>
            <color indexed="81"/>
            <rFont val="Tahoma"/>
            <family val="2"/>
          </rPr>
          <t xml:space="preserve">Non-biogasoline:
</t>
        </r>
        <r>
          <rPr>
            <sz val="8"/>
            <color indexed="81"/>
            <rFont val="Tahoma"/>
            <family val="2"/>
          </rPr>
          <t>This category covers Motor gasoline as defined above excluding Biogasoline.</t>
        </r>
      </text>
    </comment>
    <comment ref="S6" authorId="1" shapeId="0" xr:uid="{00000000-0006-0000-0700-000005000000}">
      <text>
        <r>
          <rPr>
            <b/>
            <sz val="8"/>
            <color indexed="81"/>
            <rFont val="Tahoma"/>
            <family val="2"/>
          </rPr>
          <t xml:space="preserve">Bio jet kerosene:
</t>
        </r>
        <r>
          <rPr>
            <sz val="8"/>
            <color indexed="81"/>
            <rFont val="Tahoma"/>
            <family val="2"/>
          </rPr>
          <t xml:space="preserve">Liquid biofuels derived from biomass and blended with Jet kerosene.
</t>
        </r>
      </text>
    </comment>
    <comment ref="T6" authorId="1" shapeId="0" xr:uid="{00000000-0006-0000-0700-000006000000}">
      <text>
        <r>
          <rPr>
            <b/>
            <sz val="8"/>
            <color indexed="81"/>
            <rFont val="Tahoma"/>
            <family val="2"/>
          </rPr>
          <t xml:space="preserve">Non-bio jet kerosene:
</t>
        </r>
        <r>
          <rPr>
            <sz val="8"/>
            <color indexed="81"/>
            <rFont val="Tahoma"/>
            <family val="2"/>
          </rPr>
          <t>This category covers jet kerosene as defined above excluding Bio jet kerosene.</t>
        </r>
      </text>
    </comment>
    <comment ref="V6" authorId="1" shapeId="0" xr:uid="{00000000-0006-0000-0700-000007000000}">
      <text>
        <r>
          <rPr>
            <b/>
            <sz val="8"/>
            <color indexed="81"/>
            <rFont val="Tahoma"/>
            <family val="2"/>
          </rPr>
          <t>Road diesel:</t>
        </r>
        <r>
          <rPr>
            <sz val="8"/>
            <color indexed="81"/>
            <rFont val="Tahoma"/>
            <family val="2"/>
          </rPr>
          <t xml:space="preserve">
On road diesel oil for diesel compression ignition (cars, trucks etc.), usually of low sulphur content.
</t>
        </r>
      </text>
    </comment>
    <comment ref="W6" authorId="1" shapeId="0" xr:uid="{00000000-0006-0000-0700-000008000000}">
      <text>
        <r>
          <rPr>
            <b/>
            <sz val="8"/>
            <color indexed="81"/>
            <rFont val="Tahoma"/>
            <family val="2"/>
          </rPr>
          <t xml:space="preserve">Heating and other gasoil:
   - </t>
        </r>
        <r>
          <rPr>
            <sz val="8"/>
            <color indexed="81"/>
            <rFont val="Tahoma"/>
            <family val="2"/>
          </rPr>
          <t xml:space="preserve">Light heating oil for industrial and commercial uses;
    - Marine diesel and diesel used in rail traffic;
   - Other gas oil including heavy gas oils which distil
    between 380ºC and 540ºC and which are used as
    petrochemical feedstocks.
</t>
        </r>
      </text>
    </comment>
    <comment ref="Y6" authorId="0" shapeId="0" xr:uid="{00000000-0006-0000-0700-000009000000}">
      <text>
        <r>
          <rPr>
            <b/>
            <sz val="8"/>
            <color indexed="81"/>
            <rFont val="Tahoma"/>
            <family val="2"/>
          </rPr>
          <t>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Gas/diesel oil.</t>
        </r>
      </text>
    </comment>
    <comment ref="Z6" authorId="1" shapeId="0" xr:uid="{00000000-0006-0000-0700-00000A000000}">
      <text>
        <r>
          <rPr>
            <b/>
            <sz val="8"/>
            <color indexed="81"/>
            <rFont val="Tahoma"/>
            <family val="2"/>
          </rPr>
          <t xml:space="preserve">Non-bio gas/diesel oil:
</t>
        </r>
        <r>
          <rPr>
            <sz val="8"/>
            <color indexed="81"/>
            <rFont val="Tahoma"/>
            <family val="2"/>
          </rPr>
          <t xml:space="preserve">This category consists of gas diesel oil as defined above excluding Biodiesel.
</t>
        </r>
      </text>
    </comment>
    <comment ref="AB6" authorId="1" shapeId="0" xr:uid="{00000000-0006-0000-0700-00000B000000}">
      <text>
        <r>
          <rPr>
            <b/>
            <sz val="8"/>
            <color indexed="81"/>
            <rFont val="Tahoma"/>
            <family val="2"/>
          </rPr>
          <t xml:space="preserve">Low sulphur content: 
</t>
        </r>
        <r>
          <rPr>
            <sz val="8"/>
            <color indexed="81"/>
            <rFont val="Tahoma"/>
            <family val="2"/>
          </rPr>
          <t>Heavy fuel oil with sulphur content lower than 1%</t>
        </r>
        <r>
          <rPr>
            <b/>
            <sz val="8"/>
            <color indexed="81"/>
            <rFont val="Tahoma"/>
            <family val="2"/>
          </rPr>
          <t>.</t>
        </r>
      </text>
    </comment>
    <comment ref="AD6" authorId="1" shapeId="0" xr:uid="{00000000-0006-0000-0700-00000C000000}">
      <text>
        <r>
          <rPr>
            <b/>
            <sz val="8"/>
            <color indexed="81"/>
            <rFont val="Tahoma"/>
            <family val="2"/>
          </rPr>
          <t xml:space="preserve">High sulphur content:
</t>
        </r>
        <r>
          <rPr>
            <sz val="8"/>
            <color indexed="81"/>
            <rFont val="Tahoma"/>
            <family val="2"/>
          </rPr>
          <t xml:space="preserve">Heavy fuel oil with sulphur content of 1% or higher.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Martina Repikova</author>
    <author>Ryszard Pospiech</author>
  </authors>
  <commentList>
    <comment ref="G6" authorId="0" shapeId="0" xr:uid="{00000000-0006-0000-0800-000001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N6" authorId="0" shapeId="0" xr:uid="{00000000-0006-0000-0800-000002000000}">
      <text>
        <r>
          <rPr>
            <b/>
            <sz val="8"/>
            <color indexed="81"/>
            <rFont val="Tahoma"/>
            <family val="2"/>
          </rPr>
          <t xml:space="preserve">Biogasoline:
</t>
        </r>
        <r>
          <rPr>
            <sz val="8"/>
            <color indexed="81"/>
            <rFont val="Tahoma"/>
            <family val="2"/>
          </rPr>
          <t>This category includes bioethanol (ethanol produced from biomass and/or the biodegradable fraction of waste), biomethanol (methanol produced from biomass and/or the biodegradable fraction of waste), bioETBE (ethyl-tertiobutyl- ether produced on the basis of bioethanol: the percentage by volume of bioETBE that is calculated as biofuel is 37%) and bioMTBE (methyl-tertio-butyl-ether produced on the basis of biomethanol: the percentage by volume of bioMTBE that is calculated as biofuel is 22%).</t>
        </r>
      </text>
    </comment>
    <comment ref="O6" authorId="0" shapeId="0" xr:uid="{00000000-0006-0000-0800-000003000000}">
      <text>
        <r>
          <rPr>
            <b/>
            <sz val="8"/>
            <color indexed="81"/>
            <rFont val="Tahoma"/>
            <family val="2"/>
          </rPr>
          <t xml:space="preserve">Non-biogasoline:
</t>
        </r>
        <r>
          <rPr>
            <sz val="8"/>
            <color indexed="81"/>
            <rFont val="Tahoma"/>
            <family val="2"/>
          </rPr>
          <t>This category covers Motor gasoline as defined above excluding Biogasoline.</t>
        </r>
      </text>
    </comment>
    <comment ref="S6" authorId="1" shapeId="0" xr:uid="{00000000-0006-0000-0800-000004000000}">
      <text>
        <r>
          <rPr>
            <b/>
            <sz val="8"/>
            <color indexed="81"/>
            <rFont val="Tahoma"/>
            <family val="2"/>
          </rPr>
          <t xml:space="preserve">Bio jet kerosene:
</t>
        </r>
        <r>
          <rPr>
            <sz val="8"/>
            <color indexed="81"/>
            <rFont val="Tahoma"/>
            <family val="2"/>
          </rPr>
          <t xml:space="preserve">Liquid biofuels derived from biomass and blended with Jet kerosene.
</t>
        </r>
      </text>
    </comment>
    <comment ref="T6" authorId="1" shapeId="0" xr:uid="{00000000-0006-0000-0800-000005000000}">
      <text>
        <r>
          <rPr>
            <b/>
            <sz val="8"/>
            <color indexed="81"/>
            <rFont val="Tahoma"/>
            <family val="2"/>
          </rPr>
          <t xml:space="preserve">Non-bio jet kerosene:
</t>
        </r>
        <r>
          <rPr>
            <sz val="8"/>
            <color indexed="81"/>
            <rFont val="Tahoma"/>
            <family val="2"/>
          </rPr>
          <t>This category covers jet kerosene as defined above excluding Bio jet kerosene.</t>
        </r>
      </text>
    </comment>
    <comment ref="V6" authorId="1" shapeId="0" xr:uid="{00000000-0006-0000-0800-000006000000}">
      <text>
        <r>
          <rPr>
            <b/>
            <sz val="8"/>
            <color indexed="81"/>
            <rFont val="Tahoma"/>
            <family val="2"/>
          </rPr>
          <t>Road diesel:</t>
        </r>
        <r>
          <rPr>
            <sz val="8"/>
            <color indexed="81"/>
            <rFont val="Tahoma"/>
            <family val="2"/>
          </rPr>
          <t xml:space="preserve">
On road diesel oil for diesel compression ignition (cars, trucks etc.), usually of low sulphur content.
</t>
        </r>
      </text>
    </comment>
    <comment ref="W6" authorId="1" shapeId="0" xr:uid="{00000000-0006-0000-0800-000007000000}">
      <text>
        <r>
          <rPr>
            <b/>
            <sz val="8"/>
            <color indexed="81"/>
            <rFont val="Tahoma"/>
            <family val="2"/>
          </rPr>
          <t xml:space="preserve">Heating and other gasoil:
   - </t>
        </r>
        <r>
          <rPr>
            <sz val="8"/>
            <color indexed="81"/>
            <rFont val="Tahoma"/>
            <family val="2"/>
          </rPr>
          <t xml:space="preserve">Light heating oil for industrial and commercial uses;
    - Marine diesel and diesel used in rail traffic;
   - Other gas oil including heavy gas oils which distil
    between 380ºC and 540ºC and which are used as
    petrochemical feedstocks.
</t>
        </r>
      </text>
    </comment>
    <comment ref="Y6" authorId="0" shapeId="0" xr:uid="{00000000-0006-0000-0800-000008000000}">
      <text>
        <r>
          <rPr>
            <b/>
            <sz val="8"/>
            <color indexed="81"/>
            <rFont val="Tahoma"/>
            <family val="2"/>
          </rPr>
          <t>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Gas/diesel oil.</t>
        </r>
      </text>
    </comment>
    <comment ref="Z6" authorId="1" shapeId="0" xr:uid="{00000000-0006-0000-0800-000009000000}">
      <text>
        <r>
          <rPr>
            <b/>
            <sz val="8"/>
            <color indexed="81"/>
            <rFont val="Tahoma"/>
            <family val="2"/>
          </rPr>
          <t xml:space="preserve">Non-bio gas/diesel oil:
</t>
        </r>
        <r>
          <rPr>
            <sz val="8"/>
            <color indexed="81"/>
            <rFont val="Tahoma"/>
            <family val="2"/>
          </rPr>
          <t xml:space="preserve">This category consists of gas diesel oil as defined above excluding Biodiesel.
</t>
        </r>
      </text>
    </comment>
    <comment ref="AB6" authorId="1" shapeId="0" xr:uid="{00000000-0006-0000-0800-00000A000000}">
      <text>
        <r>
          <rPr>
            <b/>
            <sz val="8"/>
            <color indexed="81"/>
            <rFont val="Tahoma"/>
            <family val="2"/>
          </rPr>
          <t xml:space="preserve">Low sulphur content: 
</t>
        </r>
        <r>
          <rPr>
            <sz val="8"/>
            <color indexed="81"/>
            <rFont val="Tahoma"/>
            <family val="2"/>
          </rPr>
          <t>Heavy fuel oil with sulphur content lower than 1%</t>
        </r>
        <r>
          <rPr>
            <b/>
            <sz val="8"/>
            <color indexed="81"/>
            <rFont val="Tahoma"/>
            <family val="2"/>
          </rPr>
          <t>.</t>
        </r>
      </text>
    </comment>
    <comment ref="AD6" authorId="1" shapeId="0" xr:uid="{00000000-0006-0000-0800-00000B000000}">
      <text>
        <r>
          <rPr>
            <b/>
            <sz val="8"/>
            <color indexed="81"/>
            <rFont val="Tahoma"/>
            <family val="2"/>
          </rPr>
          <t xml:space="preserve">High sulphur content:
</t>
        </r>
        <r>
          <rPr>
            <sz val="8"/>
            <color indexed="81"/>
            <rFont val="Tahoma"/>
            <family val="2"/>
          </rPr>
          <t xml:space="preserve">Heavy fuel oil with sulphur content of 1% or higher.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Martina Repikova</author>
    <author>Ryszard Pospiech</author>
  </authors>
  <commentList>
    <comment ref="G6" authorId="0" shapeId="0" xr:uid="{00000000-0006-0000-0900-000001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N6" authorId="0" shapeId="0" xr:uid="{00000000-0006-0000-0900-000002000000}">
      <text>
        <r>
          <rPr>
            <b/>
            <sz val="8"/>
            <color indexed="81"/>
            <rFont val="Tahoma"/>
            <family val="2"/>
          </rPr>
          <t xml:space="preserve">Biogasoline:
</t>
        </r>
        <r>
          <rPr>
            <sz val="8"/>
            <color indexed="81"/>
            <rFont val="Tahoma"/>
            <family val="2"/>
          </rPr>
          <t>This category includes bioethanol (ethanol produced from biomass and/or the biodegradable fraction of waste), biomethanol (methanol produced from biomass and/or the biodegradable fraction of waste), bioETBE (ethyl-tertiobutyl- ether produced on the basis of bioethanol: the percentage by volume of bioETBE that is calculated as biofuel is 37%) and bioMTBE (methyl-tertio-butyl-ether produced on the basis of biomethanol: the percentage by volume of bioMTBE that is calculated as biofuel is 22%).</t>
        </r>
      </text>
    </comment>
    <comment ref="O6" authorId="0" shapeId="0" xr:uid="{00000000-0006-0000-0900-000003000000}">
      <text>
        <r>
          <rPr>
            <b/>
            <sz val="8"/>
            <color indexed="81"/>
            <rFont val="Tahoma"/>
            <family val="2"/>
          </rPr>
          <t xml:space="preserve">Non-biogasoline:
</t>
        </r>
        <r>
          <rPr>
            <sz val="8"/>
            <color indexed="81"/>
            <rFont val="Tahoma"/>
            <family val="2"/>
          </rPr>
          <t>This category covers Motor gasoline as defined above excluding Biogasoline.</t>
        </r>
      </text>
    </comment>
    <comment ref="S6" authorId="1" shapeId="0" xr:uid="{00000000-0006-0000-0900-000004000000}">
      <text>
        <r>
          <rPr>
            <b/>
            <sz val="8"/>
            <color indexed="81"/>
            <rFont val="Tahoma"/>
            <family val="2"/>
          </rPr>
          <t xml:space="preserve">Bio jet kerosene:
</t>
        </r>
        <r>
          <rPr>
            <sz val="8"/>
            <color indexed="81"/>
            <rFont val="Tahoma"/>
            <family val="2"/>
          </rPr>
          <t xml:space="preserve">Liquid biofuels derived from biomass and blended with Jet kerosene.
</t>
        </r>
      </text>
    </comment>
    <comment ref="T6" authorId="1" shapeId="0" xr:uid="{00000000-0006-0000-0900-000005000000}">
      <text>
        <r>
          <rPr>
            <b/>
            <sz val="8"/>
            <color indexed="81"/>
            <rFont val="Tahoma"/>
            <family val="2"/>
          </rPr>
          <t xml:space="preserve">Non-bio jet kerosene:
</t>
        </r>
        <r>
          <rPr>
            <sz val="8"/>
            <color indexed="81"/>
            <rFont val="Tahoma"/>
            <family val="2"/>
          </rPr>
          <t>This category covers jet kerosene as defined above excluding Bio jet kerosene.</t>
        </r>
      </text>
    </comment>
    <comment ref="V6" authorId="1" shapeId="0" xr:uid="{00000000-0006-0000-0900-000006000000}">
      <text>
        <r>
          <rPr>
            <b/>
            <sz val="8"/>
            <color indexed="81"/>
            <rFont val="Tahoma"/>
            <family val="2"/>
          </rPr>
          <t>Road diesel:</t>
        </r>
        <r>
          <rPr>
            <sz val="8"/>
            <color indexed="81"/>
            <rFont val="Tahoma"/>
            <family val="2"/>
          </rPr>
          <t xml:space="preserve">
On road diesel oil for diesel compression ignition (cars, trucks etc.), usually of low sulphur content.
</t>
        </r>
      </text>
    </comment>
    <comment ref="W6" authorId="1" shapeId="0" xr:uid="{00000000-0006-0000-0900-000007000000}">
      <text>
        <r>
          <rPr>
            <b/>
            <sz val="8"/>
            <color indexed="81"/>
            <rFont val="Tahoma"/>
            <family val="2"/>
          </rPr>
          <t xml:space="preserve">Heating and other gasoil:
   - </t>
        </r>
        <r>
          <rPr>
            <sz val="8"/>
            <color indexed="81"/>
            <rFont val="Tahoma"/>
            <family val="2"/>
          </rPr>
          <t xml:space="preserve">Light heating oil for industrial and commercial uses;
    - Marine diesel and diesel used in rail traffic;
   - Other gas oil including heavy gas oils which distil
    between 380ºC and 540ºC and which are used as
    petrochemical feedstocks.
</t>
        </r>
      </text>
    </comment>
    <comment ref="Y6" authorId="0" shapeId="0" xr:uid="{00000000-0006-0000-0900-000008000000}">
      <text>
        <r>
          <rPr>
            <b/>
            <sz val="8"/>
            <color indexed="81"/>
            <rFont val="Tahoma"/>
            <family val="2"/>
          </rPr>
          <t>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Gas/diesel oil.</t>
        </r>
      </text>
    </comment>
    <comment ref="Z6" authorId="1" shapeId="0" xr:uid="{00000000-0006-0000-0900-000009000000}">
      <text>
        <r>
          <rPr>
            <b/>
            <sz val="8"/>
            <color indexed="81"/>
            <rFont val="Tahoma"/>
            <family val="2"/>
          </rPr>
          <t xml:space="preserve">Non-bio gas/diesel oil:
</t>
        </r>
        <r>
          <rPr>
            <sz val="8"/>
            <color indexed="81"/>
            <rFont val="Tahoma"/>
            <family val="2"/>
          </rPr>
          <t xml:space="preserve">This category consists of gas diesel oil as defined above excluding Biodiesel.
</t>
        </r>
      </text>
    </comment>
    <comment ref="AB6" authorId="1" shapeId="0" xr:uid="{00000000-0006-0000-0900-00000A000000}">
      <text>
        <r>
          <rPr>
            <b/>
            <sz val="8"/>
            <color indexed="81"/>
            <rFont val="Tahoma"/>
            <family val="2"/>
          </rPr>
          <t xml:space="preserve">Low sulphur content: 
</t>
        </r>
        <r>
          <rPr>
            <sz val="8"/>
            <color indexed="81"/>
            <rFont val="Tahoma"/>
            <family val="2"/>
          </rPr>
          <t>Heavy fuel oil with sulphur content lower than 1%</t>
        </r>
        <r>
          <rPr>
            <b/>
            <sz val="8"/>
            <color indexed="81"/>
            <rFont val="Tahoma"/>
            <family val="2"/>
          </rPr>
          <t>.</t>
        </r>
      </text>
    </comment>
    <comment ref="AD6" authorId="1" shapeId="0" xr:uid="{00000000-0006-0000-0900-00000B000000}">
      <text>
        <r>
          <rPr>
            <b/>
            <sz val="8"/>
            <color indexed="81"/>
            <rFont val="Tahoma"/>
            <family val="2"/>
          </rPr>
          <t xml:space="preserve">High sulphur content:
</t>
        </r>
        <r>
          <rPr>
            <sz val="8"/>
            <color indexed="81"/>
            <rFont val="Tahoma"/>
            <family val="2"/>
          </rPr>
          <t xml:space="preserve">Heavy fuel oil with sulphur content of 1% or higher.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Martina Repikova</author>
    <author>Ryszard Pospiech</author>
  </authors>
  <commentList>
    <comment ref="G6" authorId="0" shapeId="0" xr:uid="{00000000-0006-0000-0A00-000001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N6" authorId="0" shapeId="0" xr:uid="{00000000-0006-0000-0A00-000002000000}">
      <text>
        <r>
          <rPr>
            <b/>
            <sz val="8"/>
            <color indexed="81"/>
            <rFont val="Tahoma"/>
            <family val="2"/>
          </rPr>
          <t xml:space="preserve">Biogasoline:
</t>
        </r>
        <r>
          <rPr>
            <sz val="8"/>
            <color indexed="81"/>
            <rFont val="Tahoma"/>
            <family val="2"/>
          </rPr>
          <t>This category includes bioethanol (ethanol produced from biomass and/or the biodegradable fraction of waste), biomethanol (methanol produced from biomass and/or the biodegradable fraction of waste), bioETBE (ethyl-tertiobutyl- ether produced on the basis of bioethanol: the percentage by volume of bioETBE that is calculated as biofuel is 37%) and bioMTBE (methyl-tertio-butyl-ether produced on the basis of biomethanol: the percentage by volume of bioMTBE that is calculated as biofuel is 22%).</t>
        </r>
      </text>
    </comment>
    <comment ref="O6" authorId="0" shapeId="0" xr:uid="{00000000-0006-0000-0A00-000003000000}">
      <text>
        <r>
          <rPr>
            <b/>
            <sz val="8"/>
            <color indexed="81"/>
            <rFont val="Tahoma"/>
            <family val="2"/>
          </rPr>
          <t xml:space="preserve">Non-biogasoline:
</t>
        </r>
        <r>
          <rPr>
            <sz val="8"/>
            <color indexed="81"/>
            <rFont val="Tahoma"/>
            <family val="2"/>
          </rPr>
          <t>This category covers Motor gasoline as defined above excluding Biogasoline.</t>
        </r>
      </text>
    </comment>
    <comment ref="S6" authorId="1" shapeId="0" xr:uid="{00000000-0006-0000-0A00-000004000000}">
      <text>
        <r>
          <rPr>
            <b/>
            <sz val="8"/>
            <color indexed="81"/>
            <rFont val="Tahoma"/>
            <family val="2"/>
          </rPr>
          <t xml:space="preserve">Bio jet kerosene:
</t>
        </r>
        <r>
          <rPr>
            <sz val="8"/>
            <color indexed="81"/>
            <rFont val="Tahoma"/>
            <family val="2"/>
          </rPr>
          <t xml:space="preserve">Liquid biofuels derived from biomass and blended with Jet kerosene.
</t>
        </r>
      </text>
    </comment>
    <comment ref="T6" authorId="1" shapeId="0" xr:uid="{00000000-0006-0000-0A00-000005000000}">
      <text>
        <r>
          <rPr>
            <b/>
            <sz val="8"/>
            <color indexed="81"/>
            <rFont val="Tahoma"/>
            <family val="2"/>
          </rPr>
          <t xml:space="preserve">Non-bio jet kerosene:
</t>
        </r>
        <r>
          <rPr>
            <sz val="8"/>
            <color indexed="81"/>
            <rFont val="Tahoma"/>
            <family val="2"/>
          </rPr>
          <t>This category covers jet kerosene as defined above excluding Bio jet kerosene.</t>
        </r>
      </text>
    </comment>
    <comment ref="V6" authorId="1" shapeId="0" xr:uid="{00000000-0006-0000-0A00-000006000000}">
      <text>
        <r>
          <rPr>
            <b/>
            <sz val="8"/>
            <color indexed="81"/>
            <rFont val="Tahoma"/>
            <family val="2"/>
          </rPr>
          <t>Road diesel:</t>
        </r>
        <r>
          <rPr>
            <sz val="8"/>
            <color indexed="81"/>
            <rFont val="Tahoma"/>
            <family val="2"/>
          </rPr>
          <t xml:space="preserve">
On road diesel oil for diesel compression ignition (cars, trucks etc.), usually of low sulphur content.
</t>
        </r>
      </text>
    </comment>
    <comment ref="W6" authorId="1" shapeId="0" xr:uid="{00000000-0006-0000-0A00-000007000000}">
      <text>
        <r>
          <rPr>
            <b/>
            <sz val="8"/>
            <color indexed="81"/>
            <rFont val="Tahoma"/>
            <family val="2"/>
          </rPr>
          <t xml:space="preserve">Heating and other gasoil:
   - </t>
        </r>
        <r>
          <rPr>
            <sz val="8"/>
            <color indexed="81"/>
            <rFont val="Tahoma"/>
            <family val="2"/>
          </rPr>
          <t xml:space="preserve">Light heating oil for industrial and commercial uses;
    - Marine diesel and diesel used in rail traffic;
   - Other gas oil including heavy gas oils which distil
    between 380ºC and 540ºC and which are used as
    petrochemical feedstocks.
</t>
        </r>
      </text>
    </comment>
    <comment ref="Y6" authorId="0" shapeId="0" xr:uid="{00000000-0006-0000-0A00-000008000000}">
      <text>
        <r>
          <rPr>
            <b/>
            <sz val="8"/>
            <color indexed="81"/>
            <rFont val="Tahoma"/>
            <family val="2"/>
          </rPr>
          <t>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Gas/diesel oil.</t>
        </r>
      </text>
    </comment>
    <comment ref="Z6" authorId="1" shapeId="0" xr:uid="{00000000-0006-0000-0A00-000009000000}">
      <text>
        <r>
          <rPr>
            <b/>
            <sz val="8"/>
            <color indexed="81"/>
            <rFont val="Tahoma"/>
            <family val="2"/>
          </rPr>
          <t xml:space="preserve">Non-bio gas/diesel oil:
</t>
        </r>
        <r>
          <rPr>
            <sz val="8"/>
            <color indexed="81"/>
            <rFont val="Tahoma"/>
            <family val="2"/>
          </rPr>
          <t xml:space="preserve">This category consists of gas diesel oil as defined above excluding Biodiesel.
</t>
        </r>
      </text>
    </comment>
    <comment ref="AB6" authorId="1" shapeId="0" xr:uid="{00000000-0006-0000-0A00-00000A000000}">
      <text>
        <r>
          <rPr>
            <b/>
            <sz val="8"/>
            <color indexed="81"/>
            <rFont val="Tahoma"/>
            <family val="2"/>
          </rPr>
          <t xml:space="preserve">Low sulphur content: 
</t>
        </r>
        <r>
          <rPr>
            <sz val="8"/>
            <color indexed="81"/>
            <rFont val="Tahoma"/>
            <family val="2"/>
          </rPr>
          <t>Heavy fuel oil with sulphur content lower than 1%</t>
        </r>
        <r>
          <rPr>
            <b/>
            <sz val="8"/>
            <color indexed="81"/>
            <rFont val="Tahoma"/>
            <family val="2"/>
          </rPr>
          <t>.</t>
        </r>
      </text>
    </comment>
    <comment ref="AD6" authorId="1" shapeId="0" xr:uid="{00000000-0006-0000-0A00-00000B000000}">
      <text>
        <r>
          <rPr>
            <b/>
            <sz val="8"/>
            <color indexed="81"/>
            <rFont val="Tahoma"/>
            <family val="2"/>
          </rPr>
          <t xml:space="preserve">High sulphur content:
</t>
        </r>
        <r>
          <rPr>
            <sz val="8"/>
            <color indexed="81"/>
            <rFont val="Tahoma"/>
            <family val="2"/>
          </rPr>
          <t xml:space="preserve">Heavy fuel oil with sulphur content of 1% or higher.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Martina Repikova</author>
    <author>Ryszard Pospiech</author>
  </authors>
  <commentList>
    <comment ref="G6" authorId="0" shapeId="0" xr:uid="{00000000-0006-0000-0B00-000001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N6" authorId="0" shapeId="0" xr:uid="{00000000-0006-0000-0B00-000002000000}">
      <text>
        <r>
          <rPr>
            <b/>
            <sz val="8"/>
            <color indexed="81"/>
            <rFont val="Tahoma"/>
            <family val="2"/>
          </rPr>
          <t xml:space="preserve">Biogasoline:
</t>
        </r>
        <r>
          <rPr>
            <sz val="8"/>
            <color indexed="81"/>
            <rFont val="Tahoma"/>
            <family val="2"/>
          </rPr>
          <t>This category includes bioethanol (ethanol produced from biomass and/or the biodegradable fraction of waste), biomethanol (methanol produced from biomass and/or the biodegradable fraction of waste), bioETBE (ethyl-tertiobutyl- ether produced on the basis of bioethanol: the percentage by volume of bioETBE that is calculated as biofuel is 37%) and bioMTBE (methyl-tertio-butyl-ether produced on the basis of biomethanol: the percentage by volume of bioMTBE that is calculated as biofuel is 22%).</t>
        </r>
      </text>
    </comment>
    <comment ref="O6" authorId="0" shapeId="0" xr:uid="{00000000-0006-0000-0B00-000003000000}">
      <text>
        <r>
          <rPr>
            <b/>
            <sz val="8"/>
            <color indexed="81"/>
            <rFont val="Tahoma"/>
            <family val="2"/>
          </rPr>
          <t xml:space="preserve">Non-biogasoline:
</t>
        </r>
        <r>
          <rPr>
            <sz val="8"/>
            <color indexed="81"/>
            <rFont val="Tahoma"/>
            <family val="2"/>
          </rPr>
          <t>This category covers Motor gasoline as defined above excluding Biogasoline.</t>
        </r>
      </text>
    </comment>
    <comment ref="S6" authorId="1" shapeId="0" xr:uid="{00000000-0006-0000-0B00-000004000000}">
      <text>
        <r>
          <rPr>
            <b/>
            <sz val="8"/>
            <color indexed="81"/>
            <rFont val="Tahoma"/>
            <family val="2"/>
          </rPr>
          <t xml:space="preserve">Bio jet kerosene:
</t>
        </r>
        <r>
          <rPr>
            <sz val="8"/>
            <color indexed="81"/>
            <rFont val="Tahoma"/>
            <family val="2"/>
          </rPr>
          <t xml:space="preserve">Liquid biofuels derived from biomass and blended with Jet kerosene.
</t>
        </r>
      </text>
    </comment>
    <comment ref="T6" authorId="1" shapeId="0" xr:uid="{00000000-0006-0000-0B00-000005000000}">
      <text>
        <r>
          <rPr>
            <b/>
            <sz val="8"/>
            <color indexed="81"/>
            <rFont val="Tahoma"/>
            <family val="2"/>
          </rPr>
          <t xml:space="preserve">Non-bio jet kerosene:
</t>
        </r>
        <r>
          <rPr>
            <sz val="8"/>
            <color indexed="81"/>
            <rFont val="Tahoma"/>
            <family val="2"/>
          </rPr>
          <t>This category covers jet kerosene as defined above excluding Bio jet kerosene.</t>
        </r>
      </text>
    </comment>
    <comment ref="V6" authorId="1" shapeId="0" xr:uid="{00000000-0006-0000-0B00-000006000000}">
      <text>
        <r>
          <rPr>
            <b/>
            <sz val="8"/>
            <color indexed="81"/>
            <rFont val="Tahoma"/>
            <family val="2"/>
          </rPr>
          <t>Road diesel:</t>
        </r>
        <r>
          <rPr>
            <sz val="8"/>
            <color indexed="81"/>
            <rFont val="Tahoma"/>
            <family val="2"/>
          </rPr>
          <t xml:space="preserve">
On road diesel oil for diesel compression ignition (cars, trucks etc.), usually of low sulphur content.
</t>
        </r>
      </text>
    </comment>
    <comment ref="W6" authorId="1" shapeId="0" xr:uid="{00000000-0006-0000-0B00-000007000000}">
      <text>
        <r>
          <rPr>
            <b/>
            <sz val="8"/>
            <color indexed="81"/>
            <rFont val="Tahoma"/>
            <family val="2"/>
          </rPr>
          <t xml:space="preserve">Heating and other gasoil:
   - </t>
        </r>
        <r>
          <rPr>
            <sz val="8"/>
            <color indexed="81"/>
            <rFont val="Tahoma"/>
            <family val="2"/>
          </rPr>
          <t xml:space="preserve">Light heating oil for industrial and commercial uses;
    - Marine diesel and diesel used in rail traffic;
   - Other gas oil including heavy gas oils which distil
    between 380ºC and 540ºC and which are used as
    petrochemical feedstocks.
</t>
        </r>
      </text>
    </comment>
    <comment ref="Y6" authorId="0" shapeId="0" xr:uid="{00000000-0006-0000-0B00-000008000000}">
      <text>
        <r>
          <rPr>
            <b/>
            <sz val="8"/>
            <color indexed="81"/>
            <rFont val="Tahoma"/>
            <family val="2"/>
          </rPr>
          <t>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Gas/diesel oil.</t>
        </r>
      </text>
    </comment>
    <comment ref="Z6" authorId="1" shapeId="0" xr:uid="{00000000-0006-0000-0B00-000009000000}">
      <text>
        <r>
          <rPr>
            <b/>
            <sz val="8"/>
            <color indexed="81"/>
            <rFont val="Tahoma"/>
            <family val="2"/>
          </rPr>
          <t xml:space="preserve">Non-bio gas/diesel oil:
</t>
        </r>
        <r>
          <rPr>
            <sz val="8"/>
            <color indexed="81"/>
            <rFont val="Tahoma"/>
            <family val="2"/>
          </rPr>
          <t xml:space="preserve">This category consists of gas diesel oil as defined above excluding Biodiesel.
</t>
        </r>
      </text>
    </comment>
    <comment ref="AB6" authorId="1" shapeId="0" xr:uid="{00000000-0006-0000-0B00-00000A000000}">
      <text>
        <r>
          <rPr>
            <b/>
            <sz val="8"/>
            <color indexed="81"/>
            <rFont val="Tahoma"/>
            <family val="2"/>
          </rPr>
          <t xml:space="preserve">Low sulphur content: 
</t>
        </r>
        <r>
          <rPr>
            <sz val="8"/>
            <color indexed="81"/>
            <rFont val="Tahoma"/>
            <family val="2"/>
          </rPr>
          <t>Heavy fuel oil with sulphur content lower than 1%</t>
        </r>
        <r>
          <rPr>
            <b/>
            <sz val="8"/>
            <color indexed="81"/>
            <rFont val="Tahoma"/>
            <family val="2"/>
          </rPr>
          <t>.</t>
        </r>
      </text>
    </comment>
    <comment ref="AD6" authorId="1" shapeId="0" xr:uid="{00000000-0006-0000-0B00-00000B000000}">
      <text>
        <r>
          <rPr>
            <b/>
            <sz val="8"/>
            <color indexed="81"/>
            <rFont val="Tahoma"/>
            <family val="2"/>
          </rPr>
          <t xml:space="preserve">High sulphur content:
</t>
        </r>
        <r>
          <rPr>
            <sz val="8"/>
            <color indexed="81"/>
            <rFont val="Tahoma"/>
            <family val="2"/>
          </rPr>
          <t xml:space="preserve">Heavy fuel oil with sulphur content of 1% or higher.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Martina Repikova</author>
    <author>Ryszard Pospiech</author>
  </authors>
  <commentList>
    <comment ref="G6" authorId="0" shapeId="0" xr:uid="{00000000-0006-0000-0C00-000001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N6" authorId="0" shapeId="0" xr:uid="{00000000-0006-0000-0C00-000002000000}">
      <text>
        <r>
          <rPr>
            <b/>
            <sz val="8"/>
            <color indexed="81"/>
            <rFont val="Tahoma"/>
            <family val="2"/>
          </rPr>
          <t xml:space="preserve">Biogasoline:
</t>
        </r>
        <r>
          <rPr>
            <sz val="8"/>
            <color indexed="81"/>
            <rFont val="Tahoma"/>
            <family val="2"/>
          </rPr>
          <t>This category includes bioethanol (ethanol produced from biomass and/or the biodegradable fraction of waste), biomethanol (methanol produced from biomass and/or the biodegradable fraction of waste), bioETBE (ethyl-tertiobutyl- ether produced on the basis of bioethanol: the percentage by volume of bioETBE that is calculated as biofuel is 37%) and bioMTBE (methyl-tertio-butyl-ether produced on the basis of biomethanol: the percentage by volume of bioMTBE that is calculated as biofuel is 22%).</t>
        </r>
      </text>
    </comment>
    <comment ref="O6" authorId="0" shapeId="0" xr:uid="{00000000-0006-0000-0C00-000003000000}">
      <text>
        <r>
          <rPr>
            <b/>
            <sz val="8"/>
            <color indexed="81"/>
            <rFont val="Tahoma"/>
            <family val="2"/>
          </rPr>
          <t xml:space="preserve">Non-biogasoline:
</t>
        </r>
        <r>
          <rPr>
            <sz val="8"/>
            <color indexed="81"/>
            <rFont val="Tahoma"/>
            <family val="2"/>
          </rPr>
          <t>This category covers Motor gasoline as defined above excluding Biogasoline.</t>
        </r>
      </text>
    </comment>
    <comment ref="S6" authorId="1" shapeId="0" xr:uid="{00000000-0006-0000-0C00-000004000000}">
      <text>
        <r>
          <rPr>
            <b/>
            <sz val="8"/>
            <color indexed="81"/>
            <rFont val="Tahoma"/>
            <family val="2"/>
          </rPr>
          <t xml:space="preserve">Bio jet kerosene:
</t>
        </r>
        <r>
          <rPr>
            <sz val="8"/>
            <color indexed="81"/>
            <rFont val="Tahoma"/>
            <family val="2"/>
          </rPr>
          <t xml:space="preserve">Liquid biofuels derived from biomass and blended with Jet kerosene.
</t>
        </r>
      </text>
    </comment>
    <comment ref="T6" authorId="1" shapeId="0" xr:uid="{00000000-0006-0000-0C00-000005000000}">
      <text>
        <r>
          <rPr>
            <b/>
            <sz val="8"/>
            <color indexed="81"/>
            <rFont val="Tahoma"/>
            <family val="2"/>
          </rPr>
          <t xml:space="preserve">Non-bio jet kerosene:
</t>
        </r>
        <r>
          <rPr>
            <sz val="8"/>
            <color indexed="81"/>
            <rFont val="Tahoma"/>
            <family val="2"/>
          </rPr>
          <t>This category covers jet kerosene as defined above excluding Bio jet kerosene.</t>
        </r>
      </text>
    </comment>
    <comment ref="V6" authorId="1" shapeId="0" xr:uid="{00000000-0006-0000-0C00-000006000000}">
      <text>
        <r>
          <rPr>
            <b/>
            <sz val="8"/>
            <color indexed="81"/>
            <rFont val="Tahoma"/>
            <family val="2"/>
          </rPr>
          <t>Road diesel:</t>
        </r>
        <r>
          <rPr>
            <sz val="8"/>
            <color indexed="81"/>
            <rFont val="Tahoma"/>
            <family val="2"/>
          </rPr>
          <t xml:space="preserve">
On road diesel oil for diesel compression ignition (cars, trucks etc.), usually of low sulphur content.
</t>
        </r>
      </text>
    </comment>
    <comment ref="W6" authorId="1" shapeId="0" xr:uid="{00000000-0006-0000-0C00-000007000000}">
      <text>
        <r>
          <rPr>
            <b/>
            <sz val="8"/>
            <color indexed="81"/>
            <rFont val="Tahoma"/>
            <family val="2"/>
          </rPr>
          <t xml:space="preserve">Heating and other gasoil:
   - </t>
        </r>
        <r>
          <rPr>
            <sz val="8"/>
            <color indexed="81"/>
            <rFont val="Tahoma"/>
            <family val="2"/>
          </rPr>
          <t xml:space="preserve">Light heating oil for industrial and commercial uses;
    - Marine diesel and diesel used in rail traffic;
   - Other gas oil including heavy gas oils which distil
    between 380ºC and 540ºC and which are used as
    petrochemical feedstocks.
</t>
        </r>
      </text>
    </comment>
    <comment ref="Y6" authorId="0" shapeId="0" xr:uid="{00000000-0006-0000-0C00-000008000000}">
      <text>
        <r>
          <rPr>
            <b/>
            <sz val="8"/>
            <color indexed="81"/>
            <rFont val="Tahoma"/>
            <family val="2"/>
          </rPr>
          <t>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Gas/diesel oil.</t>
        </r>
      </text>
    </comment>
    <comment ref="Z6" authorId="1" shapeId="0" xr:uid="{00000000-0006-0000-0C00-000009000000}">
      <text>
        <r>
          <rPr>
            <b/>
            <sz val="8"/>
            <color indexed="81"/>
            <rFont val="Tahoma"/>
            <family val="2"/>
          </rPr>
          <t xml:space="preserve">Non-bio gas/diesel oil:
</t>
        </r>
        <r>
          <rPr>
            <sz val="8"/>
            <color indexed="81"/>
            <rFont val="Tahoma"/>
            <family val="2"/>
          </rPr>
          <t xml:space="preserve">This category consists of gas diesel oil as defined above excluding Biodiesel.
</t>
        </r>
      </text>
    </comment>
    <comment ref="AB6" authorId="1" shapeId="0" xr:uid="{00000000-0006-0000-0C00-00000A000000}">
      <text>
        <r>
          <rPr>
            <b/>
            <sz val="8"/>
            <color indexed="81"/>
            <rFont val="Tahoma"/>
            <family val="2"/>
          </rPr>
          <t xml:space="preserve">Low sulphur content: 
</t>
        </r>
        <r>
          <rPr>
            <sz val="8"/>
            <color indexed="81"/>
            <rFont val="Tahoma"/>
            <family val="2"/>
          </rPr>
          <t>Heavy fuel oil with sulphur content lower than 1%</t>
        </r>
        <r>
          <rPr>
            <b/>
            <sz val="8"/>
            <color indexed="81"/>
            <rFont val="Tahoma"/>
            <family val="2"/>
          </rPr>
          <t>.</t>
        </r>
      </text>
    </comment>
    <comment ref="AD6" authorId="1" shapeId="0" xr:uid="{00000000-0006-0000-0C00-00000B000000}">
      <text>
        <r>
          <rPr>
            <b/>
            <sz val="8"/>
            <color indexed="81"/>
            <rFont val="Tahoma"/>
            <family val="2"/>
          </rPr>
          <t xml:space="preserve">High sulphur content:
</t>
        </r>
        <r>
          <rPr>
            <sz val="8"/>
            <color indexed="81"/>
            <rFont val="Tahoma"/>
            <family val="2"/>
          </rPr>
          <t xml:space="preserve">Heavy fuel oil with sulphur content of 1% or higher.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Martina Repikova</author>
    <author>Ryszard Pospiech</author>
  </authors>
  <commentList>
    <comment ref="G6" authorId="0" shapeId="0" xr:uid="{00000000-0006-0000-0D00-000001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N6" authorId="0" shapeId="0" xr:uid="{00000000-0006-0000-0D00-000002000000}">
      <text>
        <r>
          <rPr>
            <b/>
            <sz val="8"/>
            <color indexed="81"/>
            <rFont val="Tahoma"/>
            <family val="2"/>
          </rPr>
          <t xml:space="preserve">Biogasoline:
</t>
        </r>
        <r>
          <rPr>
            <sz val="8"/>
            <color indexed="81"/>
            <rFont val="Tahoma"/>
            <family val="2"/>
          </rPr>
          <t>This category includes bioethanol (ethanol produced from biomass and/or the biodegradable fraction of waste), biomethanol (methanol produced from biomass and/or the biodegradable fraction of waste), bioETBE (ethyl-tertiobutyl- ether produced on the basis of bioethanol: the percentage by volume of bioETBE that is calculated as biofuel is 37%) and bioMTBE (methyl-tertio-butyl-ether produced on the basis of biomethanol: the percentage by volume of bioMTBE that is calculated as biofuel is 22%).</t>
        </r>
      </text>
    </comment>
    <comment ref="O6" authorId="0" shapeId="0" xr:uid="{00000000-0006-0000-0D00-000003000000}">
      <text>
        <r>
          <rPr>
            <b/>
            <sz val="8"/>
            <color indexed="81"/>
            <rFont val="Tahoma"/>
            <family val="2"/>
          </rPr>
          <t xml:space="preserve">Non-biogasoline:
</t>
        </r>
        <r>
          <rPr>
            <sz val="8"/>
            <color indexed="81"/>
            <rFont val="Tahoma"/>
            <family val="2"/>
          </rPr>
          <t>This category covers Motor gasoline as defined above excluding Biogasoline.</t>
        </r>
      </text>
    </comment>
    <comment ref="S6" authorId="1" shapeId="0" xr:uid="{00000000-0006-0000-0D00-000004000000}">
      <text>
        <r>
          <rPr>
            <b/>
            <sz val="8"/>
            <color indexed="81"/>
            <rFont val="Tahoma"/>
            <family val="2"/>
          </rPr>
          <t xml:space="preserve">Bio jet kerosene:
</t>
        </r>
        <r>
          <rPr>
            <sz val="8"/>
            <color indexed="81"/>
            <rFont val="Tahoma"/>
            <family val="2"/>
          </rPr>
          <t xml:space="preserve">Liquid biofuels derived from biomass and blended with Jet kerosene.
</t>
        </r>
      </text>
    </comment>
    <comment ref="T6" authorId="1" shapeId="0" xr:uid="{00000000-0006-0000-0D00-000005000000}">
      <text>
        <r>
          <rPr>
            <b/>
            <sz val="8"/>
            <color indexed="81"/>
            <rFont val="Tahoma"/>
            <family val="2"/>
          </rPr>
          <t xml:space="preserve">Non-bio jet kerosene:
</t>
        </r>
        <r>
          <rPr>
            <sz val="8"/>
            <color indexed="81"/>
            <rFont val="Tahoma"/>
            <family val="2"/>
          </rPr>
          <t>This category covers jet kerosene as defined above excluding Bio jet kerosene.</t>
        </r>
      </text>
    </comment>
    <comment ref="V6" authorId="1" shapeId="0" xr:uid="{00000000-0006-0000-0D00-000006000000}">
      <text>
        <r>
          <rPr>
            <b/>
            <sz val="8"/>
            <color indexed="81"/>
            <rFont val="Tahoma"/>
            <family val="2"/>
          </rPr>
          <t>Road diesel:</t>
        </r>
        <r>
          <rPr>
            <sz val="8"/>
            <color indexed="81"/>
            <rFont val="Tahoma"/>
            <family val="2"/>
          </rPr>
          <t xml:space="preserve">
On road diesel oil for diesel compression ignition (cars, trucks etc.), usually of low sulphur content.
</t>
        </r>
      </text>
    </comment>
    <comment ref="W6" authorId="1" shapeId="0" xr:uid="{00000000-0006-0000-0D00-000007000000}">
      <text>
        <r>
          <rPr>
            <b/>
            <sz val="8"/>
            <color indexed="81"/>
            <rFont val="Tahoma"/>
            <family val="2"/>
          </rPr>
          <t xml:space="preserve">Heating and other gasoil:
   - </t>
        </r>
        <r>
          <rPr>
            <sz val="8"/>
            <color indexed="81"/>
            <rFont val="Tahoma"/>
            <family val="2"/>
          </rPr>
          <t xml:space="preserve">Light heating oil for industrial and commercial uses;
    - Marine diesel and diesel used in rail traffic;
   - Other gas oil including heavy gas oils which distil
    between 380ºC and 540ºC and which are used as
    petrochemical feedstocks.
</t>
        </r>
      </text>
    </comment>
    <comment ref="Y6" authorId="0" shapeId="0" xr:uid="{00000000-0006-0000-0D00-000008000000}">
      <text>
        <r>
          <rPr>
            <b/>
            <sz val="8"/>
            <color indexed="81"/>
            <rFont val="Tahoma"/>
            <family val="2"/>
          </rPr>
          <t>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Gas/diesel oil.</t>
        </r>
      </text>
    </comment>
    <comment ref="Z6" authorId="1" shapeId="0" xr:uid="{00000000-0006-0000-0D00-000009000000}">
      <text>
        <r>
          <rPr>
            <b/>
            <sz val="8"/>
            <color indexed="81"/>
            <rFont val="Tahoma"/>
            <family val="2"/>
          </rPr>
          <t xml:space="preserve">Non-bio gas/diesel oil:
</t>
        </r>
        <r>
          <rPr>
            <sz val="8"/>
            <color indexed="81"/>
            <rFont val="Tahoma"/>
            <family val="2"/>
          </rPr>
          <t xml:space="preserve">This category consists of gas diesel oil as defined above excluding Biodiesel.
</t>
        </r>
      </text>
    </comment>
    <comment ref="AB6" authorId="1" shapeId="0" xr:uid="{00000000-0006-0000-0D00-00000A000000}">
      <text>
        <r>
          <rPr>
            <b/>
            <sz val="8"/>
            <color indexed="81"/>
            <rFont val="Tahoma"/>
            <family val="2"/>
          </rPr>
          <t xml:space="preserve">Low sulphur content: 
</t>
        </r>
        <r>
          <rPr>
            <sz val="8"/>
            <color indexed="81"/>
            <rFont val="Tahoma"/>
            <family val="2"/>
          </rPr>
          <t>Heavy fuel oil with sulphur content lower than 1%</t>
        </r>
        <r>
          <rPr>
            <b/>
            <sz val="8"/>
            <color indexed="81"/>
            <rFont val="Tahoma"/>
            <family val="2"/>
          </rPr>
          <t>.</t>
        </r>
      </text>
    </comment>
    <comment ref="AD6" authorId="1" shapeId="0" xr:uid="{00000000-0006-0000-0D00-00000B000000}">
      <text>
        <r>
          <rPr>
            <b/>
            <sz val="8"/>
            <color indexed="81"/>
            <rFont val="Tahoma"/>
            <family val="2"/>
          </rPr>
          <t xml:space="preserve">High sulphur content:
</t>
        </r>
        <r>
          <rPr>
            <sz val="8"/>
            <color indexed="81"/>
            <rFont val="Tahoma"/>
            <family val="2"/>
          </rPr>
          <t xml:space="preserve">Heavy fuel oil with sulphur content of 1% or higher.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Christian Kröppl</author>
    <author>tavoupe</author>
  </authors>
  <commentList>
    <comment ref="F12" authorId="0" shapeId="0" xr:uid="{00000000-0006-0000-0F00-000001000000}">
      <text>
        <r>
          <rPr>
            <sz val="8"/>
            <color indexed="81"/>
            <rFont val="Tahoma"/>
            <family val="2"/>
          </rPr>
          <t>Year for which monthly cummulated data will be used to estimate obligation. In general, it is the previous calendar year. For January to March reporting periods it is the previous year but one.</t>
        </r>
      </text>
    </comment>
    <comment ref="D17" authorId="1" shapeId="0" xr:uid="{00000000-0006-0000-0F00-000002000000}">
      <text>
        <r>
          <rPr>
            <sz val="8"/>
            <color indexed="81"/>
            <rFont val="Tahoma"/>
            <family val="2"/>
          </rPr>
          <t xml:space="preserve">It comprises Crude oil, NGL, refinery feedstocks, additives / oxygenates and other hydrocarbons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VOLFINGER Zsolt (ESTAT)</author>
    <author>tavoupe</author>
  </authors>
  <commentList>
    <comment ref="F12" authorId="0" shapeId="0" xr:uid="{00000000-0006-0000-1000-000001000000}">
      <text>
        <r>
          <rPr>
            <sz val="9"/>
            <color indexed="81"/>
            <rFont val="Tahoma"/>
            <family val="2"/>
          </rPr>
          <t>Year for which monthly cumulated data will be used to estimate obligation. In general, it is the previous calendar year. For reporting periods January to June it is the previous year but one.</t>
        </r>
      </text>
    </comment>
    <comment ref="D25" authorId="1" shapeId="0" xr:uid="{00000000-0006-0000-1000-000002000000}">
      <text>
        <r>
          <rPr>
            <sz val="8"/>
            <color indexed="81"/>
            <rFont val="Tahoma"/>
            <family val="2"/>
          </rPr>
          <t xml:space="preserve">It comprises Crude oil, NGL, refinery feedstocks, additives / oxygenates and other hydrocarbons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Martina Repikova</author>
    <author>ROBIN_E</author>
    <author>Ryszard Pospiech</author>
    <author>A satisfied Microsoft Office user</author>
    <author>ELLIOTT</author>
    <author>GERVAIS Steve, IEA/EXD/EDC/SES</author>
    <author>KROEPPL Christian (ESTAT)</author>
    <author>VOLFINGER Zsolt (ESTAT)</author>
    <author>DELAUNOY Olivier (ESTAT)</author>
  </authors>
  <commentList>
    <comment ref="I11" authorId="0" shapeId="0" xr:uid="{00000000-0006-0000-1200-000001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C13" authorId="1" shapeId="0" xr:uid="{00000000-0006-0000-1200-000002000000}">
      <text>
        <r>
          <rPr>
            <b/>
            <sz val="8"/>
            <color indexed="81"/>
            <rFont val="Tahoma"/>
            <family val="2"/>
          </rPr>
          <t xml:space="preserve">Indigenous Production:
</t>
        </r>
        <r>
          <rPr>
            <sz val="8"/>
            <color indexed="81"/>
            <rFont val="Tahoma"/>
            <family val="2"/>
          </rPr>
          <t>Report all production within national boundaries including off-shore production.  Production should only include marketable production, excluding volumes returned to formation. Such production should include all crude oil, NGL, condensates and oil from shale and tar sands, etc.  It should also include the receipts of additives/oxygenates by refineries and blending plants, from outside the refinery sector.</t>
        </r>
      </text>
    </comment>
    <comment ref="C14" authorId="1" shapeId="0" xr:uid="{00000000-0006-0000-1200-000003000000}">
      <text>
        <r>
          <rPr>
            <b/>
            <sz val="8"/>
            <color indexed="81"/>
            <rFont val="Tahoma"/>
            <family val="2"/>
          </rPr>
          <t>From other sources:</t>
        </r>
        <r>
          <rPr>
            <sz val="8"/>
            <color indexed="81"/>
            <rFont val="Tahoma"/>
            <family val="2"/>
          </rPr>
          <t xml:space="preserve">
Report supplies of additives/oxygenates and other hydrocarbons, the production of which has already been covered in other fuel balances e.g. in New Zealand the manufacture of synthetic gasoline requires natural gas as feedstock. The amount of gas for methanol manufacture is accounted for in the natural gas balance, while the receipts of methanol are reported as inputs 'from other sources' in the oil balance.</t>
        </r>
      </text>
    </comment>
    <comment ref="C15" authorId="1" shapeId="0" xr:uid="{00000000-0006-0000-1200-000004000000}">
      <text>
        <r>
          <rPr>
            <b/>
            <sz val="8"/>
            <color indexed="81"/>
            <rFont val="Tahoma"/>
            <family val="2"/>
          </rPr>
          <t>Backflows from Petrochemical Industry:</t>
        </r>
        <r>
          <rPr>
            <sz val="8"/>
            <color indexed="81"/>
            <rFont val="Tahoma"/>
            <family val="2"/>
          </rPr>
          <t xml:space="preserve">
These are finished or semi-finished products which are returned from final consumers to refineries for processing, blending or sale. 
They are usually by-products of pretrochemical manufacturing.  For integrated petro-chemical industries this flow should be estimated.  
Transfers from one refinery to another within the country should be excluded. 
</t>
        </r>
        <r>
          <rPr>
            <b/>
            <sz val="8"/>
            <color indexed="81"/>
            <rFont val="Tahoma"/>
            <family val="2"/>
          </rPr>
          <t>Total backflows on Table 1 (reference G3) must be equal to reference V18 in Table 2.</t>
        </r>
      </text>
    </comment>
    <comment ref="C16" authorId="1" shapeId="0" xr:uid="{00000000-0006-0000-1200-000005000000}">
      <text>
        <r>
          <rPr>
            <b/>
            <sz val="8"/>
            <color indexed="81"/>
            <rFont val="Tahoma"/>
            <family val="2"/>
          </rPr>
          <t>Products Transferred:</t>
        </r>
        <r>
          <rPr>
            <sz val="8"/>
            <color indexed="81"/>
            <rFont val="Tahoma"/>
            <family val="2"/>
          </rPr>
          <t xml:space="preserve">
These are imported petroleum products which are reclassified as feedstocks for further processing in the refinery, without delivery to final consumers.  For example, nap</t>
        </r>
        <r>
          <rPr>
            <sz val="8"/>
            <color indexed="81"/>
            <rFont val="Tahoma"/>
            <family val="2"/>
          </rPr>
          <t>htha imported for upgrading would be first reported as imports of naphtha (reference F5 in Table 2)</t>
        </r>
        <r>
          <rPr>
            <sz val="8"/>
            <color indexed="81"/>
            <rFont val="Tahoma"/>
            <family val="2"/>
          </rPr>
          <t xml:space="preserve">, and then appear also as products transferred of naphtha </t>
        </r>
        <r>
          <rPr>
            <sz val="8"/>
            <color indexed="81"/>
            <rFont val="Tahoma"/>
            <family val="2"/>
          </rPr>
          <t xml:space="preserve">(reference F9 on Table 2).  
</t>
        </r>
        <r>
          <rPr>
            <b/>
            <sz val="8"/>
            <color indexed="81"/>
            <rFont val="Tahoma"/>
            <family val="2"/>
          </rPr>
          <t>The sum of the references for products transferred (reference V9), Table 2, should be reported in reference C4, Table 1.</t>
        </r>
      </text>
    </comment>
    <comment ref="C17" authorId="1" shapeId="0" xr:uid="{00000000-0006-0000-1200-000006000000}">
      <text>
        <r>
          <rPr>
            <b/>
            <sz val="8"/>
            <color indexed="81"/>
            <rFont val="Tahoma"/>
            <family val="2"/>
          </rPr>
          <t>Imports and Exports:</t>
        </r>
        <r>
          <rPr>
            <sz val="8"/>
            <color indexed="81"/>
            <rFont val="Tahoma"/>
            <family val="2"/>
          </rPr>
          <t xml:space="preserve">
Data should reflect amounts having crossed the national territorial boundaries, whether customs clearance has taken place or not.  
Quantities of crude oil and products imported or exported under processing agreements (i.e. refining on account) should be included.  
Crude oil and NGLs should be reported as coming from the country of ultimate origin; refinery feedstocks and finished products should be reported as coming from the couuntry of last consignment.  
</t>
        </r>
        <r>
          <rPr>
            <b/>
            <sz val="8"/>
            <color indexed="81"/>
            <rFont val="Tahoma"/>
            <family val="2"/>
          </rPr>
          <t>Note:</t>
        </r>
        <r>
          <rPr>
            <sz val="8"/>
            <color indexed="81"/>
            <rFont val="Tahoma"/>
            <family val="2"/>
          </rPr>
          <t xml:space="preserve"> Imports or exports of ethanol (reported in the addtivies/oxygenates column) should relate
                to  the quantities destined for fuel use.
Re</t>
        </r>
        <r>
          <rPr>
            <sz val="8"/>
            <color indexed="81"/>
            <rFont val="Tahoma"/>
            <family val="2"/>
          </rPr>
          <t xml:space="preserve">-exports of oil imported for processing within bonded areas should be included as an export of product from the processing country to the final destination.
</t>
        </r>
        <r>
          <rPr>
            <b/>
            <sz val="8"/>
            <color indexed="81"/>
            <rFont val="Tahoma"/>
            <family val="2"/>
          </rPr>
          <t xml:space="preserve">Imports and exports reported in Tables 1 and 2 should correspond to Total Imports, line 103 in Table 3 and to Total Exports, line 96 on Table 4. </t>
        </r>
      </text>
    </comment>
    <comment ref="C19" authorId="1" shapeId="0" xr:uid="{00000000-0006-0000-1200-000007000000}">
      <text>
        <r>
          <rPr>
            <b/>
            <sz val="8"/>
            <color indexed="81"/>
            <rFont val="Tahoma"/>
            <family val="2"/>
          </rPr>
          <t>Direct Use:</t>
        </r>
        <r>
          <rPr>
            <sz val="8"/>
            <color indexed="81"/>
            <rFont val="Tahoma"/>
            <family val="2"/>
          </rPr>
          <t xml:space="preserve">
Crude oil, NGL and other hydrocarbons which are used directly without being processed in oil refineries are reported as direct use.  This includes, for example, crude oil burned for electricity generation. Such quantities will also be reported in the supply of products under primary product receipts in Table 2.</t>
        </r>
      </text>
    </comment>
    <comment ref="C20" authorId="1" shapeId="0" xr:uid="{00000000-0006-0000-1200-000008000000}">
      <text>
        <r>
          <rPr>
            <b/>
            <sz val="8"/>
            <color indexed="81"/>
            <rFont val="Tahoma"/>
            <family val="2"/>
          </rPr>
          <t>Stock Change:</t>
        </r>
        <r>
          <rPr>
            <sz val="8"/>
            <color indexed="81"/>
            <rFont val="Tahoma"/>
            <family val="2"/>
          </rPr>
          <t xml:space="preserve">
Stock changes should reflect the difference between closing stock level and opening stock level for stocks held on national territory, as given in category a (lines 1 and 2 of Table 5).  A stock build is shown as a positive number, and a stock draw as a negative number. </t>
        </r>
      </text>
    </comment>
    <comment ref="C21" authorId="1" shapeId="0" xr:uid="{00000000-0006-0000-1200-000009000000}">
      <text>
        <r>
          <rPr>
            <b/>
            <sz val="8"/>
            <color indexed="81"/>
            <rFont val="Tahoma"/>
            <family val="2"/>
          </rPr>
          <t>Refinery Intake (calculated):</t>
        </r>
        <r>
          <rPr>
            <sz val="8"/>
            <color indexed="81"/>
            <rFont val="Tahoma"/>
            <family val="2"/>
          </rPr>
          <t xml:space="preserve"> 
This is defined as the total amount of oil calculated to have entered the refinery process.  It is defined as:
                                                         Indigenous production
                                                         +  From other sources
                                                         +  Backflows from industry
                                                         +  Products transferred
                                                         +  Imports
                                                         -  Exports
                                                         -  Direct use
                                                         -  Stock changes</t>
        </r>
      </text>
    </comment>
    <comment ref="C22" authorId="1" shapeId="0" xr:uid="{00000000-0006-0000-1200-00000A000000}">
      <text>
        <r>
          <rPr>
            <b/>
            <sz val="8"/>
            <color indexed="81"/>
            <rFont val="Tahoma"/>
            <family val="2"/>
          </rPr>
          <t xml:space="preserve">Statistical Difference:
</t>
        </r>
        <r>
          <rPr>
            <sz val="8"/>
            <color indexed="81"/>
            <rFont val="Tahoma"/>
            <family val="2"/>
          </rPr>
          <t xml:space="preserve">This is the difference between calculated and observed refinery intake.  </t>
        </r>
        <r>
          <rPr>
            <i/>
            <sz val="8"/>
            <color indexed="81"/>
            <rFont val="Tahoma"/>
            <family val="2"/>
          </rPr>
          <t>Reasons for any major differences should be stated in the space provided for on the remarks sheet.</t>
        </r>
      </text>
    </comment>
    <comment ref="C23" authorId="1" shapeId="0" xr:uid="{00000000-0006-0000-1200-00000B000000}">
      <text>
        <r>
          <rPr>
            <b/>
            <sz val="8"/>
            <color indexed="81"/>
            <rFont val="Tahoma"/>
            <family val="2"/>
          </rPr>
          <t xml:space="preserve">Refinery Intake (observed): 
</t>
        </r>
        <r>
          <rPr>
            <sz val="8"/>
            <color indexed="81"/>
            <rFont val="Tahoma"/>
            <family val="2"/>
          </rPr>
          <t>This is defined as the total amount of oil (including other hydrocarbons and additives) observed to have entered the refinery process.</t>
        </r>
      </text>
    </comment>
    <comment ref="C24" authorId="0" shapeId="0" xr:uid="{00000000-0006-0000-1200-00000C000000}">
      <text>
        <r>
          <rPr>
            <b/>
            <sz val="8"/>
            <color indexed="81"/>
            <rFont val="Tahoma"/>
            <family val="2"/>
          </rPr>
          <t>Refinery Losses:</t>
        </r>
        <r>
          <rPr>
            <sz val="8"/>
            <color indexed="81"/>
            <rFont val="Tahoma"/>
            <family val="2"/>
          </rPr>
          <t xml:space="preserve">
These are the differences between observed refinery intake (reference G11) and gross refinery output (reference V2 of Table 2).  Losses may occur during the distillation processes due to evaporation.</t>
        </r>
      </text>
    </comment>
    <comment ref="L31" authorId="0" shapeId="0" xr:uid="{00000000-0006-0000-1200-00000D000000}">
      <text>
        <r>
          <rPr>
            <b/>
            <sz val="8"/>
            <color indexed="81"/>
            <rFont val="Tahoma"/>
            <family val="2"/>
          </rPr>
          <t xml:space="preserve">Biogasoline:
</t>
        </r>
        <r>
          <rPr>
            <sz val="8"/>
            <color indexed="81"/>
            <rFont val="Tahoma"/>
            <family val="2"/>
          </rPr>
          <t>This category includes bioethanol (ethanol produced from biomass and/or the biodegradable fraction of waste), biomethanol (methanol produced from biomass and/or the biodegradable fraction of waste), bioETBE (ethyl-tertiobutyl- ether produced on the basis of bioethanol: the percentage by volume of bioETBE that is calculated as biofuel is 37%) and bioMTBE (methyl-tertio-butyl-ether produced on the basis of biomethanol: the percentage by volume of bioMTBE that is calculated as biofuel is 22%).</t>
        </r>
      </text>
    </comment>
    <comment ref="M31" authorId="0" shapeId="0" xr:uid="{00000000-0006-0000-1200-00000E000000}">
      <text>
        <r>
          <rPr>
            <b/>
            <sz val="8"/>
            <color indexed="81"/>
            <rFont val="Tahoma"/>
            <family val="2"/>
          </rPr>
          <t xml:space="preserve">Non-biogasoline:
</t>
        </r>
        <r>
          <rPr>
            <sz val="8"/>
            <color indexed="81"/>
            <rFont val="Tahoma"/>
            <family val="2"/>
          </rPr>
          <t>This category covers Motor gasoline as defined above excluding Biogasoline.</t>
        </r>
      </text>
    </comment>
    <comment ref="Q31" authorId="2" shapeId="0" xr:uid="{00000000-0006-0000-1200-00000F000000}">
      <text>
        <r>
          <rPr>
            <b/>
            <sz val="8"/>
            <color indexed="81"/>
            <rFont val="Tahoma"/>
            <family val="2"/>
          </rPr>
          <t xml:space="preserve">Bio jet kerosene:
</t>
        </r>
        <r>
          <rPr>
            <sz val="8"/>
            <color indexed="81"/>
            <rFont val="Tahoma"/>
            <family val="2"/>
          </rPr>
          <t xml:space="preserve">Liquid biofuels derived from biomass and blended with Jet kerosene.
</t>
        </r>
      </text>
    </comment>
    <comment ref="R31" authorId="2" shapeId="0" xr:uid="{00000000-0006-0000-1200-000010000000}">
      <text>
        <r>
          <rPr>
            <b/>
            <sz val="8"/>
            <color indexed="81"/>
            <rFont val="Tahoma"/>
            <family val="2"/>
          </rPr>
          <t xml:space="preserve">Non-bio jet kerosene:
</t>
        </r>
        <r>
          <rPr>
            <sz val="8"/>
            <color indexed="81"/>
            <rFont val="Tahoma"/>
            <family val="2"/>
          </rPr>
          <t>This category covers jet kerosene as defined above excluding Bio jet kerosene.</t>
        </r>
      </text>
    </comment>
    <comment ref="T31" authorId="2" shapeId="0" xr:uid="{00000000-0006-0000-1200-000011000000}">
      <text>
        <r>
          <rPr>
            <b/>
            <sz val="8"/>
            <color indexed="81"/>
            <rFont val="Tahoma"/>
            <family val="2"/>
          </rPr>
          <t>Road diesel:</t>
        </r>
        <r>
          <rPr>
            <sz val="8"/>
            <color indexed="81"/>
            <rFont val="Tahoma"/>
            <family val="2"/>
          </rPr>
          <t xml:space="preserve">
On road diesel oil for diesel compression ignition (cars, trucks etc.), usually of low sulphur content.
</t>
        </r>
      </text>
    </comment>
    <comment ref="U31" authorId="2" shapeId="0" xr:uid="{00000000-0006-0000-1200-000012000000}">
      <text>
        <r>
          <rPr>
            <b/>
            <sz val="8"/>
            <color indexed="81"/>
            <rFont val="Tahoma"/>
            <family val="2"/>
          </rPr>
          <t xml:space="preserve">Heating and other gasoil:
   - </t>
        </r>
        <r>
          <rPr>
            <sz val="8"/>
            <color indexed="81"/>
            <rFont val="Tahoma"/>
            <family val="2"/>
          </rPr>
          <t xml:space="preserve">Light heating oil for industrial and commercial uses;
    - Marine diesel and diesel used in rail traffic;
   - Other gas oil including heavy gas oils which distil
    between 380ºC and 540ºC and which are used as
    petrochemical feedstocks.
</t>
        </r>
      </text>
    </comment>
    <comment ref="W31" authorId="0" shapeId="0" xr:uid="{00000000-0006-0000-1200-000013000000}">
      <text>
        <r>
          <rPr>
            <b/>
            <sz val="8"/>
            <color indexed="81"/>
            <rFont val="Tahoma"/>
            <family val="2"/>
          </rPr>
          <t>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Gas/diesel oil.</t>
        </r>
      </text>
    </comment>
    <comment ref="X31" authorId="2" shapeId="0" xr:uid="{00000000-0006-0000-1200-000014000000}">
      <text>
        <r>
          <rPr>
            <b/>
            <sz val="8"/>
            <color indexed="81"/>
            <rFont val="Tahoma"/>
            <family val="2"/>
          </rPr>
          <t xml:space="preserve">Non-bio gas/diesel oil:
</t>
        </r>
        <r>
          <rPr>
            <sz val="8"/>
            <color indexed="81"/>
            <rFont val="Tahoma"/>
            <family val="2"/>
          </rPr>
          <t xml:space="preserve">This category consists of gas diesel oil as defined above excluding Biodiesel.
</t>
        </r>
      </text>
    </comment>
    <comment ref="Z31" authorId="2" shapeId="0" xr:uid="{00000000-0006-0000-1200-000015000000}">
      <text>
        <r>
          <rPr>
            <b/>
            <sz val="8"/>
            <color indexed="81"/>
            <rFont val="Tahoma"/>
            <family val="2"/>
          </rPr>
          <t xml:space="preserve">Low sulphur content: 
</t>
        </r>
        <r>
          <rPr>
            <sz val="8"/>
            <color indexed="81"/>
            <rFont val="Tahoma"/>
            <family val="2"/>
          </rPr>
          <t>Heavy fuel oil with sulphur content lower than 1%</t>
        </r>
        <r>
          <rPr>
            <b/>
            <sz val="8"/>
            <color indexed="81"/>
            <rFont val="Tahoma"/>
            <family val="2"/>
          </rPr>
          <t>.</t>
        </r>
      </text>
    </comment>
    <comment ref="AB31" authorId="2" shapeId="0" xr:uid="{00000000-0006-0000-1200-000016000000}">
      <text>
        <r>
          <rPr>
            <b/>
            <sz val="8"/>
            <color indexed="81"/>
            <rFont val="Tahoma"/>
            <family val="2"/>
          </rPr>
          <t xml:space="preserve">High sulphur content:
</t>
        </r>
        <r>
          <rPr>
            <sz val="8"/>
            <color indexed="81"/>
            <rFont val="Tahoma"/>
            <family val="2"/>
          </rPr>
          <t xml:space="preserve">Heavy fuel oil with sulphur content of 1% or higher.
</t>
        </r>
      </text>
    </comment>
    <comment ref="C33" authorId="1" shapeId="0" xr:uid="{00000000-0006-0000-1200-000017000000}">
      <text>
        <r>
          <rPr>
            <b/>
            <sz val="8"/>
            <color indexed="81"/>
            <rFont val="Tahoma"/>
            <family val="2"/>
          </rPr>
          <t xml:space="preserve">Primary product receipts:
</t>
        </r>
        <r>
          <rPr>
            <sz val="8"/>
            <color indexed="81"/>
            <rFont val="Tahoma"/>
            <family val="2"/>
          </rPr>
          <t>Quantities of indigenous or imported crude oil (including condensate) and indigenous NGL which are used directly without being processed in an oil refinery. For example, crude oil used to generate electricity should be placed in Primary product receipts of crude oil (reference A1). Quantities of indigenous NGL which are not included in refinery intake should be reported in Primary product receipts of NGL (reference B1), the 10 transferred through the Interproduct transfers row to the allocated product type. Please note that this flow includes the amounts of Backflows which, although not primary fuel, are used directly.</t>
        </r>
      </text>
    </comment>
    <comment ref="C34" authorId="1" shapeId="0" xr:uid="{00000000-0006-0000-1200-000018000000}">
      <text>
        <r>
          <rPr>
            <b/>
            <sz val="8"/>
            <color indexed="81"/>
            <rFont val="Tahoma"/>
            <family val="2"/>
          </rPr>
          <t xml:space="preserve">Refinery gross output:
</t>
        </r>
        <r>
          <rPr>
            <sz val="8"/>
            <color indexed="81"/>
            <rFont val="Tahoma"/>
            <family val="2"/>
          </rPr>
          <t xml:space="preserve">This is the production of oil petroleum products at a refining or blending plant. It excludes Refinery losses, but includes Refinery fuel.
</t>
        </r>
        <r>
          <rPr>
            <b/>
            <sz val="8"/>
            <color indexed="81"/>
            <rFont val="Tahoma"/>
            <family val="2"/>
          </rPr>
          <t>The total (reference Z2) must be equal to Refinery intake (Observed) minus Refinery losses (references G11 and G12 respectively of Table 1).</t>
        </r>
      </text>
    </comment>
    <comment ref="C35" authorId="1" shapeId="0" xr:uid="{00000000-0006-0000-1200-000019000000}">
      <text>
        <r>
          <rPr>
            <b/>
            <sz val="8"/>
            <color indexed="81"/>
            <rFont val="Tahoma"/>
            <family val="2"/>
          </rPr>
          <t xml:space="preserve">Recycled products:
</t>
        </r>
        <r>
          <rPr>
            <sz val="8"/>
            <color indexed="81"/>
            <rFont val="Tahoma"/>
            <family val="2"/>
          </rPr>
          <t>These are finished products which pass a second time through the marketing network, after having been once delivered to final consumers (e.g. used lubricants which are reprocessed). These quantities should be distinguished from petrochemical Backflows (see definitions).</t>
        </r>
      </text>
    </comment>
    <comment ref="C36" authorId="1" shapeId="0" xr:uid="{00000000-0006-0000-1200-00001A000000}">
      <text>
        <r>
          <rPr>
            <b/>
            <sz val="8"/>
            <color indexed="81"/>
            <rFont val="Tahoma"/>
            <family val="2"/>
          </rPr>
          <t xml:space="preserve">Refinery fuel:
</t>
        </r>
        <r>
          <rPr>
            <sz val="8"/>
            <color indexed="81"/>
            <rFont val="Tahoma"/>
            <family val="2"/>
          </rPr>
          <t>These are all petroleum products consumed in support of the operation of a refinery. This should not include products used by oil companies outside the refining process, e.g. bunkers or oil tankers.</t>
        </r>
      </text>
    </comment>
    <comment ref="C37" authorId="1" shapeId="0" xr:uid="{00000000-0006-0000-1200-00001B000000}">
      <text>
        <r>
          <rPr>
            <b/>
            <sz val="8"/>
            <color indexed="81"/>
            <rFont val="Tahoma"/>
            <family val="2"/>
          </rPr>
          <t xml:space="preserve">IImports and Exports (Balance):
</t>
        </r>
        <r>
          <rPr>
            <sz val="8"/>
            <color indexed="81"/>
            <rFont val="Tahoma"/>
            <family val="2"/>
          </rPr>
          <t xml:space="preserve">Data should reflect amounts having crossed the national territorial boundaries, whether customs clearance has taken place or not. Quantities of crude oil and products imported or exported under processing agreements (i.e. refining on account) should be included. Crude oil and NGLs should be reported as coming from the country of ultimate origin; refinery feedstocks and finished products should be reported as coming from the country of last consignment. Any gas liquids (e.g. LPG) extracted during the regasification of imported liquefied natural gas should be included as imports in this questionnaire. Petroleum products imported or exported directly by the petrochemical industry should be included.
Note: Imports or exports of ethanol (reported in the Additives/oxygenates column) should relate to the quantities destined for fuel use. Re-exports of oil imported for processing within bonded areas should be included as an export of product from the processing country to the final destination.
</t>
        </r>
        <r>
          <rPr>
            <b/>
            <sz val="8"/>
            <color indexed="81"/>
            <rFont val="Tahoma"/>
            <family val="2"/>
          </rPr>
          <t>Imports and exports reported in Tables 1 and 2 should correspond to Total Imports, line 105 in Table 3 and to Total Exports, line 96 in Table 4.</t>
        </r>
      </text>
    </comment>
    <comment ref="C39" authorId="1" shapeId="0" xr:uid="{00000000-0006-0000-1200-00001C000000}">
      <text>
        <r>
          <rPr>
            <b/>
            <sz val="8"/>
            <color indexed="81"/>
            <rFont val="Tahoma"/>
            <family val="2"/>
          </rPr>
          <t xml:space="preserve">International marine bunkers:
</t>
        </r>
        <r>
          <rPr>
            <sz val="8"/>
            <color indexed="81"/>
            <rFont val="Tahoma"/>
            <family val="2"/>
          </rPr>
          <t>Bunkers cover the quantities of fuels delivered to sea-going ships of all flags, including warships. Consumption by ships engaged in transport in inland and coastal waters is not included. Note that fuel delivered for deep-sea fishing should not be included.</t>
        </r>
      </text>
    </comment>
    <comment ref="C40" authorId="1" shapeId="0" xr:uid="{00000000-0006-0000-1200-00001D000000}">
      <text>
        <r>
          <rPr>
            <b/>
            <sz val="8"/>
            <color indexed="81"/>
            <rFont val="Tahoma"/>
            <family val="2"/>
          </rPr>
          <t xml:space="preserve">Interproduct transfers:
</t>
        </r>
        <r>
          <rPr>
            <sz val="8"/>
            <color indexed="81"/>
            <rFont val="Tahoma"/>
            <family val="2"/>
          </rPr>
          <t xml:space="preserve">Result from the reclassification of products either because their specification has changed, or because they are blended into another product. For example, quantities of kerosene may be reclassified as gasoil after blending with the latter in order to meet its winter diesel specification. A negative entry for one product must be compensated by a positive entry (or several entries) for one or several products and vice versa.
</t>
        </r>
        <r>
          <rPr>
            <b/>
            <sz val="8"/>
            <color indexed="81"/>
            <rFont val="Tahoma"/>
            <family val="2"/>
          </rPr>
          <t xml:space="preserve">
The total net effect (reference Z8) should be zero.</t>
        </r>
      </text>
    </comment>
    <comment ref="C41" authorId="1" shapeId="0" xr:uid="{00000000-0006-0000-1200-00001E000000}">
      <text>
        <r>
          <rPr>
            <b/>
            <sz val="8"/>
            <color indexed="81"/>
            <rFont val="Tahoma"/>
            <family val="2"/>
          </rPr>
          <t>Products Transferred:</t>
        </r>
        <r>
          <rPr>
            <sz val="8"/>
            <color indexed="81"/>
            <rFont val="Tahoma"/>
            <family val="2"/>
          </rPr>
          <t xml:space="preserve">
There are imported petroleum products which are reclassified as feedsstocks for further processing in the refinery, without delivery to final consumers.  For example, naphtha imported for upgrading would be first reported as imports of naphtha (reference F5), and then appear also as products transferred of naphtha (reference F9). 
</t>
        </r>
        <r>
          <rPr>
            <b/>
            <sz val="8"/>
            <color indexed="81"/>
            <rFont val="Tahoma"/>
            <family val="2"/>
          </rPr>
          <t>The sum of the cells for products transferred (reference V9) should be reported in reference C4, Table 1.</t>
        </r>
      </text>
    </comment>
    <comment ref="C42" authorId="1" shapeId="0" xr:uid="{00000000-0006-0000-1200-00001F000000}">
      <text>
        <r>
          <rPr>
            <b/>
            <sz val="8"/>
            <color indexed="81"/>
            <rFont val="Tahoma"/>
            <family val="2"/>
          </rPr>
          <t xml:space="preserve">Stock changes:
</t>
        </r>
        <r>
          <rPr>
            <sz val="8"/>
            <color indexed="81"/>
            <rFont val="Tahoma"/>
            <family val="2"/>
          </rPr>
          <t>Stock changes should reflect the difference between closing stock level and opening stock level for stocks held on national territory, as given in category (a) (lines 1 and 2 of Table 5). A stock build is shown as a positive number, and a stock draw as a negative number.</t>
        </r>
      </text>
    </comment>
    <comment ref="C43" authorId="1" shapeId="0" xr:uid="{00000000-0006-0000-1200-000020000000}">
      <text>
        <r>
          <rPr>
            <b/>
            <sz val="8"/>
            <color indexed="81"/>
            <rFont val="Tahoma"/>
            <family val="2"/>
          </rPr>
          <t>Gross Inland Deliveries (calculated):</t>
        </r>
        <r>
          <rPr>
            <sz val="8"/>
            <color indexed="81"/>
            <rFont val="Tahoma"/>
            <family val="2"/>
          </rPr>
          <t xml:space="preserve"> 
This is defined as:
                               + Primary product receipts
                               + Gross refinery output
                               + Recycled products
                                - Refinery fuel
                               + Imports
                               - Exports
                               - International marine bunkers
                               + Interproduct transfers
                               - Products transferred
                               - Stock changes</t>
        </r>
      </text>
    </comment>
    <comment ref="C44" authorId="1" shapeId="0" xr:uid="{00000000-0006-0000-1200-000021000000}">
      <text>
        <r>
          <rPr>
            <b/>
            <sz val="8"/>
            <color indexed="81"/>
            <rFont val="Tahoma"/>
            <family val="2"/>
          </rPr>
          <t>Statistical Difference:</t>
        </r>
        <r>
          <rPr>
            <sz val="8"/>
            <color indexed="81"/>
            <rFont val="Tahoma"/>
            <family val="2"/>
          </rPr>
          <t xml:space="preserve"> 
This is the difference between calculated and observed gross inland deliveries.  </t>
        </r>
        <r>
          <rPr>
            <i/>
            <sz val="8"/>
            <color indexed="81"/>
            <rFont val="Tahoma"/>
            <family val="2"/>
          </rPr>
          <t>Reasons for any major differences should be stated in the space provided for on the remarks sheet.</t>
        </r>
      </text>
    </comment>
    <comment ref="C45" authorId="1" shapeId="0" xr:uid="{00000000-0006-0000-1200-000022000000}">
      <text>
        <r>
          <rPr>
            <b/>
            <sz val="8"/>
            <color indexed="81"/>
            <rFont val="Tahoma"/>
            <family val="2"/>
          </rPr>
          <t xml:space="preserve">Gross Inland Deliveries (observed): 
</t>
        </r>
        <r>
          <rPr>
            <sz val="8"/>
            <color indexed="81"/>
            <rFont val="Tahoma"/>
            <family val="2"/>
          </rPr>
          <t xml:space="preserve">These are the observed deliveries of finished petroleum products from primary sources (e.g. refineries, blending plants etc.) to the inland market.  
This figure may differ from the calculated figure due, for example, to differences in coverage and/or differences of definition in different reporting systems. </t>
        </r>
      </text>
    </comment>
    <comment ref="C46" authorId="3" shapeId="0" xr:uid="{00000000-0006-0000-1200-000023000000}">
      <text>
        <r>
          <rPr>
            <b/>
            <sz val="8"/>
            <color indexed="81"/>
            <rFont val="Tahoma"/>
            <family val="2"/>
          </rPr>
          <t xml:space="preserve">Deliveries to international aviation: 
</t>
        </r>
        <r>
          <rPr>
            <sz val="8"/>
            <color indexed="81"/>
            <rFont val="Tahoma"/>
            <family val="2"/>
          </rPr>
          <t xml:space="preserve">Report all deliveries of aviation fuels other than for domestic aircraft activities.
</t>
        </r>
      </text>
    </comment>
    <comment ref="C47" authorId="1" shapeId="0" xr:uid="{00000000-0006-0000-1200-000024000000}">
      <text>
        <r>
          <rPr>
            <b/>
            <sz val="8"/>
            <color indexed="81"/>
            <rFont val="Tahoma"/>
            <family val="2"/>
          </rPr>
          <t xml:space="preserve">Deliveries to main activity producer power plants:
</t>
        </r>
        <r>
          <rPr>
            <sz val="8"/>
            <color indexed="81"/>
            <rFont val="Tahoma"/>
            <family val="2"/>
          </rPr>
          <t>Report quantities of oil products used for electricity and heat generation in main activity producer power plants.</t>
        </r>
      </text>
    </comment>
    <comment ref="C48" authorId="1" shapeId="0" xr:uid="{00000000-0006-0000-1200-000025000000}">
      <text>
        <r>
          <rPr>
            <b/>
            <sz val="8"/>
            <color indexed="81"/>
            <rFont val="Tahoma"/>
            <family val="2"/>
          </rPr>
          <t xml:space="preserve">Deliveries of automotive LPG:
</t>
        </r>
        <r>
          <rPr>
            <sz val="8"/>
            <color indexed="81"/>
            <rFont val="Tahoma"/>
            <family val="2"/>
          </rPr>
          <t>Report all deliveries of LPG used for road transport vehicles.</t>
        </r>
      </text>
    </comment>
    <comment ref="C49" authorId="1" shapeId="0" xr:uid="{00000000-0006-0000-1200-000026000000}">
      <text>
        <r>
          <rPr>
            <b/>
            <sz val="8"/>
            <color indexed="81"/>
            <rFont val="Tahoma"/>
            <family val="2"/>
          </rPr>
          <t xml:space="preserve">Deliveries of rail and marine diesel:
</t>
        </r>
        <r>
          <rPr>
            <sz val="8"/>
            <color indexed="81"/>
            <rFont val="Tahoma"/>
            <family val="2"/>
          </rPr>
          <t>Report marine diesel and diesel used in rail traffic.</t>
        </r>
      </text>
    </comment>
    <comment ref="C50" authorId="4" shapeId="0" xr:uid="{00000000-0006-0000-1200-000027000000}">
      <text>
        <r>
          <rPr>
            <b/>
            <sz val="8"/>
            <color indexed="81"/>
            <rFont val="Tahoma"/>
            <family val="2"/>
          </rPr>
          <t xml:space="preserve">Gross deliveries to the petrochemical industry:
</t>
        </r>
        <r>
          <rPr>
            <sz val="8"/>
            <color indexed="81"/>
            <rFont val="Tahoma"/>
            <family val="2"/>
          </rPr>
          <t>Report only those quantities of fuels delivered to the petrochemical sector.</t>
        </r>
      </text>
    </comment>
    <comment ref="C51" authorId="1" shapeId="0" xr:uid="{00000000-0006-0000-1200-000028000000}">
      <text>
        <r>
          <rPr>
            <b/>
            <sz val="8"/>
            <color indexed="81"/>
            <rFont val="Tahoma"/>
            <family val="2"/>
          </rPr>
          <t xml:space="preserve">Backflows to refineries:
</t>
        </r>
        <r>
          <rPr>
            <sz val="8"/>
            <color indexed="81"/>
            <rFont val="Tahoma"/>
            <family val="2"/>
          </rPr>
          <t>Total product Backflows to refineries reported in reference Z19 must be equal to total Backflows reported in reference C3 in Table 1. (See Backflows in Table 1). Those quantities of backflows returned to refinery should be shown as Backflows in Table 1 and subsequently as a part of Refinery intake, Refinery gross output and of Gross inland deliveries of the relevant products.
Quantities of backflows that are used directly as finished products should be included in the data reported under Backflows and subsequently as Direct use in Table 1 and Primary product receipts in Table 2.</t>
        </r>
      </text>
    </comment>
    <comment ref="C52" authorId="4" shapeId="0" xr:uid="{00000000-0006-0000-1200-000029000000}">
      <text>
        <r>
          <rPr>
            <b/>
            <sz val="8"/>
            <color indexed="81"/>
            <rFont val="Tahoma"/>
            <family val="2"/>
          </rPr>
          <t>Net deliveries of Total products:</t>
        </r>
        <r>
          <rPr>
            <sz val="8"/>
            <color indexed="81"/>
            <rFont val="Tahoma"/>
            <family val="2"/>
          </rPr>
          <t xml:space="preserve">
This is defined as Gross inland deliveries (Observed) minus Backflows to refineries.
</t>
        </r>
        <r>
          <rPr>
            <b/>
            <sz val="8"/>
            <color indexed="81"/>
            <rFont val="Tahoma"/>
            <family val="2"/>
          </rPr>
          <t>Thus reference Z20 = reference Z13 - reference Z19</t>
        </r>
      </text>
    </comment>
    <comment ref="O58" authorId="0" shapeId="0" xr:uid="{00000000-0006-0000-1200-00002A000000}">
      <text>
        <r>
          <rPr>
            <b/>
            <sz val="8"/>
            <color indexed="81"/>
            <rFont val="Tahoma"/>
            <family val="2"/>
          </rPr>
          <t xml:space="preserve">Biogasoline:
</t>
        </r>
        <r>
          <rPr>
            <sz val="8"/>
            <color indexed="81"/>
            <rFont val="Tahoma"/>
            <family val="2"/>
          </rPr>
          <t>This category includes bioethanol (ethanol produced from biomass and/or the biodegradable fraction of waste), biomethanol (methanol produced from biomass and/or the biodegradable fraction of waste), bioETBE (ethyl-tertiobutyl- ether produced on the basis of bioethanol: the percentage by volume of bioETBE that is calculated as biofuel is 37%) and bioMTBE (methyl-tertio-butyl-ether produced on the basis of biomethanol: the percentage by volume of bioMTBE that is calculated as biofuel is 22%).</t>
        </r>
      </text>
    </comment>
    <comment ref="P58" authorId="0" shapeId="0" xr:uid="{00000000-0006-0000-1200-00002B000000}">
      <text>
        <r>
          <rPr>
            <b/>
            <sz val="8"/>
            <color indexed="81"/>
            <rFont val="Tahoma"/>
            <family val="2"/>
          </rPr>
          <t xml:space="preserve">Non-biogasoline:
</t>
        </r>
        <r>
          <rPr>
            <sz val="8"/>
            <color indexed="81"/>
            <rFont val="Tahoma"/>
            <family val="2"/>
          </rPr>
          <t>This category covers Motor gasoline as defined above excluding Biogasoline.</t>
        </r>
      </text>
    </comment>
    <comment ref="T58" authorId="2" shapeId="0" xr:uid="{00000000-0006-0000-1200-00002C000000}">
      <text>
        <r>
          <rPr>
            <b/>
            <sz val="8"/>
            <color indexed="81"/>
            <rFont val="Tahoma"/>
            <family val="2"/>
          </rPr>
          <t xml:space="preserve">Bio jet kerosene:
</t>
        </r>
        <r>
          <rPr>
            <sz val="8"/>
            <color indexed="81"/>
            <rFont val="Tahoma"/>
            <family val="2"/>
          </rPr>
          <t xml:space="preserve">Liquid biofuels derived from biomass and blended with Jet kerosene.
</t>
        </r>
      </text>
    </comment>
    <comment ref="U58" authorId="2" shapeId="0" xr:uid="{00000000-0006-0000-1200-00002D000000}">
      <text>
        <r>
          <rPr>
            <b/>
            <sz val="8"/>
            <color indexed="81"/>
            <rFont val="Tahoma"/>
            <family val="2"/>
          </rPr>
          <t xml:space="preserve">Non-bio jet kerosene:
</t>
        </r>
        <r>
          <rPr>
            <sz val="8"/>
            <color indexed="81"/>
            <rFont val="Tahoma"/>
            <family val="2"/>
          </rPr>
          <t>This category covers jet kerosene as defined above excluding Bio jet kerosene.</t>
        </r>
      </text>
    </comment>
    <comment ref="W58" authorId="2" shapeId="0" xr:uid="{00000000-0006-0000-1200-00002E000000}">
      <text>
        <r>
          <rPr>
            <b/>
            <sz val="8"/>
            <color indexed="81"/>
            <rFont val="Tahoma"/>
            <family val="2"/>
          </rPr>
          <t>Road diesel:</t>
        </r>
        <r>
          <rPr>
            <sz val="8"/>
            <color indexed="81"/>
            <rFont val="Tahoma"/>
            <family val="2"/>
          </rPr>
          <t xml:space="preserve">
On road diesel oil for diesel compression ignition (cars, trucks etc.), usually of low sulphur content.
</t>
        </r>
      </text>
    </comment>
    <comment ref="X58" authorId="2" shapeId="0" xr:uid="{00000000-0006-0000-1200-00002F000000}">
      <text>
        <r>
          <rPr>
            <b/>
            <sz val="8"/>
            <color indexed="81"/>
            <rFont val="Tahoma"/>
            <family val="2"/>
          </rPr>
          <t xml:space="preserve">Heating and other gasoil:
   - </t>
        </r>
        <r>
          <rPr>
            <sz val="8"/>
            <color indexed="81"/>
            <rFont val="Tahoma"/>
            <family val="2"/>
          </rPr>
          <t xml:space="preserve">Light heating oil for industrial and commercial uses;
    - Marine diesel and diesel used in rail traffic;
   - Other gas oil including heavy gas oils which distil
    between 380ºC and 540ºC and which are used as
    petrochemical feedstocks.
</t>
        </r>
      </text>
    </comment>
    <comment ref="Z58" authorId="0" shapeId="0" xr:uid="{00000000-0006-0000-1200-000030000000}">
      <text>
        <r>
          <rPr>
            <b/>
            <sz val="8"/>
            <color indexed="81"/>
            <rFont val="Tahoma"/>
            <family val="2"/>
          </rPr>
          <t>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Gas/diesel oil.</t>
        </r>
      </text>
    </comment>
    <comment ref="AA58" authorId="2" shapeId="0" xr:uid="{00000000-0006-0000-1200-000031000000}">
      <text>
        <r>
          <rPr>
            <b/>
            <sz val="8"/>
            <color indexed="81"/>
            <rFont val="Tahoma"/>
            <family val="2"/>
          </rPr>
          <t xml:space="preserve">Non-bio gas/diesel oil:
</t>
        </r>
        <r>
          <rPr>
            <sz val="8"/>
            <color indexed="81"/>
            <rFont val="Tahoma"/>
            <family val="2"/>
          </rPr>
          <t xml:space="preserve">This category consists of gas diesel oil as defined above excluding Biodiesel.
</t>
        </r>
      </text>
    </comment>
    <comment ref="AC58" authorId="2" shapeId="0" xr:uid="{00000000-0006-0000-1200-000032000000}">
      <text>
        <r>
          <rPr>
            <b/>
            <sz val="8"/>
            <color indexed="81"/>
            <rFont val="Tahoma"/>
            <family val="2"/>
          </rPr>
          <t xml:space="preserve">Low sulphur content: 
</t>
        </r>
        <r>
          <rPr>
            <sz val="8"/>
            <color indexed="81"/>
            <rFont val="Tahoma"/>
            <family val="2"/>
          </rPr>
          <t>Heavy fuel oil with sulphur content lower than 1%</t>
        </r>
        <r>
          <rPr>
            <b/>
            <sz val="8"/>
            <color indexed="81"/>
            <rFont val="Tahoma"/>
            <family val="2"/>
          </rPr>
          <t>.</t>
        </r>
      </text>
    </comment>
    <comment ref="AE58" authorId="2" shapeId="0" xr:uid="{00000000-0006-0000-1200-000033000000}">
      <text>
        <r>
          <rPr>
            <b/>
            <sz val="8"/>
            <color indexed="81"/>
            <rFont val="Tahoma"/>
            <family val="2"/>
          </rPr>
          <t xml:space="preserve">High sulphur content:
</t>
        </r>
        <r>
          <rPr>
            <sz val="8"/>
            <color indexed="81"/>
            <rFont val="Tahoma"/>
            <family val="2"/>
          </rPr>
          <t xml:space="preserve">Heavy fuel oil with sulphur content of 1% or higher.
</t>
        </r>
      </text>
    </comment>
    <comment ref="O232" authorId="0" shapeId="0" xr:uid="{00000000-0006-0000-1200-000034000000}">
      <text>
        <r>
          <rPr>
            <b/>
            <sz val="8"/>
            <color indexed="81"/>
            <rFont val="Tahoma"/>
            <family val="2"/>
          </rPr>
          <t xml:space="preserve">Biogasoline:
</t>
        </r>
        <r>
          <rPr>
            <sz val="8"/>
            <color indexed="81"/>
            <rFont val="Tahoma"/>
            <family val="2"/>
          </rPr>
          <t>This category includes bioethanol (ethanol produced from biomass and/or the biodegradable fraction of waste), biomethanol (methanol produced from biomass and/or the biodegradable fraction of waste), bioETBE (ethyl-tertiobutyl- ether produced on the basis of bioethanol: the percentage by volume of bioETBE that is calculated as biofuel is 37%) and bioMTBE (methyl-tertio-butyl-ether produced on the basis of biomethanol: the percentage by volume of bioMTBE that is calculated as biofuel is 22%).</t>
        </r>
      </text>
    </comment>
    <comment ref="P232" authorId="0" shapeId="0" xr:uid="{00000000-0006-0000-1200-000035000000}">
      <text>
        <r>
          <rPr>
            <b/>
            <sz val="8"/>
            <color indexed="81"/>
            <rFont val="Tahoma"/>
            <family val="2"/>
          </rPr>
          <t xml:space="preserve">Non-biogasoline:
</t>
        </r>
        <r>
          <rPr>
            <sz val="8"/>
            <color indexed="81"/>
            <rFont val="Tahoma"/>
            <family val="2"/>
          </rPr>
          <t>This category covers Motor gasoline as defined above excluding Biogasoline.</t>
        </r>
      </text>
    </comment>
    <comment ref="T232" authorId="2" shapeId="0" xr:uid="{00000000-0006-0000-1200-000036000000}">
      <text>
        <r>
          <rPr>
            <b/>
            <sz val="8"/>
            <color indexed="81"/>
            <rFont val="Tahoma"/>
            <family val="2"/>
          </rPr>
          <t xml:space="preserve">Bio jet kerosene:
</t>
        </r>
        <r>
          <rPr>
            <sz val="8"/>
            <color indexed="81"/>
            <rFont val="Tahoma"/>
            <family val="2"/>
          </rPr>
          <t xml:space="preserve">Liquid biofuels derived from biomass and blended with Jet kerosene.
</t>
        </r>
      </text>
    </comment>
    <comment ref="U232" authorId="2" shapeId="0" xr:uid="{00000000-0006-0000-1200-000037000000}">
      <text>
        <r>
          <rPr>
            <b/>
            <sz val="8"/>
            <color indexed="81"/>
            <rFont val="Tahoma"/>
            <family val="2"/>
          </rPr>
          <t xml:space="preserve">Non-bio jet kerosene:
</t>
        </r>
        <r>
          <rPr>
            <sz val="8"/>
            <color indexed="81"/>
            <rFont val="Tahoma"/>
            <family val="2"/>
          </rPr>
          <t>This category covers jet kerosene as defined above excluding Bio jet kerosene.</t>
        </r>
      </text>
    </comment>
    <comment ref="W232" authorId="2" shapeId="0" xr:uid="{00000000-0006-0000-1200-000038000000}">
      <text>
        <r>
          <rPr>
            <b/>
            <sz val="8"/>
            <color indexed="81"/>
            <rFont val="Tahoma"/>
            <family val="2"/>
          </rPr>
          <t>Road diesel:</t>
        </r>
        <r>
          <rPr>
            <sz val="8"/>
            <color indexed="81"/>
            <rFont val="Tahoma"/>
            <family val="2"/>
          </rPr>
          <t xml:space="preserve">
On road diesel oil for diesel compression ignition (cars, trucks etc.), usually of low sulphur content.
</t>
        </r>
      </text>
    </comment>
    <comment ref="X232" authorId="2" shapeId="0" xr:uid="{00000000-0006-0000-1200-000039000000}">
      <text>
        <r>
          <rPr>
            <b/>
            <sz val="8"/>
            <color indexed="81"/>
            <rFont val="Tahoma"/>
            <family val="2"/>
          </rPr>
          <t xml:space="preserve">Heating and other gasoil:
   - </t>
        </r>
        <r>
          <rPr>
            <sz val="8"/>
            <color indexed="81"/>
            <rFont val="Tahoma"/>
            <family val="2"/>
          </rPr>
          <t xml:space="preserve">Light heating oil for industrial and commercial uses;
    - Marine diesel and diesel used in rail traffic;
   - Other gas oil including heavy gas oils which distil
    between 380ºC and 540ºC and which are used as
    petrochemical feedstocks.
</t>
        </r>
      </text>
    </comment>
    <comment ref="Z232" authorId="0" shapeId="0" xr:uid="{00000000-0006-0000-1200-00003A000000}">
      <text>
        <r>
          <rPr>
            <b/>
            <sz val="8"/>
            <color indexed="81"/>
            <rFont val="Tahoma"/>
            <family val="2"/>
          </rPr>
          <t>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Gas/diesel oil.</t>
        </r>
      </text>
    </comment>
    <comment ref="AA232" authorId="2" shapeId="0" xr:uid="{00000000-0006-0000-1200-00003B000000}">
      <text>
        <r>
          <rPr>
            <b/>
            <sz val="8"/>
            <color indexed="81"/>
            <rFont val="Tahoma"/>
            <family val="2"/>
          </rPr>
          <t xml:space="preserve">Non-bio gas/diesel oil:
</t>
        </r>
        <r>
          <rPr>
            <sz val="8"/>
            <color indexed="81"/>
            <rFont val="Tahoma"/>
            <family val="2"/>
          </rPr>
          <t xml:space="preserve">This category consists of gas diesel oil as defined above excluding Biodiesel.
</t>
        </r>
      </text>
    </comment>
    <comment ref="AC232" authorId="2" shapeId="0" xr:uid="{00000000-0006-0000-1200-00003C000000}">
      <text>
        <r>
          <rPr>
            <b/>
            <sz val="8"/>
            <color indexed="81"/>
            <rFont val="Tahoma"/>
            <family val="2"/>
          </rPr>
          <t xml:space="preserve">Low sulphur content: 
</t>
        </r>
        <r>
          <rPr>
            <sz val="8"/>
            <color indexed="81"/>
            <rFont val="Tahoma"/>
            <family val="2"/>
          </rPr>
          <t>Heavy fuel oil with sulphur content lower than 1%</t>
        </r>
        <r>
          <rPr>
            <b/>
            <sz val="8"/>
            <color indexed="81"/>
            <rFont val="Tahoma"/>
            <family val="2"/>
          </rPr>
          <t>.</t>
        </r>
      </text>
    </comment>
    <comment ref="AE232" authorId="2" shapeId="0" xr:uid="{00000000-0006-0000-1200-00003D000000}">
      <text>
        <r>
          <rPr>
            <b/>
            <sz val="8"/>
            <color indexed="81"/>
            <rFont val="Tahoma"/>
            <family val="2"/>
          </rPr>
          <t xml:space="preserve">High sulphur content:
</t>
        </r>
        <r>
          <rPr>
            <sz val="8"/>
            <color indexed="81"/>
            <rFont val="Tahoma"/>
            <family val="2"/>
          </rPr>
          <t xml:space="preserve">Heavy fuel oil with sulphur content of 1% or higher.
</t>
        </r>
      </text>
    </comment>
    <comment ref="J406" authorId="0" shapeId="0" xr:uid="{00000000-0006-0000-1200-00003E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Q406" authorId="0" shapeId="0" xr:uid="{00000000-0006-0000-1200-00003F000000}">
      <text>
        <r>
          <rPr>
            <b/>
            <sz val="8"/>
            <color indexed="81"/>
            <rFont val="Tahoma"/>
            <family val="2"/>
          </rPr>
          <t>Of Which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t>
        </r>
      </text>
    </comment>
    <comment ref="R406" authorId="0" shapeId="0" xr:uid="{00000000-0006-0000-1200-000040000000}">
      <text>
        <r>
          <rPr>
            <b/>
            <sz val="8"/>
            <color indexed="81"/>
            <rFont val="Tahoma"/>
            <family val="2"/>
          </rPr>
          <t>Of Which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t>
        </r>
      </text>
    </comment>
    <comment ref="AB406" authorId="0" shapeId="0" xr:uid="{00000000-0006-0000-1200-000041000000}">
      <text>
        <r>
          <rPr>
            <b/>
            <sz val="8"/>
            <color indexed="81"/>
            <rFont val="Tahoma"/>
            <family val="2"/>
          </rPr>
          <t>Of Which 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t>
        </r>
      </text>
    </comment>
    <comment ref="C408" authorId="1" shapeId="0" xr:uid="{00000000-0006-0000-1200-000042000000}">
      <text>
        <r>
          <rPr>
            <b/>
            <sz val="8"/>
            <color indexed="81"/>
            <rFont val="Tahoma"/>
            <family val="2"/>
          </rPr>
          <t>Stocks on national territory:</t>
        </r>
        <r>
          <rPr>
            <sz val="8"/>
            <color indexed="81"/>
            <rFont val="Tahoma"/>
            <family val="2"/>
          </rPr>
          <t xml:space="preserve"> 
This is the sum of categories (b) to (i) below.  Include stocks held by all importers, refiners, stock holding organisations, governments, and major consumers, whose stocks are subject to government control. 
</t>
        </r>
        <r>
          <rPr>
            <b/>
            <sz val="8"/>
            <color indexed="81"/>
            <rFont val="Tahoma"/>
            <family val="2"/>
          </rPr>
          <t>Line 8 in Table 1 and line 10 in Table 2, should correspond to line 2 minus line 1 in Table 5.</t>
        </r>
        <r>
          <rPr>
            <sz val="8"/>
            <color indexed="81"/>
            <rFont val="Tahoma"/>
            <family val="2"/>
          </rPr>
          <t xml:space="preserve"> </t>
        </r>
      </text>
    </comment>
    <comment ref="C410" authorId="1" shapeId="0" xr:uid="{00000000-0006-0000-1200-000043000000}">
      <text>
        <r>
          <rPr>
            <b/>
            <sz val="8"/>
            <color indexed="81"/>
            <rFont val="Tahoma"/>
            <family val="2"/>
          </rPr>
          <t>Stocks held for other countries under bilateral government agreements:</t>
        </r>
        <r>
          <rPr>
            <sz val="8"/>
            <color indexed="81"/>
            <rFont val="Tahoma"/>
            <family val="2"/>
          </rPr>
          <t xml:space="preserve"> 
Include stocks in your national territory, which belong to another country and to which the access is guaranteed by an agreement between the respective governments.  Closing amounts should correspond to totals (line 32) in Table 6.</t>
        </r>
      </text>
    </comment>
    <comment ref="C412" authorId="1" shapeId="0" xr:uid="{00000000-0006-0000-1200-000044000000}">
      <text>
        <r>
          <rPr>
            <b/>
            <sz val="8"/>
            <color indexed="81"/>
            <rFont val="Tahoma"/>
            <family val="2"/>
          </rPr>
          <t>Stocks with known foreign destination:</t>
        </r>
        <r>
          <rPr>
            <sz val="8"/>
            <color indexed="81"/>
            <rFont val="Tahoma"/>
            <family val="2"/>
          </rPr>
          <t xml:space="preserve"> 
Include stocks (not included in category (b) ) in your national territory which belong to and are destined for another country.  These stocks may be located inside or outside bonded areas. Closing amounts should correspond to totals (liine 32)in Table 7.</t>
        </r>
      </text>
    </comment>
    <comment ref="C414" authorId="1" shapeId="0" xr:uid="{00000000-0006-0000-1200-000045000000}">
      <text>
        <r>
          <rPr>
            <b/>
            <sz val="8"/>
            <color indexed="81"/>
            <rFont val="Tahoma"/>
            <family val="2"/>
          </rPr>
          <t>Stocks held in bonded areas and not included in (b) or (c):</t>
        </r>
        <r>
          <rPr>
            <sz val="8"/>
            <color indexed="81"/>
            <rFont val="Tahoma"/>
            <family val="2"/>
          </rPr>
          <t xml:space="preserve"> 
Include stocks which are eligible under IEA commitments (irrespective of whether they have received customs clearance or not), not included in categories (b) or (c) above.</t>
        </r>
      </text>
    </comment>
    <comment ref="C416" authorId="1" shapeId="0" xr:uid="{00000000-0006-0000-1200-000046000000}">
      <text>
        <r>
          <rPr>
            <b/>
            <sz val="8"/>
            <color indexed="81"/>
            <rFont val="Tahoma"/>
            <family val="2"/>
          </rPr>
          <t>Stocks held by major consumers, eligible under IEA commitments:</t>
        </r>
        <r>
          <rPr>
            <sz val="8"/>
            <color indexed="81"/>
            <rFont val="Tahoma"/>
            <family val="2"/>
          </rPr>
          <t xml:space="preserve"> 
Include stocks, which are subject to government control.  This definition does not include other consumer stocks.
</t>
        </r>
      </text>
    </comment>
    <comment ref="C418" authorId="1" shapeId="0" xr:uid="{00000000-0006-0000-1200-000047000000}">
      <text>
        <r>
          <rPr>
            <b/>
            <sz val="8"/>
            <color indexed="81"/>
            <rFont val="Tahoma"/>
            <family val="2"/>
          </rPr>
          <t xml:space="preserve">Stocks held on board incoming ocean vessels in port or at mooring: 
</t>
        </r>
        <r>
          <rPr>
            <sz val="8"/>
            <color indexed="81"/>
            <rFont val="Tahoma"/>
            <family val="2"/>
          </rPr>
          <t>Include stocks irrespective of whether they have been cleared by customs or not.  This category excludes stocks on board vessels at high seas.  It includes oil in coastal tankers if both their port of departure and destination are in your country.  In the case of incoming vessels with more than one port of unloading, only report the amount to be unloaded in your country.</t>
        </r>
      </text>
    </comment>
    <comment ref="C420" authorId="1" shapeId="0" xr:uid="{00000000-0006-0000-1200-000048000000}">
      <text>
        <r>
          <rPr>
            <b/>
            <sz val="8"/>
            <color indexed="81"/>
            <rFont val="Tahoma"/>
            <family val="2"/>
          </rPr>
          <t>Stocks held by governments on national territory:</t>
        </r>
        <r>
          <rPr>
            <sz val="8"/>
            <color indexed="81"/>
            <rFont val="Tahoma"/>
            <family val="2"/>
          </rPr>
          <t xml:space="preserve"> 
Include non-military stocks held within the national territory by government, which are government owned or controlled and held exclusively for emergency purposes.  It does not include stocks held by state oil companies or electric utilities, neither does it include stocks held directly by industry to fulfil mandatory stock obligations. </t>
        </r>
      </text>
    </comment>
    <comment ref="C422" authorId="1" shapeId="0" xr:uid="{00000000-0006-0000-1200-000049000000}">
      <text>
        <r>
          <rPr>
            <b/>
            <sz val="8"/>
            <color indexed="81"/>
            <rFont val="Tahoma"/>
            <family val="2"/>
          </rPr>
          <t>Stocks held by stock holding organisations on national territory:</t>
        </r>
        <r>
          <rPr>
            <sz val="8"/>
            <color indexed="81"/>
            <rFont val="Tahoma"/>
            <family val="2"/>
          </rPr>
          <t xml:space="preserve">
 Include stocks held on national territory by both public and private corporations established to maintain stocks exclusively for emergency purposes.  It does not include mandatory stocks held by private companies.</t>
        </r>
      </text>
    </comment>
    <comment ref="C424" authorId="1" shapeId="0" xr:uid="{00000000-0006-0000-1200-00004A000000}">
      <text>
        <r>
          <rPr>
            <b/>
            <sz val="8"/>
            <color indexed="81"/>
            <rFont val="Tahoma"/>
            <family val="2"/>
          </rPr>
          <t xml:space="preserve">All other stocks held on national territory:
 </t>
        </r>
        <r>
          <rPr>
            <sz val="8"/>
            <color indexed="81"/>
            <rFont val="Tahoma"/>
            <family val="2"/>
          </rPr>
          <t>Include all other stocks satisfying the conditions described in category (a) above.</t>
        </r>
      </text>
    </comment>
    <comment ref="C426" authorId="5" shapeId="0" xr:uid="{F3998D3D-EB45-463D-A49E-5D888F378AE1}">
      <text>
        <r>
          <rPr>
            <b/>
            <sz val="8"/>
            <color indexed="81"/>
            <rFont val="Tahoma"/>
            <family val="2"/>
          </rPr>
          <t>Of which: obligated industry stocks:</t>
        </r>
        <r>
          <rPr>
            <sz val="8"/>
            <color indexed="81"/>
            <rFont val="Tahoma"/>
            <family val="2"/>
          </rPr>
          <t xml:space="preserve">
Include the actual physical amount of industry stocks on national territory that are held by refiners, importers, wholesalers under a government-imposed obligation.
</t>
        </r>
      </text>
    </comment>
    <comment ref="C428" authorId="1" shapeId="0" xr:uid="{00000000-0006-0000-1200-00004B000000}">
      <text>
        <r>
          <rPr>
            <b/>
            <sz val="8"/>
            <color indexed="81"/>
            <rFont val="Tahoma"/>
            <family val="2"/>
          </rPr>
          <t xml:space="preserve">Stocks held abroad under bilateral government agreements: 
</t>
        </r>
        <r>
          <rPr>
            <sz val="8"/>
            <color indexed="81"/>
            <rFont val="Tahoma"/>
            <family val="2"/>
          </rPr>
          <t>Include stocks belonging to your country but held in another country, to which access is guaranteed by an agreement between the respective governments. This category is comprised of stocks abroad owned by your government, stocks abroad held by stock holding organisations, and all other types of stocks belonging to your country but held in another country under bilateral government agreements.  Please provide the breakdown of these stocks by type under categories o, p and q (see below). Closing amounts should correspond to the country specific breakdown (line 32) in Table 8.</t>
        </r>
      </text>
    </comment>
    <comment ref="C430" authorId="1" shapeId="0" xr:uid="{00000000-0006-0000-1200-00004C000000}">
      <text>
        <r>
          <rPr>
            <b/>
            <sz val="8"/>
            <color indexed="81"/>
            <rFont val="Tahoma"/>
            <family val="2"/>
          </rPr>
          <t>Stocks held abroad designated definitely for import into your country:</t>
        </r>
        <r>
          <rPr>
            <sz val="8"/>
            <color indexed="81"/>
            <rFont val="Tahoma"/>
            <family val="2"/>
          </rPr>
          <t xml:space="preserve"> 
Include stocks (not included in category (j) ) belonging to your country, which are held in another country and which are awaiting import into your country.  Closing amounts should correspond to line 32 in Table 9.</t>
        </r>
      </text>
    </comment>
    <comment ref="C432" authorId="1" shapeId="0" xr:uid="{00000000-0006-0000-1200-00004D000000}">
      <text>
        <r>
          <rPr>
            <b/>
            <sz val="8"/>
            <color indexed="81"/>
            <rFont val="Tahoma"/>
            <family val="2"/>
          </rPr>
          <t>Total Stocks:</t>
        </r>
        <r>
          <rPr>
            <sz val="8"/>
            <color indexed="81"/>
            <rFont val="Tahoma"/>
            <family val="2"/>
          </rPr>
          <t xml:space="preserve"> 
Include all stocks belonging to your country, whether on national territory or in the territory of another country.</t>
        </r>
      </text>
    </comment>
    <comment ref="C434" authorId="1" shapeId="0" xr:uid="{00000000-0006-0000-1200-00004E000000}">
      <text>
        <r>
          <rPr>
            <b/>
            <sz val="8"/>
            <color indexed="81"/>
            <rFont val="Tahoma"/>
            <family val="2"/>
          </rPr>
          <t>Other stocks in bonded areas (not included above):</t>
        </r>
        <r>
          <rPr>
            <sz val="8"/>
            <color indexed="81"/>
            <rFont val="Tahoma"/>
            <family val="2"/>
          </rPr>
          <t xml:space="preserve"> 
Include other stocks in the national territory not eligible under IEA commitments and which are not included in the above categories</t>
        </r>
      </text>
    </comment>
    <comment ref="C436" authorId="1" shapeId="0" xr:uid="{00000000-0006-0000-1200-00004F000000}">
      <text>
        <r>
          <rPr>
            <b/>
            <sz val="8"/>
            <color indexed="81"/>
            <rFont val="Tahoma"/>
            <family val="2"/>
          </rPr>
          <t xml:space="preserve">Pipeline Fill (not included above):
</t>
        </r>
        <r>
          <rPr>
            <sz val="8"/>
            <color indexed="81"/>
            <rFont val="Tahoma"/>
            <family val="2"/>
          </rPr>
          <t>Include oil (crude oil and petroleum products) contained in pipelines, necessary to maintain the flow in the pipelines.</t>
        </r>
      </text>
    </comment>
    <comment ref="C438" authorId="4" shapeId="0" xr:uid="{00000000-0006-0000-1200-000050000000}">
      <text>
        <r>
          <rPr>
            <b/>
            <sz val="8"/>
            <color indexed="81"/>
            <rFont val="Tahoma"/>
            <family val="2"/>
          </rPr>
          <t>Detail of category (j):</t>
        </r>
        <r>
          <rPr>
            <sz val="8"/>
            <color indexed="81"/>
            <rFont val="Tahoma"/>
            <family val="2"/>
          </rPr>
          <t xml:space="preserve">
The portion of "Stocks held abroad under bilateral government agreement", category (j), which are government stocks.</t>
        </r>
      </text>
    </comment>
    <comment ref="C440" authorId="4" shapeId="0" xr:uid="{00000000-0006-0000-1200-000051000000}">
      <text>
        <r>
          <rPr>
            <b/>
            <sz val="8"/>
            <color indexed="81"/>
            <rFont val="Tahoma"/>
            <family val="2"/>
          </rPr>
          <t>Detail of category (j):</t>
        </r>
        <r>
          <rPr>
            <sz val="8"/>
            <color indexed="81"/>
            <rFont val="Tahoma"/>
            <family val="2"/>
          </rPr>
          <t xml:space="preserve">
The portion of "Stocks held abroad under bilateral government agreement", category (j), which are stock holding organization's stocks.
</t>
        </r>
      </text>
    </comment>
    <comment ref="C442" authorId="4" shapeId="0" xr:uid="{00000000-0006-0000-1200-000052000000}">
      <text>
        <r>
          <rPr>
            <b/>
            <sz val="8"/>
            <color indexed="81"/>
            <rFont val="Tahoma"/>
            <family val="2"/>
          </rPr>
          <t>Detail of category (j):</t>
        </r>
        <r>
          <rPr>
            <sz val="8"/>
            <color indexed="81"/>
            <rFont val="Tahoma"/>
            <family val="2"/>
          </rPr>
          <t xml:space="preserve">
The portion of "Stocks held abroad under bilateral government agreement", category (j), which are not included in the above stocks type (o) and (p).</t>
        </r>
      </text>
    </comment>
    <comment ref="J452" authorId="0" shapeId="0" xr:uid="{00000000-0006-0000-1200-000053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Q452" authorId="0" shapeId="0" xr:uid="{00000000-0006-0000-1200-000054000000}">
      <text>
        <r>
          <rPr>
            <b/>
            <sz val="8"/>
            <color indexed="81"/>
            <rFont val="Tahoma"/>
            <family val="2"/>
          </rPr>
          <t>Of Which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t>
        </r>
      </text>
    </comment>
    <comment ref="R452" authorId="0" shapeId="0" xr:uid="{00000000-0006-0000-1200-000055000000}">
      <text>
        <r>
          <rPr>
            <b/>
            <sz val="8"/>
            <color indexed="81"/>
            <rFont val="Tahoma"/>
            <family val="2"/>
          </rPr>
          <t>Of Which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t>
        </r>
      </text>
    </comment>
    <comment ref="AB452" authorId="0" shapeId="0" xr:uid="{00000000-0006-0000-1200-000056000000}">
      <text>
        <r>
          <rPr>
            <b/>
            <sz val="8"/>
            <color indexed="81"/>
            <rFont val="Tahoma"/>
            <family val="2"/>
          </rPr>
          <t>Of Which 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t>
        </r>
      </text>
    </comment>
    <comment ref="D473" authorId="6" shapeId="0" xr:uid="{00000000-0006-0000-1200-000057000000}">
      <text>
        <r>
          <rPr>
            <sz val="8"/>
            <color indexed="81"/>
            <rFont val="Tahoma"/>
            <family val="2"/>
          </rPr>
          <t xml:space="preserve">Year for which monthly cumulated data will be used to estimate obligation.
Until 2019: for reporting periods January to March year-2, April to December the previous year.
From 2020: for reporting periods January to June year-2, April to December the previous year.
</t>
        </r>
      </text>
    </comment>
    <comment ref="C475" authorId="1" shapeId="0" xr:uid="{00000000-0006-0000-1200-000058000000}">
      <text>
        <r>
          <rPr>
            <b/>
            <sz val="8"/>
            <color indexed="81"/>
            <rFont val="Tahoma"/>
            <family val="2"/>
          </rPr>
          <t xml:space="preserve">Refinery Fuel:
</t>
        </r>
        <r>
          <rPr>
            <sz val="8"/>
            <color indexed="81"/>
            <rFont val="Tahoma"/>
            <family val="2"/>
          </rPr>
          <t>These are all petroleum products consumed in support of the operation of a refinery.  This should not include products used by oil companies outside the refining process, e.g. bunkers or oil tankers.</t>
        </r>
      </text>
    </comment>
    <comment ref="C476" authorId="1" shapeId="0" xr:uid="{00000000-0006-0000-1200-000059000000}">
      <text>
        <r>
          <rPr>
            <b/>
            <sz val="8"/>
            <color indexed="81"/>
            <rFont val="Tahoma"/>
            <family val="2"/>
          </rPr>
          <t>Imports and Exports:</t>
        </r>
        <r>
          <rPr>
            <sz val="8"/>
            <color indexed="81"/>
            <rFont val="Tahoma"/>
            <family val="2"/>
          </rPr>
          <t xml:space="preserve">
Imports and Exports:
Data should reflect amounts having crossed the national territorial boundaries, whether customs clearance has taken place or not.  
Quantities imported or exported under processing agreements (i.e. refining on account) should be included.  
Finished products should be reported as coming from the couuntry of last consignment.  
Any gas liquids (e.g. LPG) extracted during the regasification of imported liquefied natural gas should be included as imports in this questionnaire.  Petroleum products imported or exported directly by the petrochemical industry should be included.
Re-exports of oil imported for processing within bonded areas should be included as an export of product from the processing country to the final destination.
</t>
        </r>
        <r>
          <rPr>
            <b/>
            <sz val="8"/>
            <color indexed="81"/>
            <rFont val="Tahoma"/>
            <family val="2"/>
          </rPr>
          <t xml:space="preserve">Imports and exports reported in Tables 1 and 2 should correspond to Total Imports, line 103 in Table 3 and to Total Exports, line 96 on Table 4. </t>
        </r>
      </text>
    </comment>
    <comment ref="F494" authorId="7" shapeId="0" xr:uid="{00000000-0006-0000-1200-00005A000000}">
      <text>
        <r>
          <rPr>
            <sz val="9"/>
            <color indexed="81"/>
            <rFont val="Tahoma"/>
            <family val="2"/>
          </rPr>
          <t xml:space="preserve">1 = 4%
2 = average
3 = net actual
</t>
        </r>
      </text>
    </comment>
    <comment ref="F495" authorId="8" shapeId="0" xr:uid="{00000000-0006-0000-1200-00005B000000}">
      <text>
        <r>
          <rPr>
            <sz val="9"/>
            <color indexed="81"/>
            <rFont val="Tahoma"/>
            <family val="2"/>
          </rPr>
          <t>1 = inland consumption
2 = net import</t>
        </r>
      </text>
    </comment>
    <comment ref="F496" authorId="8" shapeId="0" xr:uid="{00000000-0006-0000-1200-00005C000000}">
      <text>
        <r>
          <rPr>
            <sz val="9"/>
            <color indexed="81"/>
            <rFont val="Tahoma"/>
            <family val="2"/>
          </rPr>
          <t>1 = annex 3a 
2 = annex 3b</t>
        </r>
      </text>
    </comment>
    <comment ref="J499" authorId="0" shapeId="0" xr:uid="{00000000-0006-0000-1200-00005D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Q499" authorId="0" shapeId="0" xr:uid="{00000000-0006-0000-1200-00005E000000}">
      <text>
        <r>
          <rPr>
            <b/>
            <sz val="8"/>
            <color indexed="81"/>
            <rFont val="Tahoma"/>
            <family val="2"/>
          </rPr>
          <t>Of Which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t>
        </r>
      </text>
    </comment>
    <comment ref="R499" authorId="0" shapeId="0" xr:uid="{00000000-0006-0000-1200-00005F000000}">
      <text>
        <r>
          <rPr>
            <b/>
            <sz val="8"/>
            <color indexed="81"/>
            <rFont val="Tahoma"/>
            <family val="2"/>
          </rPr>
          <t>Of Which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t>
        </r>
      </text>
    </comment>
    <comment ref="AB499" authorId="0" shapeId="0" xr:uid="{00000000-0006-0000-1200-000060000000}">
      <text>
        <r>
          <rPr>
            <b/>
            <sz val="8"/>
            <color indexed="81"/>
            <rFont val="Tahoma"/>
            <family val="2"/>
          </rPr>
          <t>Of Which 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t>
        </r>
      </text>
    </comment>
    <comment ref="J507" authorId="0" shapeId="0" xr:uid="{00000000-0006-0000-1200-000061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P508" authorId="0" shapeId="0" xr:uid="{00000000-0006-0000-1200-000062000000}">
      <text>
        <r>
          <rPr>
            <b/>
            <sz val="8"/>
            <color indexed="81"/>
            <rFont val="Tahoma"/>
            <family val="2"/>
          </rPr>
          <t>Of Which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t>
        </r>
      </text>
    </comment>
    <comment ref="Q508" authorId="0" shapeId="0" xr:uid="{00000000-0006-0000-1200-000063000000}">
      <text>
        <r>
          <rPr>
            <b/>
            <sz val="8"/>
            <color indexed="81"/>
            <rFont val="Tahoma"/>
            <family val="2"/>
          </rPr>
          <t>Of Which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t>
        </r>
      </text>
    </comment>
    <comment ref="AA508" authorId="0" shapeId="0" xr:uid="{00000000-0006-0000-1200-000064000000}">
      <text>
        <r>
          <rPr>
            <b/>
            <sz val="8"/>
            <color indexed="81"/>
            <rFont val="Tahoma"/>
            <family val="2"/>
          </rPr>
          <t>Of Which 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t>
        </r>
      </text>
    </comment>
    <comment ref="J573" authorId="0" shapeId="0" xr:uid="{00000000-0006-0000-1200-000065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P574" authorId="0" shapeId="0" xr:uid="{00000000-0006-0000-1200-000066000000}">
      <text>
        <r>
          <rPr>
            <b/>
            <sz val="8"/>
            <color indexed="81"/>
            <rFont val="Tahoma"/>
            <family val="2"/>
          </rPr>
          <t>Of Which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t>
        </r>
      </text>
    </comment>
    <comment ref="Q574" authorId="0" shapeId="0" xr:uid="{00000000-0006-0000-1200-000067000000}">
      <text>
        <r>
          <rPr>
            <b/>
            <sz val="8"/>
            <color indexed="81"/>
            <rFont val="Tahoma"/>
            <family val="2"/>
          </rPr>
          <t>Of Which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t>
        </r>
      </text>
    </comment>
    <comment ref="AA574" authorId="0" shapeId="0" xr:uid="{00000000-0006-0000-1200-000068000000}">
      <text>
        <r>
          <rPr>
            <b/>
            <sz val="8"/>
            <color indexed="81"/>
            <rFont val="Tahoma"/>
            <family val="2"/>
          </rPr>
          <t>Of Which 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t>
        </r>
      </text>
    </comment>
    <comment ref="J639" authorId="0" shapeId="0" xr:uid="{00000000-0006-0000-1200-000069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P640" authorId="0" shapeId="0" xr:uid="{00000000-0006-0000-1200-00006A000000}">
      <text>
        <r>
          <rPr>
            <b/>
            <sz val="8"/>
            <color indexed="81"/>
            <rFont val="Tahoma"/>
            <family val="2"/>
          </rPr>
          <t>Of Which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t>
        </r>
      </text>
    </comment>
    <comment ref="Q640" authorId="0" shapeId="0" xr:uid="{00000000-0006-0000-1200-00006B000000}">
      <text>
        <r>
          <rPr>
            <b/>
            <sz val="8"/>
            <color indexed="81"/>
            <rFont val="Tahoma"/>
            <family val="2"/>
          </rPr>
          <t>Of Which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t>
        </r>
      </text>
    </comment>
    <comment ref="AA640" authorId="0" shapeId="0" xr:uid="{00000000-0006-0000-1200-00006C000000}">
      <text>
        <r>
          <rPr>
            <b/>
            <sz val="8"/>
            <color indexed="81"/>
            <rFont val="Tahoma"/>
            <family val="2"/>
          </rPr>
          <t>Of Which 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t>
        </r>
      </text>
    </comment>
    <comment ref="J705" authorId="0" shapeId="0" xr:uid="{00000000-0006-0000-1200-00006D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P706" authorId="0" shapeId="0" xr:uid="{00000000-0006-0000-1200-00006E000000}">
      <text>
        <r>
          <rPr>
            <b/>
            <sz val="8"/>
            <color indexed="81"/>
            <rFont val="Tahoma"/>
            <family val="2"/>
          </rPr>
          <t>Of Which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t>
        </r>
      </text>
    </comment>
    <comment ref="Q706" authorId="0" shapeId="0" xr:uid="{00000000-0006-0000-1200-00006F000000}">
      <text>
        <r>
          <rPr>
            <b/>
            <sz val="8"/>
            <color indexed="81"/>
            <rFont val="Tahoma"/>
            <family val="2"/>
          </rPr>
          <t>Of Which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t>
        </r>
      </text>
    </comment>
    <comment ref="AA706" authorId="0" shapeId="0" xr:uid="{00000000-0006-0000-1200-000070000000}">
      <text>
        <r>
          <rPr>
            <b/>
            <sz val="8"/>
            <color indexed="81"/>
            <rFont val="Tahoma"/>
            <family val="2"/>
          </rPr>
          <t>Of Which 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t>
        </r>
      </text>
    </comment>
    <comment ref="J771" authorId="0" shapeId="0" xr:uid="{00000000-0006-0000-1200-000071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P772" authorId="0" shapeId="0" xr:uid="{00000000-0006-0000-1200-000072000000}">
      <text>
        <r>
          <rPr>
            <b/>
            <sz val="8"/>
            <color indexed="81"/>
            <rFont val="Tahoma"/>
            <family val="2"/>
          </rPr>
          <t>Of Which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t>
        </r>
      </text>
    </comment>
    <comment ref="Q772" authorId="0" shapeId="0" xr:uid="{00000000-0006-0000-1200-000073000000}">
      <text>
        <r>
          <rPr>
            <b/>
            <sz val="8"/>
            <color indexed="81"/>
            <rFont val="Tahoma"/>
            <family val="2"/>
          </rPr>
          <t>Of Which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t>
        </r>
      </text>
    </comment>
    <comment ref="AA772" authorId="0" shapeId="0" xr:uid="{00000000-0006-0000-1200-000074000000}">
      <text>
        <r>
          <rPr>
            <b/>
            <sz val="8"/>
            <color indexed="81"/>
            <rFont val="Tahoma"/>
            <family val="2"/>
          </rPr>
          <t>Of Which 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t>
        </r>
      </text>
    </comment>
    <comment ref="J837" authorId="0" shapeId="0" xr:uid="{00000000-0006-0000-1200-000075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P838" authorId="0" shapeId="0" xr:uid="{00000000-0006-0000-1200-000076000000}">
      <text>
        <r>
          <rPr>
            <b/>
            <sz val="8"/>
            <color indexed="81"/>
            <rFont val="Tahoma"/>
            <family val="2"/>
          </rPr>
          <t>Of Which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t>
        </r>
      </text>
    </comment>
    <comment ref="Q838" authorId="0" shapeId="0" xr:uid="{00000000-0006-0000-1200-000077000000}">
      <text>
        <r>
          <rPr>
            <b/>
            <sz val="8"/>
            <color indexed="81"/>
            <rFont val="Tahoma"/>
            <family val="2"/>
          </rPr>
          <t>Of Which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t>
        </r>
      </text>
    </comment>
    <comment ref="AA838" authorId="0" shapeId="0" xr:uid="{00000000-0006-0000-1200-000078000000}">
      <text>
        <r>
          <rPr>
            <b/>
            <sz val="8"/>
            <color indexed="81"/>
            <rFont val="Tahoma"/>
            <family val="2"/>
          </rPr>
          <t>Of Which 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t>
        </r>
      </text>
    </comment>
    <comment ref="J903" authorId="0" shapeId="0" xr:uid="{00000000-0006-0000-1200-000079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P904" authorId="0" shapeId="0" xr:uid="{00000000-0006-0000-1200-00007A000000}">
      <text>
        <r>
          <rPr>
            <b/>
            <sz val="8"/>
            <color indexed="81"/>
            <rFont val="Tahoma"/>
            <family val="2"/>
          </rPr>
          <t>Of Which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t>
        </r>
      </text>
    </comment>
    <comment ref="Q904" authorId="0" shapeId="0" xr:uid="{00000000-0006-0000-1200-00007B000000}">
      <text>
        <r>
          <rPr>
            <b/>
            <sz val="8"/>
            <color indexed="81"/>
            <rFont val="Tahoma"/>
            <family val="2"/>
          </rPr>
          <t>Of Which Biogasoline</t>
        </r>
        <r>
          <rPr>
            <sz val="8"/>
            <color indexed="81"/>
            <rFont val="Tahoma"/>
            <family val="2"/>
          </rPr>
          <t xml:space="preserv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t>
        </r>
      </text>
    </comment>
    <comment ref="AA904" authorId="0" shapeId="0" xr:uid="{00000000-0006-0000-1200-00007C000000}">
      <text>
        <r>
          <rPr>
            <b/>
            <sz val="8"/>
            <color indexed="81"/>
            <rFont val="Tahoma"/>
            <family val="2"/>
          </rPr>
          <t>Of Which 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t>
        </r>
      </text>
    </comment>
  </commentList>
</comments>
</file>

<file path=xl/sharedStrings.xml><?xml version="1.0" encoding="utf-8"?>
<sst xmlns="http://schemas.openxmlformats.org/spreadsheetml/2006/main" count="16437" uniqueCount="1431">
  <si>
    <t>Please round data before calculating the totals.</t>
  </si>
  <si>
    <t>All opening stock levels should equal closing stock levels of the previous month.</t>
  </si>
  <si>
    <t>Country</t>
  </si>
  <si>
    <t>Month of data</t>
  </si>
  <si>
    <t>Status of data (final/provisional)</t>
  </si>
  <si>
    <t>Prepared by</t>
  </si>
  <si>
    <t>NGL</t>
  </si>
  <si>
    <t>Statistical difference</t>
  </si>
  <si>
    <t>Ethane</t>
  </si>
  <si>
    <t>LPG</t>
  </si>
  <si>
    <t>Naphtha</t>
  </si>
  <si>
    <t>Total Crude</t>
  </si>
  <si>
    <t>Algeria</t>
  </si>
  <si>
    <t>Argentina</t>
  </si>
  <si>
    <t>Australia</t>
  </si>
  <si>
    <t>Austria</t>
  </si>
  <si>
    <t>Bahamas</t>
  </si>
  <si>
    <t>Bahrain</t>
  </si>
  <si>
    <t>Belgium</t>
  </si>
  <si>
    <t>Brazil</t>
  </si>
  <si>
    <t>Bulgaria</t>
  </si>
  <si>
    <t>Cameroon</t>
  </si>
  <si>
    <t>Canada</t>
  </si>
  <si>
    <t>Colombia</t>
  </si>
  <si>
    <t>Congo</t>
  </si>
  <si>
    <t>Czech Republic</t>
  </si>
  <si>
    <t>Denmark</t>
  </si>
  <si>
    <t>Ecuador</t>
  </si>
  <si>
    <t>Egypt</t>
  </si>
  <si>
    <t>Finland</t>
  </si>
  <si>
    <t>France</t>
  </si>
  <si>
    <t>Gabon</t>
  </si>
  <si>
    <t>Germany</t>
  </si>
  <si>
    <t>Greece</t>
  </si>
  <si>
    <t>Hungary</t>
  </si>
  <si>
    <t>Iceland</t>
  </si>
  <si>
    <t>India</t>
  </si>
  <si>
    <t>Indonesia</t>
  </si>
  <si>
    <t>Iraq</t>
  </si>
  <si>
    <t>Ireland</t>
  </si>
  <si>
    <t>Italy</t>
  </si>
  <si>
    <t>Japan</t>
  </si>
  <si>
    <t>Korea</t>
  </si>
  <si>
    <t>Kuwait</t>
  </si>
  <si>
    <t>Luxembourg</t>
  </si>
  <si>
    <t>Malaysia</t>
  </si>
  <si>
    <t>Mexico</t>
  </si>
  <si>
    <t>Netherlands</t>
  </si>
  <si>
    <t>New Zealand</t>
  </si>
  <si>
    <t>Nigeria</t>
  </si>
  <si>
    <t>Norway</t>
  </si>
  <si>
    <t>Oman</t>
  </si>
  <si>
    <t>Other Africa</t>
  </si>
  <si>
    <t>Other Europe</t>
  </si>
  <si>
    <t>Papua New Guinea</t>
  </si>
  <si>
    <t>Peru</t>
  </si>
  <si>
    <t>Poland</t>
  </si>
  <si>
    <t>Portugal</t>
  </si>
  <si>
    <t>Qatar</t>
  </si>
  <si>
    <t>Romania</t>
  </si>
  <si>
    <t>Saudi Arabia</t>
  </si>
  <si>
    <t>Singapore</t>
  </si>
  <si>
    <t>Spain</t>
  </si>
  <si>
    <t>Sweden</t>
  </si>
  <si>
    <t>Switzerland</t>
  </si>
  <si>
    <t>Tunisia</t>
  </si>
  <si>
    <t>Turkey</t>
  </si>
  <si>
    <t>United Kingdom</t>
  </si>
  <si>
    <t>United States</t>
  </si>
  <si>
    <t>Yemen</t>
  </si>
  <si>
    <t>Lebanon</t>
  </si>
  <si>
    <t>Pakistan</t>
  </si>
  <si>
    <t>South Africa</t>
  </si>
  <si>
    <t>Thailand</t>
  </si>
  <si>
    <t>All opening stock levels should be equal to closing stock levels of the previous month</t>
  </si>
  <si>
    <t>(a) All stocks on</t>
  </si>
  <si>
    <t>Opening</t>
  </si>
  <si>
    <t>Closing</t>
  </si>
  <si>
    <t>(b) Stocks held for other countries</t>
  </si>
  <si>
    <t>foreign destination</t>
  </si>
  <si>
    <t>(d) Stocks held in bonded areas</t>
  </si>
  <si>
    <t>and not included in (b) or (c)</t>
  </si>
  <si>
    <t>(f) Stocks held on board incoming</t>
  </si>
  <si>
    <t>ocean vessels in port or at mooring</t>
  </si>
  <si>
    <t xml:space="preserve">(h) Stocks held by stock holding </t>
  </si>
  <si>
    <t xml:space="preserve">(i) All other stocks held on </t>
  </si>
  <si>
    <t>national territory</t>
  </si>
  <si>
    <t>(k) Stocks held abroad designated definitely</t>
  </si>
  <si>
    <t>for import into your country</t>
  </si>
  <si>
    <t>(l) Total</t>
  </si>
  <si>
    <t>stocks (a-b-c+j+k)</t>
  </si>
  <si>
    <t>(m) Other stocks in</t>
  </si>
  <si>
    <t>bonded areas</t>
  </si>
  <si>
    <t>(n) Pipeline</t>
  </si>
  <si>
    <t>fill</t>
  </si>
  <si>
    <t xml:space="preserve">Others  </t>
  </si>
  <si>
    <t>United Arab Emirates</t>
  </si>
  <si>
    <t>Israel</t>
  </si>
  <si>
    <t>Philippines</t>
  </si>
  <si>
    <t>Slovak Republic</t>
  </si>
  <si>
    <t>Trinidad and Tobago</t>
  </si>
  <si>
    <t>Table 5: STOCK LEVELS</t>
  </si>
  <si>
    <t>Table 2: SUPPLY OF FINISHED PRODUCTS</t>
  </si>
  <si>
    <t>Table 1: SUPPLY OF CRUDE OIL, NGL, REFINERY FEEDSTOCKS, ADDITIVES AND OTHER HYDROCARBONS</t>
  </si>
  <si>
    <r>
      <t>Backflows</t>
    </r>
    <r>
      <rPr>
        <vertAlign val="superscript"/>
        <sz val="9"/>
        <rFont val="Arial"/>
        <family val="2"/>
      </rPr>
      <t>1</t>
    </r>
  </si>
  <si>
    <t>+</t>
  </si>
  <si>
    <t>-</t>
  </si>
  <si>
    <t>=</t>
  </si>
  <si>
    <t>Unit:  Thousand Metric Tons</t>
  </si>
  <si>
    <r>
      <t xml:space="preserve">national territory (b+c+d+e+f+g+h+i) </t>
    </r>
    <r>
      <rPr>
        <vertAlign val="superscript"/>
        <sz val="8"/>
        <rFont val="Arial"/>
        <family val="2"/>
      </rPr>
      <t>1</t>
    </r>
  </si>
  <si>
    <r>
      <t>Closing</t>
    </r>
    <r>
      <rPr>
        <vertAlign val="superscript"/>
        <sz val="8"/>
        <rFont val="Arial"/>
        <family val="2"/>
      </rPr>
      <t xml:space="preserve"> 2</t>
    </r>
  </si>
  <si>
    <r>
      <t xml:space="preserve">Closing </t>
    </r>
    <r>
      <rPr>
        <vertAlign val="superscript"/>
        <sz val="8"/>
        <rFont val="Arial"/>
        <family val="2"/>
      </rPr>
      <t>3</t>
    </r>
  </si>
  <si>
    <r>
      <t>Closing</t>
    </r>
    <r>
      <rPr>
        <vertAlign val="superscript"/>
        <sz val="8"/>
        <rFont val="Arial"/>
        <family val="2"/>
      </rPr>
      <t xml:space="preserve"> 4</t>
    </r>
  </si>
  <si>
    <r>
      <t xml:space="preserve">Closing </t>
    </r>
    <r>
      <rPr>
        <vertAlign val="superscript"/>
        <sz val="8"/>
        <rFont val="Arial"/>
        <family val="2"/>
      </rPr>
      <t>5</t>
    </r>
  </si>
  <si>
    <t>A summary table of all discrepancies is shown below on this page.</t>
  </si>
  <si>
    <t xml:space="preserve">Australia     </t>
  </si>
  <si>
    <t xml:space="preserve">Belgium       </t>
  </si>
  <si>
    <t xml:space="preserve">Canada        </t>
  </si>
  <si>
    <t xml:space="preserve">Denmark       </t>
  </si>
  <si>
    <t xml:space="preserve">Finland       </t>
  </si>
  <si>
    <t xml:space="preserve">Germany       </t>
  </si>
  <si>
    <t xml:space="preserve">Greece        </t>
  </si>
  <si>
    <t xml:space="preserve">Hungary       </t>
  </si>
  <si>
    <t xml:space="preserve">Iceland       </t>
  </si>
  <si>
    <t xml:space="preserve">Ireland       </t>
  </si>
  <si>
    <t xml:space="preserve">Italy         </t>
  </si>
  <si>
    <t xml:space="preserve">Japan         </t>
  </si>
  <si>
    <t xml:space="preserve">Korea         </t>
  </si>
  <si>
    <t xml:space="preserve">Luxembourg    </t>
  </si>
  <si>
    <t xml:space="preserve">Mexico        </t>
  </si>
  <si>
    <t xml:space="preserve">Netherlands   </t>
  </si>
  <si>
    <t xml:space="preserve">New Zealand   </t>
  </si>
  <si>
    <t xml:space="preserve">Norway        </t>
  </si>
  <si>
    <t xml:space="preserve">Poland        </t>
  </si>
  <si>
    <t xml:space="preserve">Portugal      </t>
  </si>
  <si>
    <t xml:space="preserve">Spain         </t>
  </si>
  <si>
    <t xml:space="preserve">Sweden        </t>
  </si>
  <si>
    <t xml:space="preserve">Switzerland   </t>
  </si>
  <si>
    <t xml:space="preserve">Turkey        </t>
  </si>
  <si>
    <t xml:space="preserve">United States </t>
  </si>
  <si>
    <t>Final</t>
  </si>
  <si>
    <t>Provisional</t>
  </si>
  <si>
    <r>
      <t>Total</t>
    </r>
    <r>
      <rPr>
        <b/>
        <vertAlign val="superscript"/>
        <sz val="9"/>
        <rFont val="Arial"/>
        <family val="2"/>
      </rPr>
      <t>1</t>
    </r>
  </si>
  <si>
    <r>
      <t>Total Imports</t>
    </r>
    <r>
      <rPr>
        <b/>
        <vertAlign val="superscript"/>
        <sz val="9"/>
        <rFont val="Arial"/>
        <family val="2"/>
      </rPr>
      <t>1 2</t>
    </r>
  </si>
  <si>
    <t>(p) Holding organisation's stocks held abroad</t>
  </si>
  <si>
    <t>(o) Government stocks held abroad</t>
  </si>
  <si>
    <t>organisation on national territory</t>
  </si>
  <si>
    <t xml:space="preserve"> on national territory</t>
  </si>
  <si>
    <t>(g) Stocks held by government</t>
  </si>
  <si>
    <t>(c) Stocks with known</t>
  </si>
  <si>
    <t>Cyprus</t>
  </si>
  <si>
    <t>Malta</t>
  </si>
  <si>
    <t>A</t>
  </si>
  <si>
    <t>B</t>
  </si>
  <si>
    <t>C</t>
  </si>
  <si>
    <t>D</t>
  </si>
  <si>
    <t>E</t>
  </si>
  <si>
    <t>F</t>
  </si>
  <si>
    <t>G</t>
  </si>
  <si>
    <t>H</t>
  </si>
  <si>
    <t>I</t>
  </si>
  <si>
    <t>J</t>
  </si>
  <si>
    <t>K</t>
  </si>
  <si>
    <t>L</t>
  </si>
  <si>
    <t>M</t>
  </si>
  <si>
    <t>N</t>
  </si>
  <si>
    <t>O</t>
  </si>
  <si>
    <t>P</t>
  </si>
  <si>
    <t>Q</t>
  </si>
  <si>
    <t>R</t>
  </si>
  <si>
    <t>S</t>
  </si>
  <si>
    <t>T</t>
  </si>
  <si>
    <t>U</t>
  </si>
  <si>
    <t>V</t>
  </si>
  <si>
    <t>W</t>
  </si>
  <si>
    <t>X</t>
  </si>
  <si>
    <t>Y</t>
  </si>
  <si>
    <t>Z</t>
  </si>
  <si>
    <t>Angola</t>
  </si>
  <si>
    <t>Table 3: IMPORTS BY ORIGIN</t>
  </si>
  <si>
    <r>
      <t>Total Exports</t>
    </r>
    <r>
      <rPr>
        <b/>
        <vertAlign val="superscript"/>
        <sz val="9"/>
        <rFont val="Arial"/>
        <family val="2"/>
      </rPr>
      <t>1 2</t>
    </r>
  </si>
  <si>
    <t>AA</t>
  </si>
  <si>
    <t>Table 4: EXPORTS BY DESTINATION</t>
  </si>
  <si>
    <t xml:space="preserve">    and in Table 2 (line 10).</t>
  </si>
  <si>
    <t>(q) Other stocks held abroad</t>
  </si>
  <si>
    <t>REMARKS</t>
  </si>
  <si>
    <t>REMROW01</t>
  </si>
  <si>
    <t>REMROW02</t>
  </si>
  <si>
    <t>REMROW03</t>
  </si>
  <si>
    <t>REMROW04</t>
  </si>
  <si>
    <t>REMROW05</t>
  </si>
  <si>
    <t>REMROW06</t>
  </si>
  <si>
    <t>REMROW07</t>
  </si>
  <si>
    <t>REMROW08</t>
  </si>
  <si>
    <t>REMROW09</t>
  </si>
  <si>
    <t>REMROW10</t>
  </si>
  <si>
    <t>REMROW11</t>
  </si>
  <si>
    <t>REMROW12</t>
  </si>
  <si>
    <t>REMROW13</t>
  </si>
  <si>
    <t>REMROW14</t>
  </si>
  <si>
    <t>REMROW15</t>
  </si>
  <si>
    <t>REMROW16</t>
  </si>
  <si>
    <t>REMROW17</t>
  </si>
  <si>
    <t>REMROW18</t>
  </si>
  <si>
    <t>REMROW19</t>
  </si>
  <si>
    <t>REMROW20</t>
  </si>
  <si>
    <t>REMROW21</t>
  </si>
  <si>
    <t>REMROW22</t>
  </si>
  <si>
    <t>REMROW23</t>
  </si>
  <si>
    <t>REMROW24</t>
  </si>
  <si>
    <t>REMROW25</t>
  </si>
  <si>
    <t>REMROW26</t>
  </si>
  <si>
    <t>REMROW27</t>
  </si>
  <si>
    <t>REMROW28</t>
  </si>
  <si>
    <t>REMROW29</t>
  </si>
  <si>
    <t>REMROW30</t>
  </si>
  <si>
    <t>REMROW31</t>
  </si>
  <si>
    <t>REMROW32</t>
  </si>
  <si>
    <t>REMROW33</t>
  </si>
  <si>
    <t>REMROW34</t>
  </si>
  <si>
    <t>REMROW35</t>
  </si>
  <si>
    <t>REMROW36</t>
  </si>
  <si>
    <t>REMROW37</t>
  </si>
  <si>
    <t>REMROW38</t>
  </si>
  <si>
    <t>REMROW39</t>
  </si>
  <si>
    <t>REMROW40</t>
  </si>
  <si>
    <t>SETTINGS</t>
  </si>
  <si>
    <r>
      <t xml:space="preserve">ParamCountry / </t>
    </r>
    <r>
      <rPr>
        <sz val="10"/>
        <color indexed="12"/>
        <rFont val="Arial"/>
        <family val="2"/>
      </rPr>
      <t>CountryList</t>
    </r>
  </si>
  <si>
    <t>(select country)</t>
  </si>
  <si>
    <t>SELECT</t>
  </si>
  <si>
    <t>00</t>
  </si>
  <si>
    <t>AUSTRALI</t>
  </si>
  <si>
    <t>AU</t>
  </si>
  <si>
    <t>AUSTRIA</t>
  </si>
  <si>
    <t>AT</t>
  </si>
  <si>
    <t>BELGIUM</t>
  </si>
  <si>
    <t>BE</t>
  </si>
  <si>
    <t>CANADA</t>
  </si>
  <si>
    <t>CA</t>
  </si>
  <si>
    <t>CZECH</t>
  </si>
  <si>
    <t>CZ</t>
  </si>
  <si>
    <t>DENMARK</t>
  </si>
  <si>
    <t>DK</t>
  </si>
  <si>
    <t>FINLAND</t>
  </si>
  <si>
    <t>FI</t>
  </si>
  <si>
    <t>FRANCE</t>
  </si>
  <si>
    <t>FR</t>
  </si>
  <si>
    <t>GERMANY</t>
  </si>
  <si>
    <t>DE</t>
  </si>
  <si>
    <t>GREECE</t>
  </si>
  <si>
    <t>GR</t>
  </si>
  <si>
    <t>HUNGARY</t>
  </si>
  <si>
    <t>HU</t>
  </si>
  <si>
    <t>ICELAND</t>
  </si>
  <si>
    <t>IS</t>
  </si>
  <si>
    <t>IRELAND</t>
  </si>
  <si>
    <t>IE</t>
  </si>
  <si>
    <t>ITALY</t>
  </si>
  <si>
    <t>IT</t>
  </si>
  <si>
    <t>JAPAN</t>
  </si>
  <si>
    <t>JP</t>
  </si>
  <si>
    <t>KOREA</t>
  </si>
  <si>
    <t>KR</t>
  </si>
  <si>
    <t>LUXEMBOU</t>
  </si>
  <si>
    <t>LU</t>
  </si>
  <si>
    <t>MEXICO</t>
  </si>
  <si>
    <t>MX</t>
  </si>
  <si>
    <t>NETHLAND</t>
  </si>
  <si>
    <t>NL</t>
  </si>
  <si>
    <t>NZ</t>
  </si>
  <si>
    <t>NORWAY</t>
  </si>
  <si>
    <t>NO</t>
  </si>
  <si>
    <t>POLAND</t>
  </si>
  <si>
    <t>PL</t>
  </si>
  <si>
    <t>PORTUGAL</t>
  </si>
  <si>
    <t>PT</t>
  </si>
  <si>
    <t>SLOVAKIA</t>
  </si>
  <si>
    <t>SK</t>
  </si>
  <si>
    <t>SPAIN</t>
  </si>
  <si>
    <t>ES</t>
  </si>
  <si>
    <t>SWEDEN</t>
  </si>
  <si>
    <t>SE</t>
  </si>
  <si>
    <t>SWITLAND</t>
  </si>
  <si>
    <t>CH</t>
  </si>
  <si>
    <t>TURKEY</t>
  </si>
  <si>
    <t>TR</t>
  </si>
  <si>
    <t>UK</t>
  </si>
  <si>
    <t>GB</t>
  </si>
  <si>
    <t>USA</t>
  </si>
  <si>
    <t>US</t>
  </si>
  <si>
    <r>
      <t xml:space="preserve">ParamMonth / </t>
    </r>
    <r>
      <rPr>
        <sz val="10"/>
        <color indexed="12"/>
        <rFont val="Arial"/>
        <family val="2"/>
      </rPr>
      <t>MonthList / MonthCodes</t>
    </r>
  </si>
  <si>
    <t>January</t>
  </si>
  <si>
    <t>JAN</t>
  </si>
  <si>
    <t>February</t>
  </si>
  <si>
    <t>FEB</t>
  </si>
  <si>
    <t>March</t>
  </si>
  <si>
    <t>MAR</t>
  </si>
  <si>
    <t>April</t>
  </si>
  <si>
    <t>APR</t>
  </si>
  <si>
    <t>May</t>
  </si>
  <si>
    <t>MAY</t>
  </si>
  <si>
    <t>June</t>
  </si>
  <si>
    <t>JUN</t>
  </si>
  <si>
    <t>July</t>
  </si>
  <si>
    <t>JUL</t>
  </si>
  <si>
    <t>August</t>
  </si>
  <si>
    <t>AUG</t>
  </si>
  <si>
    <t>September</t>
  </si>
  <si>
    <t>SEP</t>
  </si>
  <si>
    <t>October</t>
  </si>
  <si>
    <t>OCT</t>
  </si>
  <si>
    <t>November</t>
  </si>
  <si>
    <t>NOV</t>
  </si>
  <si>
    <t>December</t>
  </si>
  <si>
    <t>DEC</t>
  </si>
  <si>
    <t xml:space="preserve">MsgAfterRounding: </t>
  </si>
  <si>
    <t>CALCULATIONS</t>
  </si>
  <si>
    <t>ê</t>
  </si>
  <si>
    <t>DO NOT TOUCH!</t>
  </si>
  <si>
    <t xml:space="preserve">MonthIndex: </t>
  </si>
  <si>
    <t xml:space="preserve">QuestMonth: </t>
  </si>
  <si>
    <t xml:space="preserve">CountryIndex: </t>
  </si>
  <si>
    <t xml:space="preserve">QuestCountry: </t>
  </si>
  <si>
    <t xml:space="preserve">CountryCode: </t>
  </si>
  <si>
    <t>Paste by VBA</t>
  </si>
  <si>
    <t>CsvCountry:</t>
  </si>
  <si>
    <t>CsvCountryName:</t>
  </si>
  <si>
    <t>Read by VBA</t>
  </si>
  <si>
    <t>CsvMonthName:</t>
  </si>
  <si>
    <r>
      <t xml:space="preserve">Products </t>
    </r>
    <r>
      <rPr>
        <b/>
        <sz val="10"/>
        <rFont val="Wingdings"/>
        <charset val="2"/>
      </rPr>
      <t>è</t>
    </r>
  </si>
  <si>
    <t>CRUDEOIL</t>
  </si>
  <si>
    <t>REFFEEDS</t>
  </si>
  <si>
    <t>ADDITIVE</t>
  </si>
  <si>
    <t>BIOFUELS</t>
  </si>
  <si>
    <t>NONCRUDE</t>
  </si>
  <si>
    <t>CRNGFEED</t>
  </si>
  <si>
    <t>BALANCE</t>
  </si>
  <si>
    <r>
      <t xml:space="preserve">Item1 </t>
    </r>
    <r>
      <rPr>
        <b/>
        <sz val="10"/>
        <rFont val="Wingdings"/>
        <charset val="2"/>
      </rPr>
      <t>ê</t>
    </r>
  </si>
  <si>
    <t>INDPROD</t>
  </si>
  <si>
    <t>OSOURCES</t>
  </si>
  <si>
    <t>BACKFLOW</t>
  </si>
  <si>
    <t>PTRANSF</t>
  </si>
  <si>
    <t>TOTIMPSB</t>
  </si>
  <si>
    <t>TOTEXPSB</t>
  </si>
  <si>
    <t>DIRECUSE</t>
  </si>
  <si>
    <t>STCHANAT</t>
  </si>
  <si>
    <t>REFINCAL</t>
  </si>
  <si>
    <t>STATDIFF</t>
  </si>
  <si>
    <t>REFINOBS</t>
  </si>
  <si>
    <t>REFLOSS</t>
  </si>
  <si>
    <t>Probate</t>
  </si>
  <si>
    <t>Datatype</t>
  </si>
  <si>
    <t>REFINGAS</t>
  </si>
  <si>
    <t>ETHANE</t>
  </si>
  <si>
    <t>NAPHTHA</t>
  </si>
  <si>
    <t>MOTORGAS</t>
  </si>
  <si>
    <t>BIOGASOL</t>
  </si>
  <si>
    <t>AVGAS</t>
  </si>
  <si>
    <t>JETGAS</t>
  </si>
  <si>
    <t>JETKERO</t>
  </si>
  <si>
    <t>OTHKERO</t>
  </si>
  <si>
    <t>DIESEL</t>
  </si>
  <si>
    <t>BIODIESEL</t>
  </si>
  <si>
    <t>HEATOIL</t>
  </si>
  <si>
    <t>GASDIES</t>
  </si>
  <si>
    <t>LOWSULF</t>
  </si>
  <si>
    <t>HIGHSULF</t>
  </si>
  <si>
    <t>RESFUEL</t>
  </si>
  <si>
    <t>PETCOKE</t>
  </si>
  <si>
    <t>TOTPRODS</t>
  </si>
  <si>
    <t>PPRECPTS</t>
  </si>
  <si>
    <t>REFGROUT</t>
  </si>
  <si>
    <t>RECYCLED</t>
  </si>
  <si>
    <t>REFFUEL</t>
  </si>
  <si>
    <t>BUNKERS</t>
  </si>
  <si>
    <t>IPTRANSF</t>
  </si>
  <si>
    <t>GDINCTRC</t>
  </si>
  <si>
    <t>GDINCTRO</t>
  </si>
  <si>
    <t>AUDILPG</t>
  </si>
  <si>
    <t>GDPETCH</t>
  </si>
  <si>
    <t>NETDELIC</t>
  </si>
  <si>
    <t>OSNATTER</t>
  </si>
  <si>
    <t>CSNATTER</t>
  </si>
  <si>
    <t>OSOTHBIL</t>
  </si>
  <si>
    <t>CSOTHBIL</t>
  </si>
  <si>
    <t>OSOTHFOR</t>
  </si>
  <si>
    <t>CSOTHFOR</t>
  </si>
  <si>
    <t>OSBONDED</t>
  </si>
  <si>
    <t>CSBONDED</t>
  </si>
  <si>
    <t>OSMAJCON</t>
  </si>
  <si>
    <t>CSMAJCON</t>
  </si>
  <si>
    <t>OSVESSEL</t>
  </si>
  <si>
    <t>CSVESSEL</t>
  </si>
  <si>
    <t>OSGOVT</t>
  </si>
  <si>
    <t>CSGOVT</t>
  </si>
  <si>
    <t>OSHOLD</t>
  </si>
  <si>
    <t>CSHOLD</t>
  </si>
  <si>
    <t>OSALLOTH</t>
  </si>
  <si>
    <t>CSALLOTH</t>
  </si>
  <si>
    <t>OSABRBIL</t>
  </si>
  <si>
    <t>CSABRBIL</t>
  </si>
  <si>
    <t>OSABRFOR</t>
  </si>
  <si>
    <t>CSABRFOR</t>
  </si>
  <si>
    <t>OSTOTAL</t>
  </si>
  <si>
    <t>CSTOTAL</t>
  </si>
  <si>
    <t>OSOTHBON</t>
  </si>
  <si>
    <t>CSOTHBON</t>
  </si>
  <si>
    <t>OSPIPE</t>
  </si>
  <si>
    <t>CSPIPE</t>
  </si>
  <si>
    <t>OSABILGV</t>
  </si>
  <si>
    <t>CSABILGV</t>
  </si>
  <si>
    <t>OSABILHD</t>
  </si>
  <si>
    <t>CSABILHD</t>
  </si>
  <si>
    <t>OSABILOT</t>
  </si>
  <si>
    <t>CSABILOT</t>
  </si>
  <si>
    <t>STOCKS</t>
  </si>
  <si>
    <t>TOTALOIL</t>
  </si>
  <si>
    <t>AB</t>
  </si>
  <si>
    <t>Formulas backup for forms</t>
  </si>
  <si>
    <t>DZ</t>
  </si>
  <si>
    <t>ALGERIA</t>
  </si>
  <si>
    <t>AO</t>
  </si>
  <si>
    <t>ANGOLA</t>
  </si>
  <si>
    <t>AR</t>
  </si>
  <si>
    <t>ARGENTINA</t>
  </si>
  <si>
    <t>BS</t>
  </si>
  <si>
    <t>BAHAMAS</t>
  </si>
  <si>
    <t>BH</t>
  </si>
  <si>
    <t>BAHRAIN</t>
  </si>
  <si>
    <t>BR</t>
  </si>
  <si>
    <t>BRAZIL</t>
  </si>
  <si>
    <t>BN</t>
  </si>
  <si>
    <t>BRUNEI</t>
  </si>
  <si>
    <t>BG</t>
  </si>
  <si>
    <t>BULGARIA</t>
  </si>
  <si>
    <t>CM</t>
  </si>
  <si>
    <t>CAMEROON</t>
  </si>
  <si>
    <t>CN</t>
  </si>
  <si>
    <t>CHINA</t>
  </si>
  <si>
    <t>CO</t>
  </si>
  <si>
    <t>COLOMBIA</t>
  </si>
  <si>
    <t>CG</t>
  </si>
  <si>
    <t>CONGO</t>
  </si>
  <si>
    <t>CD</t>
  </si>
  <si>
    <t>CONGOREP</t>
  </si>
  <si>
    <t>CY</t>
  </si>
  <si>
    <t>CYPRUS</t>
  </si>
  <si>
    <t>EC</t>
  </si>
  <si>
    <t>ECUADOR</t>
  </si>
  <si>
    <t>EG</t>
  </si>
  <si>
    <t>EGYPT</t>
  </si>
  <si>
    <t>GA</t>
  </si>
  <si>
    <t>GABON</t>
  </si>
  <si>
    <t>HK</t>
  </si>
  <si>
    <t>HONGKONG</t>
  </si>
  <si>
    <t>IN</t>
  </si>
  <si>
    <t>INDIA</t>
  </si>
  <si>
    <t>ID</t>
  </si>
  <si>
    <t>INDONESIA</t>
  </si>
  <si>
    <t>IR</t>
  </si>
  <si>
    <t>IRAN</t>
  </si>
  <si>
    <t>IQ</t>
  </si>
  <si>
    <t>IRAQ</t>
  </si>
  <si>
    <t>KW</t>
  </si>
  <si>
    <t>KUWAIT</t>
  </si>
  <si>
    <t>LY</t>
  </si>
  <si>
    <t>LIBYA</t>
  </si>
  <si>
    <t>MY</t>
  </si>
  <si>
    <t>MALAYSIA</t>
  </si>
  <si>
    <t>MT</t>
  </si>
  <si>
    <t>MALTA</t>
  </si>
  <si>
    <t>NG</t>
  </si>
  <si>
    <t>NIGERIA</t>
  </si>
  <si>
    <t>OM</t>
  </si>
  <si>
    <t>OMAN</t>
  </si>
  <si>
    <t>O1</t>
  </si>
  <si>
    <t>OTHERAFRIC</t>
  </si>
  <si>
    <t>OTHEREUROP</t>
  </si>
  <si>
    <t>OTHERASIA</t>
  </si>
  <si>
    <t>OTHERNEARM</t>
  </si>
  <si>
    <t>O8</t>
  </si>
  <si>
    <t>PG</t>
  </si>
  <si>
    <t>PAPUANEWGU</t>
  </si>
  <si>
    <t>PE</t>
  </si>
  <si>
    <t>PERU</t>
  </si>
  <si>
    <t>QA</t>
  </si>
  <si>
    <t>QATAR</t>
  </si>
  <si>
    <t>RO</t>
  </si>
  <si>
    <t>ROMANIA</t>
  </si>
  <si>
    <t>SA</t>
  </si>
  <si>
    <t>SAUDIARABI</t>
  </si>
  <si>
    <t>SG</t>
  </si>
  <si>
    <t>SINGAPORE</t>
  </si>
  <si>
    <t>SY</t>
  </si>
  <si>
    <t>SYRIA</t>
  </si>
  <si>
    <t>TT</t>
  </si>
  <si>
    <t>TRINIDAD</t>
  </si>
  <si>
    <t>TN</t>
  </si>
  <si>
    <t>TUNISIA</t>
  </si>
  <si>
    <t>AE</t>
  </si>
  <si>
    <t>UAE</t>
  </si>
  <si>
    <t>AM</t>
  </si>
  <si>
    <t>ARMENIA</t>
  </si>
  <si>
    <t>AZ</t>
  </si>
  <si>
    <t>AZERBAIJAN</t>
  </si>
  <si>
    <t>BY</t>
  </si>
  <si>
    <t>BELARUS</t>
  </si>
  <si>
    <t>EE</t>
  </si>
  <si>
    <t>ESTONIA</t>
  </si>
  <si>
    <t>GE</t>
  </si>
  <si>
    <t>GEORGIA</t>
  </si>
  <si>
    <t>KZ</t>
  </si>
  <si>
    <t>KAZAKHSTAN</t>
  </si>
  <si>
    <t>KG</t>
  </si>
  <si>
    <t>KYRGYZSTAN</t>
  </si>
  <si>
    <t>LV</t>
  </si>
  <si>
    <t>LATVIA</t>
  </si>
  <si>
    <t>LT</t>
  </si>
  <si>
    <t>LITHUANIA</t>
  </si>
  <si>
    <t>MD</t>
  </si>
  <si>
    <t>MOLDOVA</t>
  </si>
  <si>
    <t>RU</t>
  </si>
  <si>
    <t>RUSSIA</t>
  </si>
  <si>
    <t>TJ</t>
  </si>
  <si>
    <t>TAJIKISTAN</t>
  </si>
  <si>
    <t>TM</t>
  </si>
  <si>
    <t>TURKMENIST</t>
  </si>
  <si>
    <t>UA</t>
  </si>
  <si>
    <t>UKRAINE</t>
  </si>
  <si>
    <t>UZ</t>
  </si>
  <si>
    <t>UZBEKISTAN</t>
  </si>
  <si>
    <t>VE</t>
  </si>
  <si>
    <t>VENEZUELA</t>
  </si>
  <si>
    <t>VN</t>
  </si>
  <si>
    <t>VIETNAM</t>
  </si>
  <si>
    <t>YE</t>
  </si>
  <si>
    <t>YEMEN</t>
  </si>
  <si>
    <t>BA</t>
  </si>
  <si>
    <t>BOSNIAHERZ</t>
  </si>
  <si>
    <t>HR</t>
  </si>
  <si>
    <t>CROATIA</t>
  </si>
  <si>
    <t>MK</t>
  </si>
  <si>
    <t>ME</t>
  </si>
  <si>
    <t>MONTENEGRO</t>
  </si>
  <si>
    <t>RS</t>
  </si>
  <si>
    <t>SERBIA</t>
  </si>
  <si>
    <t>SI</t>
  </si>
  <si>
    <t>SLOVENIA</t>
  </si>
  <si>
    <t>Y3</t>
  </si>
  <si>
    <t>NONSPEC</t>
  </si>
  <si>
    <t>Y2</t>
  </si>
  <si>
    <t>TOTIMPST</t>
  </si>
  <si>
    <t>IMPORTS</t>
  </si>
  <si>
    <r>
      <t xml:space="preserve">Item1 </t>
    </r>
    <r>
      <rPr>
        <b/>
        <sz val="9"/>
        <rFont val="Wingdings"/>
        <charset val="2"/>
      </rPr>
      <t>ê</t>
    </r>
  </si>
  <si>
    <t>Armenia</t>
  </si>
  <si>
    <t>Azerbaijan</t>
  </si>
  <si>
    <t>Belarus</t>
  </si>
  <si>
    <t>Estonia</t>
  </si>
  <si>
    <t>Georgia</t>
  </si>
  <si>
    <t>Kazakhstan</t>
  </si>
  <si>
    <t>Kyrgyzstan</t>
  </si>
  <si>
    <t>Latvia</t>
  </si>
  <si>
    <t>Lithuania</t>
  </si>
  <si>
    <t>Tajikistan</t>
  </si>
  <si>
    <t>Turkmenistan</t>
  </si>
  <si>
    <t>Ukraine</t>
  </si>
  <si>
    <t>Uzbekistan</t>
  </si>
  <si>
    <t>Croatia</t>
  </si>
  <si>
    <t>Montenegro</t>
  </si>
  <si>
    <t>Serbia</t>
  </si>
  <si>
    <t>Slovenia</t>
  </si>
  <si>
    <t>EXPORTS</t>
  </si>
  <si>
    <t>IL</t>
  </si>
  <si>
    <t>ISRAEL</t>
  </si>
  <si>
    <t>LB</t>
  </si>
  <si>
    <t>LEBANON</t>
  </si>
  <si>
    <t>PK</t>
  </si>
  <si>
    <t>PAKISTAN</t>
  </si>
  <si>
    <t>PH</t>
  </si>
  <si>
    <t>ZA</t>
  </si>
  <si>
    <t>SOUTHAFRIC</t>
  </si>
  <si>
    <t>TAIPEI</t>
  </si>
  <si>
    <t>TH</t>
  </si>
  <si>
    <t>THAILAND</t>
  </si>
  <si>
    <t>Y1</t>
  </si>
  <si>
    <t>TOTEXPST</t>
  </si>
  <si>
    <t>Item2</t>
  </si>
  <si>
    <t>STOTHBIL</t>
  </si>
  <si>
    <t>OTHERS</t>
  </si>
  <si>
    <t>Y4</t>
  </si>
  <si>
    <t>SOTHBILT</t>
  </si>
  <si>
    <t>STOTHFOR</t>
  </si>
  <si>
    <t>STABRBIL</t>
  </si>
  <si>
    <t>SABRBILT</t>
  </si>
  <si>
    <t>STABRFOR</t>
  </si>
  <si>
    <t>Bosnia and Herzegovina</t>
  </si>
  <si>
    <t>This sheet has been done in order to facilitate the maintenance of the formulas the user could erase: you must do it in this current sheet.</t>
  </si>
  <si>
    <t xml:space="preserve">CsvMonth: </t>
  </si>
  <si>
    <t xml:space="preserve">CsvYear: </t>
  </si>
  <si>
    <t xml:space="preserve">PosiMonth: </t>
  </si>
  <si>
    <t>Brunei Darussalam</t>
  </si>
  <si>
    <t>Other Near and Middle East</t>
  </si>
  <si>
    <t>OTHERLATIN</t>
  </si>
  <si>
    <t>O4</t>
  </si>
  <si>
    <t>P1</t>
  </si>
  <si>
    <t>P4</t>
  </si>
  <si>
    <t>OPRODS</t>
  </si>
  <si>
    <t>INTLCIAV</t>
  </si>
  <si>
    <t>PUBELEC</t>
  </si>
  <si>
    <t>O3</t>
  </si>
  <si>
    <t xml:space="preserve">SumOil : </t>
  </si>
  <si>
    <t>MONTHLY OIL QUESTIONNAIRE</t>
  </si>
  <si>
    <t>Remarks MOS OIL</t>
  </si>
  <si>
    <t>Chile</t>
  </si>
  <si>
    <t>Other Former Soviet Union</t>
  </si>
  <si>
    <t>TOTSTKCNTY</t>
  </si>
  <si>
    <t>Date of transmission</t>
  </si>
  <si>
    <t>CL</t>
  </si>
  <si>
    <t>CHILE</t>
  </si>
  <si>
    <t>PHILIPPINE</t>
  </si>
  <si>
    <t>Russia</t>
  </si>
  <si>
    <t>Russian Federation</t>
  </si>
  <si>
    <t>Syrian Arab Republic</t>
  </si>
  <si>
    <t>Biogasoline</t>
  </si>
  <si>
    <t>Biodiesels</t>
  </si>
  <si>
    <t>Crude oil</t>
  </si>
  <si>
    <t>Non-biogasoline</t>
  </si>
  <si>
    <t>Road diesel</t>
  </si>
  <si>
    <t>Total 
fuel oil</t>
  </si>
  <si>
    <t>Petroleum coke</t>
  </si>
  <si>
    <t>Other products</t>
  </si>
  <si>
    <t>Total products</t>
  </si>
  <si>
    <t>Unit:  Thousand metric tons</t>
  </si>
  <si>
    <r>
      <t>Primary product receipts</t>
    </r>
    <r>
      <rPr>
        <vertAlign val="superscript"/>
        <sz val="9"/>
        <rFont val="Arial"/>
        <family val="2"/>
      </rPr>
      <t>1</t>
    </r>
  </si>
  <si>
    <t>Recycled products</t>
  </si>
  <si>
    <t>Refinery fuel</t>
  </si>
  <si>
    <r>
      <t>Imports (Balance)</t>
    </r>
    <r>
      <rPr>
        <vertAlign val="superscript"/>
        <sz val="9"/>
        <rFont val="Arial"/>
        <family val="2"/>
      </rPr>
      <t>2</t>
    </r>
  </si>
  <si>
    <r>
      <t>Exports (Balance)</t>
    </r>
    <r>
      <rPr>
        <vertAlign val="superscript"/>
        <sz val="9"/>
        <rFont val="Arial"/>
        <family val="2"/>
      </rPr>
      <t>3</t>
    </r>
  </si>
  <si>
    <t>International marine bunkers</t>
  </si>
  <si>
    <r>
      <t>Interproduct transfers</t>
    </r>
    <r>
      <rPr>
        <vertAlign val="superscript"/>
        <sz val="9"/>
        <rFont val="Arial"/>
        <family val="2"/>
      </rPr>
      <t>4</t>
    </r>
  </si>
  <si>
    <r>
      <t>Products transferred</t>
    </r>
    <r>
      <rPr>
        <vertAlign val="superscript"/>
        <sz val="9"/>
        <rFont val="Arial"/>
        <family val="2"/>
      </rPr>
      <t>5</t>
    </r>
  </si>
  <si>
    <r>
      <t>Memo Items:</t>
    </r>
    <r>
      <rPr>
        <i/>
        <vertAlign val="superscript"/>
        <sz val="9"/>
        <rFont val="Arial"/>
        <family val="2"/>
      </rPr>
      <t xml:space="preserve">7          </t>
    </r>
    <r>
      <rPr>
        <i/>
        <sz val="9"/>
        <rFont val="Arial"/>
        <family val="2"/>
      </rPr>
      <t xml:space="preserve">        </t>
    </r>
    <r>
      <rPr>
        <sz val="9"/>
        <rFont val="Arial"/>
        <family val="2"/>
      </rPr>
      <t xml:space="preserve">  Deliveries to international aviation</t>
    </r>
  </si>
  <si>
    <t>Deliveries to main activity producer power plants</t>
  </si>
  <si>
    <t>Deliveries of automotive LPG</t>
  </si>
  <si>
    <t xml:space="preserve">         - Deliveries of automotive LPG.</t>
  </si>
  <si>
    <t>Total
(A to F, excl. E)</t>
  </si>
  <si>
    <t>Natural gas
liquids</t>
  </si>
  <si>
    <t>Refinery
feedstocks</t>
  </si>
  <si>
    <t>Other
hydrocarbons</t>
  </si>
  <si>
    <t>Indigenous production</t>
  </si>
  <si>
    <r>
      <t>Products transferred</t>
    </r>
    <r>
      <rPr>
        <vertAlign val="superscript"/>
        <sz val="9"/>
        <rFont val="Arial"/>
        <family val="2"/>
      </rPr>
      <t>2</t>
    </r>
  </si>
  <si>
    <r>
      <t>Imports (Balance)</t>
    </r>
    <r>
      <rPr>
        <vertAlign val="superscript"/>
        <sz val="9"/>
        <rFont val="Arial"/>
        <family val="2"/>
      </rPr>
      <t>3</t>
    </r>
  </si>
  <si>
    <r>
      <t>Exports (Balance)</t>
    </r>
    <r>
      <rPr>
        <vertAlign val="superscript"/>
        <sz val="9"/>
        <rFont val="Arial"/>
        <family val="2"/>
      </rPr>
      <t>4</t>
    </r>
  </si>
  <si>
    <t>Refinery intake (Calculated)</t>
  </si>
  <si>
    <r>
      <t>Memo Item:</t>
    </r>
    <r>
      <rPr>
        <sz val="9"/>
        <rFont val="Arial"/>
        <family val="2"/>
      </rPr>
      <t xml:space="preserve">       Refinery losses</t>
    </r>
  </si>
  <si>
    <t>Direct use should be carried over to Primary product receipts in Table 2 (line 1).</t>
  </si>
  <si>
    <t>Crude
oil</t>
  </si>
  <si>
    <t>Natural
gas
liquids</t>
  </si>
  <si>
    <t>Refinery
gas</t>
  </si>
  <si>
    <t>Total motor
gasoline</t>
  </si>
  <si>
    <t>Aviation
gasoline</t>
  </si>
  <si>
    <t>Gasoline
type
jet fuel</t>
  </si>
  <si>
    <t>Bio jet
kerosene</t>
  </si>
  <si>
    <t>Non-bio jet
kerosene</t>
  </si>
  <si>
    <t>Other
kerosene</t>
  </si>
  <si>
    <t>Deliveries of rail and marine diesel</t>
  </si>
  <si>
    <t>Additives /
oxygenates</t>
  </si>
  <si>
    <t>Of which
Biofuels</t>
  </si>
  <si>
    <t>Total
kerosene
type
jet fuel</t>
  </si>
  <si>
    <t>Heating and
other gas oil</t>
  </si>
  <si>
    <t>Total
gas/diesel
oil</t>
  </si>
  <si>
    <t>Non-bio
gas/diesel
oil</t>
  </si>
  <si>
    <t>AC</t>
  </si>
  <si>
    <t xml:space="preserve">         - Deliveries of rail and marine diesel.</t>
  </si>
  <si>
    <t>Fuel oil-
low sulphur 
(&lt;1%)</t>
  </si>
  <si>
    <t>Fuel oil-
high sulphur
 (&lt;1%)</t>
  </si>
  <si>
    <t>Equatorial Guinea</t>
  </si>
  <si>
    <t>Morocco</t>
  </si>
  <si>
    <t>AD</t>
  </si>
  <si>
    <t>Total
oil</t>
  </si>
  <si>
    <t>AF</t>
  </si>
  <si>
    <t>ETOTSTKMS</t>
  </si>
  <si>
    <t>Table 6b: CLOSING STOCKS HELD FOR OTHER COUNTRIES UNDER OFFICIAL AGREEMENT, OF WHICH HELD AS STOCK TICKETS, BY BENEFICIARY</t>
  </si>
  <si>
    <t>Table 7: CLOSING STOCKS WITH KNOWN FOREIGN DESTINATION, BY BENEFICIARY</t>
  </si>
  <si>
    <t>Table 8: CLOSING STOCKS HELD ABROAD UNDER OFFICIAL AGREEMENT, BY LOCATION</t>
  </si>
  <si>
    <t>Table 8b: CLOSING STOCKS HELD ABROAD UNDER OFFICIAL AGREEMENT, OF WHICH HELD AS STOCK TICKETS, BY LOCATION</t>
  </si>
  <si>
    <t>EUSTOCKS</t>
  </si>
  <si>
    <t>EOSNATTER</t>
  </si>
  <si>
    <t>ECSNATTER</t>
  </si>
  <si>
    <t>(EU-b) Stocks held for other EU</t>
  </si>
  <si>
    <t>EOSOTHBIL</t>
  </si>
  <si>
    <t>Member States under official agreement</t>
  </si>
  <si>
    <t>ECSOTHBIL</t>
  </si>
  <si>
    <t>(EU-c) Stocks with known</t>
  </si>
  <si>
    <t>EOSOTHFOR</t>
  </si>
  <si>
    <t>foreign EU destination</t>
  </si>
  <si>
    <t>ECSOTHFOR</t>
  </si>
  <si>
    <t xml:space="preserve">(EU-g) Stocks held by government </t>
  </si>
  <si>
    <t>EOSGOVT</t>
  </si>
  <si>
    <t>on national territory</t>
  </si>
  <si>
    <t>ECSGOVT</t>
  </si>
  <si>
    <t>(EU-h) Stocks held by the Central Stockholding</t>
  </si>
  <si>
    <t>EOSCSE</t>
  </si>
  <si>
    <t>Entity (CSE) on national territory</t>
  </si>
  <si>
    <t>ECSCSE</t>
  </si>
  <si>
    <t>(EU-ie) Stocks held by Economic Operators</t>
  </si>
  <si>
    <t>EOSECO</t>
  </si>
  <si>
    <t>ECSECO</t>
  </si>
  <si>
    <t>EOSABRBIL</t>
  </si>
  <si>
    <t>Member States under offical agreement</t>
  </si>
  <si>
    <t>ECSABRBIL</t>
  </si>
  <si>
    <t>(EU-k) Stocks held abroad in EU, designated</t>
  </si>
  <si>
    <t>EOSABRFOR</t>
  </si>
  <si>
    <t>definitely for import into your country</t>
  </si>
  <si>
    <t>ECSABRFOR</t>
  </si>
  <si>
    <t xml:space="preserve">(EU-l) Total Emergency Stocks held by the MS </t>
  </si>
  <si>
    <t>EOSTOTAL</t>
  </si>
  <si>
    <t>in accordance with the EU Directive 2006/119/EC</t>
  </si>
  <si>
    <t>ECSTOTAL</t>
  </si>
  <si>
    <t>Sum of monthly figures for</t>
  </si>
  <si>
    <t>ESUREFGRO</t>
  </si>
  <si>
    <t>ESUREFFUE</t>
  </si>
  <si>
    <t>ESUTOTIMP</t>
  </si>
  <si>
    <t>ESUTOTEXP</t>
  </si>
  <si>
    <t>ESUREFINC</t>
  </si>
  <si>
    <t>ESUBUNKER</t>
  </si>
  <si>
    <t>ESUGDINOB</t>
  </si>
  <si>
    <t>Opening JAN</t>
  </si>
  <si>
    <t>EOSNATJAN</t>
  </si>
  <si>
    <t xml:space="preserve">on national territory </t>
  </si>
  <si>
    <t>Closing DEC</t>
  </si>
  <si>
    <t>ECSNATDEC</t>
  </si>
  <si>
    <t>ESUBACKFL</t>
  </si>
  <si>
    <t>MS has chosen the following method for the reporting year:</t>
  </si>
  <si>
    <t xml:space="preserve">Emergency Stocks held by the MS </t>
  </si>
  <si>
    <t>annex III,(a)</t>
  </si>
  <si>
    <t>EMETHOD</t>
  </si>
  <si>
    <r>
      <t xml:space="preserve">in accordance with the EU Directive (in </t>
    </r>
    <r>
      <rPr>
        <i/>
        <sz val="8"/>
        <rFont val="Arial"/>
        <family val="2"/>
      </rPr>
      <t>Days Equivalent)</t>
    </r>
  </si>
  <si>
    <t>EDAYS</t>
  </si>
  <si>
    <t>EOSCOM</t>
  </si>
  <si>
    <t>Economic Operators</t>
  </si>
  <si>
    <t>ECSCOM</t>
  </si>
  <si>
    <t/>
  </si>
  <si>
    <t>(EU-a) Emergency stocks (Total)</t>
  </si>
  <si>
    <t>Commercial stocks held by</t>
  </si>
  <si>
    <t>L E V E L  O F  D A I L Y  N E T  I M P O R T S   O R   D A I L Y   C O N S U M P T I O N  (ANNEX I AND II OF THE DIRECTIVE)</t>
  </si>
  <si>
    <t>ANNEX I OF THE DIRECTIVE</t>
  </si>
  <si>
    <t>ANNEX II OF THE DIRECTIVE</t>
  </si>
  <si>
    <t>Step 1</t>
  </si>
  <si>
    <t>Naphtha Yield</t>
  </si>
  <si>
    <t>Step 2</t>
  </si>
  <si>
    <t xml:space="preserve">
Naphtha actual consumption </t>
  </si>
  <si>
    <r>
      <t>Step 3</t>
    </r>
    <r>
      <rPr>
        <b/>
        <sz val="10"/>
        <rFont val="Arial"/>
        <family val="2"/>
      </rPr>
      <t xml:space="preserve">
Crude oil component (Crude oil net imports adjusted for stock change)</t>
    </r>
  </si>
  <si>
    <t xml:space="preserve">Closing </t>
  </si>
  <si>
    <t>Step 4</t>
  </si>
  <si>
    <t>Petroleum product component (Petroleum product net imports adjusted for stock change)</t>
  </si>
  <si>
    <t>Naphtha Imports</t>
  </si>
  <si>
    <t>Naphtha Exports</t>
  </si>
  <si>
    <t>Naphtha Bunkers</t>
  </si>
  <si>
    <t>Step 5</t>
  </si>
  <si>
    <t xml:space="preserve">Choose the Method to calculate the Average Daily Imports and Associated Commitment </t>
  </si>
  <si>
    <t>on the basis of:</t>
  </si>
  <si>
    <t>*  If Naphtha Yield less than 7%,     Method 1</t>
  </si>
  <si>
    <t>*  If Naphtha Yield higher than 7%, Method 2 or Method 3 whichever gives minimum obligation</t>
  </si>
  <si>
    <t>Step 6</t>
  </si>
  <si>
    <t>Total Inland Consumption</t>
  </si>
  <si>
    <t>Step 7</t>
  </si>
  <si>
    <t xml:space="preserve">   Select between the "Net Imports Approach - Step 5" and the </t>
  </si>
  <si>
    <t>Net Imports Method 2</t>
  </si>
  <si>
    <t>Net Imports Method 3</t>
  </si>
  <si>
    <t>Net Imports Method 1</t>
  </si>
  <si>
    <t>Total Inland Cons.</t>
  </si>
  <si>
    <t>"Inland Consumption Approach - Step 6" the approach that leads to the maximum obligation;</t>
  </si>
  <si>
    <t xml:space="preserve"> note corresponding average daily figures</t>
  </si>
  <si>
    <t>Daily Net Imports/Inland Consumption for compliance</t>
  </si>
  <si>
    <t>L E V E L   O F   E M E R G E N C Y  S T O C K S  I N  D A Y S  E Q U I V A L E N T  (ANNEX III OF THE DIRECTIVE)</t>
  </si>
  <si>
    <t>Step 8</t>
  </si>
  <si>
    <t>Step 9</t>
  </si>
  <si>
    <t>Step 10</t>
  </si>
  <si>
    <t>Naphtha Stocks</t>
  </si>
  <si>
    <t>Step 11</t>
  </si>
  <si>
    <t>Step 12</t>
  </si>
  <si>
    <t>STOCKS - Total Emergency stocks  (Annex III, a))</t>
  </si>
  <si>
    <t>STOCKS - Total Emergency stocks  (Annex III, b))</t>
  </si>
  <si>
    <t>Days</t>
  </si>
  <si>
    <t>annex III,(b)</t>
  </si>
  <si>
    <t>in Days</t>
  </si>
  <si>
    <t>EMERGENCY STOCKS IN DAYS EQUIVALENT</t>
  </si>
  <si>
    <t>Choose Value in Line 45 or Line 67 according to MS selection of Annex III approach</t>
  </si>
  <si>
    <t>(EU-j) Stocks held abroad in other EU</t>
  </si>
  <si>
    <r>
      <t xml:space="preserve">Days Equivalent </t>
    </r>
    <r>
      <rPr>
        <b/>
        <sz val="10"/>
        <color indexed="10"/>
        <rFont val="Arial"/>
        <family val="2"/>
      </rPr>
      <t>(</t>
    </r>
    <r>
      <rPr>
        <b/>
        <i/>
        <sz val="8"/>
        <color indexed="10"/>
        <rFont val="Arial"/>
        <family val="2"/>
      </rPr>
      <t>66.</t>
    </r>
    <r>
      <rPr>
        <b/>
        <sz val="10"/>
        <color indexed="10"/>
        <rFont val="Arial"/>
        <family val="2"/>
      </rPr>
      <t>/</t>
    </r>
    <r>
      <rPr>
        <b/>
        <i/>
        <sz val="8"/>
        <color indexed="10"/>
        <rFont val="Arial"/>
        <family val="2"/>
      </rPr>
      <t>37.</t>
    </r>
    <r>
      <rPr>
        <b/>
        <sz val="10"/>
        <color indexed="10"/>
        <rFont val="Arial"/>
        <family val="2"/>
      </rPr>
      <t>)</t>
    </r>
  </si>
  <si>
    <r>
      <t xml:space="preserve">Days Equivalent </t>
    </r>
    <r>
      <rPr>
        <b/>
        <sz val="9"/>
        <color indexed="10"/>
        <rFont val="Arial"/>
        <family val="2"/>
      </rPr>
      <t>(</t>
    </r>
    <r>
      <rPr>
        <b/>
        <i/>
        <sz val="8"/>
        <color indexed="10"/>
        <rFont val="Arial"/>
        <family val="2"/>
      </rPr>
      <t>44.</t>
    </r>
    <r>
      <rPr>
        <b/>
        <sz val="8"/>
        <color indexed="10"/>
        <rFont val="Arial"/>
        <family val="2"/>
      </rPr>
      <t>/</t>
    </r>
    <r>
      <rPr>
        <b/>
        <i/>
        <sz val="8"/>
        <color indexed="10"/>
        <rFont val="Arial"/>
        <family val="2"/>
      </rPr>
      <t>37.</t>
    </r>
    <r>
      <rPr>
        <b/>
        <sz val="9"/>
        <color indexed="10"/>
        <rFont val="Arial"/>
        <family val="2"/>
      </rPr>
      <t>)</t>
    </r>
  </si>
  <si>
    <r>
      <t xml:space="preserve">Emergency Stocks corrected for tank bottoms -  Annex III, b </t>
    </r>
    <r>
      <rPr>
        <b/>
        <sz val="10"/>
        <color indexed="10"/>
        <rFont val="Arial"/>
        <family val="2"/>
      </rPr>
      <t>(</t>
    </r>
    <r>
      <rPr>
        <b/>
        <i/>
        <sz val="8"/>
        <color indexed="10"/>
        <rFont val="Arial"/>
        <family val="2"/>
      </rPr>
      <t>39.</t>
    </r>
    <r>
      <rPr>
        <b/>
        <sz val="10"/>
        <color indexed="10"/>
        <rFont val="Arial"/>
        <family val="2"/>
      </rPr>
      <t>+</t>
    </r>
    <r>
      <rPr>
        <b/>
        <i/>
        <sz val="8"/>
        <color indexed="10"/>
        <rFont val="Arial"/>
        <family val="2"/>
      </rPr>
      <t>65.</t>
    </r>
    <r>
      <rPr>
        <b/>
        <sz val="10"/>
        <color indexed="10"/>
        <rFont val="Arial"/>
        <family val="2"/>
      </rPr>
      <t>)*0.9</t>
    </r>
  </si>
  <si>
    <r>
      <t xml:space="preserve">Emergency Stocks corrected for tank bottoms - Annex III, a </t>
    </r>
    <r>
      <rPr>
        <b/>
        <sz val="10"/>
        <color indexed="10"/>
        <rFont val="Arial"/>
        <family val="2"/>
      </rPr>
      <t>(</t>
    </r>
    <r>
      <rPr>
        <b/>
        <i/>
        <sz val="8"/>
        <color indexed="10"/>
        <rFont val="Arial"/>
        <family val="2"/>
      </rPr>
      <t>39.</t>
    </r>
    <r>
      <rPr>
        <b/>
        <sz val="10"/>
        <color indexed="10"/>
        <rFont val="Arial"/>
        <family val="2"/>
      </rPr>
      <t>+</t>
    </r>
    <r>
      <rPr>
        <b/>
        <i/>
        <sz val="8"/>
        <color indexed="10"/>
        <rFont val="Arial"/>
        <family val="2"/>
      </rPr>
      <t>43.</t>
    </r>
    <r>
      <rPr>
        <b/>
        <sz val="10"/>
        <color indexed="10"/>
        <rFont val="Arial"/>
        <family val="2"/>
      </rPr>
      <t>) *0.9</t>
    </r>
  </si>
  <si>
    <r>
      <t xml:space="preserve">Crude oil equivalent of Petroleum Product Stocks  </t>
    </r>
    <r>
      <rPr>
        <b/>
        <i/>
        <sz val="8"/>
        <color indexed="10"/>
        <rFont val="Arial"/>
        <family val="2"/>
      </rPr>
      <t>(64.)</t>
    </r>
    <r>
      <rPr>
        <b/>
        <sz val="10"/>
        <color indexed="10"/>
        <rFont val="Arial"/>
        <family val="2"/>
      </rPr>
      <t>*</t>
    </r>
    <r>
      <rPr>
        <b/>
        <sz val="9"/>
        <color indexed="10"/>
        <rFont val="Arial"/>
        <family val="2"/>
      </rPr>
      <t>1.2</t>
    </r>
  </si>
  <si>
    <r>
      <t xml:space="preserve">Product Stocks </t>
    </r>
    <r>
      <rPr>
        <b/>
        <sz val="10"/>
        <color indexed="10"/>
        <rFont val="Arial"/>
        <family val="2"/>
      </rPr>
      <t>(</t>
    </r>
    <r>
      <rPr>
        <b/>
        <i/>
        <sz val="8"/>
        <color indexed="10"/>
        <rFont val="Arial"/>
        <family val="2"/>
      </rPr>
      <t>57.</t>
    </r>
    <r>
      <rPr>
        <b/>
        <sz val="10"/>
        <color indexed="10"/>
        <rFont val="Arial"/>
        <family val="2"/>
      </rPr>
      <t>+</t>
    </r>
    <r>
      <rPr>
        <b/>
        <i/>
        <sz val="8"/>
        <color indexed="10"/>
        <rFont val="Arial"/>
        <family val="2"/>
      </rPr>
      <t>58.</t>
    </r>
    <r>
      <rPr>
        <b/>
        <sz val="10"/>
        <color indexed="10"/>
        <rFont val="Arial"/>
        <family val="2"/>
      </rPr>
      <t>+</t>
    </r>
    <r>
      <rPr>
        <b/>
        <i/>
        <sz val="8"/>
        <color indexed="10"/>
        <rFont val="Arial"/>
        <family val="2"/>
      </rPr>
      <t>59.</t>
    </r>
    <r>
      <rPr>
        <b/>
        <sz val="10"/>
        <color indexed="10"/>
        <rFont val="Arial"/>
        <family val="2"/>
      </rPr>
      <t>+</t>
    </r>
    <r>
      <rPr>
        <b/>
        <i/>
        <sz val="8"/>
        <color indexed="10"/>
        <rFont val="Arial"/>
        <family val="2"/>
      </rPr>
      <t>60.</t>
    </r>
    <r>
      <rPr>
        <b/>
        <sz val="10"/>
        <color indexed="10"/>
        <rFont val="Arial"/>
        <family val="2"/>
      </rPr>
      <t>+</t>
    </r>
    <r>
      <rPr>
        <b/>
        <i/>
        <sz val="8"/>
        <color indexed="10"/>
        <rFont val="Arial"/>
        <family val="2"/>
      </rPr>
      <t>61.</t>
    </r>
    <r>
      <rPr>
        <b/>
        <sz val="10"/>
        <color indexed="10"/>
        <rFont val="Arial"/>
        <family val="2"/>
      </rPr>
      <t>+</t>
    </r>
    <r>
      <rPr>
        <b/>
        <i/>
        <sz val="8"/>
        <color indexed="10"/>
        <rFont val="Arial"/>
        <family val="2"/>
      </rPr>
      <t>62.+63.</t>
    </r>
    <r>
      <rPr>
        <b/>
        <sz val="10"/>
        <color indexed="10"/>
        <rFont val="Arial"/>
        <family val="2"/>
      </rPr>
      <t>)</t>
    </r>
  </si>
  <si>
    <t>Fuel Oil - Stocks</t>
  </si>
  <si>
    <t>Gas / Diesel Oil - Stocks</t>
  </si>
  <si>
    <t>Other Kerosene - Stocks</t>
  </si>
  <si>
    <t>Kerosene Type Jet Fuel - Stocks</t>
  </si>
  <si>
    <r>
      <t xml:space="preserve">Crude oil equivalent of Petroleum Products Stocks  </t>
    </r>
    <r>
      <rPr>
        <b/>
        <sz val="8"/>
        <color indexed="10"/>
        <rFont val="Arial"/>
        <family val="2"/>
      </rPr>
      <t>(</t>
    </r>
    <r>
      <rPr>
        <b/>
        <i/>
        <sz val="8"/>
        <color indexed="10"/>
        <rFont val="Arial"/>
        <family val="2"/>
      </rPr>
      <t xml:space="preserve">42.) </t>
    </r>
    <r>
      <rPr>
        <b/>
        <sz val="8"/>
        <color indexed="10"/>
        <rFont val="Arial"/>
        <family val="2"/>
      </rPr>
      <t>* 1.065</t>
    </r>
  </si>
  <si>
    <t>Gasoline Type Jet Fuel - Stocks</t>
  </si>
  <si>
    <r>
      <t xml:space="preserve">Product Stocks </t>
    </r>
    <r>
      <rPr>
        <b/>
        <i/>
        <sz val="8"/>
        <color indexed="10"/>
        <rFont val="Arial"/>
        <family val="2"/>
      </rPr>
      <t>(40.</t>
    </r>
    <r>
      <rPr>
        <b/>
        <sz val="8"/>
        <color indexed="10"/>
        <rFont val="Arial"/>
        <family val="2"/>
      </rPr>
      <t>-</t>
    </r>
    <r>
      <rPr>
        <b/>
        <i/>
        <sz val="8"/>
        <color indexed="10"/>
        <rFont val="Arial"/>
        <family val="2"/>
      </rPr>
      <t>41.)</t>
    </r>
  </si>
  <si>
    <t>Aviation Gasoline - Stocks</t>
  </si>
  <si>
    <t>Motor Gasoline - Stocks</t>
  </si>
  <si>
    <t>Total Products Stocks</t>
  </si>
  <si>
    <t>STOCKS - Petroleum Products Component (Annex III, b))</t>
  </si>
  <si>
    <t>STOCKS - Petroleum Products Component (Annex III, a))</t>
  </si>
  <si>
    <r>
      <t xml:space="preserve">Crude Oil Stocks corrected for naphtha  </t>
    </r>
    <r>
      <rPr>
        <b/>
        <i/>
        <sz val="10"/>
        <color indexed="10"/>
        <rFont val="Arial"/>
        <family val="2"/>
      </rPr>
      <t>(38.)  *  0.96</t>
    </r>
  </si>
  <si>
    <t>Crude, NGL and Feedstocks Stocks</t>
  </si>
  <si>
    <t xml:space="preserve">STOCKS  - Crude Oil Component </t>
  </si>
  <si>
    <t>Minimum Stock Level for compliance</t>
  </si>
  <si>
    <r>
      <t>61 Days Committment</t>
    </r>
    <r>
      <rPr>
        <b/>
        <sz val="9"/>
        <color indexed="10"/>
        <rFont val="Arial"/>
        <family val="2"/>
      </rPr>
      <t xml:space="preserve"> </t>
    </r>
    <r>
      <rPr>
        <b/>
        <sz val="10"/>
        <color indexed="10"/>
        <rFont val="Arial"/>
        <family val="2"/>
      </rPr>
      <t>(</t>
    </r>
    <r>
      <rPr>
        <b/>
        <i/>
        <sz val="8"/>
        <color indexed="10"/>
        <rFont val="Arial"/>
        <family val="2"/>
      </rPr>
      <t xml:space="preserve">55.) </t>
    </r>
    <r>
      <rPr>
        <b/>
        <sz val="10"/>
        <color indexed="10"/>
        <rFont val="Arial"/>
        <family val="2"/>
      </rPr>
      <t>* 61</t>
    </r>
  </si>
  <si>
    <r>
      <t xml:space="preserve">90 Days Committment  </t>
    </r>
    <r>
      <rPr>
        <b/>
        <sz val="10"/>
        <color indexed="10"/>
        <rFont val="Arial"/>
        <family val="2"/>
      </rPr>
      <t>(</t>
    </r>
    <r>
      <rPr>
        <b/>
        <i/>
        <sz val="8"/>
        <color indexed="10"/>
        <rFont val="Arial"/>
        <family val="2"/>
      </rPr>
      <t xml:space="preserve">34.)  </t>
    </r>
    <r>
      <rPr>
        <b/>
        <sz val="10"/>
        <color indexed="10"/>
        <rFont val="Arial"/>
        <family val="2"/>
      </rPr>
      <t>*   90</t>
    </r>
  </si>
  <si>
    <r>
      <t xml:space="preserve">Daily Consumption  </t>
    </r>
    <r>
      <rPr>
        <b/>
        <sz val="10"/>
        <color indexed="10"/>
        <rFont val="Arial"/>
        <family val="2"/>
      </rPr>
      <t>(</t>
    </r>
    <r>
      <rPr>
        <b/>
        <i/>
        <sz val="8"/>
        <color indexed="10"/>
        <rFont val="Arial"/>
        <family val="2"/>
      </rPr>
      <t xml:space="preserve">54.) </t>
    </r>
    <r>
      <rPr>
        <b/>
        <sz val="10"/>
        <color indexed="10"/>
        <rFont val="Arial"/>
        <family val="2"/>
      </rPr>
      <t>/ days of year</t>
    </r>
  </si>
  <si>
    <r>
      <t xml:space="preserve">Daily Net Imports </t>
    </r>
    <r>
      <rPr>
        <b/>
        <i/>
        <sz val="10"/>
        <color indexed="10"/>
        <rFont val="Arial"/>
        <family val="2"/>
      </rPr>
      <t>(</t>
    </r>
    <r>
      <rPr>
        <b/>
        <i/>
        <sz val="8"/>
        <color indexed="10"/>
        <rFont val="Arial"/>
        <family val="2"/>
      </rPr>
      <t>33</t>
    </r>
    <r>
      <rPr>
        <b/>
        <i/>
        <sz val="10"/>
        <color indexed="10"/>
        <rFont val="Arial"/>
        <family val="2"/>
      </rPr>
      <t>.) / days of year</t>
    </r>
  </si>
  <si>
    <r>
      <t xml:space="preserve">Crude oil equivalent of Inland Consumption </t>
    </r>
    <r>
      <rPr>
        <b/>
        <i/>
        <sz val="8"/>
        <color indexed="10"/>
        <rFont val="Arial"/>
        <family val="2"/>
      </rPr>
      <t xml:space="preserve">(53.) </t>
    </r>
    <r>
      <rPr>
        <b/>
        <sz val="10"/>
        <color indexed="10"/>
        <rFont val="Arial"/>
        <family val="2"/>
      </rPr>
      <t>*1.2</t>
    </r>
  </si>
  <si>
    <r>
      <t xml:space="preserve">Net Imports (Crude and petroleum products) </t>
    </r>
    <r>
      <rPr>
        <b/>
        <sz val="10"/>
        <color indexed="10"/>
        <rFont val="Arial"/>
        <family val="2"/>
      </rPr>
      <t>(</t>
    </r>
    <r>
      <rPr>
        <b/>
        <i/>
        <sz val="8"/>
        <color indexed="10"/>
        <rFont val="Arial"/>
        <family val="2"/>
      </rPr>
      <t xml:space="preserve">13. </t>
    </r>
    <r>
      <rPr>
        <b/>
        <sz val="10"/>
        <color indexed="10"/>
        <rFont val="Arial"/>
        <family val="2"/>
      </rPr>
      <t>* (1-</t>
    </r>
    <r>
      <rPr>
        <b/>
        <i/>
        <sz val="8"/>
        <color indexed="10"/>
        <rFont val="Arial"/>
        <family val="2"/>
      </rPr>
      <t>05.</t>
    </r>
    <r>
      <rPr>
        <b/>
        <sz val="10"/>
        <color indexed="10"/>
        <rFont val="Arial"/>
        <family val="2"/>
      </rPr>
      <t>)+</t>
    </r>
    <r>
      <rPr>
        <b/>
        <i/>
        <sz val="8"/>
        <color indexed="10"/>
        <rFont val="Arial"/>
        <family val="2"/>
      </rPr>
      <t>26.)</t>
    </r>
  </si>
  <si>
    <r>
      <t xml:space="preserve">Inland Consumption </t>
    </r>
    <r>
      <rPr>
        <b/>
        <sz val="10"/>
        <color indexed="10"/>
        <rFont val="Arial"/>
        <family val="2"/>
      </rPr>
      <t>(</t>
    </r>
    <r>
      <rPr>
        <b/>
        <i/>
        <sz val="8"/>
        <color indexed="10"/>
        <rFont val="Arial"/>
        <family val="2"/>
      </rPr>
      <t>46.</t>
    </r>
    <r>
      <rPr>
        <b/>
        <sz val="10"/>
        <color indexed="10"/>
        <rFont val="Arial"/>
        <family val="2"/>
      </rPr>
      <t>+</t>
    </r>
    <r>
      <rPr>
        <b/>
        <i/>
        <sz val="8"/>
        <color indexed="10"/>
        <rFont val="Arial"/>
        <family val="2"/>
      </rPr>
      <t>47.</t>
    </r>
    <r>
      <rPr>
        <b/>
        <sz val="10"/>
        <color indexed="10"/>
        <rFont val="Arial"/>
        <family val="2"/>
      </rPr>
      <t>+</t>
    </r>
    <r>
      <rPr>
        <b/>
        <i/>
        <sz val="8"/>
        <color indexed="10"/>
        <rFont val="Arial"/>
        <family val="2"/>
      </rPr>
      <t>48.</t>
    </r>
    <r>
      <rPr>
        <b/>
        <sz val="10"/>
        <color indexed="10"/>
        <rFont val="Arial"/>
        <family val="2"/>
      </rPr>
      <t>+</t>
    </r>
    <r>
      <rPr>
        <b/>
        <i/>
        <sz val="8"/>
        <color indexed="10"/>
        <rFont val="Arial"/>
        <family val="2"/>
      </rPr>
      <t>49.</t>
    </r>
    <r>
      <rPr>
        <b/>
        <sz val="10"/>
        <color indexed="10"/>
        <rFont val="Arial"/>
        <family val="2"/>
      </rPr>
      <t>+</t>
    </r>
    <r>
      <rPr>
        <b/>
        <i/>
        <sz val="8"/>
        <color indexed="10"/>
        <rFont val="Arial"/>
        <family val="2"/>
      </rPr>
      <t>50.</t>
    </r>
    <r>
      <rPr>
        <b/>
        <sz val="10"/>
        <color indexed="10"/>
        <rFont val="Arial"/>
        <family val="2"/>
      </rPr>
      <t>+</t>
    </r>
    <r>
      <rPr>
        <b/>
        <i/>
        <sz val="8"/>
        <color indexed="10"/>
        <rFont val="Arial"/>
        <family val="2"/>
      </rPr>
      <t>51.</t>
    </r>
    <r>
      <rPr>
        <b/>
        <sz val="10"/>
        <color indexed="10"/>
        <rFont val="Arial"/>
        <family val="2"/>
      </rPr>
      <t>+</t>
    </r>
    <r>
      <rPr>
        <b/>
        <i/>
        <sz val="8"/>
        <color indexed="10"/>
        <rFont val="Arial"/>
        <family val="2"/>
      </rPr>
      <t>52</t>
    </r>
    <r>
      <rPr>
        <b/>
        <sz val="10"/>
        <color indexed="10"/>
        <rFont val="Arial"/>
        <family val="2"/>
      </rPr>
      <t>)</t>
    </r>
  </si>
  <si>
    <t>Fuel Oil - Gross Inland Deliveries Observed</t>
  </si>
  <si>
    <r>
      <t>90 Days Committment</t>
    </r>
    <r>
      <rPr>
        <b/>
        <sz val="10"/>
        <color indexed="10"/>
        <rFont val="Arial"/>
        <family val="2"/>
      </rPr>
      <t xml:space="preserve"> (</t>
    </r>
    <r>
      <rPr>
        <b/>
        <i/>
        <sz val="8"/>
        <color indexed="10"/>
        <rFont val="Arial"/>
        <family val="2"/>
      </rPr>
      <t xml:space="preserve">31.)  </t>
    </r>
    <r>
      <rPr>
        <b/>
        <sz val="10"/>
        <color indexed="10"/>
        <rFont val="Arial"/>
        <family val="2"/>
      </rPr>
      <t>*  90</t>
    </r>
  </si>
  <si>
    <t>Gas / Diesel Oil - Gross Inland Deliveries Observed</t>
  </si>
  <si>
    <r>
      <t xml:space="preserve">Daily Net Imports </t>
    </r>
    <r>
      <rPr>
        <b/>
        <sz val="10"/>
        <color indexed="10"/>
        <rFont val="Arial"/>
        <family val="2"/>
      </rPr>
      <t>(</t>
    </r>
    <r>
      <rPr>
        <b/>
        <sz val="8"/>
        <color indexed="10"/>
        <rFont val="Arial"/>
        <family val="2"/>
      </rPr>
      <t>30</t>
    </r>
    <r>
      <rPr>
        <b/>
        <sz val="10"/>
        <color indexed="10"/>
        <rFont val="Arial"/>
        <family val="2"/>
      </rPr>
      <t>.) / days of year</t>
    </r>
  </si>
  <si>
    <t>Other Kerosene - Gross Inland Deliveries Observed</t>
  </si>
  <si>
    <r>
      <t xml:space="preserve">Net Imports  (Crude and petroleum products)  </t>
    </r>
    <r>
      <rPr>
        <b/>
        <sz val="10"/>
        <color indexed="10"/>
        <rFont val="Arial"/>
        <family val="2"/>
      </rPr>
      <t>(</t>
    </r>
    <r>
      <rPr>
        <b/>
        <i/>
        <sz val="8"/>
        <color indexed="10"/>
        <rFont val="Arial"/>
        <family val="2"/>
      </rPr>
      <t>13.</t>
    </r>
    <r>
      <rPr>
        <b/>
        <sz val="10"/>
        <color indexed="10"/>
        <rFont val="Arial"/>
        <family val="2"/>
      </rPr>
      <t>-</t>
    </r>
    <r>
      <rPr>
        <b/>
        <i/>
        <sz val="8"/>
        <color indexed="10"/>
        <rFont val="Arial"/>
        <family val="2"/>
      </rPr>
      <t>08.</t>
    </r>
    <r>
      <rPr>
        <b/>
        <sz val="10"/>
        <color indexed="10"/>
        <rFont val="Arial"/>
        <family val="2"/>
      </rPr>
      <t>+</t>
    </r>
    <r>
      <rPr>
        <b/>
        <i/>
        <sz val="8"/>
        <color indexed="10"/>
        <rFont val="Arial"/>
        <family val="2"/>
      </rPr>
      <t>26.</t>
    </r>
    <r>
      <rPr>
        <b/>
        <sz val="10"/>
        <color indexed="10"/>
        <rFont val="Arial"/>
        <family val="2"/>
      </rPr>
      <t>)</t>
    </r>
  </si>
  <si>
    <t>Kerosene type jet fuel - Gross Inland Deliveries Observed</t>
  </si>
  <si>
    <t>Gasoline TypeJet Fuel - Gross Inland Deliveries Observed</t>
  </si>
  <si>
    <r>
      <t xml:space="preserve">90 Days Committment </t>
    </r>
    <r>
      <rPr>
        <b/>
        <sz val="10"/>
        <color indexed="10"/>
        <rFont val="Arial"/>
        <family val="2"/>
      </rPr>
      <t>(</t>
    </r>
    <r>
      <rPr>
        <b/>
        <i/>
        <sz val="8"/>
        <color indexed="10"/>
        <rFont val="Arial"/>
        <family val="2"/>
      </rPr>
      <t xml:space="preserve">28.) </t>
    </r>
    <r>
      <rPr>
        <b/>
        <sz val="10"/>
        <color indexed="10"/>
        <rFont val="Arial"/>
        <family val="2"/>
      </rPr>
      <t>* 90</t>
    </r>
  </si>
  <si>
    <t>Aviation Gasoline - Gross Inland Deliveries Observed</t>
  </si>
  <si>
    <r>
      <t>Daily Net Imports</t>
    </r>
    <r>
      <rPr>
        <b/>
        <sz val="10"/>
        <color indexed="10"/>
        <rFont val="Arial"/>
        <family val="2"/>
      </rPr>
      <t xml:space="preserve"> (</t>
    </r>
    <r>
      <rPr>
        <b/>
        <sz val="8"/>
        <color indexed="10"/>
        <rFont val="Arial"/>
        <family val="2"/>
      </rPr>
      <t>27</t>
    </r>
    <r>
      <rPr>
        <b/>
        <sz val="10"/>
        <color indexed="10"/>
        <rFont val="Arial"/>
        <family val="2"/>
      </rPr>
      <t>.) / days of year</t>
    </r>
  </si>
  <si>
    <t>Motor Gasoline - Gross Inland Deliveries Observed</t>
  </si>
  <si>
    <r>
      <t>Net Imports (Crude and petroleum products)</t>
    </r>
    <r>
      <rPr>
        <b/>
        <sz val="10"/>
        <color indexed="10"/>
        <rFont val="Arial"/>
        <family val="2"/>
      </rPr>
      <t xml:space="preserve"> (</t>
    </r>
    <r>
      <rPr>
        <b/>
        <i/>
        <sz val="8"/>
        <color indexed="10"/>
        <rFont val="Arial"/>
        <family val="2"/>
      </rPr>
      <t>14.</t>
    </r>
    <r>
      <rPr>
        <b/>
        <sz val="10"/>
        <color indexed="10"/>
        <rFont val="Arial"/>
        <family val="2"/>
      </rPr>
      <t>+</t>
    </r>
    <r>
      <rPr>
        <b/>
        <i/>
        <sz val="8"/>
        <color indexed="10"/>
        <rFont val="Arial"/>
        <family val="2"/>
      </rPr>
      <t>26.</t>
    </r>
    <r>
      <rPr>
        <b/>
        <sz val="10"/>
        <color indexed="10"/>
        <rFont val="Arial"/>
        <family val="2"/>
      </rPr>
      <t>)</t>
    </r>
  </si>
  <si>
    <t>METHOD 1  (4% default value for naphtha yield)</t>
  </si>
  <si>
    <r>
      <t xml:space="preserve">Crude oil equivalent of Net imports of petroleum products </t>
    </r>
    <r>
      <rPr>
        <b/>
        <sz val="10"/>
        <color indexed="10"/>
        <rFont val="Arial"/>
        <family val="2"/>
      </rPr>
      <t>(</t>
    </r>
    <r>
      <rPr>
        <b/>
        <i/>
        <sz val="8"/>
        <color indexed="10"/>
        <rFont val="Arial"/>
        <family val="2"/>
      </rPr>
      <t xml:space="preserve">25.) </t>
    </r>
    <r>
      <rPr>
        <b/>
        <sz val="10"/>
        <color indexed="10"/>
        <rFont val="Arial"/>
        <family val="2"/>
      </rPr>
      <t>*  1.065</t>
    </r>
  </si>
  <si>
    <r>
      <t xml:space="preserve">Net imports of Products adjusted for stock change </t>
    </r>
    <r>
      <rPr>
        <b/>
        <sz val="8"/>
        <color indexed="10"/>
        <rFont val="Arial"/>
        <family val="2"/>
      </rPr>
      <t>(</t>
    </r>
    <r>
      <rPr>
        <b/>
        <i/>
        <sz val="8"/>
        <color indexed="10"/>
        <rFont val="Arial"/>
        <family val="2"/>
      </rPr>
      <t>15.</t>
    </r>
    <r>
      <rPr>
        <b/>
        <sz val="8"/>
        <color indexed="10"/>
        <rFont val="Arial"/>
        <family val="2"/>
      </rPr>
      <t>-</t>
    </r>
    <r>
      <rPr>
        <b/>
        <i/>
        <sz val="8"/>
        <color indexed="10"/>
        <rFont val="Arial"/>
        <family val="2"/>
      </rPr>
      <t>16.</t>
    </r>
    <r>
      <rPr>
        <b/>
        <sz val="8"/>
        <color indexed="10"/>
        <rFont val="Arial"/>
        <family val="2"/>
      </rPr>
      <t>)-</t>
    </r>
    <r>
      <rPr>
        <b/>
        <i/>
        <sz val="8"/>
        <color indexed="10"/>
        <rFont val="Arial"/>
        <family val="2"/>
      </rPr>
      <t>(17.-18.</t>
    </r>
    <r>
      <rPr>
        <b/>
        <sz val="8"/>
        <color indexed="10"/>
        <rFont val="Arial"/>
        <family val="2"/>
      </rPr>
      <t>)-(</t>
    </r>
    <r>
      <rPr>
        <b/>
        <i/>
        <sz val="8"/>
        <color indexed="10"/>
        <rFont val="Arial"/>
        <family val="2"/>
      </rPr>
      <t>19.-20.</t>
    </r>
    <r>
      <rPr>
        <b/>
        <sz val="8"/>
        <color indexed="10"/>
        <rFont val="Arial"/>
        <family val="2"/>
      </rPr>
      <t>)-(</t>
    </r>
    <r>
      <rPr>
        <b/>
        <i/>
        <sz val="8"/>
        <color indexed="10"/>
        <rFont val="Arial"/>
        <family val="2"/>
      </rPr>
      <t>22.-24.-(21.-23.</t>
    </r>
    <r>
      <rPr>
        <b/>
        <sz val="8"/>
        <color indexed="10"/>
        <rFont val="Arial"/>
        <family val="2"/>
      </rPr>
      <t>))</t>
    </r>
  </si>
  <si>
    <t>Total Product Stocks (Total)</t>
  </si>
  <si>
    <t>Total Products Bunkers</t>
  </si>
  <si>
    <t>Total Products Exports</t>
  </si>
  <si>
    <t>Total Products Imports</t>
  </si>
  <si>
    <r>
      <t xml:space="preserve">Crude Oil Net Imports corrected for naphtha  </t>
    </r>
    <r>
      <rPr>
        <b/>
        <i/>
        <sz val="8"/>
        <color indexed="10"/>
        <rFont val="Arial"/>
        <family val="2"/>
      </rPr>
      <t xml:space="preserve">(13.) </t>
    </r>
    <r>
      <rPr>
        <b/>
        <i/>
        <sz val="9"/>
        <color indexed="10"/>
        <rFont val="Arial"/>
        <family val="2"/>
      </rPr>
      <t>*  0.96</t>
    </r>
  </si>
  <si>
    <r>
      <t xml:space="preserve">Net imports of Crude, NGL, Feedstocks adjusted for stock change  </t>
    </r>
    <r>
      <rPr>
        <b/>
        <i/>
        <sz val="8"/>
        <color indexed="10"/>
        <rFont val="Arial"/>
        <family val="2"/>
      </rPr>
      <t>(09.-10.-(12.-11.</t>
    </r>
    <r>
      <rPr>
        <b/>
        <i/>
        <sz val="9"/>
        <color indexed="10"/>
        <rFont val="Arial"/>
        <family val="2"/>
      </rPr>
      <t>))</t>
    </r>
  </si>
  <si>
    <t xml:space="preserve">Crude, NGL, Feedstock Total Stocks </t>
  </si>
  <si>
    <t>Crude, NGL, Feedstocks Exports</t>
  </si>
  <si>
    <t>Crude, NGL, Feedstocks Imports</t>
  </si>
  <si>
    <r>
      <t xml:space="preserve">Crude oil equivalent of Naphtha actual consumption </t>
    </r>
    <r>
      <rPr>
        <b/>
        <i/>
        <sz val="8"/>
        <color indexed="10"/>
        <rFont val="Arial"/>
        <family val="2"/>
      </rPr>
      <t xml:space="preserve">07.) </t>
    </r>
    <r>
      <rPr>
        <b/>
        <i/>
        <sz val="9"/>
        <color indexed="10"/>
        <rFont val="Arial"/>
        <family val="2"/>
      </rPr>
      <t>* 1.065</t>
    </r>
  </si>
  <si>
    <r>
      <t>Naphtha net actual consumption</t>
    </r>
    <r>
      <rPr>
        <b/>
        <sz val="9"/>
        <color indexed="10"/>
        <rFont val="Arial"/>
        <family val="2"/>
      </rPr>
      <t xml:space="preserve"> </t>
    </r>
    <r>
      <rPr>
        <b/>
        <i/>
        <sz val="8"/>
        <color indexed="10"/>
        <rFont val="Arial"/>
        <family val="2"/>
      </rPr>
      <t>(06.-03.)</t>
    </r>
  </si>
  <si>
    <t>Naphtha Gross Inland Deliveries Observed</t>
  </si>
  <si>
    <r>
      <t>Naphtha Yield</t>
    </r>
    <r>
      <rPr>
        <b/>
        <sz val="9"/>
        <color indexed="10"/>
        <rFont val="Arial"/>
        <family val="2"/>
      </rPr>
      <t xml:space="preserve"> </t>
    </r>
    <r>
      <rPr>
        <b/>
        <i/>
        <sz val="8"/>
        <color indexed="10"/>
        <rFont val="Arial"/>
        <family val="2"/>
      </rPr>
      <t>((01.-02.-03.)/04.)</t>
    </r>
  </si>
  <si>
    <t xml:space="preserve">Crude, NGL and Feedstocks Refinery Intake (Calculated) </t>
  </si>
  <si>
    <t>Naphtha Backflows from Petrochemical Sector to Refineries</t>
  </si>
  <si>
    <t>Naphtha Refinery Fuel</t>
  </si>
  <si>
    <t>Naphtha Gross Refinery Output</t>
  </si>
  <si>
    <t>Receipts from other sources</t>
  </si>
  <si>
    <t>Refinery intake (Observed)</t>
  </si>
  <si>
    <t>Refinery gross output</t>
  </si>
  <si>
    <t>Gross inland deliveries (Observed)</t>
  </si>
  <si>
    <t>under official agreement</t>
  </si>
  <si>
    <t>Table 6: CLOSING STOCKS HELD FOR OTHER COUNTRIES UNDER OFFICIAL AGREEMENT, BY BENEFICIARY</t>
  </si>
  <si>
    <t>obligated by law</t>
  </si>
  <si>
    <t>under official agreement*</t>
  </si>
  <si>
    <t>(e) Stocks held by major consumers,</t>
  </si>
  <si>
    <t xml:space="preserve">(j) Stocks held abroad under </t>
  </si>
  <si>
    <t>official agreement (o+p+q)*</t>
  </si>
  <si>
    <t>*  Stocks held abroad under official government agreements (j) are the total of: government (o), stock holding organizations (p), and other stocks (q) held abroad under official government agreements.  The sum of catagories (o), (p) and (q) should equal to category (j) stocks.</t>
  </si>
  <si>
    <t>Gross inland deliveries (Calculated)</t>
  </si>
  <si>
    <r>
      <t>Gross deliveries to the petrochemical industry</t>
    </r>
    <r>
      <rPr>
        <vertAlign val="superscript"/>
        <sz val="9"/>
        <rFont val="Arial"/>
        <family val="2"/>
      </rPr>
      <t>8</t>
    </r>
  </si>
  <si>
    <r>
      <t>Backflows to refineries</t>
    </r>
    <r>
      <rPr>
        <vertAlign val="superscript"/>
        <sz val="9"/>
        <rFont val="Arial"/>
        <family val="2"/>
      </rPr>
      <t>9</t>
    </r>
  </si>
  <si>
    <t>Net deliveries of Total products</t>
  </si>
  <si>
    <t>Memo item shouldn't be greater than the Gross inland deliveries (Observed):</t>
  </si>
  <si>
    <r>
      <t>Stock changes</t>
    </r>
    <r>
      <rPr>
        <vertAlign val="superscript"/>
        <sz val="9"/>
        <rFont val="Arial"/>
        <family val="2"/>
      </rPr>
      <t>6</t>
    </r>
  </si>
  <si>
    <t xml:space="preserve">    and for Total products (Column AC).</t>
  </si>
  <si>
    <t xml:space="preserve">    and for Total products (column AC).</t>
  </si>
  <si>
    <t>Fuel oil-
high sulphur
 (&gt;=1%)</t>
  </si>
  <si>
    <t>Imports (Balance)</t>
  </si>
  <si>
    <t>Exports (Balance)</t>
  </si>
  <si>
    <t>All stocks</t>
  </si>
  <si>
    <t>Backflows to refineries</t>
  </si>
  <si>
    <t>Table 8c: EMERGENCY STOCKS - CLOSING STOCKS HELD ABROAD, OF WHICH PURSUANT TO GOVERNMENT / CSE DELEGATION, BY LOCATION</t>
  </si>
  <si>
    <t>BIOJETKERO</t>
  </si>
  <si>
    <t>NONBIOJETK</t>
  </si>
  <si>
    <t>NONBIODIES</t>
  </si>
  <si>
    <t>GQ</t>
  </si>
  <si>
    <t>MA</t>
  </si>
  <si>
    <t>MOROCCO</t>
  </si>
  <si>
    <r>
      <t>Direct use</t>
    </r>
    <r>
      <rPr>
        <vertAlign val="superscript"/>
        <sz val="9"/>
        <rFont val="Arial"/>
        <family val="2"/>
      </rPr>
      <t>5</t>
    </r>
  </si>
  <si>
    <t>Other
hydro-carbons</t>
  </si>
  <si>
    <t>Total
(A to E)</t>
  </si>
  <si>
    <t>Table 5b: EUROPEAN UNION EMERGENCY STOCK LEVELS under Directive 2009/119/EC</t>
  </si>
  <si>
    <t>Table 5c: EUROPEAN UNION COMMERCIAL STOCKS held by economic operators on national territory under Directive 2009/119/EC</t>
  </si>
  <si>
    <t>Table 9: CLOSING STOCKS HELD ABROAD DESIGNATED DEFINITELY FOR IMPORT INTO YOUR COUNTRY, BY LOCATION</t>
  </si>
  <si>
    <t>ERAILMAR</t>
  </si>
  <si>
    <t>NONBIOGASO</t>
  </si>
  <si>
    <t>Stock changes is Closing level minus Opening level of Stocks on national territory, Table 5 (line 2 minus line 1).</t>
  </si>
  <si>
    <t>Gross deliveries to the petrochemical industry should not be greater than the Gross inland deliveries (Observed).</t>
  </si>
  <si>
    <t xml:space="preserve">2. Total Imports should be equal to the sum of its components for Total (column F) </t>
  </si>
  <si>
    <t xml:space="preserve">2. Total Exports should be equal to the sum of its components for Total (column F) </t>
  </si>
  <si>
    <t>2. Line 4 should be equal to Total stocks for Total (column G) and</t>
  </si>
  <si>
    <t>3. Line 6 should be equal to Total stocks for Total (coulmn G) and</t>
  </si>
  <si>
    <t>Y7</t>
  </si>
  <si>
    <t>Total1</t>
  </si>
  <si>
    <t>Is EU</t>
  </si>
  <si>
    <t>EU member:</t>
  </si>
  <si>
    <t xml:space="preserve">A summary of main discrepancies found in the tables: </t>
  </si>
  <si>
    <t>Stock changes should correspond to Closing level minus Opening level of Stocks on national territory, Table 5 (line 2 minus line 1).</t>
  </si>
  <si>
    <t xml:space="preserve">         - Deliveries to international aviation.</t>
  </si>
  <si>
    <t xml:space="preserve">         - Deliveries to main activity producer power plants.</t>
  </si>
  <si>
    <t xml:space="preserve">1. For All stocks on national territory the Closing minus Opening (line 2 minus line 1) should correspond to Stock changes in Table 1 (line 8) </t>
  </si>
  <si>
    <t>FLOWS THAT ARE RECOGNIZED BUT IGNORED !</t>
  </si>
  <si>
    <t>DATATYPE</t>
  </si>
  <si>
    <t>Item1</t>
  </si>
  <si>
    <t>Product</t>
  </si>
  <si>
    <t>TRANSBAK</t>
  </si>
  <si>
    <t>OTHTONE</t>
  </si>
  <si>
    <t>RECEIPTS</t>
  </si>
  <si>
    <t>DEMAND</t>
  </si>
  <si>
    <t>GASOLINE</t>
  </si>
  <si>
    <t>KEROSENE</t>
  </si>
  <si>
    <t>OTHTTWO</t>
  </si>
  <si>
    <t>CSABRBFG</t>
  </si>
  <si>
    <t>CSABRBFA</t>
  </si>
  <si>
    <t>Key</t>
  </si>
  <si>
    <t>Libya</t>
  </si>
  <si>
    <t>Naphta Stocks (Total)</t>
  </si>
  <si>
    <r>
      <t xml:space="preserve">Products </t>
    </r>
    <r>
      <rPr>
        <b/>
        <sz val="8"/>
        <rFont val="Wingdings"/>
        <charset val="2"/>
      </rPr>
      <t>è</t>
    </r>
  </si>
  <si>
    <t>You can address your questions to the MOS section:</t>
  </si>
  <si>
    <t>mos@iea.org</t>
  </si>
  <si>
    <t>and to Eurostat:</t>
  </si>
  <si>
    <t xml:space="preserve">Before sending your submission, please ensure there are no discrepancies left. </t>
  </si>
  <si>
    <t>KOSOVO</t>
  </si>
  <si>
    <t>XK</t>
  </si>
  <si>
    <t>Albania</t>
  </si>
  <si>
    <t>ALBANIA</t>
  </si>
  <si>
    <t>AL</t>
  </si>
  <si>
    <t>LIECHTEN</t>
  </si>
  <si>
    <t>LI</t>
  </si>
  <si>
    <t>Liechtenstein</t>
  </si>
  <si>
    <t>Kosovo* (under UNSCR 1244/99)</t>
  </si>
  <si>
    <t>KP</t>
  </si>
  <si>
    <t>KOREADPR</t>
  </si>
  <si>
    <t>Moldova</t>
  </si>
  <si>
    <t xml:space="preserve"> TABLE 5b AND TABLE 5c ARE TO BE COMPLETED ONLY BY THE EUROPEAN UNION MEMBER STATES AND ENERGY COMMUNITY CONTRACTING PARTIES.</t>
  </si>
  <si>
    <t xml:space="preserve"> TABLE 8c IS TO BE COMPLETED ONLY BY THE EUROPEAN UNION MEMBER STATES AND ENERGY COMMUNITY CONTRACTING PARTIES.</t>
  </si>
  <si>
    <t>Is Enc</t>
  </si>
  <si>
    <t>EnC member:</t>
  </si>
  <si>
    <t>Total Imports1 2</t>
  </si>
  <si>
    <t>Total Exports1 2</t>
  </si>
  <si>
    <t>Gibraltar</t>
  </si>
  <si>
    <t>GI</t>
  </si>
  <si>
    <t>GIBRALTAR</t>
  </si>
  <si>
    <t>Note: this worksheet concerns only EU Member States / EnC Contracting Parties</t>
  </si>
  <si>
    <t>United States (Barrels)</t>
  </si>
  <si>
    <t>USABBL</t>
  </si>
  <si>
    <t>T4</t>
  </si>
  <si>
    <t>Andorra</t>
  </si>
  <si>
    <t>Aruba</t>
  </si>
  <si>
    <t>Bangladesh</t>
  </si>
  <si>
    <t>Barbados</t>
  </si>
  <si>
    <t>Belize</t>
  </si>
  <si>
    <t>Benin</t>
  </si>
  <si>
    <t>Bolivia</t>
  </si>
  <si>
    <t>British Virgin Islands</t>
  </si>
  <si>
    <t>Cambodia</t>
  </si>
  <si>
    <t>Cape Verde / Cabo Verde</t>
  </si>
  <si>
    <t>China, People's Republic of</t>
  </si>
  <si>
    <t>Costa Rica</t>
  </si>
  <si>
    <t>Côte d’Ivoire</t>
  </si>
  <si>
    <t>Cuba</t>
  </si>
  <si>
    <t>Curaçao</t>
  </si>
  <si>
    <t>Korea, Democratic People's Republic of</t>
  </si>
  <si>
    <t>Congo, Democratic Republic of the</t>
  </si>
  <si>
    <t>Djibouti</t>
  </si>
  <si>
    <t>Dominican Republic</t>
  </si>
  <si>
    <t>Eritrea</t>
  </si>
  <si>
    <t>Ethiopia</t>
  </si>
  <si>
    <t>Ghana</t>
  </si>
  <si>
    <t>Guatemala</t>
  </si>
  <si>
    <t>Guinea-Bissau</t>
  </si>
  <si>
    <t>Honduras</t>
  </si>
  <si>
    <t>Hong Kong, China</t>
  </si>
  <si>
    <t>Iran, Islamic Republic of</t>
  </si>
  <si>
    <t>Jamaica</t>
  </si>
  <si>
    <t>Jordan</t>
  </si>
  <si>
    <t>Kenya</t>
  </si>
  <si>
    <t>Kosovo*</t>
  </si>
  <si>
    <t>Lao People's Democratic Republic</t>
  </si>
  <si>
    <t>Liberia</t>
  </si>
  <si>
    <t>Madagascar</t>
  </si>
  <si>
    <t>Marshall Islands</t>
  </si>
  <si>
    <t>Mauritania</t>
  </si>
  <si>
    <t>Mauritius</t>
  </si>
  <si>
    <t>Moldova, Republic of</t>
  </si>
  <si>
    <t>Mongolia</t>
  </si>
  <si>
    <t>Mozambique</t>
  </si>
  <si>
    <t>Myanmar</t>
  </si>
  <si>
    <t>Namibia</t>
  </si>
  <si>
    <t>Nepal</t>
  </si>
  <si>
    <t>New Caledonia</t>
  </si>
  <si>
    <t>Other Asia Oceania</t>
  </si>
  <si>
    <t>Other Non-OECD Americas</t>
  </si>
  <si>
    <t>Panama</t>
  </si>
  <si>
    <t>Sao Tome and Principe</t>
  </si>
  <si>
    <t>Senegal</t>
  </si>
  <si>
    <t>Sierra Leone</t>
  </si>
  <si>
    <t>South Sudan</t>
  </si>
  <si>
    <t>Sri Lanka</t>
  </si>
  <si>
    <t>Sudan</t>
  </si>
  <si>
    <t>Taiwan / Chinese Taipei</t>
  </si>
  <si>
    <t>Tanzania, United Republic of</t>
  </si>
  <si>
    <t>Timor-Leste</t>
  </si>
  <si>
    <t>Togo</t>
  </si>
  <si>
    <t>Uganda</t>
  </si>
  <si>
    <t>Uruguay</t>
  </si>
  <si>
    <t>Venezuela, Bolivarian Republic</t>
  </si>
  <si>
    <t>Viet Nam</t>
  </si>
  <si>
    <t>Not elsewhere specified</t>
  </si>
  <si>
    <t>ANDORRA</t>
  </si>
  <si>
    <t>AW</t>
  </si>
  <si>
    <t>ARUBA</t>
  </si>
  <si>
    <t>BD</t>
  </si>
  <si>
    <t>BANGLADESH</t>
  </si>
  <si>
    <t>BB</t>
  </si>
  <si>
    <t>BARBADOS</t>
  </si>
  <si>
    <t>BZ</t>
  </si>
  <si>
    <t>BELIZE</t>
  </si>
  <si>
    <t>BJ</t>
  </si>
  <si>
    <t>BENIN</t>
  </si>
  <si>
    <t>BO</t>
  </si>
  <si>
    <t>BOLIVIA</t>
  </si>
  <si>
    <t>VG</t>
  </si>
  <si>
    <t>BRITVIRGIN</t>
  </si>
  <si>
    <t>KH</t>
  </si>
  <si>
    <t>CAMBODIA</t>
  </si>
  <si>
    <t>CV</t>
  </si>
  <si>
    <t>CABOVERDE</t>
  </si>
  <si>
    <t>CR</t>
  </si>
  <si>
    <t>COSTARICA</t>
  </si>
  <si>
    <t>CI</t>
  </si>
  <si>
    <t>COTEIVOIRE</t>
  </si>
  <si>
    <t>CU</t>
  </si>
  <si>
    <t>CUBA</t>
  </si>
  <si>
    <t>CW</t>
  </si>
  <si>
    <t>CURACAO</t>
  </si>
  <si>
    <t>DJ</t>
  </si>
  <si>
    <t>DJIBOUTI</t>
  </si>
  <si>
    <t>DO</t>
  </si>
  <si>
    <t>DOMINICANR</t>
  </si>
  <si>
    <t>ER</t>
  </si>
  <si>
    <t>ERITREA</t>
  </si>
  <si>
    <t>ET</t>
  </si>
  <si>
    <t>ETHIOPIA</t>
  </si>
  <si>
    <t>GH</t>
  </si>
  <si>
    <t>GHANA</t>
  </si>
  <si>
    <t>GT</t>
  </si>
  <si>
    <t>GUATEMALA</t>
  </si>
  <si>
    <t>GW</t>
  </si>
  <si>
    <t>GUINEABIS</t>
  </si>
  <si>
    <t>HN</t>
  </si>
  <si>
    <t>HONDURAS</t>
  </si>
  <si>
    <t>JM</t>
  </si>
  <si>
    <t>JAMAICA</t>
  </si>
  <si>
    <t>JO</t>
  </si>
  <si>
    <t>JORDAN</t>
  </si>
  <si>
    <t>KE</t>
  </si>
  <si>
    <t>KENYA</t>
  </si>
  <si>
    <t>LA</t>
  </si>
  <si>
    <t>LR</t>
  </si>
  <si>
    <t>LIBERIA</t>
  </si>
  <si>
    <t>LIECHTENST</t>
  </si>
  <si>
    <t>MG</t>
  </si>
  <si>
    <t>MADAGASCAR</t>
  </si>
  <si>
    <t>MH</t>
  </si>
  <si>
    <t>MARSHALL</t>
  </si>
  <si>
    <t>MR</t>
  </si>
  <si>
    <t>MAURITANIA</t>
  </si>
  <si>
    <t>MU</t>
  </si>
  <si>
    <t>MAURITIUS</t>
  </si>
  <si>
    <t>MN</t>
  </si>
  <si>
    <t>MONGOLIA</t>
  </si>
  <si>
    <t>MZ</t>
  </si>
  <si>
    <t>MOZAMBIQUE</t>
  </si>
  <si>
    <t>MM</t>
  </si>
  <si>
    <t>MYANMAR</t>
  </si>
  <si>
    <t>NA</t>
  </si>
  <si>
    <t>NAMIBIA</t>
  </si>
  <si>
    <t>NP</t>
  </si>
  <si>
    <t>NEPAL</t>
  </si>
  <si>
    <t>NC</t>
  </si>
  <si>
    <t>NEWCALEDON</t>
  </si>
  <si>
    <t>PA</t>
  </si>
  <si>
    <t>PANAMA</t>
  </si>
  <si>
    <t>ST</t>
  </si>
  <si>
    <t>SAOTOME</t>
  </si>
  <si>
    <t>SN</t>
  </si>
  <si>
    <t>SENEGAL</t>
  </si>
  <si>
    <t>SL</t>
  </si>
  <si>
    <t>SIERRALEON</t>
  </si>
  <si>
    <t>SS</t>
  </si>
  <si>
    <t>SSUDAN</t>
  </si>
  <si>
    <t>LK</t>
  </si>
  <si>
    <t>SRILANKA</t>
  </si>
  <si>
    <t>SD</t>
  </si>
  <si>
    <t>SUDAN</t>
  </si>
  <si>
    <t>TZ</t>
  </si>
  <si>
    <t>TANZANIA</t>
  </si>
  <si>
    <t>TL</t>
  </si>
  <si>
    <t>TIMORLESTE</t>
  </si>
  <si>
    <t>TG</t>
  </si>
  <si>
    <t>TOGO</t>
  </si>
  <si>
    <t>UG</t>
  </si>
  <si>
    <t>UGANDA</t>
  </si>
  <si>
    <t>UY</t>
  </si>
  <si>
    <t>URUGUAY</t>
  </si>
  <si>
    <t>* This designation is without prejudice to positions on status, and is line with UNSCR 1244 and the ICJ Opinion on the Kosovo declaration of independence.</t>
  </si>
  <si>
    <t>ENERGY_PRODUCT</t>
  </si>
  <si>
    <t>O4100</t>
  </si>
  <si>
    <t>O4200</t>
  </si>
  <si>
    <t>O4300</t>
  </si>
  <si>
    <t>O4400</t>
  </si>
  <si>
    <t>O4410</t>
  </si>
  <si>
    <t>O4500</t>
  </si>
  <si>
    <t>O4A00</t>
  </si>
  <si>
    <t>*** DSD codes ***</t>
  </si>
  <si>
    <t>REF_AREA</t>
  </si>
  <si>
    <t>MAIN_FLOW</t>
  </si>
  <si>
    <t>FLOW_BREAKDOWN</t>
  </si>
  <si>
    <t>PLANT_TECH</t>
  </si>
  <si>
    <t>PLANT_TYPE</t>
  </si>
  <si>
    <t>INFRASTRUCTURE_IND</t>
  </si>
  <si>
    <t>VIS_A_VIS_AREA</t>
  </si>
  <si>
    <t>MEASURE_VALUE_TYPE</t>
  </si>
  <si>
    <t>FACILITY_ID</t>
  </si>
  <si>
    <t>UNIT_MEASURE</t>
  </si>
  <si>
    <t>Row 1000</t>
  </si>
  <si>
    <t>PRODUCT</t>
  </si>
  <si>
    <t>_Z</t>
  </si>
  <si>
    <t>WEIGHT</t>
  </si>
  <si>
    <t>KT</t>
  </si>
  <si>
    <t>SUPPLY</t>
  </si>
  <si>
    <t>TRANSFER</t>
  </si>
  <si>
    <t>STOCKCH</t>
  </si>
  <si>
    <t>NATTER</t>
  </si>
  <si>
    <t>LOSSES</t>
  </si>
  <si>
    <t>O4610</t>
  </si>
  <si>
    <t>O4620</t>
  </si>
  <si>
    <t>O4630</t>
  </si>
  <si>
    <t>O4640</t>
  </si>
  <si>
    <t>O4652</t>
  </si>
  <si>
    <t>R5212</t>
  </si>
  <si>
    <t>O4657</t>
  </si>
  <si>
    <t>O4651</t>
  </si>
  <si>
    <t>O4653</t>
  </si>
  <si>
    <t>O4661</t>
  </si>
  <si>
    <t>R5232</t>
  </si>
  <si>
    <t>O4667</t>
  </si>
  <si>
    <t>O4669</t>
  </si>
  <si>
    <t>O4678</t>
  </si>
  <si>
    <t>O4679</t>
  </si>
  <si>
    <t>O4671</t>
  </si>
  <si>
    <t>R5222</t>
  </si>
  <si>
    <t>O4677</t>
  </si>
  <si>
    <t>O4680</t>
  </si>
  <si>
    <t>O4681</t>
  </si>
  <si>
    <t>O4682</t>
  </si>
  <si>
    <t>O4694</t>
  </si>
  <si>
    <t>O4000</t>
  </si>
  <si>
    <t>ENERGUSE</t>
  </si>
  <si>
    <t>MARBUNK</t>
  </si>
  <si>
    <t>INLDEMC</t>
  </si>
  <si>
    <t>INLDEMO</t>
  </si>
  <si>
    <t>INTLAIR</t>
  </si>
  <si>
    <t>TRANSFOR</t>
  </si>
  <si>
    <t>MAINTOT</t>
  </si>
  <si>
    <t>ROAD</t>
  </si>
  <si>
    <t>RAILMAR</t>
  </si>
  <si>
    <t>CONSUMPT</t>
  </si>
  <si>
    <t>PETCHEM</t>
  </si>
  <si>
    <t>NETDELIV</t>
  </si>
  <si>
    <t>_T</t>
  </si>
  <si>
    <t>O4600</t>
  </si>
  <si>
    <t>OX1</t>
  </si>
  <si>
    <t>OX2</t>
  </si>
  <si>
    <t>OX3</t>
  </si>
  <si>
    <t>OX4</t>
  </si>
  <si>
    <t>OX5</t>
  </si>
  <si>
    <t>OX6</t>
  </si>
  <si>
    <t>TW</t>
  </si>
  <si>
    <t>_X</t>
  </si>
  <si>
    <t>OPESTLV</t>
  </si>
  <si>
    <t>CLOSTLV</t>
  </si>
  <si>
    <t>FOTHBIL</t>
  </si>
  <si>
    <t>FOTHEXP</t>
  </si>
  <si>
    <t>BONDED</t>
  </si>
  <si>
    <t>MAJCON</t>
  </si>
  <si>
    <t>VESSEL</t>
  </si>
  <si>
    <t>GVNAT</t>
  </si>
  <si>
    <t>AGNAT</t>
  </si>
  <si>
    <t>ALLOTHER</t>
  </si>
  <si>
    <t>ABRBIL</t>
  </si>
  <si>
    <t>ABRIMP</t>
  </si>
  <si>
    <t>IEACOV</t>
  </si>
  <si>
    <t>OBONDED</t>
  </si>
  <si>
    <t>PIPE</t>
  </si>
  <si>
    <t>GVABRBIL</t>
  </si>
  <si>
    <t>AGABRBIL</t>
  </si>
  <si>
    <t>INDABRBIL</t>
  </si>
  <si>
    <t>Data sheet</t>
  </si>
  <si>
    <t>Parameter sheet</t>
  </si>
  <si>
    <t>Table 1</t>
  </si>
  <si>
    <t>Parameters</t>
  </si>
  <si>
    <t>Table 2</t>
  </si>
  <si>
    <t>Table 3</t>
  </si>
  <si>
    <t>Table 4</t>
  </si>
  <si>
    <t>Table 5</t>
  </si>
  <si>
    <t>Table 5b_5c</t>
  </si>
  <si>
    <t>Table 6</t>
  </si>
  <si>
    <t>Table 6b</t>
  </si>
  <si>
    <t>Table 7</t>
  </si>
  <si>
    <t>Table 8</t>
  </si>
  <si>
    <t>Table 8b</t>
  </si>
  <si>
    <t>Table 8c</t>
  </si>
  <si>
    <t>Table 9</t>
  </si>
  <si>
    <t>Element</t>
  </si>
  <si>
    <t>Type</t>
  </si>
  <si>
    <t>PosType</t>
  </si>
  <si>
    <t>Position</t>
  </si>
  <si>
    <t>DataStart</t>
  </si>
  <si>
    <t>C8</t>
  </si>
  <si>
    <t>QUEST_SOURCE</t>
  </si>
  <si>
    <t>DIM</t>
  </si>
  <si>
    <t>FIX</t>
  </si>
  <si>
    <t>M_OIL</t>
  </si>
  <si>
    <t>DataEnd</t>
  </si>
  <si>
    <t>FREQ</t>
  </si>
  <si>
    <t>SkipIncompleteKeys</t>
  </si>
  <si>
    <t>true</t>
  </si>
  <si>
    <t>ROW</t>
  </si>
  <si>
    <t>COLUMN</t>
  </si>
  <si>
    <t>DU</t>
  </si>
  <si>
    <t>DV</t>
  </si>
  <si>
    <t>DW</t>
  </si>
  <si>
    <t>DX</t>
  </si>
  <si>
    <t>DY</t>
  </si>
  <si>
    <t>EA</t>
  </si>
  <si>
    <t>EB</t>
  </si>
  <si>
    <t>TIME_PERIOD</t>
  </si>
  <si>
    <t>ATT</t>
  </si>
  <si>
    <t>ED</t>
  </si>
  <si>
    <t>OBS_STATUS</t>
  </si>
  <si>
    <t>SKIP</t>
  </si>
  <si>
    <t>CONF_STATUS</t>
  </si>
  <si>
    <t>COMMENT_OBS</t>
  </si>
  <si>
    <t>FACILITY_TYPE</t>
  </si>
  <si>
    <t>FACILITY_NAME</t>
  </si>
  <si>
    <t>FOTHBILT</t>
  </si>
  <si>
    <t>ABRBILT</t>
  </si>
  <si>
    <t>EUCSEABR</t>
  </si>
  <si>
    <t>EUEMSNAT</t>
  </si>
  <si>
    <t>EUFOTHBI</t>
  </si>
  <si>
    <t>EUFOTHEX</t>
  </si>
  <si>
    <t>EUGVNAT</t>
  </si>
  <si>
    <t>EUCSENAT</t>
  </si>
  <si>
    <t>EUECONAT</t>
  </si>
  <si>
    <t>EUABRBIL</t>
  </si>
  <si>
    <t>EUABRIMP</t>
  </si>
  <si>
    <t>EUEMSDIR</t>
  </si>
  <si>
    <t>REFGROUTMO</t>
  </si>
  <si>
    <t>REFFUELMO</t>
  </si>
  <si>
    <t>TOTIMPSBMO</t>
  </si>
  <si>
    <t>TOTEXPSBMO</t>
  </si>
  <si>
    <t>REFINCALMO</t>
  </si>
  <si>
    <t>INTMARBUMO</t>
  </si>
  <si>
    <t>INLDEMOMO</t>
  </si>
  <si>
    <t>OPESTLVMO</t>
  </si>
  <si>
    <t>CLOSTLVMO</t>
  </si>
  <si>
    <t>BACKFLOWMO</t>
  </si>
  <si>
    <t>EUMINCOMP</t>
  </si>
  <si>
    <t>DAILYNET</t>
  </si>
  <si>
    <t>DAILYINL</t>
  </si>
  <si>
    <t>DAYS</t>
  </si>
  <si>
    <t>NR</t>
  </si>
  <si>
    <t>EUEMSDENA</t>
  </si>
  <si>
    <t>EUEMSMIME</t>
  </si>
  <si>
    <t>EUEMSCALC</t>
  </si>
  <si>
    <t>EUCOMNAT</t>
  </si>
  <si>
    <t>LEVEL OF DAILY NET IMPORTS OR DAILY CONSUMPTION (ANNEX I AND II OF DIRECTIVE 2009/119/EC)</t>
  </si>
  <si>
    <t>Determine Obligation based on Net Imports</t>
  </si>
  <si>
    <t>Determine Obligation based on Inland Consumption</t>
  </si>
  <si>
    <t>Annex I of the Directive</t>
  </si>
  <si>
    <t>Annex II of the Directive</t>
  </si>
  <si>
    <t>Crude oil component (Crude oil net imports adjusted for stock change)</t>
  </si>
  <si>
    <r>
      <t xml:space="preserve">Net imports of Crude, NGL, Feedstocks adjusted for stock change  </t>
    </r>
    <r>
      <rPr>
        <b/>
        <i/>
        <sz val="9"/>
        <color indexed="10"/>
        <rFont val="Arial"/>
        <family val="2"/>
      </rPr>
      <t>(01.-02.-(04.-03.))</t>
    </r>
  </si>
  <si>
    <r>
      <t>Naphtha Yield</t>
    </r>
    <r>
      <rPr>
        <b/>
        <sz val="9"/>
        <color indexed="10"/>
        <rFont val="Arial"/>
        <family val="2"/>
      </rPr>
      <t xml:space="preserve"> </t>
    </r>
    <r>
      <rPr>
        <b/>
        <i/>
        <sz val="9"/>
        <color indexed="10"/>
        <rFont val="Arial"/>
        <family val="2"/>
      </rPr>
      <t>((06.-07.-08.)/09.)</t>
    </r>
  </si>
  <si>
    <t>Step 3</t>
  </si>
  <si>
    <t>Naphtha actual consumption</t>
  </si>
  <si>
    <r>
      <t>Naphtha net actual consumption</t>
    </r>
    <r>
      <rPr>
        <b/>
        <sz val="9"/>
        <color indexed="10"/>
        <rFont val="Arial"/>
        <family val="2"/>
      </rPr>
      <t xml:space="preserve"> </t>
    </r>
    <r>
      <rPr>
        <b/>
        <i/>
        <sz val="9"/>
        <color indexed="10"/>
        <rFont val="Arial"/>
        <family val="2"/>
      </rPr>
      <t>(11.-08.)</t>
    </r>
  </si>
  <si>
    <r>
      <t xml:space="preserve">Crude oil equivalent of Naphtha actual consumption </t>
    </r>
    <r>
      <rPr>
        <b/>
        <i/>
        <sz val="9"/>
        <color indexed="10"/>
        <rFont val="Arial"/>
        <family val="2"/>
      </rPr>
      <t>(07.) * 1.065</t>
    </r>
  </si>
  <si>
    <r>
      <t xml:space="preserve">Net imports of Products adjusted for stock change </t>
    </r>
    <r>
      <rPr>
        <b/>
        <sz val="9"/>
        <color indexed="10"/>
        <rFont val="Arial"/>
        <family val="2"/>
      </rPr>
      <t>(</t>
    </r>
    <r>
      <rPr>
        <b/>
        <i/>
        <sz val="9"/>
        <color indexed="10"/>
        <rFont val="Arial"/>
        <family val="2"/>
      </rPr>
      <t>14.</t>
    </r>
    <r>
      <rPr>
        <b/>
        <sz val="9"/>
        <color indexed="10"/>
        <rFont val="Arial"/>
        <family val="2"/>
      </rPr>
      <t>-</t>
    </r>
    <r>
      <rPr>
        <b/>
        <i/>
        <sz val="9"/>
        <color indexed="10"/>
        <rFont val="Arial"/>
        <family val="2"/>
      </rPr>
      <t>15.</t>
    </r>
    <r>
      <rPr>
        <b/>
        <sz val="9"/>
        <color indexed="10"/>
        <rFont val="Arial"/>
        <family val="2"/>
      </rPr>
      <t>)-</t>
    </r>
    <r>
      <rPr>
        <b/>
        <i/>
        <sz val="9"/>
        <color indexed="10"/>
        <rFont val="Arial"/>
        <family val="2"/>
      </rPr>
      <t>(16.-17.</t>
    </r>
    <r>
      <rPr>
        <b/>
        <sz val="9"/>
        <color indexed="10"/>
        <rFont val="Arial"/>
        <family val="2"/>
      </rPr>
      <t>)-(18.</t>
    </r>
    <r>
      <rPr>
        <b/>
        <i/>
        <sz val="9"/>
        <color indexed="10"/>
        <rFont val="Arial"/>
        <family val="2"/>
      </rPr>
      <t>-19.</t>
    </r>
    <r>
      <rPr>
        <b/>
        <sz val="9"/>
        <color indexed="10"/>
        <rFont val="Arial"/>
        <family val="2"/>
      </rPr>
      <t>)-(</t>
    </r>
    <r>
      <rPr>
        <b/>
        <i/>
        <sz val="9"/>
        <color indexed="10"/>
        <rFont val="Arial"/>
        <family val="2"/>
      </rPr>
      <t>21.-23.-(20.-22.</t>
    </r>
    <r>
      <rPr>
        <b/>
        <sz val="9"/>
        <color indexed="10"/>
        <rFont val="Arial"/>
        <family val="2"/>
      </rPr>
      <t>))</t>
    </r>
  </si>
  <si>
    <r>
      <t>Crude oil equivalent of Net imports of petroleum products</t>
    </r>
    <r>
      <rPr>
        <b/>
        <i/>
        <sz val="9"/>
        <rFont val="Arial"/>
        <family val="2"/>
      </rPr>
      <t xml:space="preserve"> </t>
    </r>
    <r>
      <rPr>
        <b/>
        <i/>
        <sz val="9"/>
        <color indexed="10"/>
        <rFont val="Arial"/>
        <family val="2"/>
      </rPr>
      <t>(24.) *  1.065</t>
    </r>
  </si>
  <si>
    <t>MS has chosen the following method for calculating the deduction for naphtha yield:</t>
  </si>
  <si>
    <t>Method to calculate the average daily imports and associated commitments on the basis of:</t>
  </si>
  <si>
    <t>Method 1  (4%)</t>
  </si>
  <si>
    <r>
      <t>Net Imports (Crude and petroleum products)</t>
    </r>
    <r>
      <rPr>
        <b/>
        <sz val="9"/>
        <color indexed="10"/>
        <rFont val="Arial"/>
        <family val="2"/>
      </rPr>
      <t xml:space="preserve"> </t>
    </r>
    <r>
      <rPr>
        <b/>
        <i/>
        <sz val="9"/>
        <color indexed="10"/>
        <rFont val="Arial"/>
        <family val="2"/>
      </rPr>
      <t>(05. * 0.96 +25.)</t>
    </r>
  </si>
  <si>
    <r>
      <t>Daily Net Imports</t>
    </r>
    <r>
      <rPr>
        <b/>
        <sz val="9"/>
        <color indexed="10"/>
        <rFont val="Arial"/>
        <family val="2"/>
      </rPr>
      <t xml:space="preserve"> </t>
    </r>
    <r>
      <rPr>
        <b/>
        <i/>
        <sz val="9"/>
        <color indexed="10"/>
        <rFont val="Arial"/>
        <family val="2"/>
      </rPr>
      <t>(26.) / days of year</t>
    </r>
  </si>
  <si>
    <r>
      <t xml:space="preserve">90 Days Committment </t>
    </r>
    <r>
      <rPr>
        <b/>
        <i/>
        <sz val="9"/>
        <color indexed="10"/>
        <rFont val="Arial"/>
        <family val="2"/>
      </rPr>
      <t>(27.) * 90</t>
    </r>
  </si>
  <si>
    <t>Method 2  (Avegare naphtha yield)</t>
  </si>
  <si>
    <r>
      <t xml:space="preserve">Net Imports  (Crude and petroleum products) </t>
    </r>
    <r>
      <rPr>
        <b/>
        <i/>
        <sz val="9"/>
        <color indexed="10"/>
        <rFont val="Arial"/>
        <family val="2"/>
      </rPr>
      <t>(05.-05.*10.+25.)</t>
    </r>
  </si>
  <si>
    <r>
      <t>Daily Net Imports</t>
    </r>
    <r>
      <rPr>
        <i/>
        <sz val="9"/>
        <rFont val="Arial"/>
        <family val="2"/>
      </rPr>
      <t xml:space="preserve"> </t>
    </r>
    <r>
      <rPr>
        <b/>
        <i/>
        <sz val="9"/>
        <color indexed="10"/>
        <rFont val="Arial"/>
        <family val="2"/>
      </rPr>
      <t>(29.) / days of year</t>
    </r>
  </si>
  <si>
    <r>
      <t>90 Days Committment</t>
    </r>
    <r>
      <rPr>
        <b/>
        <i/>
        <sz val="9"/>
        <color indexed="10"/>
        <rFont val="Arial"/>
        <family val="2"/>
      </rPr>
      <t xml:space="preserve"> (30.) * 90</t>
    </r>
  </si>
  <si>
    <t>Method 3  (Net actual naphtha consumption)</t>
  </si>
  <si>
    <r>
      <t xml:space="preserve">Inland Consumption </t>
    </r>
    <r>
      <rPr>
        <b/>
        <i/>
        <sz val="9"/>
        <color indexed="10"/>
        <rFont val="Arial"/>
        <family val="2"/>
      </rPr>
      <t>(35.+36.+37.+38.+39.+40.+41.)</t>
    </r>
  </si>
  <si>
    <r>
      <t xml:space="preserve">Net Imports (Crude and petroleum products) </t>
    </r>
    <r>
      <rPr>
        <b/>
        <i/>
        <sz val="9"/>
        <color indexed="10"/>
        <rFont val="Arial"/>
        <family val="2"/>
      </rPr>
      <t>(05.-13.+25.)</t>
    </r>
  </si>
  <si>
    <r>
      <t xml:space="preserve">Crude oil equivalent of Inland Consumption </t>
    </r>
    <r>
      <rPr>
        <b/>
        <i/>
        <sz val="9"/>
        <color indexed="10"/>
        <rFont val="Arial"/>
        <family val="2"/>
      </rPr>
      <t>(42.) * 1.2</t>
    </r>
  </si>
  <si>
    <r>
      <t xml:space="preserve">Daily Net Imports </t>
    </r>
    <r>
      <rPr>
        <b/>
        <i/>
        <sz val="9"/>
        <color indexed="10"/>
        <rFont val="Arial"/>
        <family val="2"/>
      </rPr>
      <t>(32.) / days of year</t>
    </r>
  </si>
  <si>
    <r>
      <t xml:space="preserve">Daily Consumption  </t>
    </r>
    <r>
      <rPr>
        <b/>
        <i/>
        <sz val="9"/>
        <color indexed="10"/>
        <rFont val="Arial"/>
        <family val="2"/>
      </rPr>
      <t>(43.) / days of year</t>
    </r>
  </si>
  <si>
    <r>
      <t xml:space="preserve">90 Days Committment  </t>
    </r>
    <r>
      <rPr>
        <b/>
        <i/>
        <sz val="9"/>
        <color indexed="10"/>
        <rFont val="Arial"/>
        <family val="2"/>
      </rPr>
      <t>(33.) * 90</t>
    </r>
  </si>
  <si>
    <r>
      <t>61 Days Committment</t>
    </r>
    <r>
      <rPr>
        <b/>
        <sz val="9"/>
        <color indexed="10"/>
        <rFont val="Arial"/>
        <family val="2"/>
      </rPr>
      <t xml:space="preserve"> </t>
    </r>
    <r>
      <rPr>
        <b/>
        <i/>
        <sz val="9"/>
        <color indexed="10"/>
        <rFont val="Arial"/>
        <family val="2"/>
      </rPr>
      <t>(44.) * 61</t>
    </r>
  </si>
  <si>
    <t>Supporting text for VLOOKUP functions in row 111</t>
  </si>
  <si>
    <t xml:space="preserve">Supporting calculation to 47.    </t>
  </si>
  <si>
    <t>4% default value for naphtha yield</t>
  </si>
  <si>
    <t>M1</t>
  </si>
  <si>
    <t>M2</t>
  </si>
  <si>
    <t>M3</t>
  </si>
  <si>
    <t>TIC</t>
  </si>
  <si>
    <t>Select between the Step 5 - Net Imports Approach and the Step 6 - Inland Consumption Approach</t>
  </si>
  <si>
    <t>The avegare naphtha yield</t>
  </si>
  <si>
    <t>that leads to the maximum obligation; note corresponding average daily figures</t>
  </si>
  <si>
    <t>The net actual naphtha consumption</t>
  </si>
  <si>
    <t>Daily Net Imports or Inland Consumption for compliance</t>
  </si>
  <si>
    <t>Level of Emergency Stocks in Days Equivalent (Annex III of the Directive)</t>
  </si>
  <si>
    <t>Annex III (a)</t>
  </si>
  <si>
    <t>Annex III (b)</t>
  </si>
  <si>
    <t>Step 8a</t>
  </si>
  <si>
    <t>Step 8b</t>
  </si>
  <si>
    <r>
      <t xml:space="preserve">Crude Oil Stocks corrected for naphtha </t>
    </r>
    <r>
      <rPr>
        <b/>
        <i/>
        <sz val="9"/>
        <rFont val="Arial"/>
        <family val="2"/>
      </rPr>
      <t xml:space="preserve"> </t>
    </r>
    <r>
      <rPr>
        <b/>
        <i/>
        <sz val="9"/>
        <color indexed="10"/>
        <rFont val="Arial"/>
        <family val="2"/>
      </rPr>
      <t>(48.) * 0.96</t>
    </r>
  </si>
  <si>
    <t>Step 9a</t>
  </si>
  <si>
    <t>Step 9b</t>
  </si>
  <si>
    <t>STOCKS - Petroleum Products Component - Annex III (a)</t>
  </si>
  <si>
    <t>STOCKS - Petroleum Products Component - Annex III (b)</t>
  </si>
  <si>
    <r>
      <t xml:space="preserve">Product Stocks </t>
    </r>
    <r>
      <rPr>
        <b/>
        <i/>
        <sz val="9"/>
        <color indexed="10"/>
        <rFont val="Arial"/>
        <family val="2"/>
      </rPr>
      <t>(50.</t>
    </r>
    <r>
      <rPr>
        <b/>
        <sz val="9"/>
        <color indexed="10"/>
        <rFont val="Arial"/>
        <family val="2"/>
      </rPr>
      <t>-5</t>
    </r>
    <r>
      <rPr>
        <b/>
        <i/>
        <sz val="9"/>
        <color indexed="10"/>
        <rFont val="Arial"/>
        <family val="2"/>
      </rPr>
      <t>1.)</t>
    </r>
  </si>
  <si>
    <r>
      <t xml:space="preserve">Crude oil equivalent of Petroleum Products Stocks </t>
    </r>
    <r>
      <rPr>
        <b/>
        <i/>
        <sz val="9"/>
        <color indexed="10"/>
        <rFont val="Arial"/>
        <family val="2"/>
      </rPr>
      <t>(52.) * 1.065</t>
    </r>
  </si>
  <si>
    <r>
      <t>Product Stocks</t>
    </r>
    <r>
      <rPr>
        <b/>
        <i/>
        <sz val="9"/>
        <rFont val="Arial"/>
        <family val="2"/>
      </rPr>
      <t xml:space="preserve"> </t>
    </r>
    <r>
      <rPr>
        <b/>
        <i/>
        <sz val="9"/>
        <color indexed="10"/>
        <rFont val="Arial"/>
        <family val="2"/>
      </rPr>
      <t>(54.+55.+56.+57.+58.+59.+60.)</t>
    </r>
  </si>
  <si>
    <r>
      <t xml:space="preserve">Crude oil equivalent of Petroleum Product Stocks  </t>
    </r>
    <r>
      <rPr>
        <b/>
        <i/>
        <sz val="9"/>
        <color indexed="10"/>
        <rFont val="Arial"/>
        <family val="2"/>
      </rPr>
      <t>(61.) * 1.2</t>
    </r>
  </si>
  <si>
    <t>Step 10a</t>
  </si>
  <si>
    <t>Step 10b</t>
  </si>
  <si>
    <t>STOCKS - Total Emergency stocks - Annex III (a)</t>
  </si>
  <si>
    <t>STOCKS - Total Emergency stocks - Annex III (b)</t>
  </si>
  <si>
    <r>
      <t xml:space="preserve">Emergency Stocks corrected for tank bottoms - Annex III (a) </t>
    </r>
    <r>
      <rPr>
        <b/>
        <i/>
        <sz val="9"/>
        <color indexed="10"/>
        <rFont val="Arial"/>
        <family val="2"/>
      </rPr>
      <t>(49.+53.) * 0.9</t>
    </r>
  </si>
  <si>
    <r>
      <t xml:space="preserve">Emergency Stocks corrected for tank bottoms -  Annex III (b) </t>
    </r>
    <r>
      <rPr>
        <b/>
        <i/>
        <sz val="9"/>
        <color indexed="10"/>
        <rFont val="Arial"/>
        <family val="2"/>
      </rPr>
      <t>(49.+62.) * 0.9</t>
    </r>
  </si>
  <si>
    <r>
      <t xml:space="preserve">Days Equivalent </t>
    </r>
    <r>
      <rPr>
        <b/>
        <i/>
        <sz val="9"/>
        <color indexed="10"/>
        <rFont val="Arial"/>
        <family val="2"/>
      </rPr>
      <t>(63./47.)</t>
    </r>
  </si>
  <si>
    <r>
      <t xml:space="preserve">Days Equivalent </t>
    </r>
    <r>
      <rPr>
        <b/>
        <sz val="9"/>
        <color indexed="10"/>
        <rFont val="Arial"/>
        <family val="2"/>
      </rPr>
      <t>(</t>
    </r>
    <r>
      <rPr>
        <b/>
        <i/>
        <sz val="9"/>
        <color indexed="10"/>
        <rFont val="Arial"/>
        <family val="2"/>
      </rPr>
      <t>65.</t>
    </r>
    <r>
      <rPr>
        <b/>
        <sz val="9"/>
        <color indexed="10"/>
        <rFont val="Arial"/>
        <family val="2"/>
      </rPr>
      <t>/4</t>
    </r>
    <r>
      <rPr>
        <b/>
        <i/>
        <sz val="9"/>
        <color indexed="10"/>
        <rFont val="Arial"/>
        <family val="2"/>
      </rPr>
      <t>7.</t>
    </r>
    <r>
      <rPr>
        <b/>
        <sz val="9"/>
        <color indexed="10"/>
        <rFont val="Arial"/>
        <family val="2"/>
      </rPr>
      <t>)</t>
    </r>
  </si>
  <si>
    <t>Value from Line 64 or Line 66 according to MS selection of the Annex III approach</t>
  </si>
  <si>
    <t>Method used for calculating the deduction for naphtha yield</t>
  </si>
  <si>
    <t>Minimum stock level calculated based on:</t>
  </si>
  <si>
    <t>Minimum stock level for compliance</t>
  </si>
  <si>
    <t>Daily Net Imports for compliance</t>
  </si>
  <si>
    <t>Daily Inland Consumption for compliance</t>
  </si>
  <si>
    <t>Method used for calculating the emergency stocks</t>
  </si>
  <si>
    <t>NOTE: This variable is valid from January 2020</t>
  </si>
  <si>
    <t>Brexit date</t>
  </si>
  <si>
    <t>reference date</t>
  </si>
  <si>
    <t>After Brexit?</t>
  </si>
  <si>
    <t>(1=yes, 2= no)</t>
  </si>
  <si>
    <t>Niger</t>
  </si>
  <si>
    <t>NE</t>
  </si>
  <si>
    <t>NIGER</t>
  </si>
  <si>
    <t>North Macedonia</t>
  </si>
  <si>
    <t>METHOD 3  (Naphtha Actual Consumption)</t>
  </si>
  <si>
    <t>METHOD 2  (Actual Naphtha Yield)</t>
  </si>
  <si>
    <t>min</t>
  </si>
  <si>
    <t>OBLIGTYPE</t>
  </si>
  <si>
    <t>DAYNETIMP</t>
  </si>
  <si>
    <t>NAPHDEDUC</t>
  </si>
  <si>
    <t>DAYINLCON</t>
  </si>
  <si>
    <t>MINCOMP</t>
  </si>
  <si>
    <t>estat-energy-monthly@ec.europa.eu</t>
  </si>
  <si>
    <t>1. Total Imports of Total (F165) should be equal to Imports (Balance) of Total in Table 1 (G5)</t>
  </si>
  <si>
    <t xml:space="preserve">    and Total Imports of Total products (AC165) should be equal to Imports (Balance) of Total products in Table 2 (Z5).</t>
  </si>
  <si>
    <t>1. Total Exports of Total (F165) should be equal to Exports (Balance) of Total in Table 1 (G6)</t>
  </si>
  <si>
    <t xml:space="preserve">    and Total Exports of Total products (AC165) should be equal to Exports (Balance) of Total products in Table 2 (Z6).</t>
  </si>
  <si>
    <t xml:space="preserve">All data should be entered in thousand metric tons, with 3 decimal places. </t>
  </si>
  <si>
    <t>Imports (Balance) should correspond to Total imports for these products in Table 3 (references A165 to F165).</t>
  </si>
  <si>
    <t>Exports (Balance) should correspond to Total exports for these products in Table 4 (references A165 to F165).</t>
  </si>
  <si>
    <t>P8</t>
  </si>
  <si>
    <t>Imports (Balance) should correspond to Total Imports for these products in Table 3 (references G165 to AC165).</t>
  </si>
  <si>
    <t>Exports (Balance) should correspond to Total Exports for these products in Table 4 (references F165 to AC165).</t>
  </si>
  <si>
    <t>3. Trade with itself is not allowed</t>
  </si>
  <si>
    <t>2. Stocks held for other countries cannot report itself</t>
  </si>
  <si>
    <t>2. Stocks held abroad cannot report itself</t>
  </si>
  <si>
    <t>Refinery Losses CRNGFEED = Refinery intake (observed) CRNGFEED of Table 1- Refinery Gross Output Total products of Table 2</t>
  </si>
  <si>
    <t>EE8</t>
  </si>
  <si>
    <t>CELL</t>
  </si>
  <si>
    <t>DS8</t>
  </si>
  <si>
    <t xml:space="preserve">    for Total products (column AD) in Table 6 (line 57).</t>
  </si>
  <si>
    <t xml:space="preserve">    for Total products (column AD) in Table 7 (line 57).</t>
  </si>
  <si>
    <t xml:space="preserve">    for Total products (column AD) in Table 8 (line 57).  Please provide detail in categories (o), (p), and (q).</t>
  </si>
  <si>
    <t xml:space="preserve">    for Total products (column AD) in Table 9 (line 57).</t>
  </si>
  <si>
    <t>1. Total (line 57) should correspond to line 4 in Table 5.</t>
  </si>
  <si>
    <t>1. Total (line 57) should correspond to line 6 in Table 5.</t>
  </si>
  <si>
    <t>1. Total (line 57) should correspond to line 22 in Table 5.</t>
  </si>
  <si>
    <t>EQGUINEA</t>
  </si>
  <si>
    <t>LAO</t>
  </si>
  <si>
    <t>OTHFUSSR</t>
  </si>
  <si>
    <t>NORTHMACED</t>
  </si>
  <si>
    <t>1. Total (line 57) should be less than or equal to line 57 in Table 6.</t>
  </si>
  <si>
    <t>1. Total (line 57) should be less than or equal to line 57 in Table 8.</t>
  </si>
  <si>
    <t>Summary</t>
  </si>
  <si>
    <t>O4690XO4694</t>
  </si>
  <si>
    <t>(io) Of which: obligated industry stocks</t>
  </si>
  <si>
    <t>OSINDOBL</t>
  </si>
  <si>
    <t>CSINDOBL</t>
  </si>
  <si>
    <t>INDNAT</t>
  </si>
  <si>
    <t>Of which: Fuel oil- very low sulphur (&lt;0.5%)</t>
  </si>
  <si>
    <t>VLOWSULF</t>
  </si>
  <si>
    <t>AG</t>
  </si>
  <si>
    <t>O46811</t>
  </si>
  <si>
    <t>4. Line 22 should be equal to total stocks for Total (column G) and</t>
  </si>
  <si>
    <t>5. Line 24 should be equal to total stocks for Total (column G) and</t>
  </si>
  <si>
    <t>Total of Primary product receipts (reference AA1) should correspond to Total of Direct use in Table 1 (reference G7).</t>
  </si>
  <si>
    <t>Total of Interproduct transfers (reference AA8) should add to 0.</t>
  </si>
  <si>
    <t>Total products of Products transferred (reference AA9) should correspond to Total of Products transferred in Table 1 (reference G4).</t>
  </si>
  <si>
    <t>Total of Backflows to refineries (reference AA19) should correspond to Total of Backflows in Table 1 (reference G3).</t>
  </si>
  <si>
    <t>Total of Products transferred (reference G4) should correspond to Total products of Products transferred in Table 2 (reference AA9).</t>
  </si>
  <si>
    <t>Total of Backflows (reference G3) should correspond to Total products of Backflows to refineries in Table 2 (reference AA19).</t>
  </si>
  <si>
    <t>1. Total (line 57) should correspond to line 24 in Table 5.</t>
  </si>
  <si>
    <t>Botswana</t>
  </si>
  <si>
    <t>Guyana</t>
  </si>
  <si>
    <t>GY</t>
  </si>
  <si>
    <t>GUYANA</t>
  </si>
  <si>
    <t>BW</t>
  </si>
  <si>
    <t>BOTSWANA</t>
  </si>
  <si>
    <t>AI174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</si>
</sst>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_);_(* \(#,##0\);_(* &quot;-&quot;_);_(@_)"/>
    <numFmt numFmtId="165" formatCode="_(&quot;€&quot;* #,##0.00_);_(&quot;€&quot;* \(#,##0.00\);_(&quot;€&quot;* &quot;-&quot;??_);_(@_)"/>
    <numFmt numFmtId="166" formatCode="_(* #,##0.00_);_(* \(#,##0.00\);_(* &quot;-&quot;??_);_(@_)"/>
    <numFmt numFmtId="167" formatCode="_(&quot;$&quot;* #,##0_);_(&quot;$&quot;* \(#,##0\);_(&quot;$&quot;* &quot;-&quot;_);_(@_)"/>
    <numFmt numFmtId="168" formatCode="_(&quot;$&quot;* #,##0.00_);_(&quot;$&quot;* \(#,##0.00\);_(&quot;$&quot;* &quot;-&quot;??_);_(@_)"/>
    <numFmt numFmtId="169" formatCode="mmmm\ yyyy"/>
    <numFmt numFmtId="170" formatCode="#,##0;\-#,##0;"/>
    <numFmt numFmtId="171" formatCode="0."/>
    <numFmt numFmtId="172" formatCode="00"/>
    <numFmt numFmtId="173" formatCode="00."/>
    <numFmt numFmtId="174" formatCode="0.000"/>
    <numFmt numFmtId="175" formatCode="0.0"/>
  </numFmts>
  <fonts count="115" x14ac:knownFonts="1">
    <font>
      <sz val="10"/>
      <name val="Arial"/>
    </font>
    <font>
      <sz val="11"/>
      <color theme="1"/>
      <name val="Calibri"/>
      <family val="2"/>
      <scheme val="minor"/>
    </font>
    <font>
      <sz val="11"/>
      <color theme="1"/>
      <name val="Calibri"/>
      <family val="2"/>
      <scheme val="minor"/>
    </font>
    <font>
      <b/>
      <i/>
      <sz val="10"/>
      <name val="Arial"/>
      <family val="2"/>
    </font>
    <font>
      <sz val="10"/>
      <name val="Arial"/>
      <family val="2"/>
    </font>
    <font>
      <sz val="8"/>
      <name val="Arial"/>
      <family val="2"/>
    </font>
    <font>
      <sz val="9"/>
      <name val="Arial"/>
      <family val="2"/>
    </font>
    <font>
      <sz val="18"/>
      <name val="Arial"/>
      <family val="2"/>
    </font>
    <font>
      <sz val="10"/>
      <name val="Arial"/>
      <family val="2"/>
    </font>
    <font>
      <b/>
      <i/>
      <u/>
      <sz val="10"/>
      <name val="Arial"/>
      <family val="2"/>
    </font>
    <font>
      <b/>
      <sz val="9"/>
      <name val="Arial"/>
      <family val="2"/>
    </font>
    <font>
      <b/>
      <i/>
      <sz val="9"/>
      <name val="Arial"/>
      <family val="2"/>
    </font>
    <font>
      <b/>
      <sz val="9"/>
      <name val="Arial"/>
      <family val="2"/>
    </font>
    <font>
      <b/>
      <sz val="8"/>
      <name val="Arial"/>
      <family val="2"/>
    </font>
    <font>
      <b/>
      <sz val="10"/>
      <color indexed="10"/>
      <name val="Arial"/>
      <family val="2"/>
    </font>
    <font>
      <sz val="8"/>
      <color indexed="10"/>
      <name val="Arial"/>
      <family val="2"/>
    </font>
    <font>
      <b/>
      <sz val="8"/>
      <name val="Arial"/>
      <family val="2"/>
    </font>
    <font>
      <b/>
      <sz val="10"/>
      <name val="Arial"/>
      <family val="2"/>
    </font>
    <font>
      <sz val="8"/>
      <color indexed="81"/>
      <name val="Tahoma"/>
      <family val="2"/>
    </font>
    <font>
      <b/>
      <sz val="8"/>
      <color indexed="81"/>
      <name val="Tahoma"/>
      <family val="2"/>
    </font>
    <font>
      <b/>
      <i/>
      <sz val="8"/>
      <name val="Arial"/>
      <family val="2"/>
    </font>
    <font>
      <i/>
      <sz val="8"/>
      <color indexed="81"/>
      <name val="Tahoma"/>
      <family val="2"/>
    </font>
    <font>
      <sz val="10"/>
      <color indexed="9"/>
      <name val="Arial"/>
      <family val="2"/>
    </font>
    <font>
      <vertAlign val="superscript"/>
      <sz val="9"/>
      <name val="Arial"/>
      <family val="2"/>
    </font>
    <font>
      <i/>
      <sz val="9"/>
      <name val="Arial"/>
      <family val="2"/>
    </font>
    <font>
      <i/>
      <sz val="8"/>
      <name val="Times New Roman"/>
      <family val="1"/>
    </font>
    <font>
      <b/>
      <i/>
      <sz val="9"/>
      <name val="Arial"/>
      <family val="2"/>
    </font>
    <font>
      <i/>
      <vertAlign val="superscript"/>
      <sz val="9"/>
      <name val="Arial"/>
      <family val="2"/>
    </font>
    <font>
      <sz val="10"/>
      <color indexed="48"/>
      <name val="Arial"/>
      <family val="2"/>
    </font>
    <font>
      <sz val="10"/>
      <color indexed="12"/>
      <name val="Arial"/>
      <family val="2"/>
    </font>
    <font>
      <b/>
      <sz val="20"/>
      <color indexed="12"/>
      <name val="Arial"/>
      <family val="2"/>
    </font>
    <font>
      <b/>
      <sz val="18"/>
      <color indexed="12"/>
      <name val="Arial"/>
      <family val="2"/>
    </font>
    <font>
      <b/>
      <sz val="11"/>
      <color indexed="12"/>
      <name val="Arial"/>
      <family val="2"/>
    </font>
    <font>
      <b/>
      <sz val="10"/>
      <color indexed="12"/>
      <name val="Arial"/>
      <family val="2"/>
    </font>
    <font>
      <b/>
      <sz val="14"/>
      <color indexed="10"/>
      <name val="Arial"/>
      <family val="2"/>
    </font>
    <font>
      <vertAlign val="superscript"/>
      <sz val="8"/>
      <name val="Arial"/>
      <family val="2"/>
    </font>
    <font>
      <b/>
      <vertAlign val="superscript"/>
      <sz val="9"/>
      <name val="Arial"/>
      <family val="2"/>
    </font>
    <font>
      <sz val="10"/>
      <color indexed="10"/>
      <name val="Arial"/>
      <family val="2"/>
    </font>
    <font>
      <sz val="14"/>
      <color indexed="10"/>
      <name val="Arial"/>
      <family val="2"/>
    </font>
    <font>
      <b/>
      <sz val="9"/>
      <color indexed="12"/>
      <name val="Arial"/>
      <family val="2"/>
    </font>
    <font>
      <sz val="9"/>
      <color indexed="10"/>
      <name val="Arial"/>
      <family val="2"/>
    </font>
    <font>
      <sz val="8"/>
      <color indexed="9"/>
      <name val="Arial"/>
      <family val="2"/>
    </font>
    <font>
      <sz val="9"/>
      <color indexed="9"/>
      <name val="Arial"/>
      <family val="2"/>
    </font>
    <font>
      <i/>
      <sz val="8"/>
      <name val="Arial"/>
      <family val="2"/>
    </font>
    <font>
      <sz val="8"/>
      <name val="Arial"/>
      <family val="2"/>
    </font>
    <font>
      <i/>
      <sz val="10"/>
      <name val="Arial"/>
      <family val="2"/>
    </font>
    <font>
      <b/>
      <sz val="8"/>
      <color indexed="10"/>
      <name val="Arial"/>
      <family val="2"/>
    </font>
    <font>
      <b/>
      <sz val="16"/>
      <name val="Arial"/>
      <family val="2"/>
    </font>
    <font>
      <b/>
      <sz val="16"/>
      <color indexed="9"/>
      <name val="Arial"/>
      <family val="2"/>
    </font>
    <font>
      <b/>
      <sz val="14"/>
      <color indexed="9"/>
      <name val="Arial"/>
      <family val="2"/>
    </font>
    <font>
      <b/>
      <sz val="10"/>
      <color indexed="12"/>
      <name val="Arial"/>
      <family val="2"/>
    </font>
    <font>
      <sz val="20"/>
      <color indexed="10"/>
      <name val="Wingdings"/>
      <charset val="2"/>
    </font>
    <font>
      <sz val="20"/>
      <color indexed="10"/>
      <name val="Arial Black"/>
      <family val="2"/>
    </font>
    <font>
      <b/>
      <i/>
      <sz val="12"/>
      <color indexed="12"/>
      <name val="Arial"/>
      <family val="2"/>
    </font>
    <font>
      <b/>
      <sz val="10"/>
      <name val="Wingdings"/>
      <charset val="2"/>
    </font>
    <font>
      <sz val="10"/>
      <color indexed="9"/>
      <name val="Arial"/>
      <family val="2"/>
    </font>
    <font>
      <b/>
      <sz val="9"/>
      <color indexed="10"/>
      <name val="Arial"/>
      <family val="2"/>
    </font>
    <font>
      <sz val="20"/>
      <name val="Arial Black"/>
      <family val="2"/>
    </font>
    <font>
      <b/>
      <sz val="12"/>
      <color indexed="10"/>
      <name val="Arial"/>
      <family val="2"/>
    </font>
    <font>
      <sz val="9"/>
      <name val="Arial"/>
      <family val="2"/>
    </font>
    <font>
      <b/>
      <sz val="9"/>
      <name val="Wingdings"/>
      <charset val="2"/>
    </font>
    <font>
      <b/>
      <sz val="16"/>
      <color indexed="10"/>
      <name val="Arial"/>
      <family val="2"/>
    </font>
    <font>
      <b/>
      <sz val="16"/>
      <color indexed="10"/>
      <name val="Wingdings"/>
      <charset val="2"/>
    </font>
    <font>
      <b/>
      <i/>
      <sz val="9"/>
      <color indexed="12"/>
      <name val="Arial"/>
      <family val="2"/>
    </font>
    <font>
      <sz val="8"/>
      <color indexed="12"/>
      <name val="Arial"/>
      <family val="2"/>
    </font>
    <font>
      <sz val="10"/>
      <color indexed="9"/>
      <name val="Arial"/>
      <family val="2"/>
    </font>
    <font>
      <b/>
      <sz val="14"/>
      <color indexed="18"/>
      <name val="Arial"/>
      <family val="2"/>
    </font>
    <font>
      <sz val="10"/>
      <name val="Arial"/>
      <family val="2"/>
    </font>
    <font>
      <sz val="8"/>
      <name val="Arial"/>
      <family val="2"/>
    </font>
    <font>
      <b/>
      <sz val="9"/>
      <name val="Arial"/>
      <family val="2"/>
    </font>
    <font>
      <b/>
      <sz val="8"/>
      <name val="Arial"/>
      <family val="2"/>
    </font>
    <font>
      <b/>
      <i/>
      <sz val="10"/>
      <name val="Arial"/>
      <family val="2"/>
    </font>
    <font>
      <b/>
      <sz val="12"/>
      <name val="Arial"/>
      <family val="2"/>
    </font>
    <font>
      <b/>
      <sz val="14"/>
      <name val="Arial"/>
      <family val="2"/>
    </font>
    <font>
      <b/>
      <i/>
      <sz val="9"/>
      <color indexed="10"/>
      <name val="Arial"/>
      <family val="2"/>
    </font>
    <font>
      <b/>
      <u/>
      <sz val="14"/>
      <name val="Arial"/>
      <family val="2"/>
    </font>
    <font>
      <b/>
      <u/>
      <sz val="10"/>
      <name val="Arial"/>
      <family val="2"/>
    </font>
    <font>
      <b/>
      <i/>
      <sz val="8"/>
      <color indexed="10"/>
      <name val="Arial"/>
      <family val="2"/>
    </font>
    <font>
      <b/>
      <i/>
      <sz val="10"/>
      <color indexed="10"/>
      <name val="Arial"/>
      <family val="2"/>
    </font>
    <font>
      <sz val="11"/>
      <name val="Times New Roman"/>
      <family val="1"/>
    </font>
    <font>
      <b/>
      <sz val="18"/>
      <name val="Arial"/>
      <family val="2"/>
    </font>
    <font>
      <b/>
      <i/>
      <sz val="8"/>
      <color indexed="81"/>
      <name val="Tahoma"/>
      <family val="2"/>
    </font>
    <font>
      <u/>
      <sz val="8"/>
      <color indexed="81"/>
      <name val="Tahoma"/>
      <family val="2"/>
    </font>
    <font>
      <sz val="7"/>
      <color indexed="10"/>
      <name val="Arial"/>
      <family val="2"/>
    </font>
    <font>
      <b/>
      <sz val="28"/>
      <name val="Arial"/>
      <family val="2"/>
    </font>
    <font>
      <b/>
      <sz val="8"/>
      <name val="Wingdings"/>
      <charset val="2"/>
    </font>
    <font>
      <b/>
      <sz val="7"/>
      <color indexed="12"/>
      <name val="Arial"/>
      <family val="2"/>
    </font>
    <font>
      <b/>
      <sz val="16"/>
      <color indexed="12"/>
      <name val="Arial"/>
      <family val="2"/>
    </font>
    <font>
      <sz val="11"/>
      <color theme="1"/>
      <name val="Calibri"/>
      <family val="2"/>
      <scheme val="minor"/>
    </font>
    <font>
      <sz val="9"/>
      <color theme="4" tint="0.79998168889431442"/>
      <name val="Arial"/>
      <family val="2"/>
    </font>
    <font>
      <sz val="10"/>
      <color theme="0"/>
      <name val="Arial"/>
      <family val="2"/>
    </font>
    <font>
      <b/>
      <sz val="8"/>
      <color rgb="FFFF0000"/>
      <name val="Arial"/>
      <family val="2"/>
    </font>
    <font>
      <b/>
      <sz val="10"/>
      <color theme="3" tint="0.79998168889431442"/>
      <name val="Arial"/>
      <family val="2"/>
    </font>
    <font>
      <b/>
      <sz val="10"/>
      <color theme="4" tint="0.79998168889431442"/>
      <name val="Arial"/>
      <family val="2"/>
    </font>
    <font>
      <sz val="10"/>
      <color theme="4" tint="0.79998168889431442"/>
      <name val="Arial"/>
      <family val="2"/>
    </font>
    <font>
      <sz val="10"/>
      <color rgb="FF666666"/>
      <name val="Verdana"/>
      <family val="2"/>
    </font>
    <font>
      <sz val="8"/>
      <color rgb="FF000000"/>
      <name val="Tahoma"/>
      <family val="2"/>
    </font>
    <font>
      <sz val="8"/>
      <color rgb="FFFF0000"/>
      <name val="Arial"/>
      <family val="2"/>
    </font>
    <font>
      <sz val="8"/>
      <color theme="1"/>
      <name val="Arial"/>
      <family val="2"/>
    </font>
    <font>
      <b/>
      <sz val="11"/>
      <color theme="3"/>
      <name val="Arial"/>
      <family val="2"/>
    </font>
    <font>
      <b/>
      <sz val="9"/>
      <color indexed="81"/>
      <name val="Tahoma"/>
      <family val="2"/>
    </font>
    <font>
      <sz val="9"/>
      <color indexed="81"/>
      <name val="Tahoma"/>
      <family val="2"/>
    </font>
    <font>
      <b/>
      <sz val="9"/>
      <color theme="4" tint="0.79998168889431442"/>
      <name val="Arial"/>
      <family val="2"/>
    </font>
    <font>
      <b/>
      <sz val="12"/>
      <color theme="4" tint="0.79998168889431442"/>
      <name val="Arial"/>
      <family val="2"/>
    </font>
    <font>
      <i/>
      <sz val="10"/>
      <color theme="4" tint="0.79998168889431442"/>
      <name val="Arial"/>
      <family val="2"/>
    </font>
    <font>
      <sz val="8"/>
      <color rgb="FF000000"/>
      <name val="Segoe UI"/>
      <family val="2"/>
    </font>
    <font>
      <sz val="7"/>
      <color theme="4" tint="0.79998168889431442"/>
      <name val="Arial"/>
      <family val="2"/>
    </font>
    <font>
      <sz val="8"/>
      <color theme="4" tint="0.79998168889431442"/>
      <name val="Arial"/>
      <family val="2"/>
    </font>
    <font>
      <i/>
      <sz val="8"/>
      <color theme="4" tint="0.79998168889431442"/>
      <name val="Arial"/>
      <family val="2"/>
    </font>
    <font>
      <sz val="11"/>
      <color rgb="FF000000"/>
      <name val="Arial"/>
      <family val="2"/>
    </font>
    <font>
      <sz val="12"/>
      <color rgb="FF000000"/>
      <name val="Arial"/>
      <family val="2"/>
    </font>
    <font>
      <sz val="8"/>
      <color theme="9" tint="-0.249977111117893"/>
      <name val="Arial"/>
      <family val="2"/>
    </font>
    <font>
      <sz val="8"/>
      <color theme="0"/>
      <name val="Arial"/>
      <family val="2"/>
    </font>
    <font>
      <sz val="7"/>
      <name val="Arial"/>
      <family val="2"/>
    </font>
    <font>
      <b/>
      <u/>
      <sz val="8"/>
      <color indexed="81"/>
      <name val="Tahoma"/>
      <family val="2"/>
    </font>
  </fonts>
  <fills count="21">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41"/>
        <bgColor indexed="64"/>
      </patternFill>
    </fill>
    <fill>
      <patternFill patternType="solid">
        <fgColor indexed="9"/>
        <bgColor indexed="64"/>
      </patternFill>
    </fill>
    <fill>
      <patternFill patternType="solid">
        <fgColor indexed="22"/>
        <bgColor indexed="64"/>
      </patternFill>
    </fill>
    <fill>
      <patternFill patternType="mediumGray">
        <bgColor indexed="55"/>
      </patternFill>
    </fill>
    <fill>
      <patternFill patternType="solid">
        <fgColor indexed="22"/>
        <bgColor indexed="22"/>
      </patternFill>
    </fill>
    <fill>
      <patternFill patternType="solid">
        <fgColor indexed="8"/>
        <bgColor indexed="64"/>
      </patternFill>
    </fill>
    <fill>
      <patternFill patternType="solid">
        <fgColor indexed="10"/>
        <bgColor indexed="64"/>
      </patternFill>
    </fill>
    <fill>
      <patternFill patternType="solid">
        <fgColor indexed="11"/>
        <bgColor indexed="64"/>
      </patternFill>
    </fill>
    <fill>
      <patternFill patternType="solid">
        <fgColor indexed="13"/>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0" tint="-0.24994659260841701"/>
        <bgColor indexed="64"/>
      </patternFill>
    </fill>
    <fill>
      <patternFill patternType="solid">
        <fgColor rgb="FFFFC000"/>
        <bgColor indexed="64"/>
      </patternFill>
    </fill>
    <fill>
      <patternFill patternType="solid">
        <fgColor rgb="FFFFFF00"/>
        <bgColor indexed="64"/>
      </patternFill>
    </fill>
  </fills>
  <borders count="10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ck">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12"/>
      </left>
      <right style="thin">
        <color indexed="12"/>
      </right>
      <top style="medium">
        <color indexed="12"/>
      </top>
      <bottom/>
      <diagonal/>
    </border>
    <border>
      <left/>
      <right style="medium">
        <color indexed="12"/>
      </right>
      <top style="medium">
        <color indexed="12"/>
      </top>
      <bottom/>
      <diagonal/>
    </border>
    <border>
      <left style="medium">
        <color indexed="12"/>
      </left>
      <right style="thin">
        <color indexed="12"/>
      </right>
      <top/>
      <bottom/>
      <diagonal/>
    </border>
    <border>
      <left/>
      <right style="medium">
        <color indexed="12"/>
      </right>
      <top/>
      <bottom/>
      <diagonal/>
    </border>
    <border>
      <left style="medium">
        <color indexed="12"/>
      </left>
      <right style="thin">
        <color indexed="12"/>
      </right>
      <top/>
      <bottom style="medium">
        <color indexed="12"/>
      </bottom>
      <diagonal/>
    </border>
    <border>
      <left/>
      <right style="medium">
        <color indexed="12"/>
      </right>
      <top/>
      <bottom style="medium">
        <color indexed="12"/>
      </bottom>
      <diagonal/>
    </border>
    <border>
      <left style="thin">
        <color indexed="12"/>
      </left>
      <right style="thin">
        <color indexed="12"/>
      </right>
      <top style="thin">
        <color indexed="12"/>
      </top>
      <bottom style="thin">
        <color indexed="12"/>
      </bottom>
      <diagonal/>
    </border>
    <border>
      <left style="thin">
        <color indexed="64"/>
      </left>
      <right style="thick">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ck">
        <color indexed="64"/>
      </left>
      <right style="thin">
        <color indexed="64"/>
      </right>
      <top style="thin">
        <color indexed="64"/>
      </top>
      <bottom/>
      <diagonal/>
    </border>
    <border>
      <left style="thick">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12"/>
      </left>
      <right style="thin">
        <color indexed="12"/>
      </right>
      <top style="medium">
        <color indexed="12"/>
      </top>
      <bottom style="hair">
        <color indexed="8"/>
      </bottom>
      <diagonal/>
    </border>
    <border>
      <left/>
      <right style="medium">
        <color indexed="12"/>
      </right>
      <top style="medium">
        <color indexed="12"/>
      </top>
      <bottom style="hair">
        <color indexed="8"/>
      </bottom>
      <diagonal/>
    </border>
    <border>
      <left style="medium">
        <color indexed="12"/>
      </left>
      <right style="thin">
        <color indexed="12"/>
      </right>
      <top/>
      <bottom style="hair">
        <color indexed="8"/>
      </bottom>
      <diagonal/>
    </border>
    <border>
      <left/>
      <right style="medium">
        <color indexed="12"/>
      </right>
      <top/>
      <bottom style="hair">
        <color indexed="8"/>
      </bottom>
      <diagonal/>
    </border>
    <border>
      <left style="medium">
        <color indexed="12"/>
      </left>
      <right style="thin">
        <color indexed="12"/>
      </right>
      <top style="hair">
        <color indexed="8"/>
      </top>
      <bottom style="hair">
        <color indexed="8"/>
      </bottom>
      <diagonal/>
    </border>
    <border>
      <left/>
      <right style="medium">
        <color indexed="12"/>
      </right>
      <top style="hair">
        <color indexed="8"/>
      </top>
      <bottom style="hair">
        <color indexed="8"/>
      </bottom>
      <diagonal/>
    </border>
    <border>
      <left style="thin">
        <color indexed="12"/>
      </left>
      <right style="thin">
        <color indexed="12"/>
      </right>
      <top style="medium">
        <color indexed="12"/>
      </top>
      <bottom style="hair">
        <color indexed="8"/>
      </bottom>
      <diagonal/>
    </border>
    <border>
      <left style="thin">
        <color indexed="12"/>
      </left>
      <right style="thin">
        <color indexed="12"/>
      </right>
      <top/>
      <bottom style="hair">
        <color indexed="8"/>
      </bottom>
      <diagonal/>
    </border>
    <border>
      <left style="thin">
        <color indexed="12"/>
      </left>
      <right style="thin">
        <color indexed="12"/>
      </right>
      <top style="hair">
        <color indexed="8"/>
      </top>
      <bottom style="hair">
        <color indexed="8"/>
      </bottom>
      <diagonal/>
    </border>
    <border>
      <left/>
      <right/>
      <top style="thin">
        <color indexed="64"/>
      </top>
      <bottom style="medium">
        <color indexed="64"/>
      </bottom>
      <diagonal/>
    </border>
    <border>
      <left style="thick">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9"/>
      </left>
      <right/>
      <top style="thin">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diagonal/>
    </border>
    <border>
      <left/>
      <right style="hair">
        <color indexed="64"/>
      </right>
      <top/>
      <bottom/>
      <diagonal/>
    </border>
    <border>
      <left style="thin">
        <color indexed="12"/>
      </left>
      <right style="thin">
        <color indexed="64"/>
      </right>
      <top/>
      <bottom style="medium">
        <color indexed="12"/>
      </bottom>
      <diagonal/>
    </border>
    <border>
      <left style="thick">
        <color indexed="64"/>
      </left>
      <right/>
      <top/>
      <bottom style="thin">
        <color indexed="64"/>
      </bottom>
      <diagonal/>
    </border>
    <border>
      <left style="thin">
        <color indexed="64"/>
      </left>
      <right style="thick">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thin">
        <color indexed="64"/>
      </left>
      <right/>
      <top style="medium">
        <color indexed="64"/>
      </top>
      <bottom/>
      <diagonal/>
    </border>
    <border>
      <left style="thick">
        <color indexed="64"/>
      </left>
      <right style="thin">
        <color indexed="64"/>
      </right>
      <top style="medium">
        <color indexed="64"/>
      </top>
      <bottom/>
      <diagonal/>
    </border>
    <border>
      <left style="thick">
        <color indexed="64"/>
      </left>
      <right/>
      <top style="medium">
        <color indexed="64"/>
      </top>
      <bottom/>
      <diagonal/>
    </border>
    <border>
      <left style="thin">
        <color indexed="64"/>
      </left>
      <right style="thick">
        <color indexed="64"/>
      </right>
      <top style="medium">
        <color indexed="64"/>
      </top>
      <bottom/>
      <diagonal/>
    </border>
    <border>
      <left style="thin">
        <color indexed="64"/>
      </left>
      <right style="thin">
        <color indexed="64"/>
      </right>
      <top style="medium">
        <color indexed="64"/>
      </top>
      <bottom style="thin">
        <color indexed="64"/>
      </bottom>
      <diagonal/>
    </border>
  </borders>
  <cellStyleXfs count="29">
    <xf numFmtId="0" fontId="0" fillId="0" borderId="0"/>
    <xf numFmtId="166" fontId="67" fillId="0" borderId="0" applyFont="0" applyFill="0" applyBorder="0" applyAlignment="0" applyProtection="0"/>
    <xf numFmtId="166" fontId="4" fillId="0" borderId="0" applyFont="0" applyFill="0" applyBorder="0" applyAlignment="0" applyProtection="0"/>
    <xf numFmtId="0" fontId="4" fillId="2" borderId="0" applyNumberFormat="0" applyBorder="0" applyAlignment="0">
      <protection hidden="1"/>
    </xf>
    <xf numFmtId="0" fontId="4" fillId="3" borderId="0" applyNumberFormat="0" applyFont="0" applyBorder="0" applyAlignment="0"/>
    <xf numFmtId="0" fontId="67" fillId="3" borderId="0" applyNumberFormat="0" applyFont="0" applyBorder="0" applyAlignment="0"/>
    <xf numFmtId="0" fontId="4" fillId="3" borderId="0" applyNumberFormat="0" applyFont="0" applyBorder="0" applyAlignment="0"/>
    <xf numFmtId="164" fontId="4" fillId="0" borderId="0" applyFont="0" applyFill="0" applyBorder="0" applyAlignment="0" applyProtection="0"/>
    <xf numFmtId="166" fontId="4" fillId="0" borderId="0" applyFont="0" applyFill="0" applyBorder="0" applyAlignment="0" applyProtection="0"/>
    <xf numFmtId="167" fontId="4" fillId="0" borderId="0" applyFont="0" applyFill="0" applyBorder="0" applyAlignment="0" applyProtection="0"/>
    <xf numFmtId="168" fontId="4" fillId="0" borderId="0" applyFont="0" applyFill="0" applyBorder="0" applyAlignment="0" applyProtection="0"/>
    <xf numFmtId="0" fontId="6" fillId="0" borderId="0"/>
    <xf numFmtId="0" fontId="4" fillId="0" borderId="0"/>
    <xf numFmtId="0" fontId="6" fillId="0" borderId="0"/>
    <xf numFmtId="0" fontId="67" fillId="0" borderId="0"/>
    <xf numFmtId="0" fontId="4" fillId="0" borderId="0"/>
    <xf numFmtId="0" fontId="88" fillId="0" borderId="0"/>
    <xf numFmtId="0" fontId="4" fillId="0" borderId="0"/>
    <xf numFmtId="0" fontId="67" fillId="0" borderId="0"/>
    <xf numFmtId="0" fontId="4" fillId="0" borderId="0"/>
    <xf numFmtId="0" fontId="4" fillId="0" borderId="0"/>
    <xf numFmtId="0" fontId="4" fillId="0" borderId="0"/>
    <xf numFmtId="0" fontId="6" fillId="0" borderId="0"/>
    <xf numFmtId="0" fontId="66" fillId="4" borderId="1">
      <alignment horizontal="center" vertical="center"/>
    </xf>
    <xf numFmtId="0" fontId="4" fillId="0" borderId="0"/>
    <xf numFmtId="0" fontId="2" fillId="0" borderId="0"/>
    <xf numFmtId="0" fontId="4" fillId="0" borderId="0"/>
    <xf numFmtId="0" fontId="4" fillId="0" borderId="0"/>
    <xf numFmtId="0" fontId="2" fillId="0" borderId="0"/>
  </cellStyleXfs>
  <cellXfs count="1214">
    <xf numFmtId="0" fontId="0" fillId="0" borderId="0" xfId="0"/>
    <xf numFmtId="0" fontId="10" fillId="5" borderId="0" xfId="0" applyFont="1" applyFill="1"/>
    <xf numFmtId="0" fontId="0" fillId="5" borderId="0" xfId="0" applyFill="1"/>
    <xf numFmtId="0" fontId="6" fillId="5" borderId="0" xfId="0" applyFont="1" applyFill="1"/>
    <xf numFmtId="0" fontId="6" fillId="5" borderId="0" xfId="0" quotePrefix="1" applyFont="1" applyFill="1" applyAlignment="1">
      <alignment horizontal="left"/>
    </xf>
    <xf numFmtId="0" fontId="10" fillId="5" borderId="0" xfId="0" applyFont="1" applyFill="1" applyAlignment="1">
      <alignment horizontal="left"/>
    </xf>
    <xf numFmtId="0" fontId="6" fillId="5" borderId="0" xfId="0" applyFont="1" applyFill="1" applyAlignment="1">
      <alignment horizontal="right"/>
    </xf>
    <xf numFmtId="0" fontId="5" fillId="5" borderId="0" xfId="0" applyFont="1" applyFill="1"/>
    <xf numFmtId="0" fontId="11" fillId="5" borderId="0" xfId="0" applyFont="1" applyFill="1"/>
    <xf numFmtId="0" fontId="3" fillId="5" borderId="0" xfId="0" applyFont="1" applyFill="1"/>
    <xf numFmtId="0" fontId="5" fillId="5" borderId="0" xfId="0" applyFont="1" applyFill="1" applyAlignment="1">
      <alignment horizontal="right"/>
    </xf>
    <xf numFmtId="0" fontId="0" fillId="5" borderId="0" xfId="0" applyFill="1" applyAlignment="1">
      <alignment horizontal="left"/>
    </xf>
    <xf numFmtId="0" fontId="5" fillId="5" borderId="0" xfId="0" applyFont="1" applyFill="1" applyAlignment="1">
      <alignment horizontal="left"/>
    </xf>
    <xf numFmtId="2" fontId="22" fillId="5" borderId="0" xfId="0" applyNumberFormat="1" applyFont="1" applyFill="1"/>
    <xf numFmtId="0" fontId="6" fillId="5" borderId="10" xfId="0" applyFont="1" applyFill="1" applyBorder="1"/>
    <xf numFmtId="0" fontId="6" fillId="5" borderId="10" xfId="0" quotePrefix="1" applyFont="1" applyFill="1" applyBorder="1" applyAlignment="1">
      <alignment horizontal="left"/>
    </xf>
    <xf numFmtId="0" fontId="6" fillId="6" borderId="10" xfId="0" applyFont="1" applyFill="1" applyBorder="1"/>
    <xf numFmtId="0" fontId="11" fillId="0" borderId="10" xfId="0" applyFont="1" applyBorder="1"/>
    <xf numFmtId="0" fontId="5" fillId="5" borderId="11" xfId="0" quotePrefix="1" applyFont="1" applyFill="1" applyBorder="1" applyAlignment="1">
      <alignment horizontal="center"/>
    </xf>
    <xf numFmtId="0" fontId="20" fillId="5" borderId="11" xfId="0" quotePrefix="1" applyFont="1" applyFill="1" applyBorder="1" applyAlignment="1">
      <alignment horizontal="center"/>
    </xf>
    <xf numFmtId="171" fontId="5" fillId="5" borderId="0" xfId="0" applyNumberFormat="1" applyFont="1" applyFill="1"/>
    <xf numFmtId="0" fontId="25" fillId="0" borderId="0" xfId="22" applyFont="1" applyAlignment="1">
      <alignment horizontal="right"/>
    </xf>
    <xf numFmtId="0" fontId="0" fillId="5" borderId="12" xfId="0" applyFill="1" applyBorder="1"/>
    <xf numFmtId="0" fontId="0" fillId="5" borderId="13" xfId="0" applyFill="1" applyBorder="1"/>
    <xf numFmtId="169" fontId="6" fillId="5" borderId="0" xfId="0" applyNumberFormat="1" applyFont="1" applyFill="1" applyAlignment="1">
      <alignment horizontal="left"/>
    </xf>
    <xf numFmtId="0" fontId="25" fillId="5" borderId="0" xfId="22" applyFont="1" applyFill="1" applyAlignment="1">
      <alignment horizontal="right"/>
    </xf>
    <xf numFmtId="0" fontId="0" fillId="5" borderId="0" xfId="0" applyFill="1" applyAlignment="1">
      <alignment horizontal="right"/>
    </xf>
    <xf numFmtId="0" fontId="17" fillId="5" borderId="0" xfId="0" applyFont="1" applyFill="1"/>
    <xf numFmtId="0" fontId="12" fillId="5" borderId="0" xfId="0" applyFont="1" applyFill="1" applyAlignment="1">
      <alignment horizontal="left"/>
    </xf>
    <xf numFmtId="169" fontId="38" fillId="5" borderId="0" xfId="0" applyNumberFormat="1" applyFont="1" applyFill="1" applyAlignment="1">
      <alignment horizontal="left"/>
    </xf>
    <xf numFmtId="169" fontId="34" fillId="5" borderId="0" xfId="0" applyNumberFormat="1" applyFont="1" applyFill="1" applyAlignment="1">
      <alignment horizontal="left"/>
    </xf>
    <xf numFmtId="0" fontId="15" fillId="5" borderId="0" xfId="0" applyFont="1" applyFill="1" applyAlignment="1">
      <alignment horizontal="center" wrapText="1"/>
    </xf>
    <xf numFmtId="0" fontId="37" fillId="5" borderId="0" xfId="0" applyFont="1" applyFill="1" applyAlignment="1">
      <alignment horizontal="center"/>
    </xf>
    <xf numFmtId="0" fontId="22" fillId="5" borderId="0" xfId="0" applyFont="1" applyFill="1"/>
    <xf numFmtId="0" fontId="10" fillId="5" borderId="17" xfId="0" applyFont="1" applyFill="1" applyBorder="1"/>
    <xf numFmtId="0" fontId="6" fillId="5" borderId="14" xfId="0" applyFont="1" applyFill="1" applyBorder="1"/>
    <xf numFmtId="0" fontId="6" fillId="5" borderId="14" xfId="0" quotePrefix="1" applyFont="1" applyFill="1" applyBorder="1" applyAlignment="1">
      <alignment horizontal="left"/>
    </xf>
    <xf numFmtId="0" fontId="6" fillId="6" borderId="14" xfId="0" applyFont="1" applyFill="1" applyBorder="1"/>
    <xf numFmtId="0" fontId="11" fillId="5" borderId="14" xfId="0" applyFont="1" applyFill="1" applyBorder="1"/>
    <xf numFmtId="0" fontId="24" fillId="5" borderId="18" xfId="0" applyFont="1" applyFill="1" applyBorder="1" applyAlignment="1">
      <alignment horizontal="right"/>
    </xf>
    <xf numFmtId="0" fontId="5" fillId="5" borderId="19" xfId="0" applyFont="1" applyFill="1" applyBorder="1"/>
    <xf numFmtId="0" fontId="5" fillId="5" borderId="20" xfId="0" quotePrefix="1" applyFont="1" applyFill="1" applyBorder="1"/>
    <xf numFmtId="0" fontId="5" fillId="5" borderId="21" xfId="0" applyFont="1" applyFill="1" applyBorder="1"/>
    <xf numFmtId="0" fontId="5" fillId="5" borderId="5" xfId="0" applyFont="1" applyFill="1" applyBorder="1"/>
    <xf numFmtId="0" fontId="8" fillId="5" borderId="0" xfId="0" applyFont="1" applyFill="1"/>
    <xf numFmtId="0" fontId="29" fillId="5" borderId="0" xfId="0" applyFont="1" applyFill="1" applyAlignment="1">
      <alignment horizontal="left"/>
    </xf>
    <xf numFmtId="0" fontId="28" fillId="5" borderId="0" xfId="0" applyFont="1" applyFill="1"/>
    <xf numFmtId="0" fontId="0" fillId="5" borderId="0" xfId="0" applyFill="1" applyAlignment="1">
      <alignment horizontal="centerContinuous"/>
    </xf>
    <xf numFmtId="0" fontId="28" fillId="5" borderId="0" xfId="0" applyFont="1" applyFill="1" applyAlignment="1">
      <alignment horizontal="centerContinuous"/>
    </xf>
    <xf numFmtId="0" fontId="30" fillId="5" borderId="0" xfId="0" applyFont="1" applyFill="1" applyAlignment="1">
      <alignment horizontal="left"/>
    </xf>
    <xf numFmtId="0" fontId="31" fillId="5" borderId="0" xfId="0" applyFont="1" applyFill="1" applyAlignment="1">
      <alignment horizontal="centerContinuous"/>
    </xf>
    <xf numFmtId="0" fontId="29" fillId="5" borderId="0" xfId="0" applyFont="1" applyFill="1"/>
    <xf numFmtId="0" fontId="32" fillId="5" borderId="0" xfId="0" applyFont="1" applyFill="1"/>
    <xf numFmtId="0" fontId="33" fillId="5" borderId="0" xfId="0" applyFont="1" applyFill="1" applyAlignment="1">
      <alignment horizontal="left"/>
    </xf>
    <xf numFmtId="0" fontId="34" fillId="5" borderId="0" xfId="0" applyFont="1" applyFill="1" applyAlignment="1">
      <alignment horizontal="left"/>
    </xf>
    <xf numFmtId="0" fontId="7" fillId="5" borderId="0" xfId="0" applyFont="1" applyFill="1" applyAlignment="1">
      <alignment horizontal="centerContinuous"/>
    </xf>
    <xf numFmtId="0" fontId="9" fillId="5" borderId="0" xfId="0" applyFont="1" applyFill="1"/>
    <xf numFmtId="169" fontId="39" fillId="5" borderId="0" xfId="0" applyNumberFormat="1" applyFont="1" applyFill="1" applyAlignment="1">
      <alignment horizontal="left"/>
    </xf>
    <xf numFmtId="0" fontId="6" fillId="7" borderId="11" xfId="0" applyFont="1" applyFill="1" applyBorder="1" applyProtection="1">
      <protection locked="0"/>
    </xf>
    <xf numFmtId="0" fontId="6" fillId="7" borderId="14" xfId="0" applyFont="1" applyFill="1" applyBorder="1" applyProtection="1">
      <protection locked="0"/>
    </xf>
    <xf numFmtId="0" fontId="6" fillId="7" borderId="16" xfId="0" applyFont="1" applyFill="1" applyBorder="1" applyProtection="1">
      <protection locked="0"/>
    </xf>
    <xf numFmtId="0" fontId="6" fillId="7" borderId="15" xfId="0" applyFont="1" applyFill="1" applyBorder="1" applyProtection="1">
      <protection locked="0"/>
    </xf>
    <xf numFmtId="0" fontId="6" fillId="7" borderId="10" xfId="0" applyFont="1" applyFill="1" applyBorder="1" applyProtection="1">
      <protection locked="0"/>
    </xf>
    <xf numFmtId="0" fontId="37" fillId="5" borderId="0" xfId="0" applyFont="1" applyFill="1"/>
    <xf numFmtId="0" fontId="15" fillId="5" borderId="0" xfId="0" applyFont="1" applyFill="1" applyAlignment="1">
      <alignment horizontal="right" wrapText="1"/>
    </xf>
    <xf numFmtId="0" fontId="15" fillId="5" borderId="0" xfId="0" applyFont="1" applyFill="1" applyAlignment="1">
      <alignment wrapText="1"/>
    </xf>
    <xf numFmtId="0" fontId="15" fillId="5" borderId="0" xfId="0" applyFont="1" applyFill="1"/>
    <xf numFmtId="0" fontId="40" fillId="5" borderId="0" xfId="0" applyFont="1" applyFill="1"/>
    <xf numFmtId="0" fontId="40" fillId="5" borderId="0" xfId="0" applyFont="1" applyFill="1" applyAlignment="1">
      <alignment wrapText="1"/>
    </xf>
    <xf numFmtId="170" fontId="41" fillId="5" borderId="0" xfId="0" applyNumberFormat="1" applyFont="1" applyFill="1"/>
    <xf numFmtId="0" fontId="42" fillId="5" borderId="0" xfId="0" applyFont="1" applyFill="1"/>
    <xf numFmtId="1" fontId="42" fillId="5" borderId="0" xfId="0" applyNumberFormat="1" applyFont="1" applyFill="1"/>
    <xf numFmtId="0" fontId="10" fillId="6" borderId="22" xfId="0" quotePrefix="1" applyFont="1" applyFill="1" applyBorder="1" applyAlignment="1">
      <alignment horizontal="left"/>
    </xf>
    <xf numFmtId="0" fontId="10" fillId="6" borderId="22" xfId="0" applyFont="1" applyFill="1" applyBorder="1"/>
    <xf numFmtId="0" fontId="6" fillId="0" borderId="11" xfId="0" applyFont="1" applyBorder="1"/>
    <xf numFmtId="0" fontId="6" fillId="0" borderId="11" xfId="0" quotePrefix="1" applyFont="1" applyBorder="1" applyAlignment="1">
      <alignment horizontal="left"/>
    </xf>
    <xf numFmtId="0" fontId="24" fillId="5" borderId="33" xfId="0" applyFont="1" applyFill="1" applyBorder="1" applyAlignment="1">
      <alignment horizontal="right"/>
    </xf>
    <xf numFmtId="0" fontId="17" fillId="5" borderId="33" xfId="0" applyFont="1" applyFill="1" applyBorder="1"/>
    <xf numFmtId="0" fontId="24" fillId="5" borderId="10" xfId="0" applyFont="1" applyFill="1" applyBorder="1" applyAlignment="1">
      <alignment horizontal="center" vertical="center" wrapText="1"/>
    </xf>
    <xf numFmtId="0" fontId="24" fillId="5" borderId="11" xfId="0" applyFont="1" applyFill="1" applyBorder="1" applyAlignment="1">
      <alignment horizontal="center" vertical="center" wrapText="1"/>
    </xf>
    <xf numFmtId="0" fontId="24" fillId="6" borderId="11" xfId="0" applyFont="1" applyFill="1" applyBorder="1" applyAlignment="1">
      <alignment horizontal="center" vertical="center" wrapText="1"/>
    </xf>
    <xf numFmtId="0" fontId="5" fillId="5" borderId="34" xfId="0" quotePrefix="1" applyFont="1" applyFill="1" applyBorder="1" applyAlignment="1">
      <alignment horizontal="center"/>
    </xf>
    <xf numFmtId="0" fontId="6" fillId="5" borderId="33" xfId="0" applyFont="1" applyFill="1" applyBorder="1"/>
    <xf numFmtId="0" fontId="17" fillId="5" borderId="35" xfId="0" applyFont="1" applyFill="1" applyBorder="1"/>
    <xf numFmtId="0" fontId="10" fillId="5" borderId="35" xfId="0" applyFont="1" applyFill="1" applyBorder="1"/>
    <xf numFmtId="0" fontId="24" fillId="5" borderId="14" xfId="0" applyFont="1" applyFill="1" applyBorder="1" applyAlignment="1">
      <alignment horizontal="center" vertical="center" wrapText="1"/>
    </xf>
    <xf numFmtId="0" fontId="43" fillId="5" borderId="11" xfId="0" applyFont="1" applyFill="1" applyBorder="1" applyAlignment="1">
      <alignment horizontal="center" vertical="center" wrapText="1"/>
    </xf>
    <xf numFmtId="0" fontId="43" fillId="5" borderId="10" xfId="0" applyFont="1" applyFill="1" applyBorder="1" applyAlignment="1">
      <alignment horizontal="center" vertical="center" wrapText="1"/>
    </xf>
    <xf numFmtId="0" fontId="5" fillId="5" borderId="11" xfId="0" applyFont="1" applyFill="1" applyBorder="1" applyAlignment="1">
      <alignment horizontal="left"/>
    </xf>
    <xf numFmtId="0" fontId="43" fillId="5" borderId="14" xfId="0" applyFont="1" applyFill="1" applyBorder="1" applyAlignment="1">
      <alignment horizontal="center" vertical="center" wrapText="1"/>
    </xf>
    <xf numFmtId="0" fontId="43" fillId="6" borderId="11" xfId="0" applyFont="1" applyFill="1" applyBorder="1" applyAlignment="1">
      <alignment horizontal="center" vertical="center" wrapText="1"/>
    </xf>
    <xf numFmtId="0" fontId="6" fillId="0" borderId="34" xfId="0" applyFont="1" applyBorder="1"/>
    <xf numFmtId="0" fontId="17" fillId="5" borderId="12" xfId="0" applyFont="1" applyFill="1" applyBorder="1"/>
    <xf numFmtId="0" fontId="43" fillId="6" borderId="15" xfId="0" applyFont="1" applyFill="1" applyBorder="1" applyAlignment="1">
      <alignment horizontal="center" vertical="center" wrapText="1"/>
    </xf>
    <xf numFmtId="0" fontId="43" fillId="5" borderId="15" xfId="0" applyFont="1" applyFill="1" applyBorder="1" applyAlignment="1">
      <alignment horizontal="center" vertical="center" wrapText="1"/>
    </xf>
    <xf numFmtId="0" fontId="43" fillId="5" borderId="16" xfId="0" applyFont="1" applyFill="1" applyBorder="1" applyAlignment="1">
      <alignment horizontal="center" vertical="center" wrapText="1"/>
    </xf>
    <xf numFmtId="0" fontId="43" fillId="5" borderId="17" xfId="0" applyFont="1" applyFill="1" applyBorder="1" applyAlignment="1">
      <alignment horizontal="center" vertical="center" wrapText="1"/>
    </xf>
    <xf numFmtId="0" fontId="16" fillId="5" borderId="12" xfId="0" applyFont="1" applyFill="1" applyBorder="1"/>
    <xf numFmtId="0" fontId="20" fillId="5" borderId="33" xfId="0" applyFont="1" applyFill="1" applyBorder="1"/>
    <xf numFmtId="0" fontId="24" fillId="0" borderId="11" xfId="0" applyFont="1" applyBorder="1" applyAlignment="1">
      <alignment horizontal="center" vertical="center" wrapText="1"/>
    </xf>
    <xf numFmtId="0" fontId="43" fillId="0" borderId="10" xfId="0" applyFont="1" applyBorder="1" applyAlignment="1">
      <alignment horizontal="center" vertical="center" wrapText="1"/>
    </xf>
    <xf numFmtId="0" fontId="43" fillId="0" borderId="11" xfId="0" applyFont="1" applyBorder="1" applyAlignment="1">
      <alignment horizontal="center" vertical="center" wrapText="1"/>
    </xf>
    <xf numFmtId="0" fontId="0" fillId="5" borderId="0" xfId="0" applyFill="1" applyProtection="1">
      <protection hidden="1"/>
    </xf>
    <xf numFmtId="0" fontId="47" fillId="5" borderId="0" xfId="0" applyFont="1" applyFill="1" applyAlignment="1" applyProtection="1">
      <alignment horizontal="centerContinuous"/>
      <protection hidden="1"/>
    </xf>
    <xf numFmtId="0" fontId="0" fillId="5" borderId="0" xfId="0" applyFill="1" applyAlignment="1" applyProtection="1">
      <alignment horizontal="centerContinuous"/>
      <protection hidden="1"/>
    </xf>
    <xf numFmtId="0" fontId="13" fillId="5" borderId="0" xfId="0" applyFont="1" applyFill="1" applyProtection="1">
      <protection hidden="1"/>
    </xf>
    <xf numFmtId="49" fontId="44" fillId="2" borderId="11" xfId="0" applyNumberFormat="1" applyFont="1" applyFill="1" applyBorder="1" applyAlignment="1" applyProtection="1">
      <alignment vertical="center"/>
      <protection hidden="1"/>
    </xf>
    <xf numFmtId="49" fontId="44" fillId="5" borderId="0" xfId="0" applyNumberFormat="1" applyFont="1" applyFill="1" applyProtection="1">
      <protection hidden="1"/>
    </xf>
    <xf numFmtId="0" fontId="5" fillId="5" borderId="2" xfId="0" applyFont="1" applyFill="1" applyBorder="1" applyAlignment="1" applyProtection="1">
      <alignment horizontal="left" vertical="top"/>
      <protection hidden="1"/>
    </xf>
    <xf numFmtId="0" fontId="0" fillId="5" borderId="4" xfId="0" applyFill="1" applyBorder="1" applyAlignment="1" applyProtection="1">
      <alignment horizontal="left" vertical="top"/>
      <protection hidden="1"/>
    </xf>
    <xf numFmtId="0" fontId="5" fillId="5" borderId="5" xfId="0" applyFont="1" applyFill="1" applyBorder="1" applyAlignment="1" applyProtection="1">
      <alignment horizontal="left" vertical="top"/>
      <protection hidden="1"/>
    </xf>
    <xf numFmtId="0" fontId="0" fillId="5" borderId="6" xfId="0" applyFill="1" applyBorder="1" applyAlignment="1" applyProtection="1">
      <alignment horizontal="left" vertical="top"/>
      <protection hidden="1"/>
    </xf>
    <xf numFmtId="0" fontId="5" fillId="5" borderId="7" xfId="0" applyFont="1" applyFill="1" applyBorder="1" applyAlignment="1" applyProtection="1">
      <alignment horizontal="left" vertical="top"/>
      <protection hidden="1"/>
    </xf>
    <xf numFmtId="0" fontId="0" fillId="5" borderId="9" xfId="0" applyFill="1" applyBorder="1" applyAlignment="1" applyProtection="1">
      <alignment horizontal="left" vertical="top"/>
      <protection hidden="1"/>
    </xf>
    <xf numFmtId="0" fontId="48" fillId="9" borderId="0" xfId="0" applyFont="1" applyFill="1" applyAlignment="1">
      <alignment horizontal="centerContinuous" vertical="center"/>
    </xf>
    <xf numFmtId="0" fontId="49" fillId="9" borderId="0" xfId="0" applyFont="1" applyFill="1" applyAlignment="1">
      <alignment horizontal="centerContinuous" vertical="center"/>
    </xf>
    <xf numFmtId="0" fontId="50" fillId="0" borderId="0" xfId="0" applyFont="1"/>
    <xf numFmtId="0" fontId="0" fillId="0" borderId="36" xfId="0" applyBorder="1"/>
    <xf numFmtId="0" fontId="0" fillId="0" borderId="37" xfId="0" applyBorder="1"/>
    <xf numFmtId="0" fontId="0" fillId="0" borderId="38" xfId="0" applyBorder="1"/>
    <xf numFmtId="0" fontId="0" fillId="0" borderId="39" xfId="0" applyBorder="1"/>
    <xf numFmtId="0" fontId="0" fillId="0" borderId="40" xfId="0" applyBorder="1"/>
    <xf numFmtId="0" fontId="0" fillId="0" borderId="41" xfId="0" applyBorder="1"/>
    <xf numFmtId="0" fontId="29" fillId="0" borderId="0" xfId="0" applyFont="1" applyAlignment="1">
      <alignment horizontal="right"/>
    </xf>
    <xf numFmtId="0" fontId="51" fillId="0" borderId="0" xfId="0" applyFont="1" applyAlignment="1">
      <alignment horizontal="center" vertical="center"/>
    </xf>
    <xf numFmtId="0" fontId="52" fillId="0" borderId="0" xfId="0" applyFont="1" applyAlignment="1">
      <alignment vertical="center"/>
    </xf>
    <xf numFmtId="0" fontId="0" fillId="0" borderId="42" xfId="0" applyBorder="1"/>
    <xf numFmtId="0" fontId="0" fillId="0" borderId="0" xfId="0" applyAlignment="1">
      <alignment horizontal="left" indent="1"/>
    </xf>
    <xf numFmtId="0" fontId="0" fillId="2" borderId="11" xfId="0" applyFill="1" applyBorder="1" applyAlignment="1">
      <alignment horizontal="center"/>
    </xf>
    <xf numFmtId="0" fontId="46" fillId="6" borderId="11" xfId="0" applyFont="1" applyFill="1" applyBorder="1"/>
    <xf numFmtId="0" fontId="6" fillId="2" borderId="11" xfId="0" applyFont="1" applyFill="1" applyBorder="1"/>
    <xf numFmtId="0" fontId="11" fillId="2" borderId="11" xfId="0" applyFont="1" applyFill="1" applyBorder="1"/>
    <xf numFmtId="0" fontId="56" fillId="6" borderId="11" xfId="0" applyFont="1" applyFill="1" applyBorder="1" applyAlignment="1">
      <alignment vertical="center"/>
    </xf>
    <xf numFmtId="0" fontId="57" fillId="10" borderId="0" xfId="0" applyFont="1" applyFill="1" applyAlignment="1">
      <alignment horizontal="centerContinuous" vertical="center"/>
    </xf>
    <xf numFmtId="0" fontId="4" fillId="10" borderId="0" xfId="0" applyFont="1" applyFill="1" applyAlignment="1">
      <alignment horizontal="centerContinuous"/>
    </xf>
    <xf numFmtId="0" fontId="55" fillId="5" borderId="0" xfId="0" applyFont="1" applyFill="1" applyAlignment="1">
      <alignment horizontal="center"/>
    </xf>
    <xf numFmtId="0" fontId="0" fillId="2" borderId="11" xfId="0" applyFill="1" applyBorder="1" applyAlignment="1">
      <alignment horizontal="left" shrinkToFit="1"/>
    </xf>
    <xf numFmtId="0" fontId="6" fillId="11" borderId="11" xfId="0" applyFont="1" applyFill="1" applyBorder="1" applyAlignment="1">
      <alignment horizontal="center"/>
    </xf>
    <xf numFmtId="0" fontId="6" fillId="11" borderId="11" xfId="0" applyFont="1" applyFill="1" applyBorder="1" applyAlignment="1">
      <alignment horizontal="center" vertical="center"/>
    </xf>
    <xf numFmtId="0" fontId="59" fillId="2" borderId="11" xfId="0" applyFont="1" applyFill="1" applyBorder="1"/>
    <xf numFmtId="0" fontId="11" fillId="2" borderId="11" xfId="0" applyFont="1" applyFill="1" applyBorder="1" applyAlignment="1">
      <alignment vertical="center"/>
    </xf>
    <xf numFmtId="0" fontId="59" fillId="5" borderId="0" xfId="0" applyFont="1" applyFill="1"/>
    <xf numFmtId="0" fontId="10" fillId="5" borderId="0" xfId="0" applyFont="1" applyFill="1" applyAlignment="1">
      <alignment horizontal="centerContinuous"/>
    </xf>
    <xf numFmtId="0" fontId="59" fillId="12" borderId="11" xfId="0" applyFont="1" applyFill="1" applyBorder="1"/>
    <xf numFmtId="0" fontId="6" fillId="12" borderId="11" xfId="0" applyFont="1" applyFill="1" applyBorder="1"/>
    <xf numFmtId="0" fontId="43" fillId="0" borderId="34" xfId="0" applyFont="1" applyBorder="1" applyAlignment="1">
      <alignment horizontal="center"/>
    </xf>
    <xf numFmtId="0" fontId="43" fillId="0" borderId="11" xfId="0" applyFont="1" applyBorder="1" applyAlignment="1">
      <alignment horizontal="center"/>
    </xf>
    <xf numFmtId="0" fontId="20" fillId="6" borderId="26" xfId="0" quotePrefix="1" applyFont="1" applyFill="1" applyBorder="1" applyAlignment="1">
      <alignment horizontal="center"/>
    </xf>
    <xf numFmtId="0" fontId="43" fillId="6" borderId="26" xfId="0" applyFont="1" applyFill="1" applyBorder="1" applyAlignment="1">
      <alignment horizontal="center"/>
    </xf>
    <xf numFmtId="0" fontId="43" fillId="5" borderId="33" xfId="0" applyFont="1" applyFill="1" applyBorder="1" applyAlignment="1">
      <alignment horizontal="center"/>
    </xf>
    <xf numFmtId="0" fontId="43" fillId="5" borderId="10" xfId="0" applyFont="1" applyFill="1" applyBorder="1" applyAlignment="1">
      <alignment horizontal="center"/>
    </xf>
    <xf numFmtId="0" fontId="43" fillId="5" borderId="10" xfId="0" quotePrefix="1" applyFont="1" applyFill="1" applyBorder="1" applyAlignment="1">
      <alignment horizontal="center"/>
    </xf>
    <xf numFmtId="0" fontId="43" fillId="6" borderId="10" xfId="0" applyFont="1" applyFill="1" applyBorder="1" applyAlignment="1">
      <alignment horizontal="center"/>
    </xf>
    <xf numFmtId="0" fontId="43" fillId="5" borderId="11" xfId="0" applyFont="1" applyFill="1" applyBorder="1" applyAlignment="1">
      <alignment horizontal="center"/>
    </xf>
    <xf numFmtId="0" fontId="43" fillId="5" borderId="11" xfId="0" quotePrefix="1" applyFont="1" applyFill="1" applyBorder="1" applyAlignment="1">
      <alignment horizontal="center"/>
    </xf>
    <xf numFmtId="0" fontId="43" fillId="6" borderId="11" xfId="0" applyFont="1" applyFill="1" applyBorder="1" applyAlignment="1">
      <alignment horizontal="center"/>
    </xf>
    <xf numFmtId="0" fontId="6" fillId="2" borderId="11" xfId="0" applyFont="1" applyFill="1" applyBorder="1" applyAlignment="1">
      <alignment horizontal="center" vertical="center" shrinkToFit="1"/>
    </xf>
    <xf numFmtId="0" fontId="40" fillId="5" borderId="0" xfId="0" applyFont="1" applyFill="1" applyAlignment="1">
      <alignment horizontal="center"/>
    </xf>
    <xf numFmtId="0" fontId="20" fillId="6" borderId="26" xfId="0" applyFont="1" applyFill="1" applyBorder="1" applyAlignment="1">
      <alignment horizontal="center"/>
    </xf>
    <xf numFmtId="0" fontId="0" fillId="0" borderId="0" xfId="0" applyAlignment="1">
      <alignment horizontal="center"/>
    </xf>
    <xf numFmtId="0" fontId="0" fillId="5" borderId="0" xfId="0" applyFill="1" applyAlignment="1">
      <alignment horizontal="center"/>
    </xf>
    <xf numFmtId="0" fontId="39" fillId="5" borderId="0" xfId="0" applyFont="1" applyFill="1" applyAlignment="1">
      <alignment horizontal="left"/>
    </xf>
    <xf numFmtId="0" fontId="63" fillId="5" borderId="0" xfId="0" applyFont="1" applyFill="1" applyAlignment="1">
      <alignment horizontal="left"/>
    </xf>
    <xf numFmtId="0" fontId="64" fillId="5" borderId="0" xfId="0" applyFont="1" applyFill="1" applyAlignment="1">
      <alignment horizontal="left"/>
    </xf>
    <xf numFmtId="0" fontId="65" fillId="5" borderId="0" xfId="0" applyFont="1" applyFill="1"/>
    <xf numFmtId="0" fontId="10" fillId="5" borderId="33" xfId="0" applyFont="1" applyFill="1" applyBorder="1"/>
    <xf numFmtId="0" fontId="6" fillId="5" borderId="44" xfId="0" applyFont="1" applyFill="1" applyBorder="1" applyAlignment="1">
      <alignment horizontal="right"/>
    </xf>
    <xf numFmtId="0" fontId="6" fillId="5" borderId="44" xfId="0" applyFont="1" applyFill="1" applyBorder="1"/>
    <xf numFmtId="0" fontId="10" fillId="5" borderId="13" xfId="0" applyFont="1" applyFill="1" applyBorder="1" applyAlignment="1">
      <alignment horizontal="left"/>
    </xf>
    <xf numFmtId="0" fontId="6" fillId="5" borderId="18" xfId="0" applyFont="1" applyFill="1" applyBorder="1"/>
    <xf numFmtId="0" fontId="5" fillId="5" borderId="12" xfId="0" applyFont="1" applyFill="1" applyBorder="1"/>
    <xf numFmtId="0" fontId="17" fillId="5" borderId="45" xfId="0" applyFont="1" applyFill="1" applyBorder="1"/>
    <xf numFmtId="0" fontId="0" fillId="5" borderId="46" xfId="0" applyFill="1" applyBorder="1"/>
    <xf numFmtId="0" fontId="0" fillId="5" borderId="18" xfId="0" applyFill="1" applyBorder="1"/>
    <xf numFmtId="0" fontId="24" fillId="13" borderId="16" xfId="0" applyFont="1" applyFill="1" applyBorder="1" applyAlignment="1">
      <alignment horizontal="center" vertical="center" wrapText="1"/>
    </xf>
    <xf numFmtId="0" fontId="24" fillId="13" borderId="11" xfId="0" applyFont="1" applyFill="1" applyBorder="1" applyAlignment="1">
      <alignment horizontal="center" vertical="center" wrapText="1"/>
    </xf>
    <xf numFmtId="0" fontId="43" fillId="13" borderId="10" xfId="0" applyFont="1" applyFill="1" applyBorder="1" applyAlignment="1">
      <alignment horizontal="center" vertical="center" wrapText="1"/>
    </xf>
    <xf numFmtId="0" fontId="43" fillId="0" borderId="14" xfId="0" applyFont="1" applyBorder="1" applyAlignment="1">
      <alignment horizontal="center" vertical="center" wrapText="1"/>
    </xf>
    <xf numFmtId="0" fontId="43" fillId="5" borderId="32" xfId="0" applyFont="1" applyFill="1" applyBorder="1" applyAlignment="1">
      <alignment horizontal="center" vertical="center" wrapText="1"/>
    </xf>
    <xf numFmtId="0" fontId="43" fillId="13" borderId="16" xfId="0" applyFont="1" applyFill="1" applyBorder="1" applyAlignment="1">
      <alignment horizontal="center" vertical="center" wrapText="1"/>
    </xf>
    <xf numFmtId="0" fontId="43" fillId="13" borderId="11" xfId="0" applyFont="1" applyFill="1" applyBorder="1" applyAlignment="1">
      <alignment horizontal="center" vertical="center" wrapText="1"/>
    </xf>
    <xf numFmtId="0" fontId="12" fillId="5" borderId="13" xfId="0" applyFont="1" applyFill="1" applyBorder="1" applyAlignment="1">
      <alignment horizontal="left"/>
    </xf>
    <xf numFmtId="0" fontId="12" fillId="5" borderId="44" xfId="0" applyFont="1" applyFill="1" applyBorder="1" applyAlignment="1">
      <alignment horizontal="left"/>
    </xf>
    <xf numFmtId="0" fontId="17" fillId="5" borderId="46" xfId="0" applyFont="1" applyFill="1" applyBorder="1"/>
    <xf numFmtId="0" fontId="5" fillId="0" borderId="11" xfId="0" applyFont="1" applyBorder="1" applyAlignment="1">
      <alignment horizontal="center" vertical="center" wrapText="1"/>
    </xf>
    <xf numFmtId="0" fontId="5" fillId="0" borderId="17" xfId="0" applyFont="1" applyBorder="1" applyAlignment="1">
      <alignment horizontal="center" vertical="center" wrapText="1"/>
    </xf>
    <xf numFmtId="0" fontId="5" fillId="5" borderId="14"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13" borderId="18" xfId="0" applyFont="1" applyFill="1" applyBorder="1" applyAlignment="1">
      <alignment horizontal="right"/>
    </xf>
    <xf numFmtId="0" fontId="5" fillId="13" borderId="17" xfId="0" applyFont="1" applyFill="1" applyBorder="1" applyAlignment="1">
      <alignment horizontal="right"/>
    </xf>
    <xf numFmtId="0" fontId="5" fillId="13" borderId="10" xfId="0" applyFont="1" applyFill="1" applyBorder="1" applyAlignment="1">
      <alignment horizontal="right"/>
    </xf>
    <xf numFmtId="0" fontId="5" fillId="13" borderId="50" xfId="0" applyFont="1" applyFill="1" applyBorder="1" applyAlignment="1">
      <alignment horizontal="right"/>
    </xf>
    <xf numFmtId="0" fontId="5" fillId="13" borderId="51" xfId="0" applyFont="1" applyFill="1" applyBorder="1" applyAlignment="1">
      <alignment horizontal="right"/>
    </xf>
    <xf numFmtId="0" fontId="5" fillId="0" borderId="52" xfId="0" applyFont="1" applyBorder="1" applyAlignment="1">
      <alignment horizontal="center" vertical="center" wrapText="1"/>
    </xf>
    <xf numFmtId="0" fontId="5" fillId="5" borderId="15" xfId="0" applyFont="1" applyFill="1" applyBorder="1" applyAlignment="1">
      <alignment horizontal="center" vertical="center" wrapText="1"/>
    </xf>
    <xf numFmtId="0" fontId="17" fillId="5" borderId="14" xfId="0" applyFont="1" applyFill="1" applyBorder="1"/>
    <xf numFmtId="0" fontId="43" fillId="14" borderId="11" xfId="0" applyFont="1" applyFill="1" applyBorder="1" applyAlignment="1">
      <alignment horizontal="center" vertical="center" wrapText="1"/>
    </xf>
    <xf numFmtId="0" fontId="43" fillId="15" borderId="15" xfId="0" applyFont="1" applyFill="1" applyBorder="1" applyAlignment="1">
      <alignment horizontal="center" vertical="center" wrapText="1"/>
    </xf>
    <xf numFmtId="0" fontId="43" fillId="14" borderId="14" xfId="0" applyFont="1" applyFill="1" applyBorder="1" applyAlignment="1">
      <alignment horizontal="center" vertical="center" wrapText="1"/>
    </xf>
    <xf numFmtId="0" fontId="16" fillId="5" borderId="46" xfId="0" applyFont="1" applyFill="1" applyBorder="1"/>
    <xf numFmtId="0" fontId="20" fillId="5" borderId="45" xfId="0" applyFont="1" applyFill="1" applyBorder="1"/>
    <xf numFmtId="169" fontId="6" fillId="5" borderId="44" xfId="0" applyNumberFormat="1" applyFont="1" applyFill="1" applyBorder="1" applyAlignment="1">
      <alignment horizontal="left"/>
    </xf>
    <xf numFmtId="0" fontId="20" fillId="14" borderId="0" xfId="0" applyFont="1" applyFill="1" applyAlignment="1">
      <alignment horizontal="center"/>
    </xf>
    <xf numFmtId="0" fontId="10" fillId="14" borderId="0" xfId="0" applyFont="1" applyFill="1"/>
    <xf numFmtId="0" fontId="10" fillId="6" borderId="22" xfId="17" applyFont="1" applyFill="1" applyBorder="1"/>
    <xf numFmtId="0" fontId="6" fillId="5" borderId="53" xfId="17" applyFont="1" applyFill="1" applyBorder="1"/>
    <xf numFmtId="0" fontId="20" fillId="6" borderId="26" xfId="17" applyFont="1" applyFill="1" applyBorder="1" applyAlignment="1">
      <alignment horizontal="center"/>
    </xf>
    <xf numFmtId="0" fontId="55" fillId="14" borderId="0" xfId="0" applyFont="1" applyFill="1" applyAlignment="1">
      <alignment horizontal="center"/>
    </xf>
    <xf numFmtId="0" fontId="56" fillId="14" borderId="0" xfId="0" applyFont="1" applyFill="1" applyAlignment="1">
      <alignment vertical="center"/>
    </xf>
    <xf numFmtId="0" fontId="0" fillId="14" borderId="0" xfId="0" applyFill="1"/>
    <xf numFmtId="0" fontId="59" fillId="14" borderId="0" xfId="0" applyFont="1" applyFill="1"/>
    <xf numFmtId="0" fontId="6" fillId="14" borderId="0" xfId="0" applyFont="1" applyFill="1"/>
    <xf numFmtId="0" fontId="6" fillId="7" borderId="29" xfId="0" applyFont="1" applyFill="1" applyBorder="1" applyProtection="1">
      <protection locked="0"/>
    </xf>
    <xf numFmtId="0" fontId="6" fillId="7" borderId="28" xfId="0" applyFont="1" applyFill="1" applyBorder="1" applyProtection="1">
      <protection locked="0"/>
    </xf>
    <xf numFmtId="0" fontId="6" fillId="7" borderId="31" xfId="0" applyFont="1" applyFill="1" applyBorder="1" applyProtection="1">
      <protection locked="0"/>
    </xf>
    <xf numFmtId="0" fontId="6" fillId="7" borderId="49" xfId="0" applyFont="1" applyFill="1" applyBorder="1" applyProtection="1">
      <protection locked="0"/>
    </xf>
    <xf numFmtId="0" fontId="15" fillId="5" borderId="0" xfId="0" applyFont="1" applyFill="1" applyAlignment="1">
      <alignment horizontal="center"/>
    </xf>
    <xf numFmtId="0" fontId="5" fillId="5" borderId="0" xfId="0" quotePrefix="1" applyFont="1" applyFill="1" applyAlignment="1">
      <alignment vertical="top" wrapText="1"/>
    </xf>
    <xf numFmtId="0" fontId="4" fillId="5" borderId="0" xfId="0" applyFont="1" applyFill="1" applyAlignment="1">
      <alignment horizontal="left"/>
    </xf>
    <xf numFmtId="0" fontId="6" fillId="5" borderId="0" xfId="0" applyFont="1" applyFill="1" applyAlignment="1">
      <alignment horizontal="left"/>
    </xf>
    <xf numFmtId="0" fontId="5" fillId="5" borderId="14" xfId="0" quotePrefix="1" applyFont="1" applyFill="1" applyBorder="1" applyAlignment="1">
      <alignment horizontal="center"/>
    </xf>
    <xf numFmtId="0" fontId="6" fillId="5" borderId="11" xfId="0" quotePrefix="1" applyFont="1" applyFill="1" applyBorder="1" applyAlignment="1">
      <alignment horizontal="left"/>
    </xf>
    <xf numFmtId="0" fontId="20" fillId="5" borderId="19" xfId="0" quotePrefix="1" applyFont="1" applyFill="1" applyBorder="1"/>
    <xf numFmtId="0" fontId="6" fillId="0" borderId="11" xfId="17" applyFont="1" applyBorder="1"/>
    <xf numFmtId="49" fontId="6" fillId="6" borderId="49" xfId="17" applyNumberFormat="1" applyFont="1" applyFill="1" applyBorder="1" applyAlignment="1">
      <alignment horizontal="left"/>
    </xf>
    <xf numFmtId="49" fontId="6" fillId="6" borderId="31" xfId="17" applyNumberFormat="1" applyFont="1" applyFill="1" applyBorder="1" applyAlignment="1">
      <alignment horizontal="right"/>
    </xf>
    <xf numFmtId="49" fontId="6" fillId="6" borderId="14" xfId="17" applyNumberFormat="1" applyFont="1" applyFill="1" applyBorder="1" applyAlignment="1">
      <alignment horizontal="left"/>
    </xf>
    <xf numFmtId="49" fontId="6" fillId="6" borderId="10" xfId="17" applyNumberFormat="1" applyFont="1" applyFill="1" applyBorder="1" applyAlignment="1">
      <alignment horizontal="left"/>
    </xf>
    <xf numFmtId="49" fontId="10" fillId="6" borderId="49" xfId="17" applyNumberFormat="1" applyFont="1" applyFill="1" applyBorder="1" applyAlignment="1">
      <alignment horizontal="left"/>
    </xf>
    <xf numFmtId="172" fontId="13" fillId="6" borderId="14" xfId="17" applyNumberFormat="1" applyFont="1" applyFill="1" applyBorder="1"/>
    <xf numFmtId="172" fontId="20" fillId="6" borderId="10" xfId="17" applyNumberFormat="1" applyFont="1" applyFill="1" applyBorder="1"/>
    <xf numFmtId="49" fontId="13" fillId="6" borderId="49" xfId="17" applyNumberFormat="1" applyFont="1" applyFill="1" applyBorder="1"/>
    <xf numFmtId="49" fontId="43" fillId="6" borderId="31" xfId="17" applyNumberFormat="1" applyFont="1" applyFill="1" applyBorder="1"/>
    <xf numFmtId="173" fontId="43" fillId="6" borderId="20" xfId="17" applyNumberFormat="1" applyFont="1" applyFill="1" applyBorder="1" applyAlignment="1">
      <alignment horizontal="right"/>
    </xf>
    <xf numFmtId="173" fontId="43" fillId="6" borderId="55" xfId="17" applyNumberFormat="1" applyFont="1" applyFill="1" applyBorder="1" applyAlignment="1">
      <alignment horizontal="right"/>
    </xf>
    <xf numFmtId="49" fontId="17" fillId="6" borderId="49" xfId="17" applyNumberFormat="1" applyFont="1" applyFill="1" applyBorder="1"/>
    <xf numFmtId="173" fontId="43" fillId="6" borderId="56" xfId="17" applyNumberFormat="1" applyFont="1" applyFill="1" applyBorder="1" applyAlignment="1">
      <alignment horizontal="right"/>
    </xf>
    <xf numFmtId="173" fontId="43" fillId="6" borderId="56" xfId="17" applyNumberFormat="1" applyFont="1" applyFill="1" applyBorder="1"/>
    <xf numFmtId="49" fontId="4" fillId="6" borderId="31" xfId="17" applyNumberFormat="1" applyFill="1" applyBorder="1"/>
    <xf numFmtId="0" fontId="17" fillId="6" borderId="49" xfId="17" applyFont="1" applyFill="1" applyBorder="1"/>
    <xf numFmtId="169" fontId="6" fillId="5" borderId="13" xfId="0" applyNumberFormat="1" applyFont="1" applyFill="1" applyBorder="1" applyAlignment="1">
      <alignment horizontal="left"/>
    </xf>
    <xf numFmtId="0" fontId="10" fillId="16" borderId="0" xfId="0" applyFont="1" applyFill="1"/>
    <xf numFmtId="169" fontId="6" fillId="16" borderId="0" xfId="0" applyNumberFormat="1" applyFont="1" applyFill="1" applyAlignment="1">
      <alignment horizontal="left"/>
    </xf>
    <xf numFmtId="0" fontId="25" fillId="16" borderId="0" xfId="22" applyFont="1" applyFill="1" applyAlignment="1">
      <alignment horizontal="right"/>
    </xf>
    <xf numFmtId="0" fontId="43" fillId="16" borderId="10" xfId="0" applyFont="1" applyFill="1" applyBorder="1" applyAlignment="1">
      <alignment horizontal="center" vertical="center" wrapText="1"/>
    </xf>
    <xf numFmtId="0" fontId="43" fillId="16" borderId="11" xfId="0" applyFont="1" applyFill="1" applyBorder="1" applyAlignment="1">
      <alignment horizontal="center" vertical="center" wrapText="1"/>
    </xf>
    <xf numFmtId="0" fontId="24" fillId="16" borderId="11" xfId="0" applyFont="1" applyFill="1" applyBorder="1" applyAlignment="1">
      <alignment horizontal="center" vertical="center" wrapText="1"/>
    </xf>
    <xf numFmtId="0" fontId="43" fillId="16" borderId="17" xfId="0" applyFont="1" applyFill="1" applyBorder="1" applyAlignment="1">
      <alignment horizontal="center" vertical="center" wrapText="1"/>
    </xf>
    <xf numFmtId="0" fontId="5" fillId="16" borderId="11" xfId="0" applyFont="1" applyFill="1" applyBorder="1" applyAlignment="1">
      <alignment horizontal="center" vertical="center" wrapText="1"/>
    </xf>
    <xf numFmtId="0" fontId="5" fillId="16" borderId="17" xfId="0" applyFont="1" applyFill="1" applyBorder="1" applyAlignment="1">
      <alignment horizontal="center" vertical="center" wrapText="1"/>
    </xf>
    <xf numFmtId="0" fontId="43" fillId="16" borderId="14" xfId="0" applyFont="1" applyFill="1" applyBorder="1" applyAlignment="1">
      <alignment horizontal="center" vertical="center" wrapText="1"/>
    </xf>
    <xf numFmtId="0" fontId="43" fillId="16" borderId="16" xfId="0" applyFont="1" applyFill="1" applyBorder="1" applyAlignment="1">
      <alignment horizontal="center" vertical="center" wrapText="1"/>
    </xf>
    <xf numFmtId="0" fontId="5" fillId="16" borderId="14" xfId="0" applyFont="1" applyFill="1" applyBorder="1" applyAlignment="1">
      <alignment horizontal="center" vertical="center" wrapText="1"/>
    </xf>
    <xf numFmtId="0" fontId="43" fillId="16" borderId="15" xfId="0" applyFont="1" applyFill="1" applyBorder="1" applyAlignment="1">
      <alignment horizontal="center" vertical="center" wrapText="1"/>
    </xf>
    <xf numFmtId="0" fontId="5" fillId="16" borderId="16" xfId="0" applyFont="1" applyFill="1" applyBorder="1" applyAlignment="1">
      <alignment horizontal="center" vertical="center" wrapText="1"/>
    </xf>
    <xf numFmtId="0" fontId="5" fillId="16" borderId="10" xfId="0" applyFont="1" applyFill="1" applyBorder="1" applyAlignment="1">
      <alignment horizontal="center" vertical="center" wrapText="1"/>
    </xf>
    <xf numFmtId="0" fontId="5" fillId="16" borderId="15" xfId="0" applyFont="1" applyFill="1" applyBorder="1" applyAlignment="1">
      <alignment horizontal="center" vertical="center" wrapText="1"/>
    </xf>
    <xf numFmtId="0" fontId="43" fillId="16" borderId="32" xfId="0" applyFont="1" applyFill="1" applyBorder="1" applyAlignment="1">
      <alignment horizontal="center" vertical="center" wrapText="1"/>
    </xf>
    <xf numFmtId="0" fontId="6" fillId="16" borderId="0" xfId="0" applyFont="1" applyFill="1"/>
    <xf numFmtId="0" fontId="5" fillId="16" borderId="11" xfId="0" applyFont="1" applyFill="1" applyBorder="1" applyAlignment="1">
      <alignment horizontal="left"/>
    </xf>
    <xf numFmtId="0" fontId="5" fillId="16" borderId="11" xfId="17" applyFont="1" applyFill="1" applyBorder="1" applyAlignment="1">
      <alignment horizontal="left"/>
    </xf>
    <xf numFmtId="0" fontId="5" fillId="16" borderId="14" xfId="0" applyFont="1" applyFill="1" applyBorder="1"/>
    <xf numFmtId="0" fontId="5" fillId="16" borderId="14" xfId="0" quotePrefix="1" applyFont="1" applyFill="1" applyBorder="1" applyAlignment="1">
      <alignment horizontal="left"/>
    </xf>
    <xf numFmtId="0" fontId="5" fillId="16" borderId="14" xfId="0" applyFont="1" applyFill="1" applyBorder="1" applyAlignment="1">
      <alignment horizontal="left"/>
    </xf>
    <xf numFmtId="0" fontId="5" fillId="16" borderId="46" xfId="0" applyFont="1" applyFill="1" applyBorder="1"/>
    <xf numFmtId="0" fontId="0" fillId="16" borderId="0" xfId="0" applyFill="1"/>
    <xf numFmtId="0" fontId="10" fillId="16" borderId="0" xfId="17" applyFont="1" applyFill="1" applyAlignment="1">
      <alignment horizontal="left"/>
    </xf>
    <xf numFmtId="0" fontId="5" fillId="16" borderId="0" xfId="0" applyFont="1" applyFill="1" applyAlignment="1">
      <alignment horizontal="right"/>
    </xf>
    <xf numFmtId="169" fontId="6" fillId="16" borderId="13" xfId="0" applyNumberFormat="1" applyFont="1" applyFill="1" applyBorder="1" applyAlignment="1">
      <alignment horizontal="left"/>
    </xf>
    <xf numFmtId="169" fontId="6" fillId="16" borderId="44" xfId="0" applyNumberFormat="1" applyFont="1" applyFill="1" applyBorder="1" applyAlignment="1">
      <alignment horizontal="left"/>
    </xf>
    <xf numFmtId="0" fontId="16" fillId="16" borderId="46" xfId="0" applyFont="1" applyFill="1" applyBorder="1"/>
    <xf numFmtId="0" fontId="20" fillId="16" borderId="45" xfId="0" applyFont="1" applyFill="1" applyBorder="1"/>
    <xf numFmtId="0" fontId="16" fillId="16" borderId="12" xfId="0" applyFont="1" applyFill="1" applyBorder="1"/>
    <xf numFmtId="0" fontId="20" fillId="16" borderId="33" xfId="0" applyFont="1" applyFill="1" applyBorder="1"/>
    <xf numFmtId="0" fontId="6" fillId="16" borderId="11" xfId="0" applyFont="1" applyFill="1" applyBorder="1"/>
    <xf numFmtId="0" fontId="6" fillId="16" borderId="53" xfId="17" applyFont="1" applyFill="1" applyBorder="1"/>
    <xf numFmtId="0" fontId="20" fillId="16" borderId="0" xfId="0" applyFont="1" applyFill="1" applyAlignment="1">
      <alignment horizontal="center"/>
    </xf>
    <xf numFmtId="0" fontId="15" fillId="16" borderId="0" xfId="0" applyFont="1" applyFill="1" applyAlignment="1">
      <alignment horizontal="center" wrapText="1"/>
    </xf>
    <xf numFmtId="0" fontId="5" fillId="16" borderId="0" xfId="0" applyFont="1" applyFill="1" applyAlignment="1">
      <alignment horizontal="left"/>
    </xf>
    <xf numFmtId="165" fontId="6" fillId="13" borderId="10" xfId="0" applyNumberFormat="1" applyFont="1" applyFill="1" applyBorder="1" applyAlignment="1">
      <alignment vertical="center" wrapText="1"/>
    </xf>
    <xf numFmtId="0" fontId="0" fillId="0" borderId="57" xfId="0" applyBorder="1"/>
    <xf numFmtId="0" fontId="0" fillId="0" borderId="58" xfId="0" quotePrefix="1" applyBorder="1" applyAlignment="1">
      <alignment horizontal="center"/>
    </xf>
    <xf numFmtId="0" fontId="0" fillId="0" borderId="59" xfId="0" applyBorder="1"/>
    <xf numFmtId="0" fontId="0" fillId="0" borderId="60" xfId="0" applyBorder="1" applyAlignment="1">
      <alignment horizontal="center"/>
    </xf>
    <xf numFmtId="0" fontId="0" fillId="0" borderId="61" xfId="0" applyBorder="1"/>
    <xf numFmtId="0" fontId="0" fillId="0" borderId="62" xfId="0" applyBorder="1" applyAlignment="1">
      <alignment horizontal="center"/>
    </xf>
    <xf numFmtId="0" fontId="0" fillId="0" borderId="63" xfId="0" applyBorder="1"/>
    <xf numFmtId="0" fontId="0" fillId="0" borderId="64" xfId="0" applyBorder="1"/>
    <xf numFmtId="0" fontId="0" fillId="0" borderId="65" xfId="0" applyBorder="1"/>
    <xf numFmtId="0" fontId="0" fillId="17" borderId="61" xfId="0" applyFill="1" applyBorder="1"/>
    <xf numFmtId="0" fontId="0" fillId="17" borderId="65" xfId="0" applyFill="1" applyBorder="1"/>
    <xf numFmtId="0" fontId="0" fillId="17" borderId="62" xfId="0" applyFill="1" applyBorder="1" applyAlignment="1">
      <alignment horizontal="center"/>
    </xf>
    <xf numFmtId="0" fontId="0" fillId="2" borderId="11" xfId="0" applyFill="1" applyBorder="1" applyAlignment="1" applyProtection="1">
      <alignment shrinkToFit="1"/>
      <protection hidden="1"/>
    </xf>
    <xf numFmtId="0" fontId="6" fillId="2" borderId="11" xfId="0" applyFont="1" applyFill="1" applyBorder="1" applyAlignment="1" applyProtection="1">
      <alignment horizontal="center" vertical="center" shrinkToFit="1"/>
      <protection hidden="1"/>
    </xf>
    <xf numFmtId="0" fontId="0" fillId="0" borderId="0" xfId="0" applyProtection="1">
      <protection hidden="1"/>
    </xf>
    <xf numFmtId="0" fontId="6" fillId="11" borderId="11" xfId="0" applyFont="1" applyFill="1" applyBorder="1" applyAlignment="1" applyProtection="1">
      <alignment horizontal="center"/>
      <protection hidden="1"/>
    </xf>
    <xf numFmtId="0" fontId="6" fillId="2" borderId="11" xfId="0" applyFont="1" applyFill="1" applyBorder="1" applyProtection="1">
      <protection hidden="1"/>
    </xf>
    <xf numFmtId="0" fontId="0" fillId="2" borderId="11" xfId="0" applyFill="1" applyBorder="1" applyProtection="1">
      <protection hidden="1"/>
    </xf>
    <xf numFmtId="0" fontId="37" fillId="16" borderId="0" xfId="0" applyFont="1" applyFill="1"/>
    <xf numFmtId="0" fontId="40" fillId="16" borderId="0" xfId="0" applyFont="1" applyFill="1" applyAlignment="1">
      <alignment horizontal="center"/>
    </xf>
    <xf numFmtId="0" fontId="17" fillId="16" borderId="0" xfId="0" applyFont="1" applyFill="1"/>
    <xf numFmtId="0" fontId="10" fillId="5" borderId="0" xfId="0" applyFont="1" applyFill="1" applyAlignment="1">
      <alignment horizontal="center"/>
    </xf>
    <xf numFmtId="0" fontId="6" fillId="5" borderId="11" xfId="0" applyFont="1" applyFill="1" applyBorder="1"/>
    <xf numFmtId="0" fontId="6" fillId="7" borderId="11" xfId="0" applyFont="1" applyFill="1" applyBorder="1"/>
    <xf numFmtId="0" fontId="17" fillId="5" borderId="0" xfId="0" applyFont="1" applyFill="1" applyAlignment="1">
      <alignment horizontal="right"/>
    </xf>
    <xf numFmtId="0" fontId="0" fillId="0" borderId="63" xfId="0" applyBorder="1" applyAlignment="1">
      <alignment horizontal="center"/>
    </xf>
    <xf numFmtId="0" fontId="0" fillId="0" borderId="64" xfId="0" applyBorder="1" applyAlignment="1">
      <alignment horizontal="center"/>
    </xf>
    <xf numFmtId="0" fontId="0" fillId="0" borderId="65" xfId="0" applyBorder="1" applyAlignment="1">
      <alignment horizontal="center"/>
    </xf>
    <xf numFmtId="0" fontId="0" fillId="17" borderId="65" xfId="0" applyFill="1" applyBorder="1" applyAlignment="1">
      <alignment horizontal="center"/>
    </xf>
    <xf numFmtId="0" fontId="10" fillId="6" borderId="53" xfId="0" applyFont="1" applyFill="1" applyBorder="1" applyAlignment="1">
      <alignment horizontal="center" vertical="center" wrapText="1"/>
    </xf>
    <xf numFmtId="0" fontId="10" fillId="6" borderId="34" xfId="0" applyFont="1" applyFill="1" applyBorder="1" applyAlignment="1">
      <alignment horizontal="center" vertical="center" wrapText="1"/>
    </xf>
    <xf numFmtId="165" fontId="6" fillId="0" borderId="10" xfId="0" applyNumberFormat="1" applyFont="1" applyBorder="1" applyAlignment="1">
      <alignment vertical="center" wrapText="1"/>
    </xf>
    <xf numFmtId="0" fontId="56" fillId="16" borderId="0" xfId="0" applyFont="1" applyFill="1" applyAlignment="1">
      <alignment vertical="center"/>
    </xf>
    <xf numFmtId="0" fontId="89" fillId="16" borderId="0" xfId="0" applyFont="1" applyFill="1" applyAlignment="1">
      <alignment horizontal="right"/>
    </xf>
    <xf numFmtId="0" fontId="6" fillId="0" borderId="0" xfId="0" applyFont="1" applyAlignment="1">
      <alignment horizontal="right"/>
    </xf>
    <xf numFmtId="0" fontId="0" fillId="16" borderId="0" xfId="0" applyFill="1" applyProtection="1">
      <protection hidden="1"/>
    </xf>
    <xf numFmtId="0" fontId="10" fillId="16" borderId="0" xfId="0" applyFont="1" applyFill="1" applyAlignment="1" applyProtection="1">
      <alignment horizontal="center"/>
      <protection hidden="1"/>
    </xf>
    <xf numFmtId="0" fontId="10" fillId="16" borderId="0" xfId="0" applyFont="1" applyFill="1" applyProtection="1">
      <protection hidden="1"/>
    </xf>
    <xf numFmtId="0" fontId="6" fillId="16" borderId="18" xfId="0" applyFont="1" applyFill="1" applyBorder="1" applyProtection="1">
      <protection hidden="1"/>
    </xf>
    <xf numFmtId="0" fontId="6" fillId="16" borderId="35" xfId="0" applyFont="1" applyFill="1" applyBorder="1" applyProtection="1">
      <protection hidden="1"/>
    </xf>
    <xf numFmtId="0" fontId="40" fillId="16" borderId="0" xfId="0" applyFont="1" applyFill="1" applyProtection="1">
      <protection hidden="1"/>
    </xf>
    <xf numFmtId="0" fontId="6" fillId="16" borderId="0" xfId="0" applyFont="1" applyFill="1" applyProtection="1">
      <protection hidden="1"/>
    </xf>
    <xf numFmtId="0" fontId="79" fillId="16" borderId="0" xfId="0" applyFont="1" applyFill="1" applyAlignment="1">
      <alignment wrapText="1"/>
    </xf>
    <xf numFmtId="0" fontId="17" fillId="16" borderId="0" xfId="0" applyFont="1" applyFill="1" applyAlignment="1" applyProtection="1">
      <alignment horizontal="right"/>
      <protection hidden="1"/>
    </xf>
    <xf numFmtId="0" fontId="59" fillId="16" borderId="0" xfId="0" applyFont="1" applyFill="1"/>
    <xf numFmtId="0" fontId="15" fillId="16" borderId="0" xfId="0" applyFont="1" applyFill="1" applyAlignment="1">
      <alignment horizontal="center"/>
    </xf>
    <xf numFmtId="0" fontId="5" fillId="16" borderId="0" xfId="0" quotePrefix="1" applyFont="1" applyFill="1" applyAlignment="1">
      <alignment vertical="top" wrapText="1"/>
    </xf>
    <xf numFmtId="0" fontId="5" fillId="13" borderId="18" xfId="0" applyFont="1" applyFill="1" applyBorder="1" applyAlignment="1">
      <alignment horizontal="center" vertical="center" wrapText="1"/>
    </xf>
    <xf numFmtId="0" fontId="5" fillId="5" borderId="0" xfId="0" applyFont="1" applyFill="1" applyProtection="1">
      <protection hidden="1"/>
    </xf>
    <xf numFmtId="1" fontId="24" fillId="0" borderId="15" xfId="0" applyNumberFormat="1" applyFont="1" applyBorder="1" applyAlignment="1">
      <alignment horizontal="center"/>
    </xf>
    <xf numFmtId="0" fontId="17" fillId="5" borderId="0" xfId="0" applyFont="1" applyFill="1" applyAlignment="1">
      <alignment horizontal="center"/>
    </xf>
    <xf numFmtId="0" fontId="6" fillId="7" borderId="10" xfId="0" applyFont="1" applyFill="1" applyBorder="1"/>
    <xf numFmtId="0" fontId="6" fillId="7" borderId="14" xfId="0" applyFont="1" applyFill="1" applyBorder="1"/>
    <xf numFmtId="0" fontId="6" fillId="7" borderId="16" xfId="0" applyFont="1" applyFill="1" applyBorder="1"/>
    <xf numFmtId="0" fontId="6" fillId="7" borderId="15" xfId="0" applyFont="1" applyFill="1" applyBorder="1"/>
    <xf numFmtId="0" fontId="6" fillId="5" borderId="11" xfId="0" applyFont="1" applyFill="1" applyBorder="1" applyAlignment="1">
      <alignment horizontal="left"/>
    </xf>
    <xf numFmtId="0" fontId="59" fillId="11" borderId="11" xfId="0" applyFont="1" applyFill="1" applyBorder="1" applyAlignment="1">
      <alignment horizontal="center"/>
    </xf>
    <xf numFmtId="0" fontId="17" fillId="14" borderId="0" xfId="0" applyFont="1" applyFill="1"/>
    <xf numFmtId="0" fontId="13" fillId="5" borderId="0" xfId="0" applyFont="1" applyFill="1"/>
    <xf numFmtId="0" fontId="17" fillId="5" borderId="13" xfId="0" applyFont="1" applyFill="1" applyBorder="1"/>
    <xf numFmtId="0" fontId="17" fillId="5" borderId="18" xfId="0" applyFont="1" applyFill="1" applyBorder="1"/>
    <xf numFmtId="0" fontId="20" fillId="5" borderId="44" xfId="0" applyFont="1" applyFill="1" applyBorder="1" applyAlignment="1">
      <alignment horizontal="right"/>
    </xf>
    <xf numFmtId="0" fontId="45" fillId="5" borderId="12" xfId="0" applyFont="1" applyFill="1" applyBorder="1"/>
    <xf numFmtId="0" fontId="45" fillId="5" borderId="35" xfId="0" applyFont="1" applyFill="1" applyBorder="1"/>
    <xf numFmtId="0" fontId="43" fillId="5" borderId="33" xfId="0" applyFont="1" applyFill="1" applyBorder="1" applyAlignment="1">
      <alignment horizontal="right"/>
    </xf>
    <xf numFmtId="0" fontId="5" fillId="6" borderId="53" xfId="0" quotePrefix="1" applyFont="1" applyFill="1" applyBorder="1" applyAlignment="1">
      <alignment horizontal="left"/>
    </xf>
    <xf numFmtId="0" fontId="5" fillId="6" borderId="11" xfId="0" quotePrefix="1" applyFont="1" applyFill="1" applyBorder="1" applyAlignment="1">
      <alignment horizontal="left" vertical="center"/>
    </xf>
    <xf numFmtId="0" fontId="43" fillId="6" borderId="34" xfId="0" quotePrefix="1" applyFont="1" applyFill="1" applyBorder="1" applyAlignment="1">
      <alignment horizontal="center" vertical="center"/>
    </xf>
    <xf numFmtId="0" fontId="5" fillId="6" borderId="34" xfId="0" quotePrefix="1" applyFont="1" applyFill="1" applyBorder="1" applyAlignment="1">
      <alignment horizontal="left" vertical="top"/>
    </xf>
    <xf numFmtId="0" fontId="5" fillId="6" borderId="11" xfId="0" applyFont="1" applyFill="1" applyBorder="1" applyAlignment="1">
      <alignment horizontal="left" vertical="center"/>
    </xf>
    <xf numFmtId="0" fontId="43" fillId="6" borderId="11" xfId="0" applyFont="1" applyFill="1" applyBorder="1" applyAlignment="1">
      <alignment horizontal="center" vertical="center"/>
    </xf>
    <xf numFmtId="0" fontId="5" fillId="5" borderId="53" xfId="0" quotePrefix="1" applyFont="1" applyFill="1" applyBorder="1" applyAlignment="1">
      <alignment horizontal="left"/>
    </xf>
    <xf numFmtId="0" fontId="5" fillId="5" borderId="11" xfId="0" applyFont="1" applyFill="1" applyBorder="1" applyAlignment="1">
      <alignment horizontal="left" vertical="center"/>
    </xf>
    <xf numFmtId="0" fontId="43" fillId="5" borderId="11" xfId="0" applyFont="1" applyFill="1" applyBorder="1" applyAlignment="1">
      <alignment horizontal="center" vertical="center"/>
    </xf>
    <xf numFmtId="0" fontId="5" fillId="5" borderId="34" xfId="0" applyFont="1" applyFill="1" applyBorder="1" applyAlignment="1">
      <alignment horizontal="left" vertical="top"/>
    </xf>
    <xf numFmtId="0" fontId="5" fillId="5" borderId="11" xfId="0" quotePrefix="1" applyFont="1" applyFill="1" applyBorder="1" applyAlignment="1">
      <alignment horizontal="left" vertical="center"/>
    </xf>
    <xf numFmtId="0" fontId="43" fillId="5" borderId="11" xfId="0" quotePrefix="1" applyFont="1" applyFill="1" applyBorder="1" applyAlignment="1">
      <alignment horizontal="center" vertical="center"/>
    </xf>
    <xf numFmtId="0" fontId="5" fillId="5" borderId="34" xfId="0" quotePrefix="1" applyFont="1" applyFill="1" applyBorder="1" applyAlignment="1">
      <alignment horizontal="left" vertical="top"/>
    </xf>
    <xf numFmtId="0" fontId="5" fillId="5" borderId="53" xfId="17" quotePrefix="1" applyFont="1" applyFill="1" applyBorder="1" applyAlignment="1">
      <alignment horizontal="left"/>
    </xf>
    <xf numFmtId="0" fontId="5" fillId="6" borderId="68" xfId="0" quotePrefix="1" applyFont="1" applyFill="1" applyBorder="1" applyAlignment="1">
      <alignment horizontal="left" vertical="top"/>
    </xf>
    <xf numFmtId="0" fontId="5" fillId="6" borderId="29" xfId="0" applyFont="1" applyFill="1" applyBorder="1" applyAlignment="1">
      <alignment horizontal="left" vertical="center"/>
    </xf>
    <xf numFmtId="0" fontId="43" fillId="6" borderId="29" xfId="0" applyFont="1" applyFill="1" applyBorder="1" applyAlignment="1">
      <alignment horizontal="center" vertical="center"/>
    </xf>
    <xf numFmtId="0" fontId="43" fillId="5" borderId="69" xfId="0" quotePrefix="1" applyFont="1" applyFill="1" applyBorder="1" applyAlignment="1">
      <alignment horizontal="left" indent="1"/>
    </xf>
    <xf numFmtId="0" fontId="5" fillId="5" borderId="34" xfId="0" applyFont="1" applyFill="1" applyBorder="1" applyAlignment="1">
      <alignment horizontal="left" vertical="center"/>
    </xf>
    <xf numFmtId="0" fontId="43" fillId="5" borderId="34" xfId="0" applyFont="1" applyFill="1" applyBorder="1" applyAlignment="1">
      <alignment horizontal="center" vertical="center"/>
    </xf>
    <xf numFmtId="0" fontId="43" fillId="5" borderId="34" xfId="0" quotePrefix="1" applyFont="1" applyFill="1" applyBorder="1" applyAlignment="1">
      <alignment horizontal="left" vertical="top" indent="1"/>
    </xf>
    <xf numFmtId="0" fontId="43" fillId="5" borderId="53" xfId="0" quotePrefix="1" applyFont="1" applyFill="1" applyBorder="1" applyAlignment="1">
      <alignment horizontal="left" indent="1"/>
    </xf>
    <xf numFmtId="0" fontId="15" fillId="5" borderId="0" xfId="0" applyFont="1" applyFill="1" applyAlignment="1">
      <alignment horizontal="left" wrapText="1"/>
    </xf>
    <xf numFmtId="0" fontId="5" fillId="5" borderId="0" xfId="0" quotePrefix="1" applyFont="1" applyFill="1" applyAlignment="1">
      <alignment horizontal="left"/>
    </xf>
    <xf numFmtId="1" fontId="22" fillId="5" borderId="0" xfId="0" applyNumberFormat="1" applyFont="1" applyFill="1"/>
    <xf numFmtId="0" fontId="5" fillId="5" borderId="0" xfId="0" applyFont="1" applyFill="1" applyAlignment="1">
      <alignment horizontal="left" indent="1"/>
    </xf>
    <xf numFmtId="0" fontId="0" fillId="2" borderId="11" xfId="0" applyFill="1" applyBorder="1" applyAlignment="1">
      <alignment shrinkToFit="1"/>
    </xf>
    <xf numFmtId="0" fontId="69" fillId="16" borderId="0" xfId="0" applyFont="1" applyFill="1" applyAlignment="1">
      <alignment horizontal="left"/>
    </xf>
    <xf numFmtId="0" fontId="70" fillId="16" borderId="0" xfId="0" applyFont="1" applyFill="1"/>
    <xf numFmtId="0" fontId="0" fillId="16" borderId="13" xfId="0" applyFill="1" applyBorder="1"/>
    <xf numFmtId="0" fontId="5" fillId="16" borderId="18" xfId="0" applyFont="1" applyFill="1" applyBorder="1" applyAlignment="1">
      <alignment horizontal="left"/>
    </xf>
    <xf numFmtId="0" fontId="43" fillId="16" borderId="44" xfId="0" applyFont="1" applyFill="1" applyBorder="1" applyAlignment="1">
      <alignment horizontal="right"/>
    </xf>
    <xf numFmtId="0" fontId="17" fillId="16" borderId="46" xfId="0" applyFont="1" applyFill="1" applyBorder="1"/>
    <xf numFmtId="0" fontId="20" fillId="16" borderId="45" xfId="0" applyFont="1" applyFill="1" applyBorder="1" applyAlignment="1">
      <alignment horizontal="right"/>
    </xf>
    <xf numFmtId="0" fontId="45" fillId="16" borderId="12" xfId="0" applyFont="1" applyFill="1" applyBorder="1"/>
    <xf numFmtId="0" fontId="45" fillId="16" borderId="35" xfId="0" applyFont="1" applyFill="1" applyBorder="1"/>
    <xf numFmtId="0" fontId="43" fillId="16" borderId="33" xfId="0" applyFont="1" applyFill="1" applyBorder="1" applyAlignment="1">
      <alignment horizontal="right"/>
    </xf>
    <xf numFmtId="0" fontId="5" fillId="6" borderId="20" xfId="0" applyFont="1" applyFill="1" applyBorder="1"/>
    <xf numFmtId="0" fontId="5" fillId="6" borderId="11" xfId="0" applyFont="1" applyFill="1" applyBorder="1" applyAlignment="1">
      <alignment horizontal="left"/>
    </xf>
    <xf numFmtId="0" fontId="43" fillId="6" borderId="11" xfId="0" applyFont="1" applyFill="1" applyBorder="1" applyAlignment="1">
      <alignment horizontal="right"/>
    </xf>
    <xf numFmtId="0" fontId="5" fillId="6" borderId="11" xfId="0" quotePrefix="1" applyFont="1" applyFill="1" applyBorder="1" applyAlignment="1">
      <alignment horizontal="left" vertical="top"/>
    </xf>
    <xf numFmtId="0" fontId="5" fillId="6" borderId="70" xfId="0" applyFont="1" applyFill="1" applyBorder="1" applyAlignment="1">
      <alignment horizontal="left"/>
    </xf>
    <xf numFmtId="0" fontId="43" fillId="16" borderId="11" xfId="0" applyFont="1" applyFill="1" applyBorder="1" applyAlignment="1">
      <alignment horizontal="right"/>
    </xf>
    <xf numFmtId="0" fontId="5" fillId="6" borderId="11" xfId="0" applyFont="1" applyFill="1" applyBorder="1" applyAlignment="1">
      <alignment horizontal="left" vertical="top"/>
    </xf>
    <xf numFmtId="0" fontId="5" fillId="6" borderId="34" xfId="0" applyFont="1" applyFill="1" applyBorder="1" applyAlignment="1">
      <alignment horizontal="left"/>
    </xf>
    <xf numFmtId="0" fontId="5" fillId="16" borderId="11" xfId="0" quotePrefix="1" applyFont="1" applyFill="1" applyBorder="1" applyAlignment="1">
      <alignment horizontal="left" vertical="top"/>
    </xf>
    <xf numFmtId="0" fontId="5" fillId="16" borderId="34" xfId="0" applyFont="1" applyFill="1" applyBorder="1" applyAlignment="1">
      <alignment horizontal="left"/>
    </xf>
    <xf numFmtId="0" fontId="5" fillId="16" borderId="11" xfId="0" applyFont="1" applyFill="1" applyBorder="1" applyAlignment="1">
      <alignment horizontal="left" vertical="top"/>
    </xf>
    <xf numFmtId="0" fontId="5" fillId="16" borderId="70" xfId="0" applyFont="1" applyFill="1" applyBorder="1" applyAlignment="1">
      <alignment horizontal="left"/>
    </xf>
    <xf numFmtId="0" fontId="5" fillId="6" borderId="11" xfId="0" quotePrefix="1" applyFont="1" applyFill="1" applyBorder="1" applyAlignment="1">
      <alignment horizontal="left"/>
    </xf>
    <xf numFmtId="0" fontId="5" fillId="6" borderId="29" xfId="0" applyFont="1" applyFill="1" applyBorder="1" applyAlignment="1">
      <alignment horizontal="left" vertical="top"/>
    </xf>
    <xf numFmtId="0" fontId="5" fillId="6" borderId="29" xfId="0" applyFont="1" applyFill="1" applyBorder="1" applyAlignment="1">
      <alignment horizontal="left"/>
    </xf>
    <xf numFmtId="0" fontId="43" fillId="6" borderId="29" xfId="0" applyFont="1" applyFill="1" applyBorder="1" applyAlignment="1">
      <alignment horizontal="right"/>
    </xf>
    <xf numFmtId="0" fontId="5" fillId="16" borderId="0" xfId="0" applyFont="1" applyFill="1"/>
    <xf numFmtId="0" fontId="0" fillId="16" borderId="10" xfId="0" applyFill="1" applyBorder="1"/>
    <xf numFmtId="0" fontId="5" fillId="16" borderId="11" xfId="0" applyFont="1" applyFill="1" applyBorder="1"/>
    <xf numFmtId="0" fontId="5" fillId="16" borderId="29" xfId="0" applyFont="1" applyFill="1" applyBorder="1" applyAlignment="1">
      <alignment horizontal="left"/>
    </xf>
    <xf numFmtId="0" fontId="0" fillId="16" borderId="31" xfId="0" applyFill="1" applyBorder="1"/>
    <xf numFmtId="0" fontId="43" fillId="16" borderId="29" xfId="0" applyFont="1" applyFill="1" applyBorder="1" applyAlignment="1">
      <alignment horizontal="right"/>
    </xf>
    <xf numFmtId="0" fontId="6" fillId="7" borderId="29" xfId="0" applyFont="1" applyFill="1" applyBorder="1"/>
    <xf numFmtId="0" fontId="6" fillId="7" borderId="28" xfId="0" applyFont="1" applyFill="1" applyBorder="1"/>
    <xf numFmtId="0" fontId="6" fillId="7" borderId="31" xfId="0" applyFont="1" applyFill="1" applyBorder="1"/>
    <xf numFmtId="0" fontId="6" fillId="7" borderId="49" xfId="0" applyFont="1" applyFill="1" applyBorder="1"/>
    <xf numFmtId="0" fontId="6" fillId="16" borderId="0" xfId="0" applyFont="1" applyFill="1" applyAlignment="1">
      <alignment horizontal="left"/>
    </xf>
    <xf numFmtId="0" fontId="43" fillId="16" borderId="0" xfId="0" applyFont="1" applyFill="1" applyAlignment="1">
      <alignment horizontal="right"/>
    </xf>
    <xf numFmtId="0" fontId="5" fillId="6" borderId="13" xfId="0" applyFont="1" applyFill="1" applyBorder="1"/>
    <xf numFmtId="0" fontId="43" fillId="6" borderId="44" xfId="0" applyFont="1" applyFill="1" applyBorder="1" applyAlignment="1">
      <alignment horizontal="right"/>
    </xf>
    <xf numFmtId="0" fontId="5" fillId="6" borderId="34" xfId="0" applyFont="1" applyFill="1" applyBorder="1" applyAlignment="1">
      <alignment horizontal="left" vertical="top"/>
    </xf>
    <xf numFmtId="0" fontId="0" fillId="6" borderId="33" xfId="0" applyFill="1" applyBorder="1"/>
    <xf numFmtId="0" fontId="5" fillId="16" borderId="29" xfId="0" applyFont="1" applyFill="1" applyBorder="1" applyAlignment="1">
      <alignment horizontal="left" vertical="top"/>
    </xf>
    <xf numFmtId="0" fontId="5" fillId="16" borderId="0" xfId="0" applyFont="1" applyFill="1" applyAlignment="1">
      <alignment horizontal="left" vertical="top"/>
    </xf>
    <xf numFmtId="0" fontId="43" fillId="16" borderId="0" xfId="0" quotePrefix="1" applyFont="1" applyFill="1" applyAlignment="1">
      <alignment horizontal="left" vertical="top" indent="1"/>
    </xf>
    <xf numFmtId="0" fontId="15" fillId="16" borderId="0" xfId="0" applyFont="1" applyFill="1" applyAlignment="1">
      <alignment horizontal="left" wrapText="1"/>
    </xf>
    <xf numFmtId="0" fontId="15" fillId="16" borderId="0" xfId="0" applyFont="1" applyFill="1" applyAlignment="1">
      <alignment wrapText="1"/>
    </xf>
    <xf numFmtId="0" fontId="5" fillId="16" borderId="0" xfId="0" quotePrefix="1" applyFont="1" applyFill="1" applyAlignment="1">
      <alignment horizontal="left"/>
    </xf>
    <xf numFmtId="0" fontId="22" fillId="16" borderId="0" xfId="0" applyFont="1" applyFill="1"/>
    <xf numFmtId="0" fontId="68" fillId="16" borderId="0" xfId="0" applyFont="1" applyFill="1" applyAlignment="1">
      <alignment horizontal="left"/>
    </xf>
    <xf numFmtId="0" fontId="15" fillId="16" borderId="0" xfId="12" applyFont="1" applyFill="1" applyAlignment="1">
      <alignment wrapText="1"/>
    </xf>
    <xf numFmtId="0" fontId="59" fillId="2" borderId="11" xfId="0" applyFont="1" applyFill="1" applyBorder="1" applyAlignment="1">
      <alignment horizontal="center" vertical="center"/>
    </xf>
    <xf numFmtId="0" fontId="43" fillId="0" borderId="34" xfId="17" applyFont="1" applyBorder="1"/>
    <xf numFmtId="0" fontId="6" fillId="0" borderId="53" xfId="17" applyFont="1" applyBorder="1"/>
    <xf numFmtId="0" fontId="10" fillId="16" borderId="0" xfId="0" applyFont="1" applyFill="1" applyAlignment="1">
      <alignment horizontal="center"/>
    </xf>
    <xf numFmtId="0" fontId="6" fillId="2" borderId="11" xfId="0" applyFont="1" applyFill="1" applyBorder="1" applyAlignment="1">
      <alignment horizontal="center" vertical="center"/>
    </xf>
    <xf numFmtId="0" fontId="6" fillId="16" borderId="11" xfId="17" applyFont="1" applyFill="1" applyBorder="1"/>
    <xf numFmtId="0" fontId="43" fillId="16" borderId="34" xfId="17" applyFont="1" applyFill="1" applyBorder="1"/>
    <xf numFmtId="0" fontId="44" fillId="11" borderId="11" xfId="0" applyFont="1" applyFill="1" applyBorder="1" applyAlignment="1">
      <alignment horizontal="center" vertical="center"/>
    </xf>
    <xf numFmtId="0" fontId="4" fillId="5" borderId="0" xfId="17" applyFill="1"/>
    <xf numFmtId="173" fontId="43" fillId="6" borderId="72" xfId="17" applyNumberFormat="1" applyFont="1" applyFill="1" applyBorder="1" applyAlignment="1">
      <alignment horizontal="right"/>
    </xf>
    <xf numFmtId="2" fontId="4" fillId="6" borderId="31" xfId="17" applyNumberFormat="1" applyFill="1" applyBorder="1"/>
    <xf numFmtId="49" fontId="17" fillId="6" borderId="17" xfId="17" applyNumberFormat="1" applyFont="1" applyFill="1" applyBorder="1"/>
    <xf numFmtId="49" fontId="4" fillId="6" borderId="10" xfId="17" applyNumberFormat="1" applyFill="1" applyBorder="1"/>
    <xf numFmtId="49" fontId="17" fillId="6" borderId="8" xfId="17" applyNumberFormat="1" applyFont="1" applyFill="1" applyBorder="1"/>
    <xf numFmtId="49" fontId="4" fillId="6" borderId="76" xfId="17" applyNumberFormat="1" applyFill="1" applyBorder="1"/>
    <xf numFmtId="173" fontId="43" fillId="6" borderId="19" xfId="17" applyNumberFormat="1" applyFont="1" applyFill="1" applyBorder="1" applyAlignment="1">
      <alignment horizontal="right"/>
    </xf>
    <xf numFmtId="49" fontId="4" fillId="6" borderId="17" xfId="17" applyNumberFormat="1" applyFill="1" applyBorder="1"/>
    <xf numFmtId="0" fontId="4" fillId="6" borderId="17" xfId="17" applyFill="1" applyBorder="1"/>
    <xf numFmtId="0" fontId="4" fillId="6" borderId="10" xfId="17" applyFill="1" applyBorder="1"/>
    <xf numFmtId="173" fontId="43" fillId="6" borderId="77" xfId="17" applyNumberFormat="1" applyFont="1" applyFill="1" applyBorder="1" applyAlignment="1">
      <alignment horizontal="right"/>
    </xf>
    <xf numFmtId="49" fontId="4" fillId="6" borderId="66" xfId="17" applyNumberFormat="1" applyFill="1" applyBorder="1"/>
    <xf numFmtId="0" fontId="10" fillId="6" borderId="11" xfId="17" applyFont="1" applyFill="1" applyBorder="1"/>
    <xf numFmtId="0" fontId="10" fillId="6" borderId="29" xfId="17" applyFont="1" applyFill="1" applyBorder="1"/>
    <xf numFmtId="173" fontId="43" fillId="6" borderId="79" xfId="17" applyNumberFormat="1" applyFont="1" applyFill="1" applyBorder="1" applyAlignment="1">
      <alignment horizontal="right"/>
    </xf>
    <xf numFmtId="49" fontId="4" fillId="6" borderId="80" xfId="17" applyNumberFormat="1" applyFill="1" applyBorder="1"/>
    <xf numFmtId="49" fontId="4" fillId="6" borderId="81" xfId="17" applyNumberFormat="1" applyFill="1" applyBorder="1"/>
    <xf numFmtId="49" fontId="4" fillId="6" borderId="49" xfId="17" applyNumberFormat="1" applyFill="1" applyBorder="1"/>
    <xf numFmtId="49" fontId="17" fillId="6" borderId="14" xfId="17" applyNumberFormat="1" applyFont="1" applyFill="1" applyBorder="1"/>
    <xf numFmtId="49" fontId="43" fillId="6" borderId="10" xfId="17" applyNumberFormat="1" applyFont="1" applyFill="1" applyBorder="1"/>
    <xf numFmtId="0" fontId="17" fillId="6" borderId="11" xfId="17" applyFont="1" applyFill="1" applyBorder="1"/>
    <xf numFmtId="49" fontId="17" fillId="6" borderId="12" xfId="17" applyNumberFormat="1" applyFont="1" applyFill="1" applyBorder="1"/>
    <xf numFmtId="0" fontId="17" fillId="6" borderId="34" xfId="17" applyFont="1" applyFill="1" applyBorder="1"/>
    <xf numFmtId="0" fontId="58" fillId="0" borderId="0" xfId="0" applyFont="1" applyAlignment="1">
      <alignment vertical="center"/>
    </xf>
    <xf numFmtId="0" fontId="61" fillId="0" borderId="0" xfId="0" applyFont="1" applyAlignment="1">
      <alignment horizontal="right" vertical="center"/>
    </xf>
    <xf numFmtId="0" fontId="62" fillId="0" borderId="0" xfId="0" applyFont="1" applyAlignment="1">
      <alignment vertical="center"/>
    </xf>
    <xf numFmtId="0" fontId="53" fillId="0" borderId="35" xfId="0" applyFont="1" applyBorder="1" applyAlignment="1" applyProtection="1">
      <alignment horizontal="left"/>
      <protection locked="0"/>
    </xf>
    <xf numFmtId="0" fontId="53" fillId="0" borderId="83" xfId="0" applyFont="1" applyBorder="1" applyAlignment="1" applyProtection="1">
      <alignment horizontal="center"/>
      <protection locked="0"/>
    </xf>
    <xf numFmtId="0" fontId="0" fillId="5" borderId="8" xfId="0" applyFill="1" applyBorder="1" applyAlignment="1" applyProtection="1">
      <alignment horizontal="left"/>
      <protection locked="0"/>
    </xf>
    <xf numFmtId="15" fontId="0" fillId="5" borderId="8" xfId="0" applyNumberFormat="1" applyFill="1" applyBorder="1" applyAlignment="1" applyProtection="1">
      <alignment horizontal="left"/>
      <protection locked="0"/>
    </xf>
    <xf numFmtId="0" fontId="4" fillId="5" borderId="8" xfId="0" applyFont="1" applyFill="1" applyBorder="1" applyAlignment="1" applyProtection="1">
      <alignment horizontal="left"/>
      <protection locked="0"/>
    </xf>
    <xf numFmtId="0" fontId="4" fillId="5" borderId="0" xfId="0" applyFont="1" applyFill="1"/>
    <xf numFmtId="0" fontId="90" fillId="14" borderId="0" xfId="0" applyFont="1" applyFill="1" applyAlignment="1">
      <alignment horizontal="center"/>
    </xf>
    <xf numFmtId="0" fontId="91" fillId="6" borderId="11" xfId="0" applyFont="1" applyFill="1" applyBorder="1" applyAlignment="1">
      <alignment horizontal="center" vertical="center" wrapText="1"/>
    </xf>
    <xf numFmtId="0" fontId="4" fillId="0" borderId="3" xfId="0" applyFont="1" applyBorder="1" applyAlignment="1" applyProtection="1">
      <alignment horizontal="left" vertical="top"/>
      <protection locked="0"/>
    </xf>
    <xf numFmtId="0" fontId="4" fillId="0" borderId="0" xfId="0" applyFont="1" applyAlignment="1" applyProtection="1">
      <alignment horizontal="left" vertical="top"/>
      <protection locked="0"/>
    </xf>
    <xf numFmtId="0" fontId="0" fillId="0" borderId="0" xfId="0" applyAlignment="1" applyProtection="1">
      <alignment horizontal="left" vertical="top"/>
      <protection locked="0"/>
    </xf>
    <xf numFmtId="0" fontId="0" fillId="0" borderId="8" xfId="0" applyBorder="1" applyAlignment="1" applyProtection="1">
      <alignment horizontal="left" vertical="top"/>
      <protection locked="0"/>
    </xf>
    <xf numFmtId="2" fontId="89" fillId="16" borderId="0" xfId="0" applyNumberFormat="1" applyFont="1" applyFill="1" applyAlignment="1">
      <alignment horizontal="right"/>
    </xf>
    <xf numFmtId="2" fontId="89" fillId="16" borderId="0" xfId="0" applyNumberFormat="1" applyFont="1" applyFill="1" applyProtection="1">
      <protection locked="0"/>
    </xf>
    <xf numFmtId="0" fontId="92" fillId="16" borderId="0" xfId="0" applyFont="1" applyFill="1"/>
    <xf numFmtId="0" fontId="93" fillId="16" borderId="0" xfId="0" applyFont="1" applyFill="1"/>
    <xf numFmtId="0" fontId="94" fillId="16" borderId="0" xfId="0" applyFont="1" applyFill="1" applyAlignment="1">
      <alignment horizontal="center"/>
    </xf>
    <xf numFmtId="0" fontId="0" fillId="0" borderId="42" xfId="0" applyBorder="1" applyProtection="1">
      <protection locked="0"/>
    </xf>
    <xf numFmtId="0" fontId="24" fillId="5" borderId="15" xfId="0" applyFont="1" applyFill="1" applyBorder="1" applyAlignment="1">
      <alignment horizontal="center" vertical="center" wrapText="1"/>
    </xf>
    <xf numFmtId="0" fontId="40" fillId="5" borderId="0" xfId="0" applyFont="1" applyFill="1" applyAlignment="1">
      <alignment vertical="center"/>
    </xf>
    <xf numFmtId="0" fontId="40" fillId="5" borderId="0" xfId="0" applyFont="1" applyFill="1" applyAlignment="1">
      <alignment vertical="center" wrapText="1"/>
    </xf>
    <xf numFmtId="0" fontId="95" fillId="0" borderId="0" xfId="0" applyFont="1"/>
    <xf numFmtId="0" fontId="95" fillId="0" borderId="0" xfId="0" applyFont="1" applyAlignment="1">
      <alignment horizontal="left" indent="1"/>
    </xf>
    <xf numFmtId="0" fontId="4" fillId="0" borderId="0" xfId="0" applyFont="1"/>
    <xf numFmtId="0" fontId="4" fillId="16" borderId="0" xfId="17" applyFill="1"/>
    <xf numFmtId="0" fontId="73" fillId="16" borderId="0" xfId="17" applyFont="1" applyFill="1"/>
    <xf numFmtId="0" fontId="4" fillId="16" borderId="3" xfId="17" applyFill="1" applyBorder="1"/>
    <xf numFmtId="0" fontId="4" fillId="16" borderId="4" xfId="17" applyFill="1" applyBorder="1"/>
    <xf numFmtId="0" fontId="4" fillId="16" borderId="2" xfId="17" applyFill="1" applyBorder="1"/>
    <xf numFmtId="0" fontId="72" fillId="16" borderId="0" xfId="17" applyFont="1" applyFill="1" applyAlignment="1">
      <alignment horizontal="center"/>
    </xf>
    <xf numFmtId="0" fontId="4" fillId="16" borderId="6" xfId="17" applyFill="1" applyBorder="1"/>
    <xf numFmtId="0" fontId="4" fillId="16" borderId="5" xfId="17" applyFill="1" applyBorder="1"/>
    <xf numFmtId="0" fontId="4" fillId="16" borderId="0" xfId="17" applyFill="1" applyAlignment="1">
      <alignment horizontal="left"/>
    </xf>
    <xf numFmtId="0" fontId="4" fillId="16" borderId="6" xfId="17" applyFill="1" applyBorder="1" applyAlignment="1">
      <alignment horizontal="left"/>
    </xf>
    <xf numFmtId="169" fontId="6" fillId="16" borderId="0" xfId="17" applyNumberFormat="1" applyFont="1" applyFill="1" applyAlignment="1">
      <alignment horizontal="left"/>
    </xf>
    <xf numFmtId="0" fontId="17" fillId="16" borderId="8" xfId="17" applyFont="1" applyFill="1" applyBorder="1" applyAlignment="1">
      <alignment horizontal="center"/>
    </xf>
    <xf numFmtId="0" fontId="45" fillId="16" borderId="8" xfId="17" applyFont="1" applyFill="1" applyBorder="1"/>
    <xf numFmtId="49" fontId="6" fillId="16" borderId="12" xfId="17" applyNumberFormat="1" applyFont="1" applyFill="1" applyBorder="1"/>
    <xf numFmtId="49" fontId="6" fillId="16" borderId="33" xfId="17" applyNumberFormat="1" applyFont="1" applyFill="1" applyBorder="1"/>
    <xf numFmtId="49" fontId="6" fillId="16" borderId="14" xfId="17" applyNumberFormat="1" applyFont="1" applyFill="1" applyBorder="1"/>
    <xf numFmtId="49" fontId="6" fillId="16" borderId="10" xfId="17" applyNumberFormat="1" applyFont="1" applyFill="1" applyBorder="1"/>
    <xf numFmtId="49" fontId="6" fillId="16" borderId="14" xfId="17" applyNumberFormat="1" applyFont="1" applyFill="1" applyBorder="1" applyAlignment="1">
      <alignment horizontal="left"/>
    </xf>
    <xf numFmtId="49" fontId="6" fillId="16" borderId="10" xfId="17" applyNumberFormat="1" applyFont="1" applyFill="1" applyBorder="1" applyAlignment="1">
      <alignment horizontal="left"/>
    </xf>
    <xf numFmtId="49" fontId="6" fillId="16" borderId="17" xfId="17" applyNumberFormat="1" applyFont="1" applyFill="1" applyBorder="1"/>
    <xf numFmtId="0" fontId="45" fillId="16" borderId="3" xfId="17" applyFont="1" applyFill="1" applyBorder="1" applyAlignment="1">
      <alignment horizontal="center"/>
    </xf>
    <xf numFmtId="0" fontId="17" fillId="16" borderId="3" xfId="17" applyFont="1" applyFill="1" applyBorder="1" applyAlignment="1">
      <alignment horizontal="left"/>
    </xf>
    <xf numFmtId="1" fontId="4" fillId="16" borderId="84" xfId="17" applyNumberFormat="1" applyFill="1" applyBorder="1"/>
    <xf numFmtId="0" fontId="4" fillId="16" borderId="74" xfId="17" applyFill="1" applyBorder="1"/>
    <xf numFmtId="49" fontId="6" fillId="16" borderId="0" xfId="17" applyNumberFormat="1" applyFont="1" applyFill="1" applyAlignment="1">
      <alignment horizontal="left"/>
    </xf>
    <xf numFmtId="0" fontId="4" fillId="16" borderId="3" xfId="17" applyFill="1" applyBorder="1" applyAlignment="1">
      <alignment horizontal="center" wrapText="1"/>
    </xf>
    <xf numFmtId="0" fontId="4" fillId="16" borderId="85" xfId="17" applyFill="1" applyBorder="1" applyAlignment="1">
      <alignment horizontal="center" wrapText="1"/>
    </xf>
    <xf numFmtId="0" fontId="4" fillId="16" borderId="84" xfId="17" applyFill="1" applyBorder="1"/>
    <xf numFmtId="49" fontId="17" fillId="16" borderId="8" xfId="17" applyNumberFormat="1" applyFont="1" applyFill="1" applyBorder="1" applyAlignment="1">
      <alignment horizontal="center" wrapText="1"/>
    </xf>
    <xf numFmtId="0" fontId="4" fillId="16" borderId="45" xfId="17" applyFill="1" applyBorder="1" applyAlignment="1">
      <alignment horizontal="center" wrapText="1"/>
    </xf>
    <xf numFmtId="0" fontId="4" fillId="16" borderId="86" xfId="17" applyFill="1" applyBorder="1"/>
    <xf numFmtId="49" fontId="6" fillId="16" borderId="80" xfId="17" applyNumberFormat="1" applyFont="1" applyFill="1" applyBorder="1"/>
    <xf numFmtId="49" fontId="6" fillId="16" borderId="81" xfId="17" applyNumberFormat="1" applyFont="1" applyFill="1" applyBorder="1"/>
    <xf numFmtId="49" fontId="4" fillId="16" borderId="3" xfId="17" applyNumberFormat="1" applyFill="1" applyBorder="1"/>
    <xf numFmtId="49" fontId="4" fillId="16" borderId="8" xfId="17" applyNumberFormat="1" applyFill="1" applyBorder="1"/>
    <xf numFmtId="173" fontId="43" fillId="16" borderId="79" xfId="17" applyNumberFormat="1" applyFont="1" applyFill="1" applyBorder="1" applyAlignment="1">
      <alignment horizontal="right"/>
    </xf>
    <xf numFmtId="49" fontId="6" fillId="16" borderId="80" xfId="17" applyNumberFormat="1" applyFont="1" applyFill="1" applyBorder="1" applyAlignment="1">
      <alignment horizontal="left"/>
    </xf>
    <xf numFmtId="49" fontId="6" fillId="16" borderId="81" xfId="17" applyNumberFormat="1" applyFont="1" applyFill="1" applyBorder="1" applyAlignment="1">
      <alignment horizontal="left"/>
    </xf>
    <xf numFmtId="173" fontId="43" fillId="16" borderId="56" xfId="17" applyNumberFormat="1" applyFont="1" applyFill="1" applyBorder="1" applyAlignment="1">
      <alignment horizontal="right"/>
    </xf>
    <xf numFmtId="173" fontId="43" fillId="16" borderId="87" xfId="17" applyNumberFormat="1" applyFont="1" applyFill="1" applyBorder="1" applyAlignment="1">
      <alignment horizontal="right"/>
    </xf>
    <xf numFmtId="0" fontId="6" fillId="16" borderId="11" xfId="17" quotePrefix="1" applyFont="1" applyFill="1" applyBorder="1" applyAlignment="1">
      <alignment horizontal="left" vertical="top"/>
    </xf>
    <xf numFmtId="0" fontId="5" fillId="16" borderId="11" xfId="17" quotePrefix="1" applyFont="1" applyFill="1" applyBorder="1" applyAlignment="1">
      <alignment horizontal="left"/>
    </xf>
    <xf numFmtId="49" fontId="45" fillId="16" borderId="3" xfId="17" applyNumberFormat="1" applyFont="1" applyFill="1" applyBorder="1" applyAlignment="1">
      <alignment horizontal="center"/>
    </xf>
    <xf numFmtId="49" fontId="17" fillId="16" borderId="85" xfId="17" applyNumberFormat="1" applyFont="1" applyFill="1" applyBorder="1"/>
    <xf numFmtId="49" fontId="17" fillId="16" borderId="0" xfId="17" applyNumberFormat="1" applyFont="1" applyFill="1" applyAlignment="1">
      <alignment horizontal="left"/>
    </xf>
    <xf numFmtId="49" fontId="45" fillId="16" borderId="76" xfId="17" applyNumberFormat="1" applyFont="1" applyFill="1" applyBorder="1"/>
    <xf numFmtId="49" fontId="4" fillId="16" borderId="88" xfId="17" applyNumberFormat="1" applyFill="1" applyBorder="1"/>
    <xf numFmtId="49" fontId="4" fillId="16" borderId="81" xfId="17" applyNumberFormat="1" applyFill="1" applyBorder="1"/>
    <xf numFmtId="49" fontId="4" fillId="16" borderId="17" xfId="17" applyNumberFormat="1" applyFill="1" applyBorder="1"/>
    <xf numFmtId="49" fontId="4" fillId="16" borderId="10" xfId="17" applyNumberFormat="1" applyFill="1" applyBorder="1"/>
    <xf numFmtId="0" fontId="5" fillId="16" borderId="10" xfId="17" applyFont="1" applyFill="1" applyBorder="1" applyAlignment="1">
      <alignment horizontal="left"/>
    </xf>
    <xf numFmtId="49" fontId="6" fillId="16" borderId="10" xfId="17" quotePrefix="1" applyNumberFormat="1" applyFont="1" applyFill="1" applyBorder="1" applyAlignment="1">
      <alignment horizontal="left"/>
    </xf>
    <xf numFmtId="0" fontId="5" fillId="16" borderId="10" xfId="17" quotePrefix="1" applyFont="1" applyFill="1" applyBorder="1" applyAlignment="1">
      <alignment horizontal="left"/>
    </xf>
    <xf numFmtId="173" fontId="43" fillId="16" borderId="0" xfId="17" applyNumberFormat="1" applyFont="1" applyFill="1" applyAlignment="1">
      <alignment horizontal="right"/>
    </xf>
    <xf numFmtId="49" fontId="17" fillId="16" borderId="0" xfId="17" applyNumberFormat="1" applyFont="1" applyFill="1"/>
    <xf numFmtId="49" fontId="4" fillId="16" borderId="0" xfId="17" applyNumberFormat="1" applyFill="1"/>
    <xf numFmtId="2" fontId="4" fillId="16" borderId="0" xfId="17" applyNumberFormat="1" applyFill="1"/>
    <xf numFmtId="49" fontId="5" fillId="16" borderId="0" xfId="17" applyNumberFormat="1" applyFont="1" applyFill="1"/>
    <xf numFmtId="0" fontId="17" fillId="16" borderId="5" xfId="17" applyFont="1" applyFill="1" applyBorder="1"/>
    <xf numFmtId="0" fontId="17" fillId="16" borderId="0" xfId="17" applyFont="1" applyFill="1"/>
    <xf numFmtId="0" fontId="4" fillId="16" borderId="45" xfId="17" applyFill="1" applyBorder="1"/>
    <xf numFmtId="0" fontId="17" fillId="16" borderId="7" xfId="17" applyFont="1" applyFill="1" applyBorder="1"/>
    <xf numFmtId="0" fontId="17" fillId="16" borderId="8" xfId="17" applyFont="1" applyFill="1" applyBorder="1"/>
    <xf numFmtId="0" fontId="17" fillId="16" borderId="88" xfId="17" applyFont="1" applyFill="1" applyBorder="1"/>
    <xf numFmtId="49" fontId="17" fillId="16" borderId="88" xfId="17" applyNumberFormat="1" applyFont="1" applyFill="1" applyBorder="1"/>
    <xf numFmtId="2" fontId="4" fillId="16" borderId="89" xfId="17" applyNumberFormat="1" applyFill="1" applyBorder="1"/>
    <xf numFmtId="49" fontId="17" fillId="16" borderId="3" xfId="17" applyNumberFormat="1" applyFont="1" applyFill="1" applyBorder="1"/>
    <xf numFmtId="2" fontId="4" fillId="16" borderId="4" xfId="17" applyNumberFormat="1" applyFill="1" applyBorder="1"/>
    <xf numFmtId="0" fontId="45" fillId="16" borderId="6" xfId="17" applyFont="1" applyFill="1" applyBorder="1"/>
    <xf numFmtId="0" fontId="45" fillId="16" borderId="0" xfId="17" applyFont="1" applyFill="1"/>
    <xf numFmtId="0" fontId="45" fillId="16" borderId="5" xfId="17" applyFont="1" applyFill="1" applyBorder="1"/>
    <xf numFmtId="0" fontId="10" fillId="16" borderId="0" xfId="17" applyFont="1" applyFill="1"/>
    <xf numFmtId="2" fontId="4" fillId="16" borderId="8" xfId="17" applyNumberFormat="1" applyFill="1" applyBorder="1"/>
    <xf numFmtId="0" fontId="45" fillId="16" borderId="9" xfId="17" applyFont="1" applyFill="1" applyBorder="1"/>
    <xf numFmtId="0" fontId="45" fillId="16" borderId="7" xfId="17" applyFont="1" applyFill="1" applyBorder="1"/>
    <xf numFmtId="173" fontId="43" fillId="16" borderId="8" xfId="17" applyNumberFormat="1" applyFont="1" applyFill="1" applyBorder="1" applyAlignment="1">
      <alignment horizontal="right"/>
    </xf>
    <xf numFmtId="0" fontId="10" fillId="16" borderId="8" xfId="17" applyFont="1" applyFill="1" applyBorder="1"/>
    <xf numFmtId="0" fontId="4" fillId="16" borderId="9" xfId="17" applyFill="1" applyBorder="1"/>
    <xf numFmtId="0" fontId="4" fillId="16" borderId="0" xfId="17" applyFill="1" applyAlignment="1">
      <alignment horizontal="center"/>
    </xf>
    <xf numFmtId="0" fontId="22" fillId="16" borderId="0" xfId="17" applyFont="1" applyFill="1"/>
    <xf numFmtId="0" fontId="22" fillId="16" borderId="6" xfId="17" applyFont="1" applyFill="1" applyBorder="1"/>
    <xf numFmtId="1" fontId="22" fillId="16" borderId="0" xfId="17" applyNumberFormat="1" applyFont="1" applyFill="1"/>
    <xf numFmtId="1" fontId="22" fillId="16" borderId="6" xfId="17" applyNumberFormat="1" applyFont="1" applyFill="1" applyBorder="1"/>
    <xf numFmtId="49" fontId="45" fillId="16" borderId="85" xfId="17" applyNumberFormat="1" applyFont="1" applyFill="1" applyBorder="1" applyAlignment="1">
      <alignment horizontal="center"/>
    </xf>
    <xf numFmtId="0" fontId="4" fillId="16" borderId="87" xfId="17" applyFill="1" applyBorder="1"/>
    <xf numFmtId="0" fontId="17" fillId="16" borderId="33" xfId="17" applyFont="1" applyFill="1" applyBorder="1" applyAlignment="1">
      <alignment horizontal="center"/>
    </xf>
    <xf numFmtId="169" fontId="6" fillId="16" borderId="82" xfId="17" applyNumberFormat="1" applyFont="1" applyFill="1" applyBorder="1" applyAlignment="1">
      <alignment horizontal="left"/>
    </xf>
    <xf numFmtId="173" fontId="43" fillId="16" borderId="20" xfId="17" applyNumberFormat="1" applyFont="1" applyFill="1" applyBorder="1" applyAlignment="1">
      <alignment horizontal="right"/>
    </xf>
    <xf numFmtId="0" fontId="10" fillId="16" borderId="3" xfId="17" applyFont="1" applyFill="1" applyBorder="1"/>
    <xf numFmtId="0" fontId="4" fillId="16" borderId="2" xfId="17" applyFill="1" applyBorder="1" applyAlignment="1">
      <alignment horizontal="left"/>
    </xf>
    <xf numFmtId="0" fontId="4" fillId="16" borderId="7" xfId="17" applyFill="1" applyBorder="1"/>
    <xf numFmtId="0" fontId="5" fillId="16" borderId="0" xfId="17" applyFont="1" applyFill="1"/>
    <xf numFmtId="0" fontId="4" fillId="16" borderId="7" xfId="17" applyFill="1" applyBorder="1" applyAlignment="1">
      <alignment horizontal="center" wrapText="1"/>
    </xf>
    <xf numFmtId="49" fontId="17" fillId="16" borderId="5" xfId="17" applyNumberFormat="1" applyFont="1" applyFill="1" applyBorder="1"/>
    <xf numFmtId="173" fontId="43" fillId="16" borderId="90" xfId="17" applyNumberFormat="1" applyFont="1" applyFill="1" applyBorder="1" applyAlignment="1">
      <alignment horizontal="right"/>
    </xf>
    <xf numFmtId="173" fontId="43" fillId="16" borderId="2" xfId="17" applyNumberFormat="1" applyFont="1" applyFill="1" applyBorder="1" applyAlignment="1">
      <alignment horizontal="right"/>
    </xf>
    <xf numFmtId="1" fontId="4" fillId="16" borderId="0" xfId="17" applyNumberFormat="1" applyFill="1" applyAlignment="1">
      <alignment horizontal="right"/>
    </xf>
    <xf numFmtId="0" fontId="75" fillId="16" borderId="0" xfId="17" applyFont="1" applyFill="1"/>
    <xf numFmtId="0" fontId="76" fillId="16" borderId="0" xfId="17" applyFont="1" applyFill="1"/>
    <xf numFmtId="0" fontId="17" fillId="16" borderId="2" xfId="17" applyFont="1" applyFill="1" applyBorder="1"/>
    <xf numFmtId="0" fontId="45" fillId="16" borderId="85" xfId="17" applyFont="1" applyFill="1" applyBorder="1" applyAlignment="1">
      <alignment horizontal="center"/>
    </xf>
    <xf numFmtId="49" fontId="17" fillId="16" borderId="76" xfId="17" applyNumberFormat="1" applyFont="1" applyFill="1" applyBorder="1" applyAlignment="1">
      <alignment horizontal="center"/>
    </xf>
    <xf numFmtId="169" fontId="6" fillId="16" borderId="74" xfId="17" applyNumberFormat="1" applyFont="1" applyFill="1" applyBorder="1" applyAlignment="1">
      <alignment horizontal="left"/>
    </xf>
    <xf numFmtId="1" fontId="94" fillId="16" borderId="0" xfId="17" applyNumberFormat="1" applyFont="1" applyFill="1"/>
    <xf numFmtId="49" fontId="5" fillId="16" borderId="3" xfId="17" applyNumberFormat="1" applyFont="1" applyFill="1" applyBorder="1"/>
    <xf numFmtId="2" fontId="4" fillId="16" borderId="3" xfId="17" applyNumberFormat="1" applyFill="1" applyBorder="1"/>
    <xf numFmtId="49" fontId="75" fillId="16" borderId="0" xfId="17" applyNumberFormat="1" applyFont="1" applyFill="1"/>
    <xf numFmtId="2" fontId="75" fillId="16" borderId="0" xfId="17" applyNumberFormat="1" applyFont="1" applyFill="1"/>
    <xf numFmtId="0" fontId="17" fillId="16" borderId="85" xfId="17" applyFont="1" applyFill="1" applyBorder="1"/>
    <xf numFmtId="49" fontId="17" fillId="16" borderId="0" xfId="17" applyNumberFormat="1" applyFont="1" applyFill="1" applyAlignment="1">
      <alignment horizontal="center"/>
    </xf>
    <xf numFmtId="49" fontId="45" fillId="16" borderId="45" xfId="17" applyNumberFormat="1" applyFont="1" applyFill="1" applyBorder="1" applyAlignment="1">
      <alignment horizontal="center"/>
    </xf>
    <xf numFmtId="49" fontId="4" fillId="16" borderId="80" xfId="17" applyNumberFormat="1" applyFill="1" applyBorder="1"/>
    <xf numFmtId="49" fontId="43" fillId="16" borderId="0" xfId="17" applyNumberFormat="1" applyFont="1" applyFill="1"/>
    <xf numFmtId="49" fontId="4" fillId="16" borderId="14" xfId="17" applyNumberFormat="1" applyFill="1" applyBorder="1"/>
    <xf numFmtId="49" fontId="17" fillId="16" borderId="2" xfId="17" applyNumberFormat="1" applyFont="1" applyFill="1" applyBorder="1"/>
    <xf numFmtId="49" fontId="17" fillId="16" borderId="7" xfId="17" applyNumberFormat="1" applyFont="1" applyFill="1" applyBorder="1"/>
    <xf numFmtId="49" fontId="17" fillId="16" borderId="8" xfId="17" applyNumberFormat="1" applyFont="1" applyFill="1" applyBorder="1" applyAlignment="1">
      <alignment horizontal="center"/>
    </xf>
    <xf numFmtId="169" fontId="6" fillId="16" borderId="86" xfId="17" applyNumberFormat="1" applyFont="1" applyFill="1" applyBorder="1" applyAlignment="1">
      <alignment horizontal="left"/>
    </xf>
    <xf numFmtId="0" fontId="5" fillId="16" borderId="8" xfId="17" applyFont="1" applyFill="1" applyBorder="1"/>
    <xf numFmtId="0" fontId="4" fillId="16" borderId="8" xfId="17" applyFill="1" applyBorder="1"/>
    <xf numFmtId="0" fontId="5" fillId="16" borderId="0" xfId="17" applyFont="1" applyFill="1" applyAlignment="1">
      <alignment horizontal="left"/>
    </xf>
    <xf numFmtId="0" fontId="4" fillId="16" borderId="85" xfId="17" applyFill="1" applyBorder="1"/>
    <xf numFmtId="0" fontId="4" fillId="16" borderId="76" xfId="17" applyFill="1" applyBorder="1"/>
    <xf numFmtId="0" fontId="9" fillId="16" borderId="0" xfId="17" applyFont="1" applyFill="1" applyAlignment="1">
      <alignment horizontal="right"/>
    </xf>
    <xf numFmtId="173" fontId="43" fillId="16" borderId="56" xfId="17" applyNumberFormat="1" applyFont="1" applyFill="1" applyBorder="1"/>
    <xf numFmtId="0" fontId="6" fillId="16" borderId="34" xfId="17" applyFont="1" applyFill="1" applyBorder="1"/>
    <xf numFmtId="1" fontId="4" fillId="16" borderId="0" xfId="17" applyNumberFormat="1" applyFill="1"/>
    <xf numFmtId="0" fontId="9" fillId="16" borderId="91" xfId="17" applyFont="1" applyFill="1" applyBorder="1" applyAlignment="1">
      <alignment horizontal="right"/>
    </xf>
    <xf numFmtId="0" fontId="4" fillId="16" borderId="84" xfId="17" applyFill="1" applyBorder="1" applyAlignment="1">
      <alignment horizontal="right"/>
    </xf>
    <xf numFmtId="0" fontId="94" fillId="16" borderId="0" xfId="17" applyFont="1" applyFill="1"/>
    <xf numFmtId="0" fontId="13" fillId="16" borderId="0" xfId="0" applyFont="1" applyFill="1"/>
    <xf numFmtId="0" fontId="13" fillId="16" borderId="0" xfId="0" applyFont="1" applyFill="1" applyAlignment="1">
      <alignment horizontal="left"/>
    </xf>
    <xf numFmtId="169" fontId="5" fillId="16" borderId="0" xfId="0" applyNumberFormat="1" applyFont="1" applyFill="1" applyAlignment="1">
      <alignment horizontal="left"/>
    </xf>
    <xf numFmtId="169" fontId="5" fillId="16" borderId="44" xfId="0" applyNumberFormat="1" applyFont="1" applyFill="1" applyBorder="1" applyAlignment="1">
      <alignment horizontal="left"/>
    </xf>
    <xf numFmtId="0" fontId="13" fillId="16" borderId="0" xfId="0" applyFont="1" applyFill="1" applyAlignment="1">
      <alignment horizontal="right"/>
    </xf>
    <xf numFmtId="0" fontId="33" fillId="5" borderId="0" xfId="0" applyFont="1" applyFill="1"/>
    <xf numFmtId="0" fontId="87" fillId="5" borderId="0" xfId="0" applyFont="1" applyFill="1" applyAlignment="1">
      <alignment horizontal="right"/>
    </xf>
    <xf numFmtId="169" fontId="39" fillId="5" borderId="0" xfId="0" applyNumberFormat="1" applyFont="1" applyFill="1" applyAlignment="1">
      <alignment horizontal="right"/>
    </xf>
    <xf numFmtId="0" fontId="5" fillId="5" borderId="87" xfId="0" applyFont="1" applyFill="1" applyBorder="1"/>
    <xf numFmtId="0" fontId="5" fillId="5" borderId="46" xfId="0" applyFont="1" applyFill="1" applyBorder="1"/>
    <xf numFmtId="0" fontId="10" fillId="5" borderId="45" xfId="0" applyFont="1" applyFill="1" applyBorder="1"/>
    <xf numFmtId="0" fontId="45" fillId="5" borderId="46" xfId="0" applyFont="1" applyFill="1" applyBorder="1"/>
    <xf numFmtId="0" fontId="45" fillId="5" borderId="0" xfId="0" applyFont="1" applyFill="1"/>
    <xf numFmtId="0" fontId="43" fillId="5" borderId="45" xfId="0" applyFont="1" applyFill="1" applyBorder="1" applyAlignment="1">
      <alignment horizontal="right"/>
    </xf>
    <xf numFmtId="0" fontId="43" fillId="16" borderId="11" xfId="0" applyFont="1" applyFill="1" applyBorder="1" applyAlignment="1">
      <alignment horizontal="center"/>
    </xf>
    <xf numFmtId="0" fontId="43" fillId="6" borderId="29" xfId="0" applyFont="1" applyFill="1" applyBorder="1" applyAlignment="1">
      <alignment horizontal="center"/>
    </xf>
    <xf numFmtId="0" fontId="0" fillId="16" borderId="0" xfId="0" applyFill="1" applyAlignment="1">
      <alignment horizontal="center"/>
    </xf>
    <xf numFmtId="0" fontId="43" fillId="16" borderId="29" xfId="0" applyFont="1" applyFill="1" applyBorder="1" applyAlignment="1">
      <alignment horizontal="center"/>
    </xf>
    <xf numFmtId="0" fontId="43" fillId="0" borderId="34" xfId="17" applyFont="1" applyBorder="1" applyAlignment="1">
      <alignment horizontal="center"/>
    </xf>
    <xf numFmtId="0" fontId="43" fillId="16" borderId="34" xfId="17" applyFont="1" applyFill="1" applyBorder="1" applyAlignment="1">
      <alignment horizontal="center"/>
    </xf>
    <xf numFmtId="0" fontId="5" fillId="6" borderId="12" xfId="0" applyFont="1" applyFill="1" applyBorder="1" applyAlignment="1">
      <alignment horizontal="left" vertical="top"/>
    </xf>
    <xf numFmtId="0" fontId="4" fillId="17" borderId="61" xfId="0" applyFont="1" applyFill="1" applyBorder="1"/>
    <xf numFmtId="0" fontId="4" fillId="17" borderId="61" xfId="12" applyFill="1" applyBorder="1"/>
    <xf numFmtId="0" fontId="0" fillId="0" borderId="93" xfId="0" applyBorder="1"/>
    <xf numFmtId="0" fontId="0" fillId="0" borderId="41" xfId="0" applyBorder="1" applyAlignment="1">
      <alignment horizontal="center"/>
    </xf>
    <xf numFmtId="0" fontId="0" fillId="0" borderId="93" xfId="0" applyBorder="1" applyAlignment="1">
      <alignment horizontal="center" vertical="center"/>
    </xf>
    <xf numFmtId="0" fontId="0" fillId="0" borderId="93" xfId="0" applyBorder="1" applyAlignment="1">
      <alignment horizontal="center"/>
    </xf>
    <xf numFmtId="0" fontId="97" fillId="0" borderId="11" xfId="24" applyFont="1" applyBorder="1" applyAlignment="1">
      <alignment wrapText="1"/>
    </xf>
    <xf numFmtId="0" fontId="98" fillId="0" borderId="11" xfId="25" applyFont="1" applyBorder="1" applyAlignment="1">
      <alignment horizontal="left" wrapText="1"/>
    </xf>
    <xf numFmtId="0" fontId="97" fillId="0" borderId="0" xfId="24" applyFont="1"/>
    <xf numFmtId="0" fontId="99" fillId="14" borderId="0" xfId="0" applyFont="1" applyFill="1"/>
    <xf numFmtId="0" fontId="5" fillId="14" borderId="0" xfId="24" applyFont="1" applyFill="1"/>
    <xf numFmtId="0" fontId="97" fillId="0" borderId="11" xfId="24" applyFont="1" applyBorder="1" applyAlignment="1">
      <alignment vertical="top" wrapText="1"/>
    </xf>
    <xf numFmtId="0" fontId="5" fillId="0" borderId="11" xfId="26" applyFont="1" applyBorder="1"/>
    <xf numFmtId="0" fontId="0" fillId="5" borderId="11" xfId="0" applyFill="1" applyBorder="1"/>
    <xf numFmtId="0" fontId="71" fillId="5" borderId="11" xfId="0" applyFont="1" applyFill="1" applyBorder="1"/>
    <xf numFmtId="0" fontId="97" fillId="14" borderId="0" xfId="24" applyFont="1" applyFill="1"/>
    <xf numFmtId="0" fontId="11" fillId="5" borderId="11" xfId="0" applyFont="1" applyFill="1" applyBorder="1"/>
    <xf numFmtId="0" fontId="97" fillId="14" borderId="0" xfId="24" applyFont="1" applyFill="1" applyAlignment="1">
      <alignment horizontal="left"/>
    </xf>
    <xf numFmtId="0" fontId="5" fillId="14" borderId="0" xfId="24" applyFont="1" applyFill="1" applyAlignment="1">
      <alignment horizontal="left" vertical="top" wrapText="1"/>
    </xf>
    <xf numFmtId="0" fontId="97" fillId="0" borderId="11" xfId="24" applyFont="1" applyBorder="1" applyAlignment="1">
      <alignment horizontal="left" vertical="top" wrapText="1"/>
    </xf>
    <xf numFmtId="0" fontId="97" fillId="14" borderId="0" xfId="24" applyFont="1" applyFill="1" applyAlignment="1">
      <alignment horizontal="left" wrapText="1"/>
    </xf>
    <xf numFmtId="0" fontId="4" fillId="13" borderId="11" xfId="27" applyFill="1" applyBorder="1"/>
    <xf numFmtId="0" fontId="4" fillId="0" borderId="11" xfId="27" applyBorder="1"/>
    <xf numFmtId="0" fontId="4" fillId="0" borderId="11" xfId="0" applyFont="1" applyBorder="1"/>
    <xf numFmtId="0" fontId="2" fillId="13" borderId="11" xfId="25" applyFill="1" applyBorder="1"/>
    <xf numFmtId="0" fontId="2" fillId="0" borderId="11" xfId="25" applyBorder="1"/>
    <xf numFmtId="0" fontId="4" fillId="0" borderId="11" xfId="25" applyFont="1" applyBorder="1" applyAlignment="1">
      <alignment horizontal="center" vertical="center"/>
    </xf>
    <xf numFmtId="0" fontId="4" fillId="0" borderId="11" xfId="25" applyFont="1" applyBorder="1"/>
    <xf numFmtId="49" fontId="0" fillId="0" borderId="11" xfId="25" applyNumberFormat="1" applyFont="1" applyBorder="1" applyAlignment="1">
      <alignment horizontal="center" vertical="center"/>
    </xf>
    <xf numFmtId="0" fontId="2" fillId="0" borderId="11" xfId="25" applyBorder="1" applyAlignment="1">
      <alignment horizontal="center" vertical="center"/>
    </xf>
    <xf numFmtId="0" fontId="4" fillId="0" borderId="11" xfId="27" applyBorder="1" applyAlignment="1">
      <alignment horizontal="center" vertical="center"/>
    </xf>
    <xf numFmtId="0" fontId="99" fillId="5" borderId="0" xfId="0" applyFont="1" applyFill="1"/>
    <xf numFmtId="0" fontId="5" fillId="0" borderId="11" xfId="26" applyFont="1" applyBorder="1" applyAlignment="1">
      <alignment vertical="top"/>
    </xf>
    <xf numFmtId="0" fontId="0" fillId="5" borderId="11" xfId="0" applyFill="1" applyBorder="1" applyAlignment="1">
      <alignment vertical="top"/>
    </xf>
    <xf numFmtId="0" fontId="91" fillId="0" borderId="11" xfId="26" applyFont="1" applyBorder="1"/>
    <xf numFmtId="0" fontId="97" fillId="0" borderId="11" xfId="26" applyFont="1" applyBorder="1" applyAlignment="1">
      <alignment vertical="top"/>
    </xf>
    <xf numFmtId="0" fontId="97" fillId="16" borderId="0" xfId="24" applyFont="1" applyFill="1"/>
    <xf numFmtId="0" fontId="99" fillId="16" borderId="0" xfId="0" applyFont="1" applyFill="1"/>
    <xf numFmtId="0" fontId="5" fillId="16" borderId="0" xfId="24" applyFont="1" applyFill="1"/>
    <xf numFmtId="0" fontId="97" fillId="16" borderId="11" xfId="24" applyFont="1" applyFill="1" applyBorder="1" applyAlignment="1">
      <alignment vertical="top" wrapText="1"/>
    </xf>
    <xf numFmtId="0" fontId="5" fillId="16" borderId="11" xfId="26" applyFont="1" applyFill="1" applyBorder="1"/>
    <xf numFmtId="0" fontId="5" fillId="16" borderId="11" xfId="26" applyFont="1" applyFill="1" applyBorder="1" applyAlignment="1">
      <alignment vertical="top"/>
    </xf>
    <xf numFmtId="0" fontId="91" fillId="16" borderId="11" xfId="26" applyFont="1" applyFill="1" applyBorder="1"/>
    <xf numFmtId="0" fontId="97" fillId="16" borderId="11" xfId="26" applyFont="1" applyFill="1" applyBorder="1" applyAlignment="1">
      <alignment vertical="top"/>
    </xf>
    <xf numFmtId="0" fontId="0" fillId="16" borderId="11" xfId="0" applyFill="1" applyBorder="1" applyAlignment="1">
      <alignment vertical="top"/>
    </xf>
    <xf numFmtId="0" fontId="0" fillId="16" borderId="11" xfId="0" applyFill="1" applyBorder="1"/>
    <xf numFmtId="0" fontId="97" fillId="16" borderId="11" xfId="24" applyFont="1" applyFill="1" applyBorder="1" applyAlignment="1">
      <alignment wrapText="1"/>
    </xf>
    <xf numFmtId="0" fontId="98" fillId="16" borderId="11" xfId="25" applyFont="1" applyFill="1" applyBorder="1" applyAlignment="1">
      <alignment horizontal="left" wrapText="1"/>
    </xf>
    <xf numFmtId="0" fontId="97" fillId="14" borderId="11" xfId="24" applyFont="1" applyFill="1" applyBorder="1" applyAlignment="1">
      <alignment wrapText="1"/>
    </xf>
    <xf numFmtId="0" fontId="98" fillId="14" borderId="11" xfId="25" applyFont="1" applyFill="1" applyBorder="1" applyAlignment="1">
      <alignment horizontal="left" wrapText="1"/>
    </xf>
    <xf numFmtId="0" fontId="6" fillId="16" borderId="11" xfId="0" applyFont="1" applyFill="1" applyBorder="1" applyProtection="1">
      <protection hidden="1"/>
    </xf>
    <xf numFmtId="0" fontId="84" fillId="16" borderId="0" xfId="17" applyFont="1" applyFill="1"/>
    <xf numFmtId="0" fontId="73" fillId="16" borderId="0" xfId="17" applyFont="1" applyFill="1" applyAlignment="1">
      <alignment horizontal="center"/>
    </xf>
    <xf numFmtId="0" fontId="17" fillId="16" borderId="6" xfId="17" applyFont="1" applyFill="1" applyBorder="1"/>
    <xf numFmtId="0" fontId="6" fillId="16" borderId="11" xfId="17" applyFont="1" applyFill="1" applyBorder="1" applyAlignment="1">
      <alignment horizontal="left"/>
    </xf>
    <xf numFmtId="0" fontId="6" fillId="16" borderId="11" xfId="17" quotePrefix="1" applyFont="1" applyFill="1" applyBorder="1" applyAlignment="1">
      <alignment horizontal="left"/>
    </xf>
    <xf numFmtId="172" fontId="10" fillId="6" borderId="49" xfId="17" applyNumberFormat="1" applyFont="1" applyFill="1" applyBorder="1" applyAlignment="1">
      <alignment vertical="top"/>
    </xf>
    <xf numFmtId="172" fontId="20" fillId="6" borderId="31" xfId="17" applyNumberFormat="1" applyFont="1" applyFill="1" applyBorder="1"/>
    <xf numFmtId="49" fontId="10" fillId="6" borderId="49" xfId="17" applyNumberFormat="1" applyFont="1" applyFill="1" applyBorder="1" applyAlignment="1">
      <alignment horizontal="left" vertical="top"/>
    </xf>
    <xf numFmtId="49" fontId="6" fillId="6" borderId="14" xfId="17" applyNumberFormat="1" applyFont="1" applyFill="1" applyBorder="1"/>
    <xf numFmtId="49" fontId="6" fillId="16" borderId="88" xfId="17" applyNumberFormat="1" applyFont="1" applyFill="1" applyBorder="1"/>
    <xf numFmtId="0" fontId="6" fillId="16" borderId="10" xfId="17" applyFont="1" applyFill="1" applyBorder="1" applyAlignment="1">
      <alignment horizontal="left"/>
    </xf>
    <xf numFmtId="0" fontId="6" fillId="16" borderId="10" xfId="17" quotePrefix="1" applyFont="1" applyFill="1" applyBorder="1" applyAlignment="1">
      <alignment horizontal="left"/>
    </xf>
    <xf numFmtId="173" fontId="43" fillId="6" borderId="20" xfId="17" applyNumberFormat="1" applyFont="1" applyFill="1" applyBorder="1" applyAlignment="1">
      <alignment horizontal="right" vertical="top"/>
    </xf>
    <xf numFmtId="49" fontId="10" fillId="6" borderId="17" xfId="17" applyNumberFormat="1" applyFont="1" applyFill="1" applyBorder="1" applyAlignment="1">
      <alignment vertical="top"/>
    </xf>
    <xf numFmtId="173" fontId="43" fillId="6" borderId="72" xfId="17" applyNumberFormat="1" applyFont="1" applyFill="1" applyBorder="1" applyAlignment="1">
      <alignment horizontal="right" vertical="top"/>
    </xf>
    <xf numFmtId="49" fontId="10" fillId="6" borderId="8" xfId="17" applyNumberFormat="1" applyFont="1" applyFill="1" applyBorder="1" applyAlignment="1">
      <alignment vertical="top"/>
    </xf>
    <xf numFmtId="0" fontId="17" fillId="16" borderId="96" xfId="17" applyFont="1" applyFill="1" applyBorder="1" applyAlignment="1">
      <alignment horizontal="center" vertical="center"/>
    </xf>
    <xf numFmtId="0" fontId="45" fillId="16" borderId="5" xfId="17" applyFont="1" applyFill="1" applyBorder="1" applyAlignment="1">
      <alignment horizontal="center"/>
    </xf>
    <xf numFmtId="0" fontId="72" fillId="16" borderId="45" xfId="17" applyFont="1" applyFill="1" applyBorder="1" applyAlignment="1">
      <alignment horizontal="center"/>
    </xf>
    <xf numFmtId="0" fontId="17" fillId="16" borderId="96" xfId="17" applyFont="1" applyFill="1" applyBorder="1"/>
    <xf numFmtId="0" fontId="17" fillId="16" borderId="98" xfId="17" applyFont="1" applyFill="1" applyBorder="1"/>
    <xf numFmtId="0" fontId="4" fillId="16" borderId="97" xfId="17" applyFill="1" applyBorder="1"/>
    <xf numFmtId="173" fontId="43" fillId="6" borderId="87" xfId="17" applyNumberFormat="1" applyFont="1" applyFill="1" applyBorder="1" applyAlignment="1">
      <alignment horizontal="right"/>
    </xf>
    <xf numFmtId="49" fontId="6" fillId="6" borderId="35" xfId="17" applyNumberFormat="1" applyFont="1" applyFill="1" applyBorder="1" applyAlignment="1">
      <alignment vertical="top"/>
    </xf>
    <xf numFmtId="49" fontId="4" fillId="6" borderId="33" xfId="17" applyNumberFormat="1" applyFill="1" applyBorder="1"/>
    <xf numFmtId="0" fontId="6" fillId="6" borderId="17" xfId="17" applyFont="1" applyFill="1" applyBorder="1" applyAlignment="1">
      <alignment vertical="top"/>
    </xf>
    <xf numFmtId="49" fontId="6" fillId="6" borderId="66" xfId="17" applyNumberFormat="1" applyFont="1" applyFill="1" applyBorder="1" applyAlignment="1">
      <alignment vertical="top"/>
    </xf>
    <xf numFmtId="49" fontId="6" fillId="6" borderId="17" xfId="17" applyNumberFormat="1" applyFont="1" applyFill="1" applyBorder="1" applyAlignment="1">
      <alignment vertical="top"/>
    </xf>
    <xf numFmtId="0" fontId="10" fillId="6" borderId="29" xfId="17" applyFont="1" applyFill="1" applyBorder="1" applyAlignment="1">
      <alignment vertical="top"/>
    </xf>
    <xf numFmtId="0" fontId="94" fillId="16" borderId="0" xfId="17" applyFont="1" applyFill="1" applyAlignment="1">
      <alignment horizontal="right"/>
    </xf>
    <xf numFmtId="173" fontId="43" fillId="6" borderId="79" xfId="17" applyNumberFormat="1" applyFont="1" applyFill="1" applyBorder="1" applyAlignment="1">
      <alignment horizontal="right" vertical="top"/>
    </xf>
    <xf numFmtId="49" fontId="6" fillId="6" borderId="80" xfId="17" applyNumberFormat="1" applyFont="1" applyFill="1" applyBorder="1" applyAlignment="1">
      <alignment vertical="top"/>
    </xf>
    <xf numFmtId="173" fontId="43" fillId="6" borderId="55" xfId="17" applyNumberFormat="1" applyFont="1" applyFill="1" applyBorder="1" applyAlignment="1">
      <alignment horizontal="right" vertical="top"/>
    </xf>
    <xf numFmtId="49" fontId="6" fillId="6" borderId="49" xfId="17" applyNumberFormat="1" applyFont="1" applyFill="1" applyBorder="1" applyAlignment="1">
      <alignment vertical="top"/>
    </xf>
    <xf numFmtId="0" fontId="103" fillId="16" borderId="0" xfId="17" applyFont="1" applyFill="1" applyAlignment="1">
      <alignment horizontal="center"/>
    </xf>
    <xf numFmtId="49" fontId="72" fillId="16" borderId="0" xfId="17" applyNumberFormat="1" applyFont="1" applyFill="1" applyAlignment="1">
      <alignment horizontal="center"/>
    </xf>
    <xf numFmtId="49" fontId="10" fillId="6" borderId="49" xfId="17" applyNumberFormat="1" applyFont="1" applyFill="1" applyBorder="1"/>
    <xf numFmtId="49" fontId="10" fillId="6" borderId="14" xfId="17" applyNumberFormat="1" applyFont="1" applyFill="1" applyBorder="1"/>
    <xf numFmtId="49" fontId="10" fillId="6" borderId="12" xfId="17" applyNumberFormat="1" applyFont="1" applyFill="1" applyBorder="1"/>
    <xf numFmtId="0" fontId="10" fillId="6" borderId="34" xfId="17" applyFont="1" applyFill="1" applyBorder="1"/>
    <xf numFmtId="49" fontId="10" fillId="6" borderId="49" xfId="17" applyNumberFormat="1" applyFont="1" applyFill="1" applyBorder="1" applyAlignment="1">
      <alignment vertical="center"/>
    </xf>
    <xf numFmtId="0" fontId="9" fillId="16" borderId="0" xfId="17" applyFont="1" applyFill="1" applyAlignment="1">
      <alignment horizontal="center"/>
    </xf>
    <xf numFmtId="0" fontId="10" fillId="6" borderId="49" xfId="17" applyFont="1" applyFill="1" applyBorder="1"/>
    <xf numFmtId="0" fontId="9" fillId="16" borderId="91" xfId="17" applyFont="1" applyFill="1" applyBorder="1" applyAlignment="1">
      <alignment horizontal="center"/>
    </xf>
    <xf numFmtId="0" fontId="6" fillId="16" borderId="0" xfId="17" applyFont="1" applyFill="1"/>
    <xf numFmtId="0" fontId="4" fillId="16" borderId="0" xfId="17" applyFill="1" applyAlignment="1">
      <alignment horizontal="right"/>
    </xf>
    <xf numFmtId="0" fontId="43" fillId="6" borderId="18" xfId="0" applyFont="1" applyFill="1" applyBorder="1" applyAlignment="1">
      <alignment horizontal="right"/>
    </xf>
    <xf numFmtId="0" fontId="43" fillId="6" borderId="53" xfId="0" applyFont="1" applyFill="1" applyBorder="1" applyAlignment="1">
      <alignment horizontal="center"/>
    </xf>
    <xf numFmtId="0" fontId="24" fillId="16" borderId="0" xfId="0" applyFont="1" applyFill="1"/>
    <xf numFmtId="0" fontId="94" fillId="16" borderId="0" xfId="0" applyFont="1" applyFill="1"/>
    <xf numFmtId="0" fontId="90" fillId="14" borderId="0" xfId="0" applyFont="1" applyFill="1"/>
    <xf numFmtId="14" fontId="90" fillId="14" borderId="0" xfId="0" applyNumberFormat="1" applyFont="1" applyFill="1"/>
    <xf numFmtId="0" fontId="43" fillId="6" borderId="71" xfId="0" applyFont="1" applyFill="1" applyBorder="1" applyAlignment="1">
      <alignment horizontal="center" vertical="center" wrapText="1"/>
    </xf>
    <xf numFmtId="0" fontId="12" fillId="5" borderId="85" xfId="0" applyFont="1" applyFill="1" applyBorder="1" applyAlignment="1">
      <alignment horizontal="left"/>
    </xf>
    <xf numFmtId="0" fontId="5" fillId="13" borderId="3" xfId="0" applyFont="1" applyFill="1" applyBorder="1" applyAlignment="1">
      <alignment horizontal="center" vertical="center" wrapText="1"/>
    </xf>
    <xf numFmtId="0" fontId="5" fillId="13" borderId="3" xfId="0" applyFont="1" applyFill="1" applyBorder="1" applyAlignment="1">
      <alignment horizontal="right"/>
    </xf>
    <xf numFmtId="0" fontId="5" fillId="13" borderId="88" xfId="0" applyFont="1" applyFill="1" applyBorder="1" applyAlignment="1">
      <alignment horizontal="right"/>
    </xf>
    <xf numFmtId="0" fontId="5" fillId="13" borderId="81" xfId="0" applyFont="1" applyFill="1" applyBorder="1" applyAlignment="1">
      <alignment horizontal="right"/>
    </xf>
    <xf numFmtId="0" fontId="5" fillId="13" borderId="102" xfId="0" applyFont="1" applyFill="1" applyBorder="1" applyAlignment="1">
      <alignment horizontal="right"/>
    </xf>
    <xf numFmtId="0" fontId="12" fillId="5" borderId="2" xfId="0" applyFont="1" applyFill="1" applyBorder="1" applyAlignment="1">
      <alignment horizontal="left"/>
    </xf>
    <xf numFmtId="0" fontId="17" fillId="5" borderId="5" xfId="0" applyFont="1" applyFill="1" applyBorder="1"/>
    <xf numFmtId="0" fontId="17" fillId="5" borderId="87" xfId="0" applyFont="1" applyFill="1" applyBorder="1"/>
    <xf numFmtId="0" fontId="6" fillId="0" borderId="56" xfId="0" applyFont="1" applyBorder="1"/>
    <xf numFmtId="0" fontId="6" fillId="0" borderId="20" xfId="0" applyFont="1" applyBorder="1"/>
    <xf numFmtId="0" fontId="6" fillId="0" borderId="20" xfId="17" applyFont="1" applyBorder="1"/>
    <xf numFmtId="0" fontId="6" fillId="0" borderId="20" xfId="0" quotePrefix="1" applyFont="1" applyBorder="1" applyAlignment="1">
      <alignment horizontal="left"/>
    </xf>
    <xf numFmtId="0" fontId="84" fillId="16" borderId="0" xfId="17" applyFont="1" applyFill="1" applyAlignment="1">
      <alignment horizontal="center"/>
    </xf>
    <xf numFmtId="0" fontId="6" fillId="16" borderId="0" xfId="17" applyFont="1" applyFill="1" applyAlignment="1">
      <alignment horizontal="left"/>
    </xf>
    <xf numFmtId="0" fontId="104" fillId="16" borderId="6" xfId="17" applyFont="1" applyFill="1" applyBorder="1"/>
    <xf numFmtId="0" fontId="89" fillId="16" borderId="0" xfId="17" applyFont="1" applyFill="1" applyAlignment="1">
      <alignment horizontal="left"/>
    </xf>
    <xf numFmtId="0" fontId="102" fillId="16" borderId="0" xfId="17" applyFont="1" applyFill="1"/>
    <xf numFmtId="0" fontId="94" fillId="16" borderId="0" xfId="17" applyFont="1" applyFill="1" applyAlignment="1">
      <alignment horizontal="center"/>
    </xf>
    <xf numFmtId="2" fontId="94" fillId="16" borderId="0" xfId="17" applyNumberFormat="1" applyFont="1" applyFill="1"/>
    <xf numFmtId="0" fontId="94" fillId="16" borderId="0" xfId="17" applyFont="1" applyFill="1" applyAlignment="1">
      <alignment horizontal="left"/>
    </xf>
    <xf numFmtId="0" fontId="106" fillId="16" borderId="6" xfId="17" applyFont="1" applyFill="1" applyBorder="1" applyAlignment="1">
      <alignment horizontal="center"/>
    </xf>
    <xf numFmtId="0" fontId="89" fillId="16" borderId="0" xfId="17" applyFont="1" applyFill="1" applyProtection="1">
      <protection locked="0"/>
    </xf>
    <xf numFmtId="0" fontId="94" fillId="16" borderId="92" xfId="17" applyFont="1" applyFill="1" applyBorder="1"/>
    <xf numFmtId="0" fontId="94" fillId="16" borderId="74" xfId="17" applyFont="1" applyFill="1" applyBorder="1"/>
    <xf numFmtId="0" fontId="107" fillId="16" borderId="0" xfId="0" applyFont="1" applyFill="1" applyAlignment="1">
      <alignment horizontal="left"/>
    </xf>
    <xf numFmtId="0" fontId="108" fillId="16" borderId="0" xfId="0" applyFont="1" applyFill="1" applyAlignment="1">
      <alignment horizontal="right"/>
    </xf>
    <xf numFmtId="0" fontId="107" fillId="16" borderId="0" xfId="0" applyFont="1" applyFill="1"/>
    <xf numFmtId="0" fontId="89" fillId="16" borderId="0" xfId="0" applyFont="1" applyFill="1" applyProtection="1">
      <protection locked="0"/>
    </xf>
    <xf numFmtId="0" fontId="17" fillId="16" borderId="97" xfId="17" applyFont="1" applyFill="1" applyBorder="1" applyAlignment="1" applyProtection="1">
      <alignment horizontal="center" vertical="center"/>
      <protection locked="0"/>
    </xf>
    <xf numFmtId="0" fontId="94" fillId="16" borderId="0" xfId="17" applyFont="1" applyFill="1" applyProtection="1">
      <protection locked="0"/>
    </xf>
    <xf numFmtId="174" fontId="6" fillId="5" borderId="11" xfId="0" applyNumberFormat="1" applyFont="1" applyFill="1" applyBorder="1" applyProtection="1">
      <protection locked="0"/>
    </xf>
    <xf numFmtId="174" fontId="6" fillId="6" borderId="11" xfId="0" applyNumberFormat="1" applyFont="1" applyFill="1" applyBorder="1" applyProtection="1">
      <protection locked="0"/>
    </xf>
    <xf numFmtId="174" fontId="6" fillId="0" borderId="11" xfId="0" applyNumberFormat="1" applyFont="1" applyBorder="1" applyProtection="1">
      <protection locked="0"/>
    </xf>
    <xf numFmtId="174" fontId="6" fillId="8" borderId="11" xfId="0" applyNumberFormat="1" applyFont="1" applyFill="1" applyBorder="1" applyProtection="1">
      <protection locked="0"/>
    </xf>
    <xf numFmtId="174" fontId="26" fillId="0" borderId="11" xfId="0" applyNumberFormat="1" applyFont="1" applyBorder="1" applyProtection="1">
      <protection locked="0"/>
    </xf>
    <xf numFmtId="174" fontId="26" fillId="6" borderId="11" xfId="0" applyNumberFormat="1" applyFont="1" applyFill="1" applyBorder="1" applyProtection="1">
      <protection locked="0"/>
    </xf>
    <xf numFmtId="174" fontId="6" fillId="5" borderId="10" xfId="0" applyNumberFormat="1" applyFont="1" applyFill="1" applyBorder="1" applyProtection="1">
      <protection locked="0"/>
    </xf>
    <xf numFmtId="174" fontId="6" fillId="5" borderId="15" xfId="0" applyNumberFormat="1" applyFont="1" applyFill="1" applyBorder="1" applyProtection="1">
      <protection locked="0"/>
    </xf>
    <xf numFmtId="174" fontId="6" fillId="5" borderId="14" xfId="0" applyNumberFormat="1" applyFont="1" applyFill="1" applyBorder="1" applyProtection="1">
      <protection locked="0"/>
    </xf>
    <xf numFmtId="174" fontId="5" fillId="13" borderId="16" xfId="22" applyNumberFormat="1" applyFont="1" applyFill="1" applyBorder="1" applyProtection="1">
      <protection locked="0"/>
    </xf>
    <xf numFmtId="174" fontId="6" fillId="0" borderId="15" xfId="0" applyNumberFormat="1" applyFont="1" applyBorder="1" applyProtection="1">
      <protection locked="0"/>
    </xf>
    <xf numFmtId="174" fontId="6" fillId="13" borderId="11" xfId="0" applyNumberFormat="1" applyFont="1" applyFill="1" applyBorder="1" applyProtection="1">
      <protection locked="0"/>
    </xf>
    <xf numFmtId="174" fontId="6" fillId="5" borderId="16" xfId="0" applyNumberFormat="1" applyFont="1" applyFill="1" applyBorder="1" applyProtection="1">
      <protection locked="0"/>
    </xf>
    <xf numFmtId="174" fontId="6" fillId="13" borderId="10" xfId="0" applyNumberFormat="1" applyFont="1" applyFill="1" applyBorder="1" applyProtection="1">
      <protection locked="0"/>
    </xf>
    <xf numFmtId="174" fontId="5" fillId="13" borderId="47" xfId="22" applyNumberFormat="1" applyFont="1" applyFill="1" applyBorder="1" applyProtection="1">
      <protection locked="0"/>
    </xf>
    <xf numFmtId="174" fontId="6" fillId="6" borderId="10" xfId="0" applyNumberFormat="1" applyFont="1" applyFill="1" applyBorder="1" applyProtection="1">
      <protection locked="0"/>
    </xf>
    <xf numFmtId="174" fontId="6" fillId="6" borderId="15" xfId="0" applyNumberFormat="1" applyFont="1" applyFill="1" applyBorder="1" applyProtection="1">
      <protection locked="0"/>
    </xf>
    <xf numFmtId="174" fontId="6" fillId="6" borderId="14" xfId="0" applyNumberFormat="1" applyFont="1" applyFill="1" applyBorder="1" applyProtection="1">
      <protection locked="0"/>
    </xf>
    <xf numFmtId="174" fontId="6" fillId="6" borderId="16" xfId="0" applyNumberFormat="1" applyFont="1" applyFill="1" applyBorder="1" applyProtection="1">
      <protection locked="0"/>
    </xf>
    <xf numFmtId="174" fontId="6" fillId="8" borderId="15" xfId="0" applyNumberFormat="1" applyFont="1" applyFill="1" applyBorder="1" applyProtection="1">
      <protection locked="0"/>
    </xf>
    <xf numFmtId="174" fontId="11" fillId="5" borderId="10" xfId="0" applyNumberFormat="1" applyFont="1" applyFill="1" applyBorder="1" applyProtection="1">
      <protection locked="0"/>
    </xf>
    <xf numFmtId="174" fontId="11" fillId="5" borderId="15" xfId="0" applyNumberFormat="1" applyFont="1" applyFill="1" applyBorder="1" applyProtection="1">
      <protection locked="0"/>
    </xf>
    <xf numFmtId="174" fontId="11" fillId="5" borderId="11" xfId="0" applyNumberFormat="1" applyFont="1" applyFill="1" applyBorder="1" applyProtection="1">
      <protection locked="0"/>
    </xf>
    <xf numFmtId="174" fontId="11" fillId="5" borderId="14" xfId="0" applyNumberFormat="1" applyFont="1" applyFill="1" applyBorder="1" applyProtection="1">
      <protection locked="0"/>
    </xf>
    <xf numFmtId="174" fontId="11" fillId="13" borderId="16" xfId="0" applyNumberFormat="1" applyFont="1" applyFill="1" applyBorder="1" applyProtection="1">
      <protection locked="0"/>
    </xf>
    <xf numFmtId="174" fontId="11" fillId="0" borderId="15" xfId="0" applyNumberFormat="1" applyFont="1" applyBorder="1" applyProtection="1">
      <protection locked="0"/>
    </xf>
    <xf numFmtId="174" fontId="11" fillId="13" borderId="11" xfId="0" applyNumberFormat="1" applyFont="1" applyFill="1" applyBorder="1" applyProtection="1">
      <protection locked="0"/>
    </xf>
    <xf numFmtId="174" fontId="11" fillId="5" borderId="16" xfId="0" applyNumberFormat="1" applyFont="1" applyFill="1" applyBorder="1" applyProtection="1">
      <protection locked="0"/>
    </xf>
    <xf numFmtId="174" fontId="11" fillId="0" borderId="11" xfId="0" applyNumberFormat="1" applyFont="1" applyBorder="1" applyProtection="1">
      <protection locked="0"/>
    </xf>
    <xf numFmtId="174" fontId="11" fillId="13" borderId="10" xfId="0" applyNumberFormat="1" applyFont="1" applyFill="1" applyBorder="1" applyProtection="1">
      <protection locked="0"/>
    </xf>
    <xf numFmtId="174" fontId="11" fillId="6" borderId="11" xfId="0" applyNumberFormat="1" applyFont="1" applyFill="1" applyBorder="1" applyProtection="1">
      <protection locked="0"/>
    </xf>
    <xf numFmtId="174" fontId="6" fillId="5" borderId="17" xfId="0" applyNumberFormat="1" applyFont="1" applyFill="1" applyBorder="1" applyProtection="1">
      <protection locked="0"/>
    </xf>
    <xf numFmtId="174" fontId="6" fillId="13" borderId="16" xfId="0" applyNumberFormat="1" applyFont="1" applyFill="1" applyBorder="1" applyProtection="1">
      <protection locked="0"/>
    </xf>
    <xf numFmtId="174" fontId="6" fillId="0" borderId="14" xfId="0" applyNumberFormat="1" applyFont="1" applyBorder="1" applyProtection="1">
      <protection locked="0"/>
    </xf>
    <xf numFmtId="174" fontId="6" fillId="5" borderId="32" xfId="0" applyNumberFormat="1" applyFont="1" applyFill="1" applyBorder="1" applyProtection="1">
      <protection locked="0"/>
    </xf>
    <xf numFmtId="174" fontId="6" fillId="6" borderId="71" xfId="0" applyNumberFormat="1" applyFont="1" applyFill="1" applyBorder="1" applyProtection="1">
      <protection locked="0"/>
    </xf>
    <xf numFmtId="174" fontId="6" fillId="0" borderId="10" xfId="0" applyNumberFormat="1" applyFont="1" applyBorder="1" applyProtection="1">
      <protection locked="0"/>
    </xf>
    <xf numFmtId="174" fontId="6" fillId="0" borderId="17" xfId="0" applyNumberFormat="1" applyFont="1" applyBorder="1" applyProtection="1">
      <protection locked="0"/>
    </xf>
    <xf numFmtId="174" fontId="6" fillId="0" borderId="16" xfId="0" applyNumberFormat="1" applyFont="1" applyBorder="1" applyProtection="1">
      <protection locked="0"/>
    </xf>
    <xf numFmtId="174" fontId="6" fillId="0" borderId="32" xfId="0" applyNumberFormat="1" applyFont="1" applyBorder="1" applyProtection="1">
      <protection locked="0"/>
    </xf>
    <xf numFmtId="174" fontId="6" fillId="13" borderId="29" xfId="0" applyNumberFormat="1" applyFont="1" applyFill="1" applyBorder="1" applyProtection="1">
      <protection locked="0"/>
    </xf>
    <xf numFmtId="174" fontId="10" fillId="6" borderId="23" xfId="0" applyNumberFormat="1" applyFont="1" applyFill="1" applyBorder="1" applyProtection="1">
      <protection locked="0"/>
    </xf>
    <xf numFmtId="174" fontId="10" fillId="6" borderId="25" xfId="0" applyNumberFormat="1" applyFont="1" applyFill="1" applyBorder="1" applyProtection="1">
      <protection locked="0"/>
    </xf>
    <xf numFmtId="174" fontId="10" fillId="6" borderId="26" xfId="0" applyNumberFormat="1" applyFont="1" applyFill="1" applyBorder="1" applyProtection="1">
      <protection locked="0"/>
    </xf>
    <xf numFmtId="174" fontId="10" fillId="6" borderId="27" xfId="0" applyNumberFormat="1" applyFont="1" applyFill="1" applyBorder="1" applyProtection="1">
      <protection locked="0"/>
    </xf>
    <xf numFmtId="174" fontId="10" fillId="6" borderId="48" xfId="0" applyNumberFormat="1" applyFont="1" applyFill="1" applyBorder="1" applyProtection="1">
      <protection locked="0"/>
    </xf>
    <xf numFmtId="174" fontId="10" fillId="6" borderId="24" xfId="0" applyNumberFormat="1" applyFont="1" applyFill="1" applyBorder="1" applyProtection="1">
      <protection locked="0"/>
    </xf>
    <xf numFmtId="174" fontId="6" fillId="5" borderId="28" xfId="0" applyNumberFormat="1" applyFont="1" applyFill="1" applyBorder="1" applyProtection="1">
      <protection locked="0"/>
    </xf>
    <xf numFmtId="174" fontId="10" fillId="6" borderId="97" xfId="0" applyNumberFormat="1" applyFont="1" applyFill="1" applyBorder="1" applyProtection="1">
      <protection locked="0"/>
    </xf>
    <xf numFmtId="174" fontId="6" fillId="15" borderId="11" xfId="0" applyNumberFormat="1" applyFont="1" applyFill="1" applyBorder="1" applyAlignment="1" applyProtection="1">
      <alignment vertical="center"/>
      <protection locked="0"/>
    </xf>
    <xf numFmtId="174" fontId="6" fillId="15" borderId="15" xfId="0" applyNumberFormat="1" applyFont="1" applyFill="1" applyBorder="1" applyAlignment="1" applyProtection="1">
      <alignment vertical="center"/>
      <protection locked="0"/>
    </xf>
    <xf numFmtId="174" fontId="6" fillId="15" borderId="10" xfId="0" applyNumberFormat="1" applyFont="1" applyFill="1" applyBorder="1" applyAlignment="1" applyProtection="1">
      <alignment vertical="center"/>
      <protection locked="0"/>
    </xf>
    <xf numFmtId="174" fontId="6" fillId="15" borderId="14" xfId="0" applyNumberFormat="1" applyFont="1" applyFill="1" applyBorder="1" applyAlignment="1" applyProtection="1">
      <alignment vertical="center"/>
      <protection locked="0"/>
    </xf>
    <xf numFmtId="174" fontId="6" fillId="15" borderId="16" xfId="0" applyNumberFormat="1" applyFont="1" applyFill="1" applyBorder="1" applyProtection="1">
      <protection locked="0"/>
    </xf>
    <xf numFmtId="174" fontId="6" fillId="15" borderId="17" xfId="0" applyNumberFormat="1" applyFont="1" applyFill="1" applyBorder="1" applyAlignment="1" applyProtection="1">
      <alignment vertical="center"/>
      <protection locked="0"/>
    </xf>
    <xf numFmtId="174" fontId="6" fillId="15" borderId="11" xfId="0" applyNumberFormat="1" applyFont="1" applyFill="1" applyBorder="1" applyProtection="1">
      <protection locked="0"/>
    </xf>
    <xf numFmtId="174" fontId="6" fillId="15" borderId="10" xfId="0" applyNumberFormat="1" applyFont="1" applyFill="1" applyBorder="1" applyProtection="1">
      <protection locked="0"/>
    </xf>
    <xf numFmtId="174" fontId="6" fillId="6" borderId="11" xfId="0" applyNumberFormat="1" applyFont="1" applyFill="1" applyBorder="1" applyAlignment="1" applyProtection="1">
      <alignment vertical="center"/>
      <protection locked="0"/>
    </xf>
    <xf numFmtId="174" fontId="6" fillId="6" borderId="15" xfId="0" applyNumberFormat="1" applyFont="1" applyFill="1" applyBorder="1" applyAlignment="1" applyProtection="1">
      <alignment vertical="center"/>
      <protection locked="0"/>
    </xf>
    <xf numFmtId="174" fontId="6" fillId="6" borderId="14" xfId="0" applyNumberFormat="1" applyFont="1" applyFill="1" applyBorder="1" applyAlignment="1" applyProtection="1">
      <alignment vertical="center"/>
      <protection locked="0"/>
    </xf>
    <xf numFmtId="174" fontId="6" fillId="5" borderId="11" xfId="0" applyNumberFormat="1" applyFont="1" applyFill="1" applyBorder="1" applyAlignment="1" applyProtection="1">
      <alignment vertical="center"/>
      <protection locked="0"/>
    </xf>
    <xf numFmtId="174" fontId="6" fillId="0" borderId="11" xfId="0" applyNumberFormat="1" applyFont="1" applyBorder="1" applyAlignment="1" applyProtection="1">
      <alignment vertical="center"/>
      <protection locked="0"/>
    </xf>
    <xf numFmtId="174" fontId="6" fillId="5" borderId="10" xfId="0" applyNumberFormat="1" applyFont="1" applyFill="1" applyBorder="1" applyAlignment="1" applyProtection="1">
      <alignment vertical="center"/>
      <protection locked="0"/>
    </xf>
    <xf numFmtId="174" fontId="6" fillId="0" borderId="15" xfId="0" applyNumberFormat="1" applyFont="1" applyBorder="1" applyAlignment="1" applyProtection="1">
      <alignment vertical="center"/>
      <protection locked="0"/>
    </xf>
    <xf numFmtId="174" fontId="6" fillId="14" borderId="15" xfId="0" applyNumberFormat="1" applyFont="1" applyFill="1" applyBorder="1" applyAlignment="1" applyProtection="1">
      <alignment vertical="center"/>
      <protection locked="0"/>
    </xf>
    <xf numFmtId="174" fontId="6" fillId="14" borderId="11" xfId="0" applyNumberFormat="1" applyFont="1" applyFill="1" applyBorder="1" applyAlignment="1" applyProtection="1">
      <alignment vertical="center"/>
      <protection locked="0"/>
    </xf>
    <xf numFmtId="174" fontId="6" fillId="0" borderId="14" xfId="0" applyNumberFormat="1" applyFont="1" applyBorder="1" applyAlignment="1" applyProtection="1">
      <alignment vertical="center"/>
      <protection locked="0"/>
    </xf>
    <xf numFmtId="174" fontId="6" fillId="5" borderId="14" xfId="0" applyNumberFormat="1" applyFont="1" applyFill="1" applyBorder="1" applyAlignment="1" applyProtection="1">
      <alignment vertical="center"/>
      <protection locked="0"/>
    </xf>
    <xf numFmtId="174" fontId="6" fillId="14" borderId="17" xfId="0" applyNumberFormat="1" applyFont="1" applyFill="1" applyBorder="1" applyAlignment="1" applyProtection="1">
      <alignment vertical="center"/>
      <protection locked="0"/>
    </xf>
    <xf numFmtId="174" fontId="6" fillId="6" borderId="10" xfId="0" applyNumberFormat="1" applyFont="1" applyFill="1" applyBorder="1" applyAlignment="1" applyProtection="1">
      <alignment vertical="center"/>
      <protection locked="0"/>
    </xf>
    <xf numFmtId="174" fontId="6" fillId="6" borderId="29" xfId="0" applyNumberFormat="1" applyFont="1" applyFill="1" applyBorder="1" applyAlignment="1" applyProtection="1">
      <alignment vertical="center"/>
      <protection locked="0"/>
    </xf>
    <xf numFmtId="174" fontId="6" fillId="6" borderId="31" xfId="0" applyNumberFormat="1" applyFont="1" applyFill="1" applyBorder="1" applyAlignment="1" applyProtection="1">
      <alignment vertical="center"/>
      <protection locked="0"/>
    </xf>
    <xf numFmtId="174" fontId="6" fillId="6" borderId="28" xfId="0" applyNumberFormat="1" applyFont="1" applyFill="1" applyBorder="1" applyAlignment="1" applyProtection="1">
      <alignment vertical="center"/>
      <protection locked="0"/>
    </xf>
    <xf numFmtId="174" fontId="6" fillId="15" borderId="49" xfId="0" applyNumberFormat="1" applyFont="1" applyFill="1" applyBorder="1" applyAlignment="1" applyProtection="1">
      <alignment vertical="center"/>
      <protection locked="0"/>
    </xf>
    <xf numFmtId="174" fontId="6" fillId="15" borderId="54" xfId="0" applyNumberFormat="1" applyFont="1" applyFill="1" applyBorder="1" applyProtection="1">
      <protection locked="0"/>
    </xf>
    <xf numFmtId="174" fontId="6" fillId="15" borderId="66" xfId="0" applyNumberFormat="1" applyFont="1" applyFill="1" applyBorder="1" applyAlignment="1" applyProtection="1">
      <alignment vertical="center"/>
      <protection locked="0"/>
    </xf>
    <xf numFmtId="174" fontId="6" fillId="15" borderId="28" xfId="0" applyNumberFormat="1" applyFont="1" applyFill="1" applyBorder="1" applyAlignment="1" applyProtection="1">
      <alignment vertical="center"/>
      <protection locked="0"/>
    </xf>
    <xf numFmtId="174" fontId="6" fillId="15" borderId="31" xfId="0" applyNumberFormat="1" applyFont="1" applyFill="1" applyBorder="1" applyAlignment="1" applyProtection="1">
      <alignment vertical="center"/>
      <protection locked="0"/>
    </xf>
    <xf numFmtId="174" fontId="6" fillId="15" borderId="29" xfId="0" applyNumberFormat="1" applyFont="1" applyFill="1" applyBorder="1" applyProtection="1">
      <protection locked="0"/>
    </xf>
    <xf numFmtId="174" fontId="6" fillId="15" borderId="29" xfId="0" applyNumberFormat="1" applyFont="1" applyFill="1" applyBorder="1" applyAlignment="1" applyProtection="1">
      <alignment vertical="center"/>
      <protection locked="0"/>
    </xf>
    <xf numFmtId="174" fontId="6" fillId="15" borderId="31" xfId="0" applyNumberFormat="1" applyFont="1" applyFill="1" applyBorder="1" applyProtection="1">
      <protection locked="0"/>
    </xf>
    <xf numFmtId="174" fontId="6" fillId="6" borderId="49" xfId="0" applyNumberFormat="1" applyFont="1" applyFill="1" applyBorder="1" applyAlignment="1" applyProtection="1">
      <alignment vertical="center"/>
      <protection locked="0"/>
    </xf>
    <xf numFmtId="174" fontId="6" fillId="5" borderId="34" xfId="0" applyNumberFormat="1" applyFont="1" applyFill="1" applyBorder="1" applyAlignment="1" applyProtection="1">
      <alignment vertical="center"/>
      <protection locked="0"/>
    </xf>
    <xf numFmtId="174" fontId="6" fillId="6" borderId="43" xfId="0" applyNumberFormat="1" applyFont="1" applyFill="1" applyBorder="1" applyAlignment="1" applyProtection="1">
      <alignment vertical="center"/>
      <protection locked="0"/>
    </xf>
    <xf numFmtId="174" fontId="6" fillId="5" borderId="33" xfId="0" applyNumberFormat="1" applyFont="1" applyFill="1" applyBorder="1" applyAlignment="1" applyProtection="1">
      <alignment vertical="center"/>
      <protection locked="0"/>
    </xf>
    <xf numFmtId="174" fontId="6" fillId="5" borderId="12" xfId="0" applyNumberFormat="1" applyFont="1" applyFill="1" applyBorder="1" applyAlignment="1" applyProtection="1">
      <alignment vertical="center"/>
      <protection locked="0"/>
    </xf>
    <xf numFmtId="174" fontId="6" fillId="13" borderId="67" xfId="0" applyNumberFormat="1" applyFont="1" applyFill="1" applyBorder="1" applyProtection="1">
      <protection locked="0"/>
    </xf>
    <xf numFmtId="174" fontId="6" fillId="14" borderId="35" xfId="0" applyNumberFormat="1" applyFont="1" applyFill="1" applyBorder="1" applyAlignment="1" applyProtection="1">
      <alignment vertical="center"/>
      <protection locked="0"/>
    </xf>
    <xf numFmtId="174" fontId="6" fillId="0" borderId="43" xfId="0" applyNumberFormat="1" applyFont="1" applyBorder="1" applyAlignment="1" applyProtection="1">
      <alignment vertical="center"/>
      <protection locked="0"/>
    </xf>
    <xf numFmtId="174" fontId="6" fillId="13" borderId="34" xfId="0" applyNumberFormat="1" applyFont="1" applyFill="1" applyBorder="1" applyProtection="1">
      <protection locked="0"/>
    </xf>
    <xf numFmtId="174" fontId="6" fillId="14" borderId="43" xfId="0" applyNumberFormat="1" applyFont="1" applyFill="1" applyBorder="1" applyAlignment="1" applyProtection="1">
      <alignment vertical="center"/>
      <protection locked="0"/>
    </xf>
    <xf numFmtId="174" fontId="6" fillId="0" borderId="34" xfId="0" applyNumberFormat="1" applyFont="1" applyBorder="1" applyAlignment="1" applyProtection="1">
      <alignment vertical="center"/>
      <protection locked="0"/>
    </xf>
    <xf numFmtId="174" fontId="6" fillId="13" borderId="33" xfId="0" applyNumberFormat="1" applyFont="1" applyFill="1" applyBorder="1" applyProtection="1">
      <protection locked="0"/>
    </xf>
    <xf numFmtId="174" fontId="6" fillId="14" borderId="34" xfId="0" applyNumberFormat="1" applyFont="1" applyFill="1" applyBorder="1" applyAlignment="1" applyProtection="1">
      <alignment vertical="center"/>
      <protection locked="0"/>
    </xf>
    <xf numFmtId="174" fontId="6" fillId="0" borderId="12" xfId="0" applyNumberFormat="1" applyFont="1" applyBorder="1" applyAlignment="1" applyProtection="1">
      <alignment vertical="center"/>
      <protection locked="0"/>
    </xf>
    <xf numFmtId="174" fontId="6" fillId="6" borderId="34" xfId="0" applyNumberFormat="1" applyFont="1" applyFill="1" applyBorder="1" applyAlignment="1" applyProtection="1">
      <alignment vertical="center"/>
      <protection locked="0"/>
    </xf>
    <xf numFmtId="174" fontId="6" fillId="13" borderId="11" xfId="0" applyNumberFormat="1" applyFont="1" applyFill="1" applyBorder="1" applyAlignment="1" applyProtection="1">
      <alignment vertical="center"/>
      <protection locked="0"/>
    </xf>
    <xf numFmtId="174" fontId="6" fillId="13" borderId="47" xfId="0" applyNumberFormat="1" applyFont="1" applyFill="1" applyBorder="1" applyProtection="1">
      <protection locked="0"/>
    </xf>
    <xf numFmtId="174" fontId="6" fillId="13" borderId="53" xfId="0" applyNumberFormat="1" applyFont="1" applyFill="1" applyBorder="1" applyProtection="1">
      <protection locked="0"/>
    </xf>
    <xf numFmtId="174" fontId="6" fillId="13" borderId="44" xfId="0" applyNumberFormat="1" applyFont="1" applyFill="1" applyBorder="1" applyProtection="1">
      <protection locked="0"/>
    </xf>
    <xf numFmtId="174" fontId="10" fillId="18" borderId="48" xfId="0" applyNumberFormat="1" applyFont="1" applyFill="1" applyBorder="1" applyProtection="1">
      <protection locked="0"/>
    </xf>
    <xf numFmtId="174" fontId="10" fillId="18" borderId="23" xfId="0" applyNumberFormat="1" applyFont="1" applyFill="1" applyBorder="1" applyProtection="1">
      <protection locked="0"/>
    </xf>
    <xf numFmtId="174" fontId="10" fillId="18" borderId="26" xfId="0" applyNumberFormat="1" applyFont="1" applyFill="1" applyBorder="1" applyProtection="1">
      <protection locked="0"/>
    </xf>
    <xf numFmtId="174" fontId="10" fillId="14" borderId="0" xfId="0" applyNumberFormat="1" applyFont="1" applyFill="1" applyProtection="1">
      <protection locked="0"/>
    </xf>
    <xf numFmtId="174" fontId="6" fillId="16" borderId="11" xfId="0" applyNumberFormat="1" applyFont="1" applyFill="1" applyBorder="1" applyProtection="1">
      <protection locked="0"/>
    </xf>
    <xf numFmtId="174" fontId="6" fillId="16" borderId="10" xfId="0" applyNumberFormat="1" applyFont="1" applyFill="1" applyBorder="1" applyProtection="1">
      <protection locked="0"/>
    </xf>
    <xf numFmtId="174" fontId="6" fillId="16" borderId="14" xfId="0" applyNumberFormat="1" applyFont="1" applyFill="1" applyBorder="1" applyProtection="1">
      <protection locked="0"/>
    </xf>
    <xf numFmtId="174" fontId="6" fillId="16" borderId="16" xfId="0" applyNumberFormat="1" applyFont="1" applyFill="1" applyBorder="1" applyProtection="1">
      <protection locked="0"/>
    </xf>
    <xf numFmtId="174" fontId="6" fillId="16" borderId="29" xfId="0" applyNumberFormat="1" applyFont="1" applyFill="1" applyBorder="1" applyProtection="1">
      <protection locked="0"/>
    </xf>
    <xf numFmtId="174" fontId="6" fillId="6" borderId="30" xfId="0" applyNumberFormat="1" applyFont="1" applyFill="1" applyBorder="1" applyProtection="1">
      <protection locked="0"/>
    </xf>
    <xf numFmtId="174" fontId="6" fillId="16" borderId="49" xfId="0" applyNumberFormat="1" applyFont="1" applyFill="1" applyBorder="1" applyProtection="1">
      <protection locked="0"/>
    </xf>
    <xf numFmtId="174" fontId="6" fillId="13" borderId="54" xfId="0" applyNumberFormat="1" applyFont="1" applyFill="1" applyBorder="1" applyProtection="1">
      <protection locked="0"/>
    </xf>
    <xf numFmtId="174" fontId="6" fillId="16" borderId="54" xfId="0" applyNumberFormat="1" applyFont="1" applyFill="1" applyBorder="1" applyProtection="1">
      <protection locked="0"/>
    </xf>
    <xf numFmtId="174" fontId="6" fillId="6" borderId="29" xfId="0" applyNumberFormat="1" applyFont="1" applyFill="1" applyBorder="1" applyProtection="1">
      <protection locked="0"/>
    </xf>
    <xf numFmtId="174" fontId="6" fillId="13" borderId="32" xfId="0" applyNumberFormat="1" applyFont="1" applyFill="1" applyBorder="1" applyProtection="1">
      <protection locked="0"/>
    </xf>
    <xf numFmtId="174" fontId="6" fillId="16" borderId="15" xfId="0" applyNumberFormat="1" applyFont="1" applyFill="1" applyBorder="1" applyProtection="1">
      <protection locked="0"/>
    </xf>
    <xf numFmtId="174" fontId="6" fillId="13" borderId="14" xfId="0" applyNumberFormat="1" applyFont="1" applyFill="1" applyBorder="1" applyProtection="1">
      <protection locked="0"/>
    </xf>
    <xf numFmtId="174" fontId="6" fillId="6" borderId="49" xfId="0" applyNumberFormat="1" applyFont="1" applyFill="1" applyBorder="1" applyProtection="1">
      <protection locked="0"/>
    </xf>
    <xf numFmtId="174" fontId="6" fillId="6" borderId="54" xfId="0" applyNumberFormat="1" applyFont="1" applyFill="1" applyBorder="1" applyProtection="1">
      <protection locked="0"/>
    </xf>
    <xf numFmtId="174" fontId="6" fillId="6" borderId="28" xfId="0" applyNumberFormat="1" applyFont="1" applyFill="1" applyBorder="1" applyProtection="1">
      <protection locked="0"/>
    </xf>
    <xf numFmtId="174" fontId="6" fillId="6" borderId="31" xfId="0" applyNumberFormat="1" applyFont="1" applyFill="1" applyBorder="1" applyProtection="1">
      <protection locked="0"/>
    </xf>
    <xf numFmtId="174" fontId="6" fillId="16" borderId="11" xfId="0" applyNumberFormat="1" applyFont="1" applyFill="1" applyBorder="1" applyAlignment="1" applyProtection="1">
      <alignment vertical="center"/>
      <protection locked="0"/>
    </xf>
    <xf numFmtId="174" fontId="6" fillId="16" borderId="10" xfId="0" applyNumberFormat="1" applyFont="1" applyFill="1" applyBorder="1" applyAlignment="1" applyProtection="1">
      <alignment vertical="center"/>
      <protection locked="0"/>
    </xf>
    <xf numFmtId="174" fontId="6" fillId="16" borderId="15" xfId="0" applyNumberFormat="1" applyFont="1" applyFill="1" applyBorder="1" applyAlignment="1" applyProtection="1">
      <alignment vertical="center"/>
      <protection locked="0"/>
    </xf>
    <xf numFmtId="174" fontId="6" fillId="16" borderId="14" xfId="0" applyNumberFormat="1" applyFont="1" applyFill="1" applyBorder="1" applyAlignment="1" applyProtection="1">
      <alignment vertical="center"/>
      <protection locked="0"/>
    </xf>
    <xf numFmtId="174" fontId="6" fillId="16" borderId="17" xfId="0" applyNumberFormat="1" applyFont="1" applyFill="1" applyBorder="1" applyAlignment="1" applyProtection="1">
      <alignment vertical="center"/>
      <protection locked="0"/>
    </xf>
    <xf numFmtId="174" fontId="10" fillId="16" borderId="0" xfId="0" applyNumberFormat="1" applyFont="1" applyFill="1" applyProtection="1">
      <protection locked="0"/>
    </xf>
    <xf numFmtId="174" fontId="6" fillId="5" borderId="11" xfId="0" applyNumberFormat="1" applyFont="1" applyFill="1" applyBorder="1"/>
    <xf numFmtId="174" fontId="6" fillId="6" borderId="11" xfId="0" applyNumberFormat="1" applyFont="1" applyFill="1" applyBorder="1"/>
    <xf numFmtId="174" fontId="6" fillId="0" borderId="11" xfId="0" applyNumberFormat="1" applyFont="1" applyBorder="1"/>
    <xf numFmtId="174" fontId="6" fillId="8" borderId="11" xfId="0" applyNumberFormat="1" applyFont="1" applyFill="1" applyBorder="1"/>
    <xf numFmtId="174" fontId="26" fillId="0" borderId="11" xfId="0" applyNumberFormat="1" applyFont="1" applyBorder="1"/>
    <xf numFmtId="174" fontId="26" fillId="6" borderId="11" xfId="0" applyNumberFormat="1" applyFont="1" applyFill="1" applyBorder="1"/>
    <xf numFmtId="174" fontId="6" fillId="5" borderId="10" xfId="0" applyNumberFormat="1" applyFont="1" applyFill="1" applyBorder="1"/>
    <xf numFmtId="174" fontId="6" fillId="5" borderId="14" xfId="0" applyNumberFormat="1" applyFont="1" applyFill="1" applyBorder="1"/>
    <xf numFmtId="174" fontId="5" fillId="13" borderId="16" xfId="22" applyNumberFormat="1" applyFont="1" applyFill="1" applyBorder="1"/>
    <xf numFmtId="174" fontId="6" fillId="0" borderId="15" xfId="0" applyNumberFormat="1" applyFont="1" applyBorder="1"/>
    <xf numFmtId="174" fontId="6" fillId="13" borderId="11" xfId="0" applyNumberFormat="1" applyFont="1" applyFill="1" applyBorder="1"/>
    <xf numFmtId="174" fontId="6" fillId="5" borderId="16" xfId="0" applyNumberFormat="1" applyFont="1" applyFill="1" applyBorder="1"/>
    <xf numFmtId="174" fontId="6" fillId="13" borderId="10" xfId="0" applyNumberFormat="1" applyFont="1" applyFill="1" applyBorder="1"/>
    <xf numFmtId="174" fontId="5" fillId="13" borderId="47" xfId="22" applyNumberFormat="1" applyFont="1" applyFill="1" applyBorder="1"/>
    <xf numFmtId="174" fontId="6" fillId="6" borderId="10" xfId="0" applyNumberFormat="1" applyFont="1" applyFill="1" applyBorder="1"/>
    <xf numFmtId="174" fontId="6" fillId="6" borderId="14" xfId="0" applyNumberFormat="1" applyFont="1" applyFill="1" applyBorder="1"/>
    <xf numFmtId="174" fontId="6" fillId="6" borderId="16" xfId="0" applyNumberFormat="1" applyFont="1" applyFill="1" applyBorder="1"/>
    <xf numFmtId="174" fontId="6" fillId="8" borderId="15" xfId="0" applyNumberFormat="1" applyFont="1" applyFill="1" applyBorder="1"/>
    <xf numFmtId="174" fontId="6" fillId="6" borderId="15" xfId="0" applyNumberFormat="1" applyFont="1" applyFill="1" applyBorder="1"/>
    <xf numFmtId="174" fontId="11" fillId="5" borderId="10" xfId="0" applyNumberFormat="1" applyFont="1" applyFill="1" applyBorder="1"/>
    <xf numFmtId="174" fontId="11" fillId="5" borderId="11" xfId="0" applyNumberFormat="1" applyFont="1" applyFill="1" applyBorder="1"/>
    <xf numFmtId="174" fontId="11" fillId="5" borderId="14" xfId="0" applyNumberFormat="1" applyFont="1" applyFill="1" applyBorder="1"/>
    <xf numFmtId="174" fontId="11" fillId="13" borderId="16" xfId="0" applyNumberFormat="1" applyFont="1" applyFill="1" applyBorder="1"/>
    <xf numFmtId="174" fontId="11" fillId="0" borderId="15" xfId="0" applyNumberFormat="1" applyFont="1" applyBorder="1"/>
    <xf numFmtId="174" fontId="11" fillId="13" borderId="11" xfId="0" applyNumberFormat="1" applyFont="1" applyFill="1" applyBorder="1"/>
    <xf numFmtId="174" fontId="11" fillId="5" borderId="16" xfId="0" applyNumberFormat="1" applyFont="1" applyFill="1" applyBorder="1"/>
    <xf numFmtId="174" fontId="11" fillId="0" borderId="11" xfId="0" applyNumberFormat="1" applyFont="1" applyBorder="1"/>
    <xf numFmtId="174" fontId="11" fillId="13" borderId="10" xfId="0" applyNumberFormat="1" applyFont="1" applyFill="1" applyBorder="1"/>
    <xf numFmtId="174" fontId="11" fillId="6" borderId="11" xfId="0" applyNumberFormat="1" applyFont="1" applyFill="1" applyBorder="1"/>
    <xf numFmtId="174" fontId="6" fillId="5" borderId="17" xfId="0" applyNumberFormat="1" applyFont="1" applyFill="1" applyBorder="1"/>
    <xf numFmtId="174" fontId="6" fillId="13" borderId="16" xfId="0" applyNumberFormat="1" applyFont="1" applyFill="1" applyBorder="1"/>
    <xf numFmtId="174" fontId="6" fillId="0" borderId="14" xfId="0" applyNumberFormat="1" applyFont="1" applyBorder="1"/>
    <xf numFmtId="174" fontId="6" fillId="5" borderId="32" xfId="0" applyNumberFormat="1" applyFont="1" applyFill="1" applyBorder="1"/>
    <xf numFmtId="174" fontId="6" fillId="0" borderId="10" xfId="0" applyNumberFormat="1" applyFont="1" applyBorder="1"/>
    <xf numFmtId="174" fontId="6" fillId="0" borderId="17" xfId="0" applyNumberFormat="1" applyFont="1" applyBorder="1"/>
    <xf numFmtId="174" fontId="6" fillId="0" borderId="16" xfId="0" applyNumberFormat="1" applyFont="1" applyBorder="1"/>
    <xf numFmtId="174" fontId="6" fillId="0" borderId="32" xfId="0" applyNumberFormat="1" applyFont="1" applyBorder="1"/>
    <xf numFmtId="174" fontId="6" fillId="13" borderId="53" xfId="0" applyNumberFormat="1" applyFont="1" applyFill="1" applyBorder="1"/>
    <xf numFmtId="174" fontId="10" fillId="6" borderId="23" xfId="0" applyNumberFormat="1" applyFont="1" applyFill="1" applyBorder="1"/>
    <xf numFmtId="174" fontId="10" fillId="6" borderId="27" xfId="0" applyNumberFormat="1" applyFont="1" applyFill="1" applyBorder="1"/>
    <xf numFmtId="174" fontId="10" fillId="6" borderId="48" xfId="0" applyNumberFormat="1" applyFont="1" applyFill="1" applyBorder="1"/>
    <xf numFmtId="174" fontId="10" fillId="6" borderId="24" xfId="0" applyNumberFormat="1" applyFont="1" applyFill="1" applyBorder="1"/>
    <xf numFmtId="174" fontId="6" fillId="15" borderId="11" xfId="0" applyNumberFormat="1" applyFont="1" applyFill="1" applyBorder="1" applyAlignment="1">
      <alignment vertical="center"/>
    </xf>
    <xf numFmtId="174" fontId="6" fillId="15" borderId="15" xfId="0" applyNumberFormat="1" applyFont="1" applyFill="1" applyBorder="1" applyAlignment="1">
      <alignment vertical="center"/>
    </xf>
    <xf numFmtId="174" fontId="6" fillId="15" borderId="10" xfId="0" applyNumberFormat="1" applyFont="1" applyFill="1" applyBorder="1" applyAlignment="1">
      <alignment vertical="center"/>
    </xf>
    <xf numFmtId="174" fontId="6" fillId="15" borderId="14" xfId="0" applyNumberFormat="1" applyFont="1" applyFill="1" applyBorder="1" applyAlignment="1">
      <alignment vertical="center"/>
    </xf>
    <xf numFmtId="174" fontId="6" fillId="15" borderId="16" xfId="0" applyNumberFormat="1" applyFont="1" applyFill="1" applyBorder="1"/>
    <xf numFmtId="174" fontId="6" fillId="15" borderId="17" xfId="0" applyNumberFormat="1" applyFont="1" applyFill="1" applyBorder="1" applyAlignment="1">
      <alignment vertical="center"/>
    </xf>
    <xf numFmtId="174" fontId="6" fillId="15" borderId="11" xfId="0" applyNumberFormat="1" applyFont="1" applyFill="1" applyBorder="1"/>
    <xf numFmtId="174" fontId="6" fillId="15" borderId="10" xfId="0" applyNumberFormat="1" applyFont="1" applyFill="1" applyBorder="1"/>
    <xf numFmtId="174" fontId="6" fillId="5" borderId="11" xfId="0" applyNumberFormat="1" applyFont="1" applyFill="1" applyBorder="1" applyAlignment="1">
      <alignment vertical="center"/>
    </xf>
    <xf numFmtId="174" fontId="6" fillId="0" borderId="11" xfId="0" applyNumberFormat="1" applyFont="1" applyBorder="1" applyAlignment="1">
      <alignment vertical="center"/>
    </xf>
    <xf numFmtId="174" fontId="6" fillId="5" borderId="10" xfId="0" applyNumberFormat="1" applyFont="1" applyFill="1" applyBorder="1" applyAlignment="1">
      <alignment vertical="center"/>
    </xf>
    <xf numFmtId="174" fontId="6" fillId="0" borderId="15" xfId="0" applyNumberFormat="1" applyFont="1" applyBorder="1" applyAlignment="1">
      <alignment vertical="center"/>
    </xf>
    <xf numFmtId="174" fontId="6" fillId="14" borderId="15" xfId="0" applyNumberFormat="1" applyFont="1" applyFill="1" applyBorder="1" applyAlignment="1">
      <alignment vertical="center"/>
    </xf>
    <xf numFmtId="174" fontId="6" fillId="14" borderId="11" xfId="0" applyNumberFormat="1" applyFont="1" applyFill="1" applyBorder="1" applyAlignment="1">
      <alignment vertical="center"/>
    </xf>
    <xf numFmtId="174" fontId="6" fillId="0" borderId="14" xfId="0" applyNumberFormat="1" applyFont="1" applyBorder="1" applyAlignment="1">
      <alignment vertical="center"/>
    </xf>
    <xf numFmtId="174" fontId="6" fillId="5" borderId="14" xfId="0" applyNumberFormat="1" applyFont="1" applyFill="1" applyBorder="1" applyAlignment="1">
      <alignment vertical="center"/>
    </xf>
    <xf numFmtId="174" fontId="6" fillId="14" borderId="17" xfId="0" applyNumberFormat="1" applyFont="1" applyFill="1" applyBorder="1" applyAlignment="1">
      <alignment vertical="center"/>
    </xf>
    <xf numFmtId="174" fontId="6" fillId="6" borderId="29" xfId="0" applyNumberFormat="1" applyFont="1" applyFill="1" applyBorder="1" applyAlignment="1">
      <alignment vertical="center"/>
    </xf>
    <xf numFmtId="174" fontId="6" fillId="6" borderId="31" xfId="0" applyNumberFormat="1" applyFont="1" applyFill="1" applyBorder="1" applyAlignment="1">
      <alignment vertical="center"/>
    </xf>
    <xf numFmtId="174" fontId="6" fillId="6" borderId="28" xfId="0" applyNumberFormat="1" applyFont="1" applyFill="1" applyBorder="1" applyAlignment="1">
      <alignment vertical="center"/>
    </xf>
    <xf numFmtId="174" fontId="6" fillId="15" borderId="49" xfId="0" applyNumberFormat="1" applyFont="1" applyFill="1" applyBorder="1" applyAlignment="1">
      <alignment vertical="center"/>
    </xf>
    <xf numFmtId="174" fontId="6" fillId="15" borderId="54" xfId="0" applyNumberFormat="1" applyFont="1" applyFill="1" applyBorder="1"/>
    <xf numFmtId="174" fontId="6" fillId="15" borderId="66" xfId="0" applyNumberFormat="1" applyFont="1" applyFill="1" applyBorder="1" applyAlignment="1">
      <alignment vertical="center"/>
    </xf>
    <xf numFmtId="174" fontId="6" fillId="15" borderId="28" xfId="0" applyNumberFormat="1" applyFont="1" applyFill="1" applyBorder="1" applyAlignment="1">
      <alignment vertical="center"/>
    </xf>
    <xf numFmtId="174" fontId="6" fillId="15" borderId="31" xfId="0" applyNumberFormat="1" applyFont="1" applyFill="1" applyBorder="1" applyAlignment="1">
      <alignment vertical="center"/>
    </xf>
    <xf numFmtId="174" fontId="6" fillId="15" borderId="29" xfId="0" applyNumberFormat="1" applyFont="1" applyFill="1" applyBorder="1"/>
    <xf numFmtId="174" fontId="6" fillId="15" borderId="29" xfId="0" applyNumberFormat="1" applyFont="1" applyFill="1" applyBorder="1" applyAlignment="1">
      <alignment vertical="center"/>
    </xf>
    <xf numFmtId="174" fontId="6" fillId="15" borderId="31" xfId="0" applyNumberFormat="1" applyFont="1" applyFill="1" applyBorder="1"/>
    <xf numFmtId="174" fontId="6" fillId="5" borderId="34" xfId="0" applyNumberFormat="1" applyFont="1" applyFill="1" applyBorder="1" applyAlignment="1">
      <alignment vertical="center"/>
    </xf>
    <xf numFmtId="174" fontId="6" fillId="6" borderId="43" xfId="0" applyNumberFormat="1" applyFont="1" applyFill="1" applyBorder="1" applyAlignment="1">
      <alignment vertical="center"/>
    </xf>
    <xf numFmtId="174" fontId="6" fillId="5" borderId="33" xfId="0" applyNumberFormat="1" applyFont="1" applyFill="1" applyBorder="1" applyAlignment="1">
      <alignment vertical="center"/>
    </xf>
    <xf numFmtId="174" fontId="6" fillId="5" borderId="12" xfId="0" applyNumberFormat="1" applyFont="1" applyFill="1" applyBorder="1" applyAlignment="1">
      <alignment vertical="center"/>
    </xf>
    <xf numFmtId="174" fontId="6" fillId="13" borderId="67" xfId="0" applyNumberFormat="1" applyFont="1" applyFill="1" applyBorder="1"/>
    <xf numFmtId="174" fontId="6" fillId="14" borderId="35" xfId="0" applyNumberFormat="1" applyFont="1" applyFill="1" applyBorder="1" applyAlignment="1">
      <alignment vertical="center"/>
    </xf>
    <xf numFmtId="174" fontId="6" fillId="0" borderId="43" xfId="0" applyNumberFormat="1" applyFont="1" applyBorder="1" applyAlignment="1">
      <alignment vertical="center"/>
    </xf>
    <xf numFmtId="174" fontId="6" fillId="13" borderId="34" xfId="0" applyNumberFormat="1" applyFont="1" applyFill="1" applyBorder="1"/>
    <xf numFmtId="174" fontId="6" fillId="14" borderId="43" xfId="0" applyNumberFormat="1" applyFont="1" applyFill="1" applyBorder="1" applyAlignment="1">
      <alignment vertical="center"/>
    </xf>
    <xf numFmtId="174" fontId="6" fillId="0" borderId="34" xfId="0" applyNumberFormat="1" applyFont="1" applyBorder="1" applyAlignment="1">
      <alignment vertical="center"/>
    </xf>
    <xf numFmtId="174" fontId="6" fillId="13" borderId="33" xfId="0" applyNumberFormat="1" applyFont="1" applyFill="1" applyBorder="1"/>
    <xf numFmtId="174" fontId="6" fillId="14" borderId="34" xfId="0" applyNumberFormat="1" applyFont="1" applyFill="1" applyBorder="1" applyAlignment="1">
      <alignment vertical="center"/>
    </xf>
    <xf numFmtId="174" fontId="6" fillId="0" borderId="12" xfId="0" applyNumberFormat="1" applyFont="1" applyBorder="1" applyAlignment="1">
      <alignment vertical="center"/>
    </xf>
    <xf numFmtId="174" fontId="6" fillId="6" borderId="34" xfId="0" applyNumberFormat="1" applyFont="1" applyFill="1" applyBorder="1" applyAlignment="1">
      <alignment vertical="center"/>
    </xf>
    <xf numFmtId="174" fontId="6" fillId="13" borderId="11" xfId="0" applyNumberFormat="1" applyFont="1" applyFill="1" applyBorder="1" applyAlignment="1">
      <alignment vertical="center"/>
    </xf>
    <xf numFmtId="174" fontId="6" fillId="13" borderId="47" xfId="0" applyNumberFormat="1" applyFont="1" applyFill="1" applyBorder="1"/>
    <xf numFmtId="174" fontId="6" fillId="13" borderId="44" xfId="0" applyNumberFormat="1" applyFont="1" applyFill="1" applyBorder="1"/>
    <xf numFmtId="174" fontId="10" fillId="6" borderId="25" xfId="0" applyNumberFormat="1" applyFont="1" applyFill="1" applyBorder="1"/>
    <xf numFmtId="174" fontId="10" fillId="6" borderId="26" xfId="0" applyNumberFormat="1" applyFont="1" applyFill="1" applyBorder="1"/>
    <xf numFmtId="174" fontId="10" fillId="18" borderId="48" xfId="0" applyNumberFormat="1" applyFont="1" applyFill="1" applyBorder="1"/>
    <xf numFmtId="174" fontId="10" fillId="18" borderId="23" xfId="0" applyNumberFormat="1" applyFont="1" applyFill="1" applyBorder="1"/>
    <xf numFmtId="174" fontId="10" fillId="18" borderId="26" xfId="0" applyNumberFormat="1" applyFont="1" applyFill="1" applyBorder="1"/>
    <xf numFmtId="174" fontId="10" fillId="14" borderId="0" xfId="0" applyNumberFormat="1" applyFont="1" applyFill="1"/>
    <xf numFmtId="174" fontId="6" fillId="16" borderId="11" xfId="0" applyNumberFormat="1" applyFont="1" applyFill="1" applyBorder="1"/>
    <xf numFmtId="174" fontId="6" fillId="16" borderId="10" xfId="0" applyNumberFormat="1" applyFont="1" applyFill="1" applyBorder="1"/>
    <xf numFmtId="174" fontId="6" fillId="16" borderId="14" xfId="0" applyNumberFormat="1" applyFont="1" applyFill="1" applyBorder="1"/>
    <xf numFmtId="174" fontId="6" fillId="16" borderId="16" xfId="0" applyNumberFormat="1" applyFont="1" applyFill="1" applyBorder="1"/>
    <xf numFmtId="174" fontId="6" fillId="16" borderId="29" xfId="0" applyNumberFormat="1" applyFont="1" applyFill="1" applyBorder="1"/>
    <xf numFmtId="174" fontId="6" fillId="13" borderId="29" xfId="0" applyNumberFormat="1" applyFont="1" applyFill="1" applyBorder="1"/>
    <xf numFmtId="174" fontId="6" fillId="6" borderId="30" xfId="0" applyNumberFormat="1" applyFont="1" applyFill="1" applyBorder="1"/>
    <xf numFmtId="174" fontId="6" fillId="16" borderId="49" xfId="0" applyNumberFormat="1" applyFont="1" applyFill="1" applyBorder="1"/>
    <xf numFmtId="174" fontId="6" fillId="13" borderId="54" xfId="0" applyNumberFormat="1" applyFont="1" applyFill="1" applyBorder="1"/>
    <xf numFmtId="174" fontId="6" fillId="16" borderId="54" xfId="0" applyNumberFormat="1" applyFont="1" applyFill="1" applyBorder="1"/>
    <xf numFmtId="174" fontId="6" fillId="13" borderId="32" xfId="0" applyNumberFormat="1" applyFont="1" applyFill="1" applyBorder="1"/>
    <xf numFmtId="174" fontId="6" fillId="16" borderId="15" xfId="0" applyNumberFormat="1" applyFont="1" applyFill="1" applyBorder="1"/>
    <xf numFmtId="174" fontId="6" fillId="13" borderId="14" xfId="0" applyNumberFormat="1" applyFont="1" applyFill="1" applyBorder="1"/>
    <xf numFmtId="174" fontId="6" fillId="6" borderId="49" xfId="0" applyNumberFormat="1" applyFont="1" applyFill="1" applyBorder="1"/>
    <xf numFmtId="174" fontId="6" fillId="6" borderId="28" xfId="0" applyNumberFormat="1" applyFont="1" applyFill="1" applyBorder="1"/>
    <xf numFmtId="174" fontId="6" fillId="16" borderId="11" xfId="0" applyNumberFormat="1" applyFont="1" applyFill="1" applyBorder="1" applyAlignment="1">
      <alignment vertical="center"/>
    </xf>
    <xf numFmtId="174" fontId="6" fillId="16" borderId="10" xfId="0" applyNumberFormat="1" applyFont="1" applyFill="1" applyBorder="1" applyAlignment="1">
      <alignment vertical="center"/>
    </xf>
    <xf numFmtId="174" fontId="6" fillId="16" borderId="15" xfId="0" applyNumberFormat="1" applyFont="1" applyFill="1" applyBorder="1" applyAlignment="1">
      <alignment vertical="center"/>
    </xf>
    <xf numFmtId="174" fontId="6" fillId="16" borderId="14" xfId="0" applyNumberFormat="1" applyFont="1" applyFill="1" applyBorder="1" applyAlignment="1">
      <alignment vertical="center"/>
    </xf>
    <xf numFmtId="174" fontId="6" fillId="16" borderId="17" xfId="0" applyNumberFormat="1" applyFont="1" applyFill="1" applyBorder="1" applyAlignment="1">
      <alignment vertical="center"/>
    </xf>
    <xf numFmtId="174" fontId="10" fillId="16" borderId="0" xfId="0" applyNumberFormat="1" applyFont="1" applyFill="1"/>
    <xf numFmtId="174" fontId="4" fillId="2" borderId="71" xfId="17" applyNumberFormat="1" applyFill="1" applyBorder="1"/>
    <xf numFmtId="174" fontId="4" fillId="6" borderId="30" xfId="17" applyNumberFormat="1" applyFill="1" applyBorder="1"/>
    <xf numFmtId="174" fontId="4" fillId="2" borderId="73" xfId="17" applyNumberFormat="1" applyFill="1" applyBorder="1"/>
    <xf numFmtId="174" fontId="4" fillId="6" borderId="71" xfId="17" applyNumberFormat="1" applyFill="1" applyBorder="1"/>
    <xf numFmtId="174" fontId="4" fillId="6" borderId="74" xfId="17" applyNumberFormat="1" applyFill="1" applyBorder="1"/>
    <xf numFmtId="174" fontId="4" fillId="2" borderId="82" xfId="17" applyNumberFormat="1" applyFill="1" applyBorder="1"/>
    <xf numFmtId="174" fontId="4" fillId="2" borderId="75" xfId="17" applyNumberFormat="1" applyFill="1" applyBorder="1"/>
    <xf numFmtId="174" fontId="0" fillId="6" borderId="75" xfId="0" applyNumberFormat="1" applyFill="1" applyBorder="1"/>
    <xf numFmtId="174" fontId="0" fillId="6" borderId="78" xfId="0" applyNumberFormat="1" applyFill="1" applyBorder="1"/>
    <xf numFmtId="174" fontId="4" fillId="6" borderId="75" xfId="17" applyNumberFormat="1" applyFill="1" applyBorder="1"/>
    <xf numFmtId="174" fontId="4" fillId="6" borderId="78" xfId="17" applyNumberFormat="1" applyFill="1" applyBorder="1"/>
    <xf numFmtId="174" fontId="4" fillId="6" borderId="73" xfId="17" applyNumberFormat="1" applyFill="1" applyBorder="1"/>
    <xf numFmtId="2" fontId="6" fillId="13" borderId="12" xfId="0" applyNumberFormat="1" applyFont="1" applyFill="1" applyBorder="1" applyAlignment="1" applyProtection="1">
      <alignment horizontal="centerContinuous"/>
      <protection locked="0"/>
    </xf>
    <xf numFmtId="2" fontId="6" fillId="13" borderId="33" xfId="0" applyNumberFormat="1" applyFont="1" applyFill="1" applyBorder="1" applyAlignment="1" applyProtection="1">
      <alignment horizontal="centerContinuous"/>
      <protection locked="0"/>
    </xf>
    <xf numFmtId="174" fontId="6" fillId="13" borderId="14" xfId="0" applyNumberFormat="1" applyFont="1" applyFill="1" applyBorder="1" applyAlignment="1" applyProtection="1">
      <alignment horizontal="centerContinuous"/>
      <protection locked="0"/>
    </xf>
    <xf numFmtId="174" fontId="6" fillId="13" borderId="10" xfId="0" applyNumberFormat="1" applyFont="1" applyFill="1" applyBorder="1" applyAlignment="1" applyProtection="1">
      <alignment horizontal="centerContinuous"/>
      <protection locked="0"/>
    </xf>
    <xf numFmtId="0" fontId="6" fillId="13" borderId="14" xfId="0" applyFont="1" applyFill="1" applyBorder="1" applyAlignment="1">
      <alignment horizontal="centerContinuous"/>
    </xf>
    <xf numFmtId="0" fontId="6" fillId="13" borderId="10" xfId="0" applyFont="1" applyFill="1" applyBorder="1" applyAlignment="1">
      <alignment horizontal="centerContinuous"/>
    </xf>
    <xf numFmtId="0" fontId="6" fillId="13" borderId="13" xfId="0" applyFont="1" applyFill="1" applyBorder="1" applyAlignment="1">
      <alignment horizontal="centerContinuous"/>
    </xf>
    <xf numFmtId="0" fontId="6" fillId="13" borderId="44" xfId="0" applyFont="1" applyFill="1" applyBorder="1" applyAlignment="1">
      <alignment horizontal="centerContinuous"/>
    </xf>
    <xf numFmtId="174" fontId="4" fillId="13" borderId="33" xfId="0" applyNumberFormat="1" applyFont="1" applyFill="1" applyBorder="1" applyAlignment="1" applyProtection="1">
      <alignment horizontal="centerContinuous"/>
      <protection locked="0"/>
    </xf>
    <xf numFmtId="0" fontId="0" fillId="16" borderId="0" xfId="0" applyFill="1" applyAlignment="1">
      <alignment horizontal="centerContinuous"/>
    </xf>
    <xf numFmtId="2" fontId="6" fillId="13" borderId="14" xfId="0" applyNumberFormat="1" applyFont="1" applyFill="1" applyBorder="1" applyAlignment="1" applyProtection="1">
      <alignment horizontal="centerContinuous"/>
      <protection locked="0"/>
    </xf>
    <xf numFmtId="2" fontId="6" fillId="13" borderId="10" xfId="0" applyNumberFormat="1" applyFont="1" applyFill="1" applyBorder="1" applyAlignment="1" applyProtection="1">
      <alignment horizontal="centerContinuous"/>
      <protection locked="0"/>
    </xf>
    <xf numFmtId="2" fontId="4" fillId="13" borderId="12" xfId="0" applyNumberFormat="1" applyFont="1" applyFill="1" applyBorder="1" applyAlignment="1" applyProtection="1">
      <alignment horizontal="centerContinuous"/>
      <protection locked="0"/>
    </xf>
    <xf numFmtId="2" fontId="4" fillId="13" borderId="33" xfId="0" applyNumberFormat="1" applyFont="1" applyFill="1" applyBorder="1" applyAlignment="1" applyProtection="1">
      <alignment horizontal="centerContinuous"/>
      <protection locked="0"/>
    </xf>
    <xf numFmtId="174" fontId="42" fillId="5" borderId="0" xfId="0" applyNumberFormat="1" applyFont="1" applyFill="1"/>
    <xf numFmtId="174" fontId="22" fillId="5" borderId="0" xfId="0" applyNumberFormat="1" applyFont="1" applyFill="1"/>
    <xf numFmtId="171" fontId="5" fillId="5" borderId="0" xfId="0" applyNumberFormat="1" applyFont="1" applyFill="1" applyAlignment="1">
      <alignment vertical="top"/>
    </xf>
    <xf numFmtId="0" fontId="5" fillId="5" borderId="0" xfId="0" applyFont="1" applyFill="1" applyAlignment="1">
      <alignment vertical="top"/>
    </xf>
    <xf numFmtId="0" fontId="111" fillId="5" borderId="0" xfId="0" applyFont="1" applyFill="1" applyAlignment="1">
      <alignment vertical="top"/>
    </xf>
    <xf numFmtId="0" fontId="6" fillId="5" borderId="0" xfId="0" applyFont="1" applyFill="1" applyAlignment="1">
      <alignment vertical="top"/>
    </xf>
    <xf numFmtId="0" fontId="5" fillId="5" borderId="0" xfId="0" applyFont="1" applyFill="1" applyAlignment="1">
      <alignment horizontal="left" vertical="top"/>
    </xf>
    <xf numFmtId="0" fontId="40" fillId="5" borderId="0" xfId="0" applyFont="1" applyFill="1" applyAlignment="1">
      <alignment vertical="top"/>
    </xf>
    <xf numFmtId="0" fontId="15" fillId="5" borderId="0" xfId="0" applyFont="1" applyFill="1" applyAlignment="1">
      <alignment horizontal="left" vertical="top"/>
    </xf>
    <xf numFmtId="1" fontId="112" fillId="5" borderId="0" xfId="0" applyNumberFormat="1" applyFont="1" applyFill="1" applyAlignment="1">
      <alignment horizontal="right" vertical="top"/>
    </xf>
    <xf numFmtId="1" fontId="112" fillId="5" borderId="0" xfId="0" applyNumberFormat="1" applyFont="1" applyFill="1" applyAlignment="1">
      <alignment vertical="top"/>
    </xf>
    <xf numFmtId="0" fontId="112" fillId="5" borderId="0" xfId="0" applyFont="1" applyFill="1" applyAlignment="1">
      <alignment vertical="top"/>
    </xf>
    <xf numFmtId="0" fontId="112" fillId="14" borderId="0" xfId="0" applyFont="1" applyFill="1" applyAlignment="1">
      <alignment horizontal="center"/>
    </xf>
    <xf numFmtId="0" fontId="83" fillId="5" borderId="0" xfId="0" applyFont="1" applyFill="1" applyAlignment="1">
      <alignment horizontal="center" wrapText="1"/>
    </xf>
    <xf numFmtId="174" fontId="112" fillId="14" borderId="0" xfId="0" applyNumberFormat="1" applyFont="1" applyFill="1" applyAlignment="1">
      <alignment horizontal="center"/>
    </xf>
    <xf numFmtId="0" fontId="83" fillId="16" borderId="0" xfId="0" applyFont="1" applyFill="1" applyAlignment="1">
      <alignment horizontal="center" wrapText="1"/>
    </xf>
    <xf numFmtId="0" fontId="106" fillId="16" borderId="0" xfId="0" applyFont="1" applyFill="1" applyAlignment="1">
      <alignment horizontal="center"/>
    </xf>
    <xf numFmtId="0" fontId="83" fillId="16" borderId="0" xfId="0" applyFont="1" applyFill="1" applyAlignment="1">
      <alignment horizontal="center"/>
    </xf>
    <xf numFmtId="0" fontId="113" fillId="16" borderId="0" xfId="0" applyFont="1" applyFill="1"/>
    <xf numFmtId="0" fontId="83" fillId="5" borderId="0" xfId="0" applyFont="1" applyFill="1" applyAlignment="1">
      <alignment horizontal="center"/>
    </xf>
    <xf numFmtId="0" fontId="113" fillId="16" borderId="0" xfId="0" applyFont="1" applyFill="1" applyAlignment="1">
      <alignment horizontal="left"/>
    </xf>
    <xf numFmtId="0" fontId="113" fillId="5" borderId="0" xfId="0" applyFont="1" applyFill="1" applyAlignment="1">
      <alignment horizontal="left"/>
    </xf>
    <xf numFmtId="0" fontId="1" fillId="0" borderId="11" xfId="25" applyFont="1" applyBorder="1"/>
    <xf numFmtId="174" fontId="4" fillId="6" borderId="82" xfId="17" applyNumberFormat="1" applyFill="1" applyBorder="1"/>
    <xf numFmtId="174" fontId="4" fillId="6" borderId="6" xfId="17" applyNumberFormat="1" applyFill="1" applyBorder="1"/>
    <xf numFmtId="174" fontId="4" fillId="6" borderId="99" xfId="27" applyNumberFormat="1" applyFill="1" applyBorder="1"/>
    <xf numFmtId="174" fontId="4" fillId="6" borderId="75" xfId="27" applyNumberFormat="1" applyFill="1" applyBorder="1"/>
    <xf numFmtId="174" fontId="4" fillId="6" borderId="78" xfId="27" applyNumberFormat="1" applyFill="1" applyBorder="1"/>
    <xf numFmtId="174" fontId="4" fillId="6" borderId="71" xfId="27" applyNumberFormat="1" applyFill="1" applyBorder="1"/>
    <xf numFmtId="0" fontId="6" fillId="13" borderId="14" xfId="0" applyFont="1" applyFill="1" applyBorder="1" applyAlignment="1" applyProtection="1">
      <alignment horizontal="centerContinuous"/>
      <protection locked="0"/>
    </xf>
    <xf numFmtId="0" fontId="6" fillId="13" borderId="10" xfId="0" applyFont="1" applyFill="1" applyBorder="1" applyAlignment="1" applyProtection="1">
      <alignment horizontal="centerContinuous"/>
      <protection locked="0"/>
    </xf>
    <xf numFmtId="0" fontId="6" fillId="13" borderId="13" xfId="0" applyFont="1" applyFill="1" applyBorder="1" applyAlignment="1" applyProtection="1">
      <alignment horizontal="centerContinuous"/>
      <protection locked="0"/>
    </xf>
    <xf numFmtId="0" fontId="6" fillId="13" borderId="44" xfId="0" applyFont="1" applyFill="1" applyBorder="1" applyAlignment="1" applyProtection="1">
      <alignment horizontal="centerContinuous"/>
      <protection locked="0"/>
    </xf>
    <xf numFmtId="174" fontId="6" fillId="13" borderId="12" xfId="0" applyNumberFormat="1" applyFont="1" applyFill="1" applyBorder="1" applyAlignment="1" applyProtection="1">
      <alignment horizontal="centerContinuous"/>
      <protection locked="0"/>
    </xf>
    <xf numFmtId="0" fontId="0" fillId="17" borderId="64" xfId="0" applyFill="1" applyBorder="1" applyAlignment="1">
      <alignment horizontal="center"/>
    </xf>
    <xf numFmtId="0" fontId="0" fillId="17" borderId="60" xfId="0" applyFill="1" applyBorder="1" applyAlignment="1">
      <alignment horizontal="center"/>
    </xf>
    <xf numFmtId="0" fontId="4" fillId="17" borderId="59" xfId="0" applyFont="1" applyFill="1" applyBorder="1"/>
    <xf numFmtId="0" fontId="4" fillId="17" borderId="64" xfId="0" applyFont="1" applyFill="1" applyBorder="1"/>
    <xf numFmtId="0" fontId="4" fillId="17" borderId="64" xfId="0" applyFont="1" applyFill="1" applyBorder="1" applyAlignment="1">
      <alignment horizontal="center"/>
    </xf>
    <xf numFmtId="0" fontId="6" fillId="16" borderId="104" xfId="17" applyFont="1" applyFill="1" applyBorder="1"/>
    <xf numFmtId="0" fontId="5" fillId="0" borderId="0" xfId="26" applyFont="1" applyAlignment="1">
      <alignment vertical="top"/>
    </xf>
    <xf numFmtId="0" fontId="5" fillId="16" borderId="0" xfId="26" applyFont="1" applyFill="1" applyAlignment="1">
      <alignment vertical="top"/>
    </xf>
    <xf numFmtId="0" fontId="4" fillId="0" borderId="61" xfId="0" applyFont="1" applyBorder="1"/>
    <xf numFmtId="0" fontId="4" fillId="0" borderId="65" xfId="0" applyFont="1" applyBorder="1"/>
    <xf numFmtId="0" fontId="4" fillId="0" borderId="65" xfId="0" applyFont="1" applyBorder="1" applyAlignment="1">
      <alignment horizontal="center"/>
    </xf>
    <xf numFmtId="174" fontId="89" fillId="16" borderId="0" xfId="0" applyNumberFormat="1" applyFont="1" applyFill="1"/>
    <xf numFmtId="2" fontId="89" fillId="16" borderId="0" xfId="0" applyNumberFormat="1" applyFont="1" applyFill="1"/>
    <xf numFmtId="0" fontId="90" fillId="5" borderId="0" xfId="0" applyFont="1" applyFill="1" applyAlignment="1">
      <alignment horizontal="center"/>
    </xf>
    <xf numFmtId="0" fontId="59" fillId="19" borderId="11" xfId="0" applyFont="1" applyFill="1" applyBorder="1"/>
    <xf numFmtId="0" fontId="6" fillId="19" borderId="11" xfId="0" applyFont="1" applyFill="1" applyBorder="1"/>
    <xf numFmtId="0" fontId="0" fillId="19" borderId="65" xfId="0" applyFill="1" applyBorder="1"/>
    <xf numFmtId="0" fontId="89" fillId="16" borderId="0" xfId="0" applyFont="1" applyFill="1" applyAlignment="1" applyProtection="1">
      <alignment horizontal="centerContinuous"/>
      <protection locked="0"/>
    </xf>
    <xf numFmtId="0" fontId="94" fillId="16" borderId="0" xfId="0" applyFont="1" applyFill="1" applyAlignment="1" applyProtection="1">
      <alignment horizontal="centerContinuous"/>
      <protection locked="0"/>
    </xf>
    <xf numFmtId="0" fontId="29" fillId="0" borderId="0" xfId="0" applyFont="1" applyAlignment="1">
      <alignment horizontal="center"/>
    </xf>
    <xf numFmtId="0" fontId="86" fillId="5" borderId="0" xfId="0" applyFont="1" applyFill="1"/>
    <xf numFmtId="0" fontId="5" fillId="5" borderId="70" xfId="0" quotePrefix="1" applyFont="1" applyFill="1" applyBorder="1" applyAlignment="1">
      <alignment horizontal="left" vertical="top"/>
    </xf>
    <xf numFmtId="0" fontId="5" fillId="5" borderId="70" xfId="0" quotePrefix="1" applyFont="1" applyFill="1" applyBorder="1" applyAlignment="1">
      <alignment horizontal="left" vertical="top" indent="1"/>
    </xf>
    <xf numFmtId="174" fontId="6" fillId="14" borderId="14" xfId="0" applyNumberFormat="1" applyFont="1" applyFill="1" applyBorder="1" applyAlignment="1" applyProtection="1">
      <alignment vertical="center"/>
      <protection locked="0"/>
    </xf>
    <xf numFmtId="174" fontId="6" fillId="14" borderId="14" xfId="0" applyNumberFormat="1" applyFont="1" applyFill="1" applyBorder="1" applyAlignment="1">
      <alignment vertical="center"/>
    </xf>
    <xf numFmtId="174" fontId="6" fillId="14" borderId="12" xfId="0" applyNumberFormat="1" applyFont="1" applyFill="1" applyBorder="1" applyAlignment="1">
      <alignment vertical="center"/>
    </xf>
    <xf numFmtId="0" fontId="6" fillId="20" borderId="11" xfId="0" applyFont="1" applyFill="1" applyBorder="1"/>
    <xf numFmtId="0" fontId="59" fillId="20" borderId="11" xfId="0" applyFont="1" applyFill="1" applyBorder="1"/>
    <xf numFmtId="0" fontId="4" fillId="17" borderId="65" xfId="0" applyFont="1" applyFill="1" applyBorder="1"/>
    <xf numFmtId="0" fontId="4" fillId="17" borderId="65" xfId="0" applyFont="1" applyFill="1" applyBorder="1" applyAlignment="1">
      <alignment horizontal="center"/>
    </xf>
    <xf numFmtId="175" fontId="86" fillId="5" borderId="0" xfId="0" applyNumberFormat="1" applyFont="1" applyFill="1" applyAlignment="1">
      <alignment horizontal="right"/>
    </xf>
    <xf numFmtId="0" fontId="17" fillId="6" borderId="53" xfId="0" applyFont="1" applyFill="1" applyBorder="1" applyAlignment="1">
      <alignment horizontal="center" vertical="center"/>
    </xf>
    <xf numFmtId="0" fontId="0" fillId="0" borderId="34" xfId="0" applyBorder="1"/>
    <xf numFmtId="0" fontId="53" fillId="0" borderId="35" xfId="0" applyFont="1" applyBorder="1" applyAlignment="1" applyProtection="1">
      <alignment horizontal="left"/>
      <protection locked="0"/>
    </xf>
    <xf numFmtId="0" fontId="0" fillId="0" borderId="35" xfId="0" applyBorder="1" applyAlignment="1" applyProtection="1">
      <alignment horizontal="left"/>
      <protection locked="0"/>
    </xf>
    <xf numFmtId="0" fontId="6" fillId="5" borderId="53" xfId="0" applyFont="1" applyFill="1" applyBorder="1" applyAlignment="1">
      <alignment horizontal="center" vertical="center" wrapText="1"/>
    </xf>
    <xf numFmtId="0" fontId="6" fillId="5" borderId="34" xfId="0" applyFont="1" applyFill="1" applyBorder="1" applyAlignment="1">
      <alignment horizontal="center" vertical="center" wrapText="1"/>
    </xf>
    <xf numFmtId="0" fontId="6" fillId="14" borderId="13"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10" fillId="6" borderId="53" xfId="0" applyFont="1" applyFill="1" applyBorder="1" applyAlignment="1">
      <alignment horizontal="center" vertical="center" wrapText="1"/>
    </xf>
    <xf numFmtId="0" fontId="10" fillId="6" borderId="34" xfId="0" applyFont="1" applyFill="1" applyBorder="1" applyAlignment="1">
      <alignment horizontal="center" vertical="center" wrapText="1"/>
    </xf>
    <xf numFmtId="0" fontId="5" fillId="5" borderId="0" xfId="0" applyFont="1" applyFill="1" applyAlignment="1">
      <alignment horizontal="left" vertical="top" wrapText="1"/>
    </xf>
    <xf numFmtId="0" fontId="17" fillId="6" borderId="34" xfId="0" applyFont="1" applyFill="1" applyBorder="1" applyAlignment="1">
      <alignment horizontal="center" vertical="center"/>
    </xf>
    <xf numFmtId="0" fontId="5" fillId="13" borderId="50" xfId="0" applyFont="1" applyFill="1" applyBorder="1" applyAlignment="1">
      <alignment horizontal="center" vertical="center" wrapText="1"/>
    </xf>
    <xf numFmtId="0" fontId="5" fillId="13" borderId="94"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18" xfId="0" applyFont="1" applyFill="1" applyBorder="1" applyAlignment="1">
      <alignment horizontal="center" vertical="center" wrapText="1"/>
    </xf>
    <xf numFmtId="0" fontId="5" fillId="13" borderId="35" xfId="0" applyFont="1" applyFill="1" applyBorder="1" applyAlignment="1">
      <alignment horizontal="center" vertical="center" wrapText="1"/>
    </xf>
    <xf numFmtId="0" fontId="13" fillId="6" borderId="53" xfId="0" applyFont="1" applyFill="1" applyBorder="1" applyAlignment="1">
      <alignment horizontal="center" vertical="center" wrapText="1"/>
    </xf>
    <xf numFmtId="0" fontId="13" fillId="6" borderId="34" xfId="0" applyFont="1" applyFill="1" applyBorder="1" applyAlignment="1">
      <alignment horizontal="center" vertical="center" wrapText="1"/>
    </xf>
    <xf numFmtId="0" fontId="5" fillId="5" borderId="47" xfId="0" applyFont="1" applyFill="1" applyBorder="1" applyAlignment="1">
      <alignment horizontal="center" vertical="center" wrapText="1"/>
    </xf>
    <xf numFmtId="0" fontId="5" fillId="5" borderId="67"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5" borderId="95" xfId="0" applyFont="1" applyFill="1" applyBorder="1" applyAlignment="1">
      <alignment horizontal="center" vertical="center" wrapText="1"/>
    </xf>
    <xf numFmtId="0" fontId="5" fillId="5" borderId="43" xfId="0" applyFont="1" applyFill="1" applyBorder="1" applyAlignment="1">
      <alignment horizontal="center" vertical="center" wrapText="1"/>
    </xf>
    <xf numFmtId="0" fontId="5" fillId="5" borderId="44" xfId="0" applyFont="1" applyFill="1" applyBorder="1" applyAlignment="1">
      <alignment horizontal="center" vertical="center" wrapText="1"/>
    </xf>
    <xf numFmtId="0" fontId="5" fillId="5" borderId="33" xfId="0" applyFont="1" applyFill="1" applyBorder="1" applyAlignment="1">
      <alignment horizontal="center" vertical="center" wrapText="1"/>
    </xf>
    <xf numFmtId="0" fontId="40" fillId="5" borderId="0" xfId="0" applyFont="1" applyFill="1" applyAlignment="1">
      <alignment horizontal="left" vertical="center" wrapText="1"/>
    </xf>
    <xf numFmtId="0" fontId="15" fillId="5" borderId="0" xfId="0" applyFont="1" applyFill="1" applyAlignment="1">
      <alignment horizontal="left" vertical="center" wrapText="1"/>
    </xf>
    <xf numFmtId="0" fontId="40" fillId="5" borderId="0" xfId="0" applyFont="1" applyFill="1" applyAlignment="1">
      <alignment vertical="center" wrapText="1"/>
    </xf>
    <xf numFmtId="0" fontId="83" fillId="5" borderId="0" xfId="0" applyFont="1" applyFill="1" applyAlignment="1">
      <alignment vertical="center" wrapText="1"/>
    </xf>
    <xf numFmtId="0" fontId="5" fillId="13" borderId="102" xfId="0" applyFont="1" applyFill="1" applyBorder="1" applyAlignment="1">
      <alignment horizontal="center" vertical="center" wrapText="1"/>
    </xf>
    <xf numFmtId="0" fontId="5" fillId="5" borderId="101" xfId="0" applyFont="1" applyFill="1" applyBorder="1" applyAlignment="1">
      <alignment horizontal="center" vertical="center" wrapText="1"/>
    </xf>
    <xf numFmtId="0" fontId="13" fillId="6" borderId="69" xfId="0" applyFont="1" applyFill="1" applyBorder="1" applyAlignment="1">
      <alignment horizontal="center" vertical="center" wrapText="1"/>
    </xf>
    <xf numFmtId="0" fontId="5" fillId="5" borderId="100"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17" fillId="6" borderId="53" xfId="0" applyFont="1" applyFill="1" applyBorder="1" applyAlignment="1">
      <alignment horizontal="center" vertical="center" wrapText="1"/>
    </xf>
    <xf numFmtId="0" fontId="17" fillId="6" borderId="34" xfId="0" applyFont="1" applyFill="1" applyBorder="1" applyAlignment="1">
      <alignment horizontal="center" vertical="center" wrapText="1"/>
    </xf>
    <xf numFmtId="0" fontId="5" fillId="5" borderId="103" xfId="0" applyFont="1" applyFill="1" applyBorder="1" applyAlignment="1">
      <alignment horizontal="center" vertical="center" wrapText="1"/>
    </xf>
    <xf numFmtId="0" fontId="5" fillId="13" borderId="3" xfId="0" applyFont="1" applyFill="1" applyBorder="1" applyAlignment="1">
      <alignment horizontal="center" vertical="center" wrapText="1"/>
    </xf>
    <xf numFmtId="0" fontId="5" fillId="5" borderId="69" xfId="0" applyFont="1" applyFill="1" applyBorder="1" applyAlignment="1">
      <alignment horizontal="center" vertical="center" wrapText="1"/>
    </xf>
    <xf numFmtId="0" fontId="13" fillId="6" borderId="84" xfId="0" applyFont="1" applyFill="1" applyBorder="1" applyAlignment="1">
      <alignment horizontal="center" vertical="center" wrapText="1"/>
    </xf>
    <xf numFmtId="0" fontId="13" fillId="6" borderId="82" xfId="0" applyFont="1" applyFill="1" applyBorder="1" applyAlignment="1">
      <alignment horizontal="center" vertical="center" wrapText="1"/>
    </xf>
    <xf numFmtId="0" fontId="5" fillId="13" borderId="100" xfId="0" applyFont="1" applyFill="1" applyBorder="1" applyAlignment="1">
      <alignment horizontal="center" vertical="center" wrapText="1"/>
    </xf>
    <xf numFmtId="0" fontId="13" fillId="6" borderId="100" xfId="0" applyFont="1" applyFill="1" applyBorder="1" applyAlignment="1">
      <alignment horizontal="center" vertical="center" wrapText="1"/>
    </xf>
    <xf numFmtId="0" fontId="13" fillId="6" borderId="12" xfId="0" applyFont="1" applyFill="1" applyBorder="1" applyAlignment="1">
      <alignment horizontal="center" vertical="center" wrapText="1"/>
    </xf>
    <xf numFmtId="0" fontId="6" fillId="14" borderId="34"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43" fillId="6" borderId="53" xfId="0" applyFont="1" applyFill="1" applyBorder="1" applyAlignment="1">
      <alignment horizontal="center"/>
    </xf>
    <xf numFmtId="0" fontId="43" fillId="6" borderId="34" xfId="0" applyFont="1" applyFill="1" applyBorder="1" applyAlignment="1">
      <alignment horizontal="center"/>
    </xf>
    <xf numFmtId="0" fontId="80" fillId="16" borderId="0" xfId="0" applyFont="1" applyFill="1" applyAlignment="1">
      <alignment horizontal="center" vertical="center"/>
    </xf>
    <xf numFmtId="0" fontId="6" fillId="16" borderId="44" xfId="0" applyFont="1" applyFill="1" applyBorder="1" applyAlignment="1">
      <alignment horizontal="center" vertical="center" wrapText="1"/>
    </xf>
    <xf numFmtId="0" fontId="6" fillId="16" borderId="33" xfId="0" applyFont="1" applyFill="1" applyBorder="1" applyAlignment="1">
      <alignment horizontal="center" vertical="center" wrapText="1"/>
    </xf>
    <xf numFmtId="0" fontId="6" fillId="16" borderId="53" xfId="0" applyFont="1" applyFill="1" applyBorder="1" applyAlignment="1">
      <alignment horizontal="center" vertical="center" wrapText="1"/>
    </xf>
    <xf numFmtId="0" fontId="6" fillId="16" borderId="34" xfId="0" applyFont="1" applyFill="1" applyBorder="1" applyAlignment="1">
      <alignment horizontal="center" vertical="center" wrapText="1"/>
    </xf>
    <xf numFmtId="0" fontId="6" fillId="13" borderId="13" xfId="0" applyFont="1" applyFill="1" applyBorder="1" applyAlignment="1">
      <alignment horizontal="center" vertical="center" wrapText="1"/>
    </xf>
    <xf numFmtId="0" fontId="6" fillId="13" borderId="34" xfId="0" applyFont="1" applyFill="1" applyBorder="1" applyAlignment="1">
      <alignment horizontal="center" vertical="center" wrapText="1"/>
    </xf>
    <xf numFmtId="0" fontId="5" fillId="16" borderId="13" xfId="0" applyFont="1" applyFill="1" applyBorder="1" applyAlignment="1">
      <alignment horizontal="center" vertical="center" wrapText="1"/>
    </xf>
    <xf numFmtId="0" fontId="5" fillId="16" borderId="12" xfId="0" applyFont="1" applyFill="1" applyBorder="1" applyAlignment="1">
      <alignment horizontal="center" vertical="center" wrapText="1"/>
    </xf>
    <xf numFmtId="0" fontId="5" fillId="16" borderId="95" xfId="0" applyFont="1" applyFill="1" applyBorder="1" applyAlignment="1">
      <alignment horizontal="center" vertical="center" wrapText="1"/>
    </xf>
    <xf numFmtId="0" fontId="5" fillId="16" borderId="43" xfId="0" applyFont="1" applyFill="1" applyBorder="1" applyAlignment="1">
      <alignment horizontal="center" vertical="center" wrapText="1"/>
    </xf>
    <xf numFmtId="0" fontId="5" fillId="16" borderId="53" xfId="0" applyFont="1" applyFill="1" applyBorder="1" applyAlignment="1">
      <alignment horizontal="center" vertical="center" wrapText="1"/>
    </xf>
    <xf numFmtId="0" fontId="5" fillId="16" borderId="34" xfId="0" applyFont="1" applyFill="1" applyBorder="1" applyAlignment="1">
      <alignment horizontal="center" vertical="center" wrapText="1"/>
    </xf>
    <xf numFmtId="0" fontId="5" fillId="16" borderId="47" xfId="0" applyFont="1" applyFill="1" applyBorder="1" applyAlignment="1">
      <alignment horizontal="center" vertical="center" wrapText="1"/>
    </xf>
    <xf numFmtId="0" fontId="5" fillId="16" borderId="67" xfId="0" applyFont="1" applyFill="1" applyBorder="1" applyAlignment="1">
      <alignment horizontal="center" vertical="center" wrapText="1"/>
    </xf>
    <xf numFmtId="2" fontId="6" fillId="13" borderId="14" xfId="0" applyNumberFormat="1" applyFont="1" applyFill="1" applyBorder="1" applyAlignment="1" applyProtection="1">
      <alignment horizontal="center"/>
      <protection locked="0"/>
    </xf>
    <xf numFmtId="2" fontId="6" fillId="13" borderId="17" xfId="0" applyNumberFormat="1" applyFont="1" applyFill="1" applyBorder="1" applyAlignment="1" applyProtection="1">
      <alignment horizontal="center"/>
      <protection locked="0"/>
    </xf>
    <xf numFmtId="2" fontId="6" fillId="13" borderId="10" xfId="0" applyNumberFormat="1" applyFont="1" applyFill="1" applyBorder="1" applyAlignment="1" applyProtection="1">
      <alignment horizontal="center"/>
      <protection locked="0"/>
    </xf>
    <xf numFmtId="0" fontId="16" fillId="6" borderId="95" xfId="0" applyFont="1" applyFill="1" applyBorder="1" applyAlignment="1">
      <alignment horizontal="center" vertical="center" wrapText="1"/>
    </xf>
    <xf numFmtId="0" fontId="16" fillId="6" borderId="43" xfId="0" applyFont="1" applyFill="1" applyBorder="1" applyAlignment="1">
      <alignment horizontal="center" vertical="center" wrapText="1"/>
    </xf>
    <xf numFmtId="0" fontId="17" fillId="16" borderId="0" xfId="17" applyFont="1" applyFill="1" applyAlignment="1">
      <alignment horizontal="center"/>
    </xf>
    <xf numFmtId="0" fontId="4" fillId="16" borderId="45" xfId="17" applyFill="1" applyBorder="1"/>
    <xf numFmtId="0" fontId="4" fillId="16" borderId="0" xfId="17" applyFill="1"/>
    <xf numFmtId="49" fontId="71" fillId="16" borderId="5" xfId="17" applyNumberFormat="1" applyFont="1" applyFill="1" applyBorder="1" applyAlignment="1">
      <alignment horizontal="center"/>
    </xf>
    <xf numFmtId="49" fontId="71" fillId="16" borderId="7" xfId="17" applyNumberFormat="1" applyFont="1" applyFill="1" applyBorder="1" applyAlignment="1">
      <alignment horizontal="center"/>
    </xf>
    <xf numFmtId="0" fontId="4" fillId="16" borderId="8" xfId="17" applyFill="1" applyBorder="1"/>
    <xf numFmtId="0" fontId="4" fillId="16" borderId="76" xfId="17" applyFill="1" applyBorder="1"/>
    <xf numFmtId="49" fontId="45" fillId="16" borderId="2" xfId="17" applyNumberFormat="1" applyFont="1" applyFill="1" applyBorder="1" applyAlignment="1">
      <alignment horizontal="center" wrapText="1"/>
    </xf>
    <xf numFmtId="49" fontId="4" fillId="16" borderId="3" xfId="17" applyNumberFormat="1" applyFill="1" applyBorder="1" applyAlignment="1">
      <alignment horizontal="center"/>
    </xf>
    <xf numFmtId="49" fontId="4" fillId="16" borderId="7" xfId="17" applyNumberFormat="1" applyFill="1" applyBorder="1" applyAlignment="1">
      <alignment horizontal="center"/>
    </xf>
    <xf numFmtId="49" fontId="4" fillId="16" borderId="8" xfId="17" applyNumberFormat="1" applyFill="1" applyBorder="1" applyAlignment="1">
      <alignment horizontal="center"/>
    </xf>
    <xf numFmtId="0" fontId="17" fillId="16" borderId="5" xfId="17" applyFont="1" applyFill="1" applyBorder="1" applyAlignment="1">
      <alignment horizontal="center"/>
    </xf>
    <xf numFmtId="0" fontId="4" fillId="16" borderId="0" xfId="17" applyFill="1" applyAlignment="1">
      <alignment horizontal="center"/>
    </xf>
    <xf numFmtId="0" fontId="4" fillId="16" borderId="45" xfId="17" applyFill="1" applyBorder="1" applyAlignment="1">
      <alignment horizontal="center"/>
    </xf>
    <xf numFmtId="49" fontId="45" fillId="16" borderId="2" xfId="17" applyNumberFormat="1" applyFont="1" applyFill="1" applyBorder="1" applyAlignment="1">
      <alignment horizontal="center"/>
    </xf>
    <xf numFmtId="0" fontId="4" fillId="16" borderId="3" xfId="17" applyFill="1" applyBorder="1"/>
    <xf numFmtId="0" fontId="4" fillId="16" borderId="85" xfId="17" applyFill="1" applyBorder="1"/>
    <xf numFmtId="0" fontId="84" fillId="16" borderId="0" xfId="17" applyFont="1" applyFill="1" applyAlignment="1">
      <alignment horizontal="center"/>
    </xf>
    <xf numFmtId="49" fontId="17" fillId="16" borderId="7" xfId="17" applyNumberFormat="1" applyFont="1" applyFill="1" applyBorder="1" applyAlignment="1">
      <alignment horizontal="center"/>
    </xf>
    <xf numFmtId="0" fontId="4" fillId="0" borderId="8" xfId="27" applyBorder="1"/>
    <xf numFmtId="0" fontId="4" fillId="0" borderId="76" xfId="27" applyBorder="1"/>
    <xf numFmtId="0" fontId="45" fillId="16" borderId="2" xfId="17" applyFont="1" applyFill="1" applyBorder="1" applyAlignment="1">
      <alignment horizontal="center"/>
    </xf>
    <xf numFmtId="0" fontId="4" fillId="0" borderId="3" xfId="27" applyBorder="1"/>
    <xf numFmtId="0" fontId="4" fillId="0" borderId="85" xfId="27" applyBorder="1"/>
    <xf numFmtId="0" fontId="6" fillId="16" borderId="0" xfId="17" applyFont="1" applyFill="1" applyAlignment="1">
      <alignment horizontal="left"/>
    </xf>
    <xf numFmtId="0" fontId="4" fillId="0" borderId="45" xfId="27" applyBorder="1"/>
    <xf numFmtId="49" fontId="17" fillId="16" borderId="5" xfId="17" applyNumberFormat="1" applyFont="1" applyFill="1" applyBorder="1" applyAlignment="1">
      <alignment horizontal="center" vertical="center"/>
    </xf>
    <xf numFmtId="0" fontId="4" fillId="16" borderId="0" xfId="17" applyFill="1" applyAlignment="1">
      <alignment horizontal="center" vertical="center"/>
    </xf>
    <xf numFmtId="0" fontId="4" fillId="16" borderId="45" xfId="17" applyFill="1" applyBorder="1" applyAlignment="1">
      <alignment horizontal="center" vertical="center"/>
    </xf>
    <xf numFmtId="49" fontId="17" fillId="16" borderId="0" xfId="17" applyNumberFormat="1" applyFont="1" applyFill="1" applyAlignment="1">
      <alignment horizontal="center"/>
    </xf>
    <xf numFmtId="0" fontId="4" fillId="0" borderId="0" xfId="27"/>
    <xf numFmtId="0" fontId="4" fillId="16" borderId="0" xfId="17" applyFill="1" applyAlignment="1">
      <alignment vertical="center"/>
    </xf>
    <xf numFmtId="0" fontId="4" fillId="16" borderId="45" xfId="17" applyFill="1" applyBorder="1" applyAlignment="1">
      <alignment vertical="center"/>
    </xf>
    <xf numFmtId="0" fontId="4" fillId="0" borderId="0" xfId="27" applyAlignment="1">
      <alignment horizontal="center"/>
    </xf>
    <xf numFmtId="0" fontId="17" fillId="16" borderId="7" xfId="17" applyFont="1" applyFill="1" applyBorder="1" applyAlignment="1">
      <alignment horizontal="center"/>
    </xf>
    <xf numFmtId="0" fontId="72" fillId="16" borderId="0" xfId="17" applyFont="1" applyFill="1" applyAlignment="1">
      <alignment horizontal="center"/>
    </xf>
    <xf numFmtId="0" fontId="4" fillId="0" borderId="8" xfId="27" applyBorder="1" applyAlignment="1">
      <alignment horizontal="center"/>
    </xf>
    <xf numFmtId="0" fontId="4" fillId="0" borderId="76" xfId="27" applyBorder="1" applyAlignment="1">
      <alignment horizontal="center"/>
    </xf>
    <xf numFmtId="0" fontId="6" fillId="13" borderId="12" xfId="0" applyFont="1" applyFill="1" applyBorder="1" applyAlignment="1">
      <alignment horizontal="center" vertical="center" wrapText="1"/>
    </xf>
    <xf numFmtId="0" fontId="0" fillId="0" borderId="0" xfId="0"/>
    <xf numFmtId="0" fontId="13" fillId="6" borderId="13" xfId="0" applyFont="1" applyFill="1" applyBorder="1" applyAlignment="1">
      <alignment horizontal="center" vertical="center" wrapText="1"/>
    </xf>
  </cellXfs>
  <cellStyles count="29">
    <cellStyle name="Comma 2" xfId="1" xr:uid="{00000000-0005-0000-0000-000000000000}"/>
    <cellStyle name="Comma 2 2" xfId="2" xr:uid="{00000000-0005-0000-0000-000001000000}"/>
    <cellStyle name="Cover" xfId="3" xr:uid="{00000000-0005-0000-0000-000002000000}"/>
    <cellStyle name="Menu" xfId="4" xr:uid="{00000000-0005-0000-0000-000003000000}"/>
    <cellStyle name="Menu 2" xfId="5" xr:uid="{00000000-0005-0000-0000-000004000000}"/>
    <cellStyle name="Menu 2 2" xfId="6" xr:uid="{00000000-0005-0000-0000-000005000000}"/>
    <cellStyle name="Milliers [0]_ElecTimeSeries" xfId="7" xr:uid="{00000000-0005-0000-0000-000006000000}"/>
    <cellStyle name="Milliers_ElecTimeSeries" xfId="8" xr:uid="{00000000-0005-0000-0000-000007000000}"/>
    <cellStyle name="Monétaire [0]_ElecTimeSeries" xfId="9" xr:uid="{00000000-0005-0000-0000-000008000000}"/>
    <cellStyle name="Monétaire_ElecTimeSeries" xfId="10" xr:uid="{00000000-0005-0000-0000-000009000000}"/>
    <cellStyle name="Normal 10 2 2 2 2" xfId="28" xr:uid="{00000000-0005-0000-0000-00000B000000}"/>
    <cellStyle name="Normal 10 2 2 5 2" xfId="25" xr:uid="{00000000-0005-0000-0000-00000C000000}"/>
    <cellStyle name="Normal 10 2 6" xfId="27" xr:uid="{00000000-0005-0000-0000-00000D000000}"/>
    <cellStyle name="Normal 2" xfId="11" xr:uid="{00000000-0005-0000-0000-00000E000000}"/>
    <cellStyle name="Normal 2 2" xfId="12" xr:uid="{00000000-0005-0000-0000-00000F000000}"/>
    <cellStyle name="Normal 2 2 2" xfId="24" xr:uid="{00000000-0005-0000-0000-000010000000}"/>
    <cellStyle name="Normal 2 3" xfId="13" xr:uid="{00000000-0005-0000-0000-000011000000}"/>
    <cellStyle name="Normal 3" xfId="14" xr:uid="{00000000-0005-0000-0000-000012000000}"/>
    <cellStyle name="Normal 3 2" xfId="15" xr:uid="{00000000-0005-0000-0000-000013000000}"/>
    <cellStyle name="Normal 4" xfId="16" xr:uid="{00000000-0005-0000-0000-000014000000}"/>
    <cellStyle name="Normal 5" xfId="17" xr:uid="{00000000-0005-0000-0000-000015000000}"/>
    <cellStyle name="Normal 6" xfId="18" xr:uid="{00000000-0005-0000-0000-000016000000}"/>
    <cellStyle name="Normal 6 2" xfId="19" xr:uid="{00000000-0005-0000-0000-000017000000}"/>
    <cellStyle name="Normal 7" xfId="20" xr:uid="{00000000-0005-0000-0000-000018000000}"/>
    <cellStyle name="Normal 8" xfId="21" xr:uid="{00000000-0005-0000-0000-000019000000}"/>
    <cellStyle name="Normal_BAL" xfId="26" xr:uid="{00000000-0005-0000-0000-00001A000000}"/>
    <cellStyle name="Normal_OilQues" xfId="22" xr:uid="{00000000-0005-0000-0000-00001B000000}"/>
    <cellStyle name="Standaard" xfId="0" builtinId="0"/>
    <cellStyle name="Year" xfId="23" xr:uid="{00000000-0005-0000-0000-00001C000000}"/>
  </cellStyles>
  <dxfs count="1179">
    <dxf>
      <fill>
        <patternFill>
          <bgColor rgb="FFFF0000"/>
        </patternFill>
      </fill>
    </dxf>
    <dxf>
      <font>
        <b/>
        <i val="0"/>
        <color rgb="FFFF0000"/>
      </font>
    </dxf>
    <dxf>
      <font>
        <b/>
        <i val="0"/>
        <condense val="0"/>
        <extend val="0"/>
        <color auto="1"/>
      </font>
    </dxf>
    <dxf>
      <fill>
        <patternFill>
          <bgColor rgb="FFFF0000"/>
        </patternFill>
      </fill>
    </dxf>
    <dxf>
      <fill>
        <patternFill>
          <bgColor rgb="FFFF0000"/>
        </patternFill>
      </fill>
    </dxf>
    <dxf>
      <font>
        <b/>
        <i val="0"/>
        <color rgb="FFFF0000"/>
      </font>
    </dxf>
    <dxf>
      <font>
        <b/>
        <i val="0"/>
        <condense val="0"/>
        <extend val="0"/>
        <color auto="1"/>
      </font>
    </dxf>
    <dxf>
      <fill>
        <patternFill>
          <bgColor rgb="FFFF0000"/>
        </patternFill>
      </fill>
    </dxf>
    <dxf>
      <font>
        <b/>
        <i val="0"/>
        <condense val="0"/>
        <extend val="0"/>
        <color indexed="10"/>
      </font>
    </dxf>
    <dxf>
      <font>
        <b/>
        <i val="0"/>
        <condense val="0"/>
        <extend val="0"/>
        <color auto="1"/>
      </font>
    </dxf>
    <dxf>
      <fill>
        <patternFill>
          <bgColor rgb="FFFF0000"/>
        </patternFill>
      </fill>
    </dxf>
    <dxf>
      <fill>
        <patternFill>
          <bgColor rgb="FFFF0000"/>
        </patternFill>
      </fill>
    </dxf>
    <dxf>
      <font>
        <b/>
        <i val="0"/>
        <condense val="0"/>
        <extend val="0"/>
        <color indexed="10"/>
      </font>
    </dxf>
    <dxf>
      <font>
        <b/>
        <i val="0"/>
        <condense val="0"/>
        <extend val="0"/>
        <color indexed="1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ont>
        <b/>
        <i val="0"/>
      </font>
    </dxf>
    <dxf>
      <font>
        <b/>
        <i val="0"/>
        <color rgb="FFFF0000"/>
      </font>
    </dxf>
    <dxf>
      <font>
        <b/>
        <i val="0"/>
        <color rgb="FFFF0000"/>
      </font>
    </dxf>
    <dxf>
      <font>
        <b/>
        <i val="0"/>
      </font>
    </dxf>
    <dxf>
      <font>
        <b/>
        <i val="0"/>
      </font>
    </dxf>
    <dxf>
      <font>
        <b/>
        <i val="0"/>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ont>
        <b/>
        <i val="0"/>
      </font>
    </dxf>
    <dxf>
      <font>
        <b/>
        <i val="0"/>
        <color rgb="FFFF0000"/>
      </font>
    </dxf>
    <dxf>
      <font>
        <b/>
        <i val="0"/>
        <color rgb="FFFF0000"/>
      </font>
    </dxf>
    <dxf>
      <font>
        <b/>
        <i val="0"/>
      </font>
    </dxf>
    <dxf>
      <font>
        <b/>
        <i val="0"/>
      </font>
    </dxf>
    <dxf>
      <font>
        <b/>
        <i val="0"/>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ont>
        <b/>
        <i val="0"/>
      </font>
    </dxf>
    <dxf>
      <font>
        <b/>
        <i val="0"/>
        <color rgb="FFFF0000"/>
      </font>
    </dxf>
    <dxf>
      <font>
        <b/>
        <i val="0"/>
        <color rgb="FFFF0000"/>
      </font>
    </dxf>
    <dxf>
      <font>
        <b/>
        <i val="0"/>
      </font>
    </dxf>
    <dxf>
      <font>
        <b/>
        <i val="0"/>
      </font>
    </dxf>
    <dxf>
      <font>
        <b/>
        <i val="0"/>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ont>
        <b/>
        <i val="0"/>
      </font>
    </dxf>
    <dxf>
      <font>
        <b/>
        <i val="0"/>
        <color rgb="FFFF0000"/>
      </font>
    </dxf>
    <dxf>
      <font>
        <b/>
        <i val="0"/>
        <color rgb="FFFF0000"/>
      </font>
    </dxf>
    <dxf>
      <font>
        <b/>
        <i val="0"/>
      </font>
    </dxf>
    <dxf>
      <font>
        <b/>
        <i val="0"/>
      </font>
    </dxf>
    <dxf>
      <font>
        <b/>
        <i val="0"/>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ont>
        <b/>
        <i val="0"/>
      </font>
    </dxf>
    <dxf>
      <font>
        <b/>
        <i val="0"/>
        <color rgb="FFFF0000"/>
      </font>
    </dxf>
    <dxf>
      <font>
        <b/>
        <i val="0"/>
        <color rgb="FFFF0000"/>
      </font>
    </dxf>
    <dxf>
      <font>
        <b/>
        <i val="0"/>
      </font>
    </dxf>
    <dxf>
      <font>
        <b/>
        <i val="0"/>
      </font>
    </dxf>
    <dxf>
      <font>
        <b/>
        <i val="0"/>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ont>
        <b/>
        <i val="0"/>
      </font>
    </dxf>
    <dxf>
      <font>
        <b/>
        <i val="0"/>
        <color rgb="FFFF0000"/>
      </font>
    </dxf>
    <dxf>
      <font>
        <b/>
        <i val="0"/>
        <color rgb="FFFF0000"/>
      </font>
    </dxf>
    <dxf>
      <font>
        <b/>
        <i val="0"/>
      </font>
    </dxf>
    <dxf>
      <font>
        <b/>
        <i val="0"/>
      </font>
    </dxf>
    <dxf>
      <font>
        <b/>
        <i val="0"/>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ont>
        <b/>
        <i val="0"/>
      </font>
    </dxf>
    <dxf>
      <font>
        <b/>
        <i val="0"/>
        <color rgb="FFFF0000"/>
      </font>
    </dxf>
    <dxf>
      <font>
        <b/>
        <i val="0"/>
        <color rgb="FFFF0000"/>
      </font>
    </dxf>
    <dxf>
      <font>
        <b/>
        <i val="0"/>
      </font>
    </dxf>
    <dxf>
      <font>
        <b/>
        <i val="0"/>
      </font>
    </dxf>
    <dxf>
      <font>
        <b/>
        <i val="0"/>
        <color rgb="FFFF0000"/>
      </font>
    </dxf>
    <dxf>
      <fill>
        <patternFill>
          <bgColor rgb="FFFF0000"/>
        </patternFill>
      </fill>
    </dxf>
    <dxf>
      <fill>
        <patternFill>
          <bgColor rgb="FFFF0000"/>
        </patternFill>
      </fill>
    </dxf>
    <dxf>
      <font>
        <b/>
        <i val="0"/>
        <color rgb="FFFF0000"/>
      </font>
    </dxf>
    <dxf>
      <font>
        <b/>
        <i val="0"/>
      </font>
    </dxf>
    <dxf>
      <font>
        <b/>
        <i val="0"/>
        <color rgb="FFFF0000"/>
      </font>
    </dxf>
    <dxf>
      <font>
        <b/>
        <i val="0"/>
      </font>
    </dxf>
    <dxf>
      <font>
        <b/>
        <i val="0"/>
        <color auto="1"/>
      </font>
      <fill>
        <patternFill patternType="solid">
          <bgColor rgb="FFFF0000"/>
        </patternFill>
      </fill>
    </dxf>
    <dxf>
      <font>
        <b/>
        <i val="0"/>
        <color rgb="FFFF0000"/>
      </font>
    </dxf>
    <dxf>
      <fill>
        <patternFill>
          <bgColor rgb="FFFF0000"/>
        </patternFill>
      </fill>
    </dxf>
    <dxf>
      <font>
        <b/>
        <i val="0"/>
        <color rgb="FFFF0000"/>
      </font>
    </dxf>
    <dxf>
      <font>
        <b/>
        <i val="0"/>
      </font>
    </dxf>
    <dxf>
      <font>
        <b/>
        <i val="0"/>
        <color rgb="FFFF0000"/>
      </font>
    </dxf>
    <dxf>
      <font>
        <b/>
        <i val="0"/>
      </font>
    </dxf>
    <dxf>
      <font>
        <b/>
        <i val="0"/>
        <color rgb="FFFF0000"/>
      </font>
    </dxf>
    <dxf>
      <font>
        <b/>
        <i val="0"/>
      </font>
    </dxf>
    <dxf>
      <fill>
        <patternFill>
          <bgColor rgb="FFFF0000"/>
        </patternFill>
      </fill>
    </dxf>
    <dxf>
      <font>
        <b/>
        <i val="0"/>
        <color rgb="FFFF0000"/>
      </font>
    </dxf>
    <dxf>
      <font>
        <b/>
        <i val="0"/>
      </font>
    </dxf>
    <dxf>
      <font>
        <b/>
        <i val="0"/>
        <color rgb="FFFF0000"/>
      </font>
    </dxf>
    <dxf>
      <font>
        <b/>
        <i val="0"/>
      </font>
    </dxf>
    <dxf>
      <font>
        <b/>
        <i val="0"/>
      </font>
    </dxf>
    <dxf>
      <fill>
        <patternFill>
          <bgColor rgb="FFFF0000"/>
        </patternFill>
      </fill>
    </dxf>
    <dxf>
      <font>
        <b/>
        <i val="0"/>
        <color rgb="FFFF0000"/>
      </font>
    </dxf>
    <dxf>
      <font>
        <b/>
        <i val="0"/>
      </font>
    </dxf>
    <dxf>
      <font>
        <b/>
        <i val="0"/>
        <color rgb="FFFF0000"/>
      </font>
    </dxf>
    <dxf>
      <font>
        <b/>
        <i val="0"/>
      </font>
    </dxf>
    <dxf>
      <font>
        <b/>
        <i val="0"/>
      </font>
    </dxf>
    <dxf>
      <font>
        <b/>
        <i val="0"/>
        <color auto="1"/>
      </font>
      <fill>
        <patternFill patternType="solid">
          <bgColor rgb="FFFF0000"/>
        </patternFill>
      </fill>
    </dxf>
    <dxf>
      <fill>
        <patternFill>
          <bgColor rgb="FFFF0000"/>
        </patternFill>
      </fill>
    </dxf>
    <dxf>
      <font>
        <b/>
        <i val="0"/>
        <color rgb="FFFF0000"/>
      </font>
    </dxf>
    <dxf>
      <font>
        <b/>
        <i val="0"/>
      </font>
    </dxf>
    <dxf>
      <font>
        <b/>
        <i val="0"/>
        <color rgb="FFFF0000"/>
      </font>
    </dxf>
    <dxf>
      <font>
        <b/>
        <i val="0"/>
      </font>
    </dxf>
    <dxf>
      <font>
        <b/>
        <i val="0"/>
      </font>
    </dxf>
    <dxf>
      <font>
        <b/>
        <i val="0"/>
        <color rgb="FFFF0000"/>
      </font>
    </dxf>
    <dxf>
      <fill>
        <patternFill>
          <bgColor rgb="FFFF0000"/>
        </patternFill>
      </fill>
    </dxf>
    <dxf>
      <font>
        <b/>
        <i val="0"/>
        <color rgb="FFFF0000"/>
      </font>
    </dxf>
    <dxf>
      <font>
        <b/>
        <i val="0"/>
      </font>
    </dxf>
    <dxf>
      <font>
        <b/>
        <i val="0"/>
        <color rgb="FFFF0000"/>
      </font>
    </dxf>
    <dxf>
      <font>
        <b/>
        <i val="0"/>
      </font>
    </dxf>
    <dxf>
      <font>
        <b/>
        <i val="0"/>
      </font>
    </dxf>
    <dxf>
      <font>
        <b/>
        <i val="0"/>
        <color rgb="FFFF0000"/>
      </font>
    </dxf>
    <dxf>
      <font>
        <b/>
        <i val="0"/>
        <color rgb="FFFF0000"/>
      </font>
    </dxf>
    <dxf>
      <font>
        <b/>
        <i val="0"/>
      </font>
    </dxf>
    <dxf>
      <font>
        <b/>
        <i val="0"/>
        <color rgb="FFFF0000"/>
      </font>
    </dxf>
    <dxf>
      <font>
        <b/>
        <i val="0"/>
      </font>
    </dxf>
    <dxf>
      <font>
        <b/>
        <i val="0"/>
      </font>
    </dxf>
    <dxf>
      <font>
        <b/>
        <i val="0"/>
        <color rgb="FFFF0000"/>
      </font>
    </dxf>
    <dxf>
      <font>
        <b/>
        <i val="0"/>
        <color rgb="FFFF0000"/>
      </font>
    </dxf>
    <dxf>
      <fill>
        <patternFill>
          <bgColor rgb="FFFF0000"/>
        </patternFill>
      </fill>
    </dxf>
    <dxf>
      <font>
        <b/>
        <i val="0"/>
        <color rgb="FFFF0000"/>
      </font>
    </dxf>
    <dxf>
      <font>
        <b/>
        <i val="0"/>
      </font>
    </dxf>
    <dxf>
      <font>
        <b/>
        <i val="0"/>
        <color rgb="FFFF0000"/>
      </font>
    </dxf>
    <dxf>
      <font>
        <b/>
        <i val="0"/>
      </font>
    </dxf>
    <dxf>
      <font>
        <b/>
        <i val="0"/>
      </font>
    </dxf>
    <dxf>
      <font>
        <b/>
        <i val="0"/>
        <color rgb="FFFF0000"/>
      </font>
    </dxf>
    <dxf>
      <font>
        <color rgb="FFFF0000"/>
      </font>
    </dxf>
    <dxf>
      <font>
        <color auto="1"/>
      </font>
      <fill>
        <patternFill>
          <bgColor rgb="FFFF0000"/>
        </patternFill>
      </fill>
    </dxf>
    <dxf>
      <font>
        <b/>
        <i val="0"/>
        <color theme="1"/>
      </font>
      <fill>
        <patternFill>
          <bgColor rgb="FFFF0000"/>
        </patternFill>
      </fill>
    </dxf>
    <dxf>
      <font>
        <b/>
        <i val="0"/>
        <condense val="0"/>
        <extend val="0"/>
        <color indexed="10"/>
      </font>
    </dxf>
    <dxf>
      <font>
        <b/>
        <i val="0"/>
        <condense val="0"/>
        <extend val="0"/>
        <color auto="1"/>
      </font>
      <fill>
        <patternFill>
          <bgColor indexed="10"/>
        </patternFill>
      </fill>
    </dxf>
    <dxf>
      <font>
        <b/>
        <i val="0"/>
        <condense val="0"/>
        <extend val="0"/>
        <color indexed="10"/>
      </font>
    </dxf>
    <dxf>
      <fill>
        <patternFill>
          <bgColor rgb="FFFF0000"/>
        </patternFill>
      </fill>
    </dxf>
    <dxf>
      <font>
        <b/>
        <i val="0"/>
      </font>
    </dxf>
    <dxf>
      <font>
        <b/>
        <i val="0"/>
        <color rgb="FFFF0000"/>
      </font>
    </dxf>
    <dxf>
      <font>
        <b/>
        <i val="0"/>
      </font>
    </dxf>
    <dxf>
      <font>
        <b/>
        <i val="0"/>
        <color rgb="FFFF0000"/>
      </font>
    </dxf>
    <dxf>
      <font>
        <b/>
        <i val="0"/>
      </font>
    </dxf>
    <dxf>
      <font>
        <b/>
        <i val="0"/>
        <color rgb="FFFF0000"/>
      </font>
    </dxf>
    <dxf>
      <font>
        <b val="0"/>
        <i val="0"/>
      </font>
      <fill>
        <patternFill>
          <bgColor rgb="FFFF0000"/>
        </patternFill>
      </fill>
    </dxf>
    <dxf>
      <fill>
        <patternFill>
          <bgColor rgb="FFFF0000"/>
        </patternFill>
      </fill>
    </dxf>
    <dxf>
      <font>
        <b/>
        <i val="0"/>
        <color rgb="FFFF0000"/>
      </font>
    </dxf>
    <dxf>
      <font>
        <b/>
        <i val="0"/>
      </font>
    </dxf>
    <dxf>
      <font>
        <b/>
        <i val="0"/>
        <color rgb="FFFF0000"/>
      </font>
    </dxf>
    <dxf>
      <font>
        <b/>
        <i val="0"/>
      </font>
    </dxf>
    <dxf>
      <font>
        <b/>
        <i val="0"/>
        <color rgb="FFFF0000"/>
      </font>
    </dxf>
    <dxf>
      <font>
        <b/>
        <i val="0"/>
      </font>
    </dxf>
    <dxf>
      <font>
        <b/>
        <i val="0"/>
        <color rgb="FFFF0000"/>
      </font>
    </dxf>
    <dxf>
      <fill>
        <patternFill>
          <bgColor rgb="FFFF0000"/>
        </patternFill>
      </fill>
    </dxf>
    <dxf>
      <font>
        <b/>
        <i val="0"/>
        <color rgb="FFFF0000"/>
      </font>
    </dxf>
    <dxf>
      <font>
        <b/>
        <i val="0"/>
      </font>
    </dxf>
    <dxf>
      <font>
        <b/>
        <i val="0"/>
        <color rgb="FFFF0000"/>
      </font>
    </dxf>
    <dxf>
      <font>
        <b/>
        <i val="0"/>
      </font>
    </dxf>
    <dxf>
      <font>
        <b/>
        <i val="0"/>
      </font>
    </dxf>
    <dxf>
      <font>
        <b/>
        <i val="0"/>
        <color rgb="FFFF0000"/>
      </font>
    </dxf>
    <dxf>
      <font>
        <b/>
        <i val="0"/>
        <color rgb="FFFF0000"/>
      </font>
    </dxf>
    <dxf>
      <fill>
        <patternFill>
          <bgColor rgb="FFFF0000"/>
        </patternFill>
      </fill>
    </dxf>
    <dxf>
      <fill>
        <patternFill>
          <bgColor rgb="FFFF0000"/>
        </patternFill>
      </fill>
    </dxf>
    <dxf>
      <font>
        <b/>
        <i val="0"/>
        <color rgb="FFFF0000"/>
      </font>
    </dxf>
    <dxf>
      <font>
        <b/>
        <i val="0"/>
      </font>
    </dxf>
    <dxf>
      <font>
        <b/>
        <i val="0"/>
        <color rgb="FFFF0000"/>
      </font>
    </dxf>
    <dxf>
      <font>
        <b/>
        <i val="0"/>
      </font>
    </dxf>
    <dxf>
      <font>
        <b/>
        <i val="0"/>
        <condense val="0"/>
        <extend val="0"/>
        <color indexed="10"/>
      </font>
    </dxf>
    <dxf>
      <font>
        <b/>
        <i val="0"/>
        <condense val="0"/>
        <extend val="0"/>
        <color auto="1"/>
      </font>
    </dxf>
    <dxf>
      <font>
        <b/>
        <i val="0"/>
        <color auto="1"/>
      </font>
      <fill>
        <patternFill>
          <bgColor rgb="FFFF0000"/>
        </patternFill>
      </fill>
    </dxf>
    <dxf>
      <font>
        <b/>
        <i val="0"/>
        <condense val="0"/>
        <extend val="0"/>
        <color indexed="10"/>
      </font>
    </dxf>
    <dxf>
      <font>
        <b/>
        <i val="0"/>
        <condense val="0"/>
        <extend val="0"/>
        <color auto="1"/>
      </font>
      <fill>
        <patternFill>
          <bgColor indexed="10"/>
        </patternFill>
      </fill>
    </dxf>
    <dxf>
      <font>
        <b/>
        <i val="0"/>
        <color rgb="FFFF0000"/>
      </font>
    </dxf>
    <dxf>
      <font>
        <b/>
        <i val="0"/>
      </font>
    </dxf>
    <dxf>
      <font>
        <b/>
        <i val="0"/>
        <color rgb="FFFF0000"/>
      </font>
    </dxf>
    <dxf>
      <font>
        <b/>
        <i val="0"/>
        <color rgb="FFFF0000"/>
      </font>
    </dxf>
    <dxf>
      <font>
        <b/>
        <i val="0"/>
      </font>
    </dxf>
    <dxf>
      <font>
        <b/>
        <i val="0"/>
        <color rgb="FFFF0000"/>
      </font>
    </dxf>
    <dxf>
      <font>
        <b/>
        <i val="0"/>
      </font>
    </dxf>
    <dxf>
      <fill>
        <patternFill>
          <bgColor rgb="FFFF0000"/>
        </patternFill>
      </fill>
    </dxf>
    <dxf>
      <font>
        <b/>
        <i val="0"/>
        <color rgb="FFFF0000"/>
      </font>
    </dxf>
    <dxf>
      <font>
        <b/>
        <i val="0"/>
      </font>
    </dxf>
    <dxf>
      <font>
        <b/>
        <i val="0"/>
        <color rgb="FFFF0000"/>
      </font>
    </dxf>
    <dxf>
      <font>
        <b/>
        <i val="0"/>
        <color rgb="FFFF0000"/>
      </font>
    </dxf>
    <dxf>
      <font>
        <b/>
        <i val="0"/>
      </font>
    </dxf>
    <dxf>
      <font>
        <b/>
        <i val="0"/>
        <color rgb="FFFF0000"/>
      </font>
    </dxf>
    <dxf>
      <font>
        <b/>
        <i val="0"/>
      </font>
    </dxf>
    <dxf>
      <fill>
        <patternFill>
          <bgColor rgb="FFFF0000"/>
        </patternFill>
      </fill>
    </dxf>
    <dxf>
      <font>
        <b/>
        <i val="0"/>
        <color rgb="FFFF0000"/>
      </font>
    </dxf>
    <dxf>
      <font>
        <b/>
        <i val="0"/>
      </font>
    </dxf>
    <dxf>
      <font>
        <b/>
        <i val="0"/>
        <color rgb="FFFF0000"/>
      </font>
    </dxf>
    <dxf>
      <font>
        <b/>
        <i val="0"/>
        <color rgb="FFFF0000"/>
      </font>
    </dxf>
    <dxf>
      <font>
        <b/>
        <i val="0"/>
      </font>
    </dxf>
    <dxf>
      <font>
        <b/>
        <i val="0"/>
        <color rgb="FFFF0000"/>
      </font>
    </dxf>
    <dxf>
      <font>
        <b/>
        <i val="0"/>
      </font>
    </dxf>
    <dxf>
      <fill>
        <patternFill>
          <bgColor rgb="FFFF0000"/>
        </patternFill>
      </fill>
    </dxf>
    <dxf>
      <font>
        <b/>
        <i val="0"/>
        <color rgb="FFFF0000"/>
      </font>
    </dxf>
    <dxf>
      <font>
        <b/>
        <i val="0"/>
      </font>
    </dxf>
    <dxf>
      <font>
        <b/>
        <i val="0"/>
        <color rgb="FFFF0000"/>
      </font>
    </dxf>
    <dxf>
      <font>
        <b/>
        <i val="0"/>
        <color rgb="FFFF0000"/>
      </font>
    </dxf>
    <dxf>
      <font>
        <b/>
        <i val="0"/>
      </font>
    </dxf>
    <dxf>
      <font>
        <b/>
        <i val="0"/>
        <color rgb="FFFF0000"/>
      </font>
    </dxf>
    <dxf>
      <font>
        <b/>
        <i val="0"/>
      </font>
    </dxf>
    <dxf>
      <fill>
        <patternFill>
          <bgColor rgb="FFFF0000"/>
        </patternFill>
      </fill>
    </dxf>
    <dxf>
      <font>
        <b/>
        <i val="0"/>
        <color rgb="FFFF0000"/>
      </font>
    </dxf>
    <dxf>
      <font>
        <b/>
        <i val="0"/>
      </font>
    </dxf>
    <dxf>
      <font>
        <b/>
        <i val="0"/>
        <color rgb="FFFF0000"/>
      </font>
    </dxf>
    <dxf>
      <font>
        <b/>
        <i val="0"/>
        <color rgb="FFFF0000"/>
      </font>
    </dxf>
    <dxf>
      <font>
        <b/>
        <i val="0"/>
      </font>
    </dxf>
    <dxf>
      <font>
        <b/>
        <i val="0"/>
        <color rgb="FFFF0000"/>
      </font>
    </dxf>
    <dxf>
      <font>
        <b/>
        <i val="0"/>
      </font>
    </dxf>
    <dxf>
      <fill>
        <patternFill>
          <bgColor rgb="FFFF0000"/>
        </patternFill>
      </fill>
    </dxf>
    <dxf>
      <font>
        <b/>
        <i val="0"/>
        <color rgb="FFFF0000"/>
      </font>
    </dxf>
    <dxf>
      <font>
        <b/>
        <i val="0"/>
      </font>
    </dxf>
    <dxf>
      <fill>
        <patternFill>
          <bgColor rgb="FFFF0000"/>
        </patternFill>
      </fill>
    </dxf>
    <dxf>
      <font>
        <color rgb="FFFF0000"/>
      </font>
    </dxf>
    <dxf>
      <font>
        <b/>
        <i val="0"/>
        <color rgb="FFFF0000"/>
      </font>
    </dxf>
    <dxf>
      <font>
        <b/>
        <i val="0"/>
        <color rgb="FFFF0000"/>
      </font>
    </dxf>
    <dxf>
      <font>
        <b/>
        <i val="0"/>
      </font>
    </dxf>
    <dxf>
      <font>
        <b/>
        <i val="0"/>
        <color rgb="FFFF0000"/>
      </font>
    </dxf>
    <dxf>
      <font>
        <b/>
        <i val="0"/>
      </font>
    </dxf>
    <dxf>
      <fill>
        <patternFill>
          <bgColor rgb="FFFF0000"/>
        </patternFill>
      </fill>
    </dxf>
    <dxf>
      <font>
        <color auto="1"/>
      </font>
      <fill>
        <patternFill>
          <bgColor rgb="FFFF0000"/>
        </patternFill>
      </fill>
    </dxf>
    <dxf>
      <font>
        <b/>
        <i val="0"/>
        <color theme="1"/>
      </font>
      <fill>
        <patternFill>
          <bgColor rgb="FFFF0000"/>
        </patternFill>
      </fill>
    </dxf>
    <dxf>
      <font>
        <b/>
        <i val="0"/>
        <condense val="0"/>
        <extend val="0"/>
        <color indexed="10"/>
      </font>
    </dxf>
    <dxf>
      <font>
        <b/>
        <i val="0"/>
        <condense val="0"/>
        <extend val="0"/>
        <color auto="1"/>
      </font>
      <fill>
        <patternFill>
          <bgColor indexed="10"/>
        </patternFill>
      </fill>
    </dxf>
    <dxf>
      <font>
        <b/>
        <i val="0"/>
        <condense val="0"/>
        <extend val="0"/>
        <color indexed="10"/>
      </font>
    </dxf>
    <dxf>
      <font>
        <b/>
        <i val="0"/>
        <condense val="0"/>
        <extend val="0"/>
        <color indexed="10"/>
      </font>
      <fill>
        <patternFill patternType="solid">
          <bgColor theme="4" tint="0.79998168889431442"/>
        </patternFill>
      </fill>
    </dxf>
    <dxf>
      <font>
        <b/>
        <i val="0"/>
        <condense val="0"/>
        <extend val="0"/>
        <color indexed="50"/>
      </font>
      <fill>
        <patternFill>
          <bgColor theme="4" tint="0.79998168889431442"/>
        </patternFill>
      </fill>
    </dxf>
    <dxf>
      <font>
        <condense val="0"/>
        <extend val="0"/>
        <color indexed="50"/>
      </font>
    </dxf>
    <dxf>
      <font>
        <condense val="0"/>
        <extend val="0"/>
        <color indexed="50"/>
      </font>
    </dxf>
    <dxf>
      <font>
        <b/>
        <i val="0"/>
        <condense val="0"/>
        <extend val="0"/>
        <color indexed="10"/>
      </font>
      <fill>
        <patternFill patternType="solid">
          <bgColor theme="4" tint="0.79998168889431442"/>
        </patternFill>
      </fill>
    </dxf>
    <dxf>
      <font>
        <b/>
        <i val="0"/>
        <condense val="0"/>
        <extend val="0"/>
        <color indexed="50"/>
      </font>
      <fill>
        <patternFill patternType="solid">
          <bgColor theme="4" tint="0.79998168889431442"/>
        </patternFill>
      </fill>
    </dxf>
    <dxf>
      <font>
        <condense val="0"/>
        <extend val="0"/>
        <color indexed="50"/>
      </font>
    </dxf>
    <dxf>
      <font>
        <condense val="0"/>
        <extend val="0"/>
        <color indexed="50"/>
      </font>
    </dxf>
    <dxf>
      <font>
        <b/>
        <i val="0"/>
        <condense val="0"/>
        <extend val="0"/>
        <color indexed="10"/>
      </font>
      <fill>
        <patternFill patternType="solid">
          <bgColor theme="4" tint="0.79998168889431442"/>
        </patternFill>
      </fill>
    </dxf>
    <dxf>
      <font>
        <b/>
        <i val="0"/>
        <condense val="0"/>
        <extend val="0"/>
        <color indexed="50"/>
      </font>
      <fill>
        <patternFill>
          <bgColor theme="4" tint="0.79998168889431442"/>
        </patternFill>
      </fill>
    </dxf>
    <dxf>
      <font>
        <b/>
        <i val="0"/>
        <condense val="0"/>
        <extend val="0"/>
        <color indexed="10"/>
      </font>
      <fill>
        <patternFill patternType="none">
          <bgColor indexed="65"/>
        </patternFill>
      </fill>
    </dxf>
    <dxf>
      <font>
        <b/>
        <i val="0"/>
        <condense val="0"/>
        <extend val="0"/>
        <color indexed="50"/>
      </font>
    </dxf>
    <dxf>
      <font>
        <b/>
        <i val="0"/>
        <condense val="0"/>
        <extend val="0"/>
        <color indexed="10"/>
      </font>
      <fill>
        <patternFill patternType="none">
          <bgColor indexed="65"/>
        </patternFill>
      </fill>
    </dxf>
    <dxf>
      <font>
        <b/>
        <i val="0"/>
        <condense val="0"/>
        <extend val="0"/>
        <color indexed="50"/>
      </font>
    </dxf>
    <dxf>
      <font>
        <b/>
        <i val="0"/>
        <condense val="0"/>
        <extend val="0"/>
        <color indexed="10"/>
      </font>
      <fill>
        <patternFill patternType="solid">
          <bgColor theme="4" tint="0.79998168889431442"/>
        </patternFill>
      </fill>
    </dxf>
    <dxf>
      <font>
        <b/>
        <i val="0"/>
        <condense val="0"/>
        <extend val="0"/>
        <color indexed="50"/>
      </font>
      <fill>
        <patternFill>
          <bgColor theme="4" tint="0.79998168889431442"/>
        </patternFill>
      </fill>
    </dxf>
    <dxf>
      <font>
        <b/>
        <i val="0"/>
        <condense val="0"/>
        <extend val="0"/>
        <color indexed="10"/>
      </font>
      <fill>
        <patternFill patternType="solid">
          <bgColor theme="4" tint="0.79998168889431442"/>
        </patternFill>
      </fill>
    </dxf>
    <dxf>
      <font>
        <b/>
        <i val="0"/>
        <condense val="0"/>
        <extend val="0"/>
        <color indexed="50"/>
      </font>
      <fill>
        <patternFill>
          <bgColor theme="4" tint="0.79998168889431442"/>
        </patternFill>
      </fill>
    </dxf>
    <dxf>
      <font>
        <b/>
        <i val="0"/>
        <condense val="0"/>
        <extend val="0"/>
        <color indexed="10"/>
      </font>
      <fill>
        <patternFill patternType="solid">
          <bgColor theme="4" tint="0.79998168889431442"/>
        </patternFill>
      </fill>
    </dxf>
    <dxf>
      <font>
        <b/>
        <i val="0"/>
        <condense val="0"/>
        <extend val="0"/>
        <color indexed="50"/>
      </font>
      <fill>
        <patternFill patternType="solid">
          <bgColor theme="4" tint="0.79998168889431442"/>
        </patternFill>
      </fill>
    </dxf>
    <dxf>
      <font>
        <b/>
        <i val="0"/>
        <condense val="0"/>
        <extend val="0"/>
        <color indexed="10"/>
      </font>
      <fill>
        <patternFill patternType="none">
          <bgColor indexed="65"/>
        </patternFill>
      </fill>
    </dxf>
    <dxf>
      <font>
        <b/>
        <i val="0"/>
        <condense val="0"/>
        <extend val="0"/>
        <color indexed="50"/>
      </font>
    </dxf>
    <dxf>
      <font>
        <b/>
        <i val="0"/>
        <condense val="0"/>
        <extend val="0"/>
        <color indexed="10"/>
      </font>
      <fill>
        <patternFill patternType="none">
          <bgColor indexed="65"/>
        </patternFill>
      </fill>
    </dxf>
    <dxf>
      <font>
        <b/>
        <i val="0"/>
        <condense val="0"/>
        <extend val="0"/>
        <color indexed="50"/>
      </font>
    </dxf>
    <dxf>
      <font>
        <condense val="0"/>
        <extend val="0"/>
        <color indexed="50"/>
      </font>
    </dxf>
    <dxf>
      <font>
        <condense val="0"/>
        <extend val="0"/>
        <color indexed="50"/>
      </font>
    </dxf>
    <dxf>
      <font>
        <condense val="0"/>
        <extend val="0"/>
        <color indexed="50"/>
      </font>
    </dxf>
    <dxf>
      <font>
        <condense val="0"/>
        <extend val="0"/>
        <color indexed="50"/>
      </font>
    </dxf>
    <dxf>
      <font>
        <condense val="0"/>
        <extend val="0"/>
        <color indexed="50"/>
      </font>
    </dxf>
    <dxf>
      <font>
        <condense val="0"/>
        <extend val="0"/>
        <color indexed="50"/>
      </font>
    </dxf>
    <dxf>
      <font>
        <condense val="0"/>
        <extend val="0"/>
        <color indexed="50"/>
      </font>
    </dxf>
    <dxf>
      <font>
        <b/>
        <i val="0"/>
        <color rgb="FFFF0000"/>
      </font>
    </dxf>
    <dxf>
      <font>
        <b/>
        <i val="0"/>
      </font>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indexed="10"/>
      </font>
    </dxf>
    <dxf>
      <font>
        <b/>
        <i val="0"/>
        <condense val="0"/>
        <extend val="0"/>
        <color indexed="10"/>
      </font>
    </dxf>
    <dxf>
      <font>
        <b/>
        <i val="0"/>
        <color rgb="FFFF0000"/>
      </font>
    </dxf>
    <dxf>
      <font>
        <b/>
        <i val="0"/>
      </font>
    </dxf>
    <dxf>
      <fill>
        <patternFill>
          <bgColor rgb="FFFF0000"/>
        </patternFill>
      </fill>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color rgb="FFFF0000"/>
      </font>
    </dxf>
    <dxf>
      <fill>
        <patternFill>
          <bgColor rgb="FFFF0000"/>
        </patternFill>
      </fill>
    </dxf>
    <dxf>
      <fill>
        <patternFill>
          <bgColor rgb="FFFF0000"/>
        </patternFill>
      </fill>
    </dxf>
    <dxf>
      <font>
        <color rgb="FFFF0000"/>
      </font>
    </dxf>
    <dxf>
      <fill>
        <patternFill>
          <bgColor rgb="FFFF0000"/>
        </patternFill>
      </fill>
    </dxf>
    <dxf>
      <fill>
        <patternFill>
          <bgColor rgb="FFFF0000"/>
        </patternFill>
      </fill>
    </dxf>
    <dxf>
      <font>
        <color rgb="FFFF0000"/>
      </font>
    </dxf>
    <dxf>
      <fill>
        <patternFill>
          <bgColor rgb="FFFF0000"/>
        </patternFill>
      </fill>
    </dxf>
    <dxf>
      <fill>
        <patternFill>
          <bgColor rgb="FFFF0000"/>
        </patternFill>
      </fill>
    </dxf>
    <dxf>
      <font>
        <color rgb="FFFF0000"/>
      </font>
    </dxf>
    <dxf>
      <font>
        <color rgb="FFFF0000"/>
      </font>
    </dxf>
    <dxf>
      <font>
        <color rgb="FFFF0000"/>
      </font>
    </dxf>
    <dxf>
      <font>
        <b/>
        <i val="0"/>
        <color rgb="FFFF0000"/>
      </font>
    </dxf>
    <dxf>
      <font>
        <b/>
        <i val="0"/>
      </font>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color rgb="FFFF0000"/>
      </font>
    </dxf>
    <dxf>
      <font>
        <b/>
        <i val="0"/>
        <color rgb="FFFF0000"/>
      </font>
    </dxf>
    <dxf>
      <font>
        <b/>
        <i val="0"/>
        <color rgb="FFFF0000"/>
      </font>
    </dxf>
    <dxf>
      <font>
        <b/>
        <i val="0"/>
      </font>
    </dxf>
    <dxf>
      <font>
        <b/>
        <i val="0"/>
        <condense val="0"/>
        <extend val="0"/>
        <color auto="1"/>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font>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ndense val="0"/>
        <extend val="0"/>
        <color indexed="10"/>
      </font>
    </dxf>
    <dxf>
      <font>
        <b/>
        <i val="0"/>
        <color rgb="FFFF0000"/>
      </font>
    </dxf>
    <dxf>
      <font>
        <b/>
        <i val="0"/>
        <color rgb="FFFF0000"/>
      </font>
    </dxf>
    <dxf>
      <font>
        <b/>
        <i val="0"/>
      </font>
    </dxf>
    <dxf>
      <fill>
        <patternFill>
          <bgColor rgb="FFFF0000"/>
        </patternFill>
      </fill>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ont>
        <b/>
        <i val="0"/>
      </font>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font>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font>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ont>
        <b/>
        <i val="0"/>
      </font>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ont>
        <b/>
        <i val="0"/>
        <color rgb="FFFF0000"/>
      </font>
    </dxf>
    <dxf>
      <font>
        <b/>
        <i val="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ont>
        <color rgb="FFFF0000"/>
      </font>
    </dxf>
    <dxf>
      <font>
        <b/>
        <i val="0"/>
        <color rgb="FFFF0000"/>
      </font>
    </dxf>
    <dxf>
      <font>
        <b/>
        <i val="0"/>
      </font>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font>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indexed="10"/>
      </font>
    </dxf>
    <dxf>
      <font>
        <b/>
        <i val="0"/>
        <condense val="0"/>
        <extend val="0"/>
        <color indexed="10"/>
      </font>
    </dxf>
    <dxf>
      <font>
        <b/>
        <i val="0"/>
        <color rgb="FFFF0000"/>
      </font>
    </dxf>
    <dxf>
      <font>
        <b/>
        <i val="0"/>
      </font>
    </dxf>
    <dxf>
      <fill>
        <patternFill>
          <bgColor rgb="FFFF0000"/>
        </patternFill>
      </fill>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color rgb="FFFF0000"/>
      </font>
    </dxf>
    <dxf>
      <fill>
        <patternFill>
          <bgColor rgb="FFFF0000"/>
        </patternFill>
      </fill>
    </dxf>
    <dxf>
      <fill>
        <patternFill>
          <bgColor rgb="FFFF0000"/>
        </patternFill>
      </fill>
    </dxf>
    <dxf>
      <font>
        <color rgb="FFFF0000"/>
      </font>
    </dxf>
    <dxf>
      <fill>
        <patternFill>
          <bgColor rgb="FFFF0000"/>
        </patternFill>
      </fill>
    </dxf>
    <dxf>
      <fill>
        <patternFill>
          <bgColor rgb="FFFF0000"/>
        </patternFill>
      </fill>
    </dxf>
    <dxf>
      <font>
        <color rgb="FFFF0000"/>
      </font>
    </dxf>
    <dxf>
      <fill>
        <patternFill>
          <bgColor rgb="FFFF0000"/>
        </patternFill>
      </fill>
    </dxf>
    <dxf>
      <fill>
        <patternFill>
          <bgColor rgb="FFFF0000"/>
        </patternFill>
      </fill>
    </dxf>
    <dxf>
      <font>
        <color rgb="FFFF0000"/>
      </font>
    </dxf>
    <dxf>
      <font>
        <color rgb="FFFF0000"/>
      </font>
    </dxf>
    <dxf>
      <font>
        <color rgb="FFFF0000"/>
      </font>
    </dxf>
    <dxf>
      <font>
        <color rgb="FFFF0000"/>
      </font>
    </dxf>
    <dxf>
      <font>
        <b/>
        <i val="0"/>
        <color rgb="FFFF0000"/>
      </font>
    </dxf>
    <dxf>
      <font>
        <b/>
        <i val="0"/>
      </font>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auto="1"/>
      </font>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font>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indexed="10"/>
      </font>
    </dxf>
    <dxf>
      <font>
        <b/>
        <i val="0"/>
        <condense val="0"/>
        <extend val="0"/>
        <color indexed="10"/>
      </font>
    </dxf>
    <dxf>
      <font>
        <b/>
        <i val="0"/>
        <color rgb="FFFF0000"/>
      </font>
    </dxf>
    <dxf>
      <font>
        <b/>
        <i val="0"/>
      </font>
    </dxf>
    <dxf>
      <fill>
        <patternFill>
          <bgColor rgb="FFFF0000"/>
        </patternFill>
      </fill>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color rgb="FFFF0000"/>
      </font>
    </dxf>
    <dxf>
      <fill>
        <patternFill>
          <bgColor rgb="FFFF0000"/>
        </patternFill>
      </fill>
    </dxf>
    <dxf>
      <fill>
        <patternFill>
          <bgColor rgb="FFFF0000"/>
        </patternFill>
      </fill>
    </dxf>
    <dxf>
      <font>
        <color rgb="FFFF0000"/>
      </font>
    </dxf>
    <dxf>
      <fill>
        <patternFill>
          <bgColor rgb="FFFF0000"/>
        </patternFill>
      </fill>
    </dxf>
    <dxf>
      <fill>
        <patternFill>
          <bgColor rgb="FFFF0000"/>
        </patternFill>
      </fill>
    </dxf>
    <dxf>
      <font>
        <color rgb="FFFF0000"/>
      </font>
    </dxf>
    <dxf>
      <fill>
        <patternFill>
          <bgColor rgb="FFFF0000"/>
        </patternFill>
      </fill>
    </dxf>
    <dxf>
      <fill>
        <patternFill>
          <bgColor rgb="FFFF0000"/>
        </patternFill>
      </fill>
    </dxf>
    <dxf>
      <font>
        <color rgb="FFFF0000"/>
      </font>
    </dxf>
    <dxf>
      <font>
        <color rgb="FFFF0000"/>
      </font>
    </dxf>
    <dxf>
      <font>
        <color rgb="FFFF0000"/>
      </font>
    </dxf>
    <dxf>
      <font>
        <b/>
        <i val="0"/>
        <color rgb="FFFF0000"/>
      </font>
    </dxf>
    <dxf>
      <font>
        <b/>
        <i val="0"/>
      </font>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auto="1"/>
      </font>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font>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indexed="10"/>
      </font>
    </dxf>
    <dxf>
      <font>
        <b/>
        <i val="0"/>
        <condense val="0"/>
        <extend val="0"/>
        <color indexed="10"/>
      </font>
    </dxf>
    <dxf>
      <font>
        <b/>
        <i val="0"/>
        <color rgb="FFFF0000"/>
      </font>
    </dxf>
    <dxf>
      <font>
        <b/>
        <i val="0"/>
      </font>
    </dxf>
    <dxf>
      <fill>
        <patternFill>
          <bgColor rgb="FFFF0000"/>
        </patternFill>
      </fill>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color rgb="FFFF0000"/>
      </font>
    </dxf>
    <dxf>
      <fill>
        <patternFill>
          <bgColor rgb="FFFF0000"/>
        </patternFill>
      </fill>
    </dxf>
    <dxf>
      <fill>
        <patternFill>
          <bgColor rgb="FFFF0000"/>
        </patternFill>
      </fill>
    </dxf>
    <dxf>
      <font>
        <color rgb="FFFF0000"/>
      </font>
    </dxf>
    <dxf>
      <fill>
        <patternFill>
          <bgColor rgb="FFFF0000"/>
        </patternFill>
      </fill>
    </dxf>
    <dxf>
      <fill>
        <patternFill>
          <bgColor rgb="FFFF0000"/>
        </patternFill>
      </fill>
    </dxf>
    <dxf>
      <font>
        <color rgb="FFFF0000"/>
      </font>
    </dxf>
    <dxf>
      <fill>
        <patternFill>
          <bgColor rgb="FFFF0000"/>
        </patternFill>
      </fill>
    </dxf>
    <dxf>
      <fill>
        <patternFill>
          <bgColor rgb="FFFF0000"/>
        </patternFill>
      </fill>
    </dxf>
    <dxf>
      <font>
        <color rgb="FFFF0000"/>
      </font>
    </dxf>
    <dxf>
      <font>
        <color rgb="FFFF0000"/>
      </font>
    </dxf>
    <dxf>
      <font>
        <color rgb="FFFF0000"/>
      </font>
    </dxf>
    <dxf>
      <font>
        <b/>
        <i val="0"/>
        <color rgb="FFFF0000"/>
      </font>
    </dxf>
    <dxf>
      <font>
        <b/>
        <i val="0"/>
      </font>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font>
    </dxf>
    <dxf>
      <font>
        <b/>
        <i val="0"/>
        <color rgb="FFFF0000"/>
      </font>
    </dxf>
    <dxf>
      <font>
        <color rgb="FFFF0000"/>
      </font>
    </dxf>
    <dxf>
      <font>
        <b/>
        <i val="0"/>
        <color rgb="FFFF0000"/>
      </font>
    </dxf>
    <dxf>
      <font>
        <b/>
        <i val="0"/>
        <color rgb="FFFF0000"/>
      </font>
    </dxf>
    <dxf>
      <font>
        <b/>
        <i val="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font>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ndense val="0"/>
        <extend val="0"/>
        <color indexed="10"/>
      </font>
    </dxf>
    <dxf>
      <font>
        <b/>
        <i val="0"/>
        <color rgb="FFFF0000"/>
      </font>
    </dxf>
    <dxf>
      <font>
        <b/>
        <i val="0"/>
        <condense val="0"/>
        <extend val="0"/>
        <color indexed="10"/>
      </font>
    </dxf>
    <dxf>
      <font>
        <b/>
        <i val="0"/>
        <color rgb="FFFF0000"/>
      </font>
    </dxf>
    <dxf>
      <font>
        <b/>
        <i val="0"/>
      </font>
    </dxf>
    <dxf>
      <fill>
        <patternFill>
          <bgColor rgb="FFFF0000"/>
        </patternFill>
      </fill>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color rgb="FFFF0000"/>
      </font>
    </dxf>
    <dxf>
      <fill>
        <patternFill>
          <bgColor rgb="FFFF0000"/>
        </patternFill>
      </fill>
    </dxf>
    <dxf>
      <fill>
        <patternFill>
          <bgColor rgb="FFFF0000"/>
        </patternFill>
      </fill>
    </dxf>
    <dxf>
      <font>
        <color rgb="FFFF0000"/>
      </font>
    </dxf>
    <dxf>
      <fill>
        <patternFill>
          <bgColor rgb="FFFF0000"/>
        </patternFill>
      </fill>
    </dxf>
    <dxf>
      <fill>
        <patternFill>
          <bgColor rgb="FFFF0000"/>
        </patternFill>
      </fill>
    </dxf>
    <dxf>
      <font>
        <color rgb="FFFF0000"/>
      </font>
    </dxf>
    <dxf>
      <fill>
        <patternFill>
          <bgColor rgb="FFFF0000"/>
        </patternFill>
      </fill>
    </dxf>
    <dxf>
      <fill>
        <patternFill>
          <bgColor rgb="FFFF0000"/>
        </patternFill>
      </fill>
    </dxf>
    <dxf>
      <font>
        <color rgb="FFFF0000"/>
      </font>
    </dxf>
    <dxf>
      <font>
        <color rgb="FFFF0000"/>
      </font>
    </dxf>
    <dxf>
      <font>
        <color rgb="FFFF0000"/>
      </font>
    </dxf>
    <dxf>
      <font>
        <color rgb="FFFF0000"/>
      </font>
    </dxf>
    <dxf>
      <font>
        <b/>
        <i val="0"/>
        <color rgb="FFFF0000"/>
      </font>
    </dxf>
    <dxf>
      <font>
        <b/>
        <i val="0"/>
      </font>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ndense val="0"/>
        <extend val="0"/>
        <color indexed="10"/>
      </font>
    </dxf>
    <dxf>
      <font>
        <b/>
        <i val="0"/>
        <condense val="0"/>
        <extend val="0"/>
        <color indexed="10"/>
      </font>
    </dxf>
    <dxf>
      <font>
        <b/>
        <i val="0"/>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i val="0"/>
        <color rgb="FFFF0000"/>
      </font>
    </dxf>
    <dxf>
      <font>
        <b/>
        <i val="0"/>
      </font>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font>
    </dxf>
    <dxf>
      <font>
        <color rgb="FFFF000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font>
    </dxf>
    <dxf>
      <font>
        <color rgb="FFFF000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font>
    </dxf>
    <dxf>
      <font>
        <color rgb="FFFF000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font>
    </dxf>
    <dxf>
      <font>
        <color rgb="FFFF000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font>
    </dxf>
    <dxf>
      <font>
        <color rgb="FFFF000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font>
    </dxf>
    <dxf>
      <font>
        <color rgb="FFFF0000"/>
      </font>
    </dxf>
    <dxf>
      <font>
        <b/>
        <i val="0"/>
        <color rgb="FFFF000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font>
    </dxf>
    <dxf>
      <fill>
        <patternFill>
          <bgColor rgb="FFFF0000"/>
        </patternFill>
      </fill>
    </dxf>
    <dxf>
      <font>
        <color rgb="FFFF0000"/>
      </font>
    </dxf>
    <dxf>
      <font>
        <b/>
        <i val="0"/>
        <color rgb="FFFF0000"/>
      </font>
    </dxf>
    <dxf>
      <font>
        <b/>
        <i val="0"/>
        <color rgb="FFFF0000"/>
      </font>
    </dxf>
    <dxf>
      <font>
        <b/>
        <i val="0"/>
      </font>
    </dxf>
    <dxf>
      <font>
        <b/>
        <i val="0"/>
        <color rgb="FFFF0000"/>
      </font>
    </dxf>
    <dxf>
      <font>
        <b/>
        <i val="0"/>
        <condense val="0"/>
        <extend val="0"/>
        <color auto="1"/>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ont>
        <b/>
        <i val="0"/>
        <color rgb="FFFF0000"/>
      </font>
    </dxf>
    <dxf>
      <font>
        <b/>
        <i val="0"/>
        <color rgb="FFFF0000"/>
      </font>
    </dxf>
    <dxf>
      <font>
        <condense val="0"/>
        <extend val="0"/>
        <color indexed="10"/>
      </font>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auto="1"/>
      </font>
    </dxf>
    <dxf>
      <font>
        <b/>
        <i val="0"/>
      </font>
    </dxf>
    <dxf>
      <font>
        <b/>
        <i val="0"/>
        <color rgb="FFFF0000"/>
      </font>
    </dxf>
    <dxf>
      <font>
        <b/>
        <i val="0"/>
        <color rgb="FFFF0000"/>
      </font>
    </dxf>
    <dxf>
      <font>
        <b/>
        <i val="0"/>
      </font>
    </dxf>
    <dxf>
      <font>
        <b/>
        <i val="0"/>
        <color rgb="FFFF0000"/>
      </font>
    </dxf>
    <dxf>
      <font>
        <b/>
        <i val="0"/>
      </font>
    </dxf>
    <dxf>
      <font>
        <b val="0"/>
        <i val="0"/>
      </font>
      <fill>
        <patternFill>
          <bgColor rgb="FFFF0000"/>
        </patternFill>
      </fill>
    </dxf>
    <dxf>
      <font>
        <color rgb="FFFF000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lor rgb="FFFF0000"/>
      </font>
    </dxf>
    <dxf>
      <font>
        <b/>
        <i val="0"/>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ill>
        <patternFill>
          <bgColor rgb="FFFF0000"/>
        </patternFill>
      </fill>
    </dxf>
    <dxf>
      <fill>
        <patternFill>
          <bgColor rgb="FFFF0000"/>
        </patternFill>
      </fill>
    </dxf>
    <dxf>
      <fill>
        <patternFill>
          <bgColor rgb="FFFF0000"/>
        </patternFill>
      </fill>
    </dxf>
    <dxf>
      <font>
        <b/>
        <i val="0"/>
      </font>
    </dxf>
    <dxf>
      <font>
        <b/>
        <i val="0"/>
        <color rgb="FFFF0000"/>
      </font>
    </dxf>
    <dxf>
      <font>
        <b/>
        <i val="0"/>
        <color rgb="FFFF0000"/>
      </font>
    </dxf>
    <dxf>
      <font>
        <b/>
        <i val="0"/>
        <condense val="0"/>
        <extend val="0"/>
        <color auto="1"/>
      </font>
    </dxf>
    <dxf>
      <font>
        <b/>
        <i val="0"/>
        <color rgb="FFFF0000"/>
      </font>
    </dxf>
    <dxf>
      <font>
        <b/>
        <i val="0"/>
      </font>
    </dxf>
    <dxf>
      <font>
        <b/>
        <i val="0"/>
        <color rgb="FFFF0000"/>
      </font>
    </dxf>
    <dxf>
      <font>
        <b/>
        <i val="0"/>
        <color rgb="FFFF0000"/>
      </font>
    </dxf>
    <dxf>
      <fill>
        <patternFill>
          <bgColor rgb="FFFF0000"/>
        </patternFill>
      </fill>
    </dxf>
    <dxf>
      <fill>
        <patternFill>
          <bgColor rgb="FFFF0000"/>
        </patternFill>
      </fill>
    </dxf>
    <dxf>
      <fill>
        <patternFill>
          <bgColor rgb="FFFF0000"/>
        </patternFill>
      </fill>
    </dxf>
    <dxf>
      <font>
        <b/>
        <i val="0"/>
      </font>
    </dxf>
    <dxf>
      <font>
        <b/>
        <i val="0"/>
        <color rgb="FFFF0000"/>
      </font>
    </dxf>
    <dxf>
      <font>
        <b/>
        <i val="0"/>
        <color rgb="FFFF0000"/>
      </font>
    </dxf>
    <dxf>
      <font>
        <b/>
        <i val="0"/>
        <condense val="0"/>
        <extend val="0"/>
        <color auto="1"/>
      </font>
    </dxf>
    <dxf>
      <font>
        <b/>
        <i val="0"/>
        <color rgb="FFFF0000"/>
      </font>
    </dxf>
    <dxf>
      <font>
        <b/>
        <i val="0"/>
      </font>
    </dxf>
    <dxf>
      <font>
        <b/>
        <i val="0"/>
        <color rgb="FFFF0000"/>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font>
    </dxf>
    <dxf>
      <font>
        <b/>
        <i val="0"/>
        <color rgb="FFFF0000"/>
      </font>
    </dxf>
    <dxf>
      <font>
        <b/>
        <i val="0"/>
        <color rgb="FFFF0000"/>
      </font>
    </dxf>
    <dxf>
      <font>
        <b/>
        <i val="0"/>
        <condense val="0"/>
        <extend val="0"/>
        <color auto="1"/>
      </font>
    </dxf>
    <dxf>
      <font>
        <b/>
        <i val="0"/>
        <color rgb="FFFF0000"/>
      </font>
    </dxf>
    <dxf>
      <font>
        <b/>
        <i val="0"/>
      </font>
    </dxf>
    <dxf>
      <font>
        <b/>
        <i val="0"/>
        <color rgb="FFFF0000"/>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font>
    </dxf>
    <dxf>
      <font>
        <b/>
        <i val="0"/>
        <color rgb="FFFF0000"/>
      </font>
    </dxf>
    <dxf>
      <font>
        <b/>
        <i val="0"/>
        <color rgb="FFFF0000"/>
      </font>
    </dxf>
    <dxf>
      <font>
        <b/>
        <i val="0"/>
        <condense val="0"/>
        <extend val="0"/>
        <color auto="1"/>
      </font>
    </dxf>
    <dxf>
      <font>
        <b/>
        <i val="0"/>
        <color rgb="FFFF0000"/>
      </font>
    </dxf>
    <dxf>
      <font>
        <b/>
        <i val="0"/>
      </font>
    </dxf>
    <dxf>
      <font>
        <b/>
        <i val="0"/>
        <color rgb="FFFF0000"/>
      </font>
    </dxf>
    <dxf>
      <font>
        <b/>
        <i val="0"/>
      </font>
    </dxf>
    <dxf>
      <font>
        <b/>
        <i val="0"/>
        <color rgb="FFFF0000"/>
      </font>
    </dxf>
    <dxf>
      <font>
        <b/>
        <i val="0"/>
        <color rgb="FFFF0000"/>
      </font>
    </dxf>
    <dxf>
      <fill>
        <patternFill>
          <bgColor rgb="FFFF0000"/>
        </patternFill>
      </fill>
    </dxf>
    <dxf>
      <fill>
        <patternFill>
          <bgColor rgb="FFFF0000"/>
        </patternFill>
      </fill>
    </dxf>
    <dxf>
      <fill>
        <patternFill>
          <bgColor rgb="FFFF0000"/>
        </patternFill>
      </fill>
    </dxf>
    <dxf>
      <font>
        <b/>
        <i val="0"/>
      </font>
    </dxf>
    <dxf>
      <font>
        <b/>
        <i val="0"/>
        <color rgb="FFFF0000"/>
      </font>
    </dxf>
    <dxf>
      <font>
        <b/>
        <i val="0"/>
        <color rgb="FFFF0000"/>
      </font>
    </dxf>
    <dxf>
      <font>
        <b/>
        <i val="0"/>
        <condense val="0"/>
        <extend val="0"/>
        <color auto="1"/>
      </font>
    </dxf>
    <dxf>
      <font>
        <b/>
        <i val="0"/>
        <color rgb="FFFF0000"/>
      </font>
    </dxf>
    <dxf>
      <font>
        <b/>
        <i val="0"/>
      </font>
    </dxf>
    <dxf>
      <font>
        <b/>
        <i val="0"/>
        <color rgb="FFFF0000"/>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font>
    </dxf>
    <dxf>
      <font>
        <b/>
        <i val="0"/>
        <color rgb="FFFF0000"/>
      </font>
    </dxf>
    <dxf>
      <font>
        <b/>
        <i val="0"/>
        <color rgb="FFFF0000"/>
      </font>
    </dxf>
    <dxf>
      <font>
        <b/>
        <i val="0"/>
        <condense val="0"/>
        <extend val="0"/>
        <color auto="1"/>
      </font>
    </dxf>
    <dxf>
      <font>
        <b/>
        <i val="0"/>
        <color rgb="FFFF0000"/>
      </font>
    </dxf>
    <dxf>
      <font>
        <b/>
        <i val="0"/>
      </font>
    </dxf>
    <dxf>
      <font>
        <b/>
        <i val="0"/>
        <color rgb="FFFF0000"/>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font>
    </dxf>
    <dxf>
      <font>
        <b/>
        <i val="0"/>
        <color rgb="FFFF0000"/>
      </font>
    </dxf>
    <dxf>
      <font>
        <b/>
        <i val="0"/>
        <color rgb="FFFF0000"/>
      </font>
    </dxf>
    <dxf>
      <font>
        <b/>
        <i val="0"/>
        <condense val="0"/>
        <extend val="0"/>
        <color auto="1"/>
      </font>
    </dxf>
    <dxf>
      <font>
        <b/>
        <i val="0"/>
        <color rgb="FFFF0000"/>
      </font>
    </dxf>
    <dxf>
      <font>
        <b/>
        <i val="0"/>
      </font>
    </dxf>
    <dxf>
      <font>
        <b/>
        <i val="0"/>
        <color rgb="FFFF0000"/>
      </font>
    </dxf>
    <dxf>
      <font>
        <b/>
        <i val="0"/>
      </font>
    </dxf>
    <dxf>
      <font>
        <b/>
        <i val="0"/>
        <color rgb="FFFF0000"/>
      </font>
    </dxf>
    <dxf>
      <fill>
        <patternFill>
          <bgColor rgb="FFFF0000"/>
        </patternFill>
      </fill>
    </dxf>
    <dxf>
      <fill>
        <patternFill>
          <bgColor rgb="FFFF0000"/>
        </patternFill>
      </fill>
    </dxf>
    <dxf>
      <fill>
        <patternFill>
          <bgColor rgb="FFFF0000"/>
        </patternFill>
      </fill>
    </dxf>
    <dxf>
      <font>
        <b/>
        <i val="0"/>
      </font>
    </dxf>
    <dxf>
      <font>
        <b/>
        <i val="0"/>
        <color rgb="FFFF0000"/>
      </font>
    </dxf>
    <dxf>
      <font>
        <b/>
        <i val="0"/>
        <color rgb="FFFF0000"/>
      </font>
    </dxf>
    <dxf>
      <font>
        <b/>
        <i val="0"/>
        <condense val="0"/>
        <extend val="0"/>
        <color auto="1"/>
      </font>
    </dxf>
    <dxf>
      <font>
        <b/>
        <i val="0"/>
        <color rgb="FFFF0000"/>
      </font>
    </dxf>
    <dxf>
      <font>
        <b/>
        <i val="0"/>
      </font>
    </dxf>
    <dxf>
      <font>
        <b/>
        <i val="0"/>
        <color rgb="FFFF0000"/>
      </font>
    </dxf>
    <dxf>
      <font>
        <b/>
        <i val="0"/>
      </font>
    </dxf>
    <dxf>
      <font>
        <b/>
        <i val="0"/>
        <color auto="1"/>
      </font>
      <fill>
        <patternFill patternType="solid">
          <bgColor rgb="FFFF0000"/>
        </patternFill>
      </fill>
    </dxf>
    <dxf>
      <font>
        <b/>
        <i val="0"/>
        <color rgb="FFFF0000"/>
      </font>
    </dxf>
    <dxf>
      <font>
        <b/>
        <i val="0"/>
        <condense val="0"/>
        <extend val="0"/>
        <color indexed="10"/>
      </font>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auto="1"/>
      </font>
    </dxf>
    <dxf>
      <font>
        <b/>
        <i val="0"/>
        <color rgb="FFFF0000"/>
      </font>
    </dxf>
    <dxf>
      <font>
        <b/>
        <i val="0"/>
      </font>
    </dxf>
    <dxf>
      <font>
        <b/>
        <i val="0"/>
      </font>
    </dxf>
    <dxf>
      <font>
        <b/>
        <i val="0"/>
        <color rgb="FFFF000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auto="1"/>
      </font>
    </dxf>
    <dxf>
      <font>
        <b/>
        <i val="0"/>
        <color rgb="FFFF0000"/>
      </font>
    </dxf>
    <dxf>
      <font>
        <b/>
        <i val="0"/>
      </font>
    </dxf>
    <dxf>
      <font>
        <b/>
        <i val="0"/>
        <color rgb="FFFF0000"/>
      </font>
    </dxf>
    <dxf>
      <font>
        <b/>
        <i val="0"/>
      </font>
    </dxf>
    <dxf>
      <font>
        <b/>
        <i val="0"/>
      </font>
    </dxf>
    <dxf>
      <font>
        <b/>
        <i val="0"/>
        <color rgb="FFFF000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auto="1"/>
      </font>
    </dxf>
    <dxf>
      <font>
        <b/>
        <i val="0"/>
        <color rgb="FFFF0000"/>
      </font>
    </dxf>
    <dxf>
      <font>
        <b/>
        <i val="0"/>
      </font>
    </dxf>
    <dxf>
      <font>
        <b/>
        <i val="0"/>
        <color rgb="FFFF0000"/>
      </font>
    </dxf>
    <dxf>
      <font>
        <b/>
        <i val="0"/>
      </font>
    </dxf>
    <dxf>
      <font>
        <b/>
        <i val="0"/>
      </font>
    </dxf>
    <dxf>
      <font>
        <b/>
        <i val="0"/>
        <color rgb="FFFF000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auto="1"/>
      </font>
    </dxf>
    <dxf>
      <font>
        <b/>
        <i val="0"/>
        <color rgb="FFFF0000"/>
      </font>
    </dxf>
    <dxf>
      <font>
        <b/>
        <i val="0"/>
      </font>
    </dxf>
    <dxf>
      <font>
        <b/>
        <i val="0"/>
        <color rgb="FFFF0000"/>
      </font>
    </dxf>
    <dxf>
      <font>
        <b/>
        <i val="0"/>
      </font>
    </dxf>
    <dxf>
      <font>
        <b/>
        <i val="0"/>
      </font>
    </dxf>
    <dxf>
      <font>
        <b/>
        <i val="0"/>
        <color rgb="FFFF000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auto="1"/>
      </font>
    </dxf>
    <dxf>
      <font>
        <b/>
        <i val="0"/>
        <color rgb="FFFF0000"/>
      </font>
    </dxf>
    <dxf>
      <font>
        <b/>
        <i val="0"/>
      </font>
    </dxf>
    <dxf>
      <font>
        <b/>
        <i val="0"/>
        <color rgb="FFFF0000"/>
      </font>
    </dxf>
    <dxf>
      <font>
        <b/>
        <i val="0"/>
      </font>
    </dxf>
    <dxf>
      <font>
        <b/>
        <i val="0"/>
      </font>
    </dxf>
    <dxf>
      <font>
        <b/>
        <i val="0"/>
        <color rgb="FFFF000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auto="1"/>
      </font>
    </dxf>
    <dxf>
      <font>
        <b/>
        <i val="0"/>
        <color rgb="FFFF0000"/>
      </font>
    </dxf>
    <dxf>
      <font>
        <b/>
        <i val="0"/>
      </font>
    </dxf>
    <dxf>
      <font>
        <b/>
        <i val="0"/>
        <color rgb="FFFF0000"/>
      </font>
    </dxf>
    <dxf>
      <font>
        <b/>
        <i val="0"/>
      </font>
    </dxf>
    <dxf>
      <font>
        <b/>
        <i val="0"/>
      </font>
    </dxf>
    <dxf>
      <font>
        <b/>
        <i val="0"/>
        <color rgb="FFFF000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auto="1"/>
      </font>
    </dxf>
    <dxf>
      <font>
        <b/>
        <i val="0"/>
        <color rgb="FFFF0000"/>
      </font>
    </dxf>
    <dxf>
      <font>
        <b/>
        <i val="0"/>
      </font>
    </dxf>
    <dxf>
      <font>
        <b/>
        <i val="0"/>
        <color rgb="FFFF0000"/>
      </font>
    </dxf>
    <dxf>
      <font>
        <b/>
        <i val="0"/>
      </font>
    </dxf>
    <dxf>
      <font>
        <b/>
        <i val="0"/>
      </font>
    </dxf>
    <dxf>
      <font>
        <b/>
        <i val="0"/>
        <color rgb="FFFF000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auto="1"/>
      </font>
    </dxf>
    <dxf>
      <font>
        <b/>
        <i val="0"/>
        <color rgb="FFFF0000"/>
      </font>
    </dxf>
    <dxf>
      <font>
        <b/>
        <i val="0"/>
      </font>
    </dxf>
    <dxf>
      <font>
        <b/>
        <i val="0"/>
        <color rgb="FFFF0000"/>
      </font>
    </dxf>
    <dxf>
      <font>
        <b/>
        <i val="0"/>
      </font>
    </dxf>
    <dxf>
      <font>
        <b/>
        <i val="0"/>
      </font>
    </dxf>
    <dxf>
      <font>
        <b/>
        <i val="0"/>
        <color rgb="FFFF0000"/>
      </font>
    </dxf>
    <dxf>
      <font>
        <b/>
        <i val="0"/>
        <color rgb="FFFF0000"/>
      </font>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auto="1"/>
      </font>
    </dxf>
    <dxf>
      <font>
        <b/>
        <i val="0"/>
        <color rgb="FFFF0000"/>
      </font>
    </dxf>
    <dxf>
      <font>
        <b/>
        <i val="0"/>
      </font>
    </dxf>
    <dxf>
      <font>
        <b/>
        <i val="0"/>
        <color rgb="FFFF0000"/>
      </font>
    </dxf>
    <dxf>
      <font>
        <b/>
        <i val="0"/>
      </font>
    </dxf>
    <dxf>
      <font>
        <b/>
        <i val="0"/>
      </font>
    </dxf>
    <dxf>
      <font>
        <b/>
        <i val="0"/>
        <color rgb="FFFF0000"/>
      </font>
    </dxf>
    <dxf>
      <font>
        <b/>
        <i val="0"/>
        <color rgb="FFFF0000"/>
      </font>
    </dxf>
    <dxf>
      <font>
        <b/>
        <i val="0"/>
        <condense val="0"/>
        <extend val="0"/>
        <color indexed="10"/>
      </font>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auto="1"/>
      </font>
    </dxf>
    <dxf>
      <font>
        <b/>
        <i val="0"/>
        <color rgb="FFFF0000"/>
      </font>
    </dxf>
    <dxf>
      <font>
        <b/>
        <i val="0"/>
      </font>
    </dxf>
    <dxf>
      <font>
        <b/>
        <i val="0"/>
        <color rgb="FFFF0000"/>
      </font>
    </dxf>
    <dxf>
      <font>
        <b/>
        <i val="0"/>
      </font>
    </dxf>
    <dxf>
      <font>
        <b/>
        <i val="0"/>
      </font>
    </dxf>
    <dxf>
      <font>
        <b/>
        <i val="0"/>
        <color rgb="FFFF0000"/>
      </font>
    </dxf>
    <dxf>
      <font>
        <b/>
        <i val="0"/>
        <color auto="1"/>
      </font>
      <fill>
        <patternFill patternType="solid">
          <bgColor rgb="FFFF0000"/>
        </patternFill>
      </fill>
    </dxf>
    <dxf>
      <font>
        <b/>
        <i val="0"/>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ndense val="0"/>
        <extend val="0"/>
        <color indexed="10"/>
      </font>
    </dxf>
    <dxf>
      <fill>
        <patternFill>
          <bgColor rgb="FFFF0000"/>
        </patternFill>
      </fill>
    </dxf>
    <dxf>
      <fill>
        <patternFill>
          <bgColor rgb="FFFF0000"/>
        </patternFill>
      </fill>
    </dxf>
    <dxf>
      <font>
        <b/>
        <i val="0"/>
        <color rgb="FFFF0000"/>
      </font>
    </dxf>
    <dxf>
      <font>
        <b/>
        <i val="0"/>
      </font>
    </dxf>
    <dxf>
      <font>
        <b/>
        <i val="0"/>
        <color rgb="FFFF0000"/>
      </font>
    </dxf>
    <dxf>
      <font>
        <b/>
        <i val="0"/>
      </font>
    </dxf>
    <dxf>
      <font>
        <b/>
        <i val="0"/>
        <condense val="0"/>
        <extend val="0"/>
        <color indexed="10"/>
      </font>
    </dxf>
    <dxf>
      <font>
        <b/>
        <i val="0"/>
        <condense val="0"/>
        <extend val="0"/>
        <color auto="1"/>
      </font>
    </dxf>
    <dxf>
      <font>
        <b/>
        <i val="0"/>
        <condense val="0"/>
        <extend val="0"/>
        <color auto="1"/>
      </font>
    </dxf>
    <dxf>
      <font>
        <b/>
        <i val="0"/>
        <condense val="0"/>
        <extend val="0"/>
        <color indexed="10"/>
      </font>
    </dxf>
    <dxf>
      <fill>
        <patternFill>
          <bgColor rgb="FFFF0000"/>
        </patternFill>
      </fill>
    </dxf>
    <dxf>
      <font>
        <b/>
        <i val="0"/>
        <color auto="1"/>
      </font>
      <fill>
        <patternFill>
          <bgColor rgb="FFFF0000"/>
        </patternFill>
      </fill>
    </dxf>
    <dxf>
      <font>
        <b/>
        <i val="0"/>
        <condense val="0"/>
        <extend val="0"/>
        <color indexed="10"/>
      </font>
    </dxf>
    <dxf>
      <font>
        <b/>
        <i val="0"/>
        <condense val="0"/>
        <extend val="0"/>
        <color auto="1"/>
      </font>
      <fill>
        <patternFill>
          <bgColor indexed="10"/>
        </patternFill>
      </fill>
    </dxf>
    <dxf>
      <font>
        <b/>
        <i val="0"/>
        <condense val="0"/>
        <extend val="0"/>
        <color indexed="10"/>
      </font>
    </dxf>
    <dxf>
      <fill>
        <patternFill>
          <bgColor rgb="FFFF0000"/>
        </patternFill>
      </fill>
    </dxf>
    <dxf>
      <font>
        <b/>
        <i val="0"/>
        <condense val="0"/>
        <extend val="0"/>
        <color indexed="10"/>
      </font>
    </dxf>
    <dxf>
      <font>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ndense val="0"/>
        <extend val="0"/>
        <color indexed="10"/>
      </font>
    </dxf>
    <dxf>
      <font>
        <color auto="1"/>
      </font>
      <fill>
        <patternFill>
          <bgColor rgb="FFFF0000"/>
        </patternFill>
      </fill>
    </dxf>
    <dxf>
      <font>
        <b/>
        <i val="0"/>
        <condense val="0"/>
        <extend val="0"/>
        <color indexed="10"/>
      </font>
    </dxf>
    <dxf>
      <font>
        <b/>
        <i val="0"/>
        <condense val="0"/>
        <extend val="0"/>
        <color auto="1"/>
      </font>
      <fill>
        <patternFill>
          <bgColor indexed="10"/>
        </patternFill>
      </fill>
    </dxf>
    <dxf>
      <font>
        <b/>
        <i val="0"/>
        <condense val="0"/>
        <extend val="0"/>
        <color indexed="1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Radio" checked="Checked" firstButton="1" fmlaLink="'Days Equivalent Calculation'!$F$127"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Radio" checked="Checked" firstButton="1" fmlaLink="$E$50"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Radio" firstButton="1" fmlaLink="$I$120" lockText="1" noThreeD="1"/>
</file>

<file path=xl/ctrlProps/ctrlProp13.xml><?xml version="1.0" encoding="utf-8"?>
<formControlPr xmlns="http://schemas.microsoft.com/office/spreadsheetml/2009/9/main" objectType="Radio" checked="Checked" lockText="1" noThreeD="1"/>
</file>

<file path=xl/ctrlProps/ctrlProp14.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542925</xdr:colOff>
      <xdr:row>0</xdr:row>
      <xdr:rowOff>0</xdr:rowOff>
    </xdr:from>
    <xdr:to>
      <xdr:col>9</xdr:col>
      <xdr:colOff>590550</xdr:colOff>
      <xdr:row>5</xdr:row>
      <xdr:rowOff>57150</xdr:rowOff>
    </xdr:to>
    <xdr:pic>
      <xdr:nvPicPr>
        <xdr:cNvPr id="18964" name="Picture 1">
          <a:extLst>
            <a:ext uri="{FF2B5EF4-FFF2-40B4-BE49-F238E27FC236}">
              <a16:creationId xmlns:a16="http://schemas.microsoft.com/office/drawing/2014/main" id="{00000000-0008-0000-0000-0000144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3050" y="0"/>
          <a:ext cx="12668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593912</xdr:colOff>
      <xdr:row>5</xdr:row>
      <xdr:rowOff>145676</xdr:rowOff>
    </xdr:from>
    <xdr:to>
      <xdr:col>8</xdr:col>
      <xdr:colOff>291353</xdr:colOff>
      <xdr:row>7</xdr:row>
      <xdr:rowOff>11206</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501588" y="930088"/>
          <a:ext cx="4191000" cy="358589"/>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2000" b="1" i="0" u="none" strike="noStrike">
              <a:solidFill>
                <a:srgbClr val="0000FF"/>
              </a:solidFill>
              <a:latin typeface="Arial" pitchFamily="34" charset="0"/>
              <a:ea typeface="+mn-ea"/>
              <a:cs typeface="Arial" pitchFamily="34" charset="0"/>
            </a:rPr>
            <a:t>MONTHLY OIL QUESTIONNAIRE</a:t>
          </a:r>
          <a:r>
            <a:rPr lang="en-GB" sz="2000">
              <a:solidFill>
                <a:srgbClr val="0000FF"/>
              </a:solidFill>
              <a:latin typeface="Arial" pitchFamily="34" charset="0"/>
              <a:cs typeface="Arial" pitchFamily="34" charset="0"/>
            </a:rPr>
            <a:t> </a:t>
          </a:r>
        </a:p>
      </xdr:txBody>
    </xdr:sp>
    <xdr:clientData/>
  </xdr:twoCellAnchor>
  <mc:AlternateContent xmlns:mc="http://schemas.openxmlformats.org/markup-compatibility/2006">
    <mc:Choice xmlns:a14="http://schemas.microsoft.com/office/drawing/2010/main" Requires="a14">
      <xdr:twoCellAnchor>
        <xdr:from>
          <xdr:col>1</xdr:col>
          <xdr:colOff>95250</xdr:colOff>
          <xdr:row>6</xdr:row>
          <xdr:rowOff>295275</xdr:rowOff>
        </xdr:from>
        <xdr:to>
          <xdr:col>2</xdr:col>
          <xdr:colOff>304800</xdr:colOff>
          <xdr:row>8</xdr:row>
          <xdr:rowOff>123825</xdr:rowOff>
        </xdr:to>
        <xdr:sp macro="" textlink="">
          <xdr:nvSpPr>
            <xdr:cNvPr id="18433" name="Button 1" hidden="1">
              <a:extLst>
                <a:ext uri="{63B3BB69-23CF-44E3-9099-C40C66FF867C}">
                  <a14:compatExt spid="_x0000_s18433"/>
                </a:ext>
                <a:ext uri="{FF2B5EF4-FFF2-40B4-BE49-F238E27FC236}">
                  <a16:creationId xmlns:a16="http://schemas.microsoft.com/office/drawing/2014/main" id="{00000000-0008-0000-0000-0000014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l-NL" sz="1100" b="0" i="0" u="none" strike="noStrike" baseline="0">
                  <a:solidFill>
                    <a:srgbClr val="000000"/>
                  </a:solidFill>
                  <a:latin typeface="Arial"/>
                  <a:cs typeface="Arial"/>
                </a:rPr>
                <a:t>Export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95250</xdr:colOff>
          <xdr:row>12</xdr:row>
          <xdr:rowOff>66675</xdr:rowOff>
        </xdr:from>
        <xdr:to>
          <xdr:col>2</xdr:col>
          <xdr:colOff>304800</xdr:colOff>
          <xdr:row>13</xdr:row>
          <xdr:rowOff>190500</xdr:rowOff>
        </xdr:to>
        <xdr:sp macro="" textlink="">
          <xdr:nvSpPr>
            <xdr:cNvPr id="18434" name="Button 2" descr="Reset" hidden="1">
              <a:extLst>
                <a:ext uri="{63B3BB69-23CF-44E3-9099-C40C66FF867C}">
                  <a14:compatExt spid="_x0000_s18434"/>
                </a:ext>
                <a:ext uri="{FF2B5EF4-FFF2-40B4-BE49-F238E27FC236}">
                  <a16:creationId xmlns:a16="http://schemas.microsoft.com/office/drawing/2014/main" id="{00000000-0008-0000-0000-0000024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l-NL" sz="1100" b="0" i="0" u="none" strike="noStrike" baseline="0">
                  <a:solidFill>
                    <a:srgbClr val="000000"/>
                  </a:solidFill>
                  <a:latin typeface="Arial"/>
                  <a:cs typeface="Arial"/>
                </a:rPr>
                <a:t>Reset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95250</xdr:colOff>
          <xdr:row>9</xdr:row>
          <xdr:rowOff>114300</xdr:rowOff>
        </xdr:from>
        <xdr:to>
          <xdr:col>2</xdr:col>
          <xdr:colOff>304800</xdr:colOff>
          <xdr:row>11</xdr:row>
          <xdr:rowOff>85725</xdr:rowOff>
        </xdr:to>
        <xdr:sp macro="" textlink="">
          <xdr:nvSpPr>
            <xdr:cNvPr id="18435" name="Button 3" hidden="1">
              <a:extLst>
                <a:ext uri="{63B3BB69-23CF-44E3-9099-C40C66FF867C}">
                  <a14:compatExt spid="_x0000_s18435"/>
                </a:ext>
                <a:ext uri="{FF2B5EF4-FFF2-40B4-BE49-F238E27FC236}">
                  <a16:creationId xmlns:a16="http://schemas.microsoft.com/office/drawing/2014/main" id="{00000000-0008-0000-0000-0000034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l-NL" sz="1100" b="0" i="0" u="none" strike="noStrike" baseline="0">
                  <a:solidFill>
                    <a:srgbClr val="000000"/>
                  </a:solidFill>
                  <a:latin typeface="Arial"/>
                  <a:cs typeface="Arial"/>
                </a:rPr>
                <a:t>Import</a:t>
              </a:r>
            </a:p>
          </xdr:txBody>
        </xdr:sp>
        <xdr:clientData fPrintsWithSheet="0"/>
      </xdr:twoCellAnchor>
    </mc:Choice>
    <mc:Fallback/>
  </mc:AlternateContent>
  <xdr:twoCellAnchor editAs="oneCell">
    <xdr:from>
      <xdr:col>0</xdr:col>
      <xdr:colOff>142875</xdr:colOff>
      <xdr:row>0</xdr:row>
      <xdr:rowOff>123825</xdr:rowOff>
    </xdr:from>
    <xdr:to>
      <xdr:col>2</xdr:col>
      <xdr:colOff>314825</xdr:colOff>
      <xdr:row>3</xdr:row>
      <xdr:rowOff>84875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2875" y="123825"/>
          <a:ext cx="1080000" cy="45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3962400</xdr:colOff>
          <xdr:row>122</xdr:row>
          <xdr:rowOff>76200</xdr:rowOff>
        </xdr:from>
        <xdr:to>
          <xdr:col>8</xdr:col>
          <xdr:colOff>219075</xdr:colOff>
          <xdr:row>124</xdr:row>
          <xdr:rowOff>142875</xdr:rowOff>
        </xdr:to>
        <xdr:sp macro="" textlink="">
          <xdr:nvSpPr>
            <xdr:cNvPr id="26667" name="Group Box 43" hidden="1">
              <a:extLst>
                <a:ext uri="{63B3BB69-23CF-44E3-9099-C40C66FF867C}">
                  <a14:compatExt spid="_x0000_s26667"/>
                </a:ext>
                <a:ext uri="{FF2B5EF4-FFF2-40B4-BE49-F238E27FC236}">
                  <a16:creationId xmlns:a16="http://schemas.microsoft.com/office/drawing/2014/main" id="{00000000-0008-0000-0F00-00002B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nl-NL" sz="800" b="0" i="0" u="none" strike="noStrike" baseline="0">
                  <a:solidFill>
                    <a:srgbClr val="000000"/>
                  </a:solidFill>
                  <a:latin typeface="Tahoma"/>
                  <a:ea typeface="Tahoma"/>
                  <a:cs typeface="Tahoma"/>
                </a:rPr>
                <a:t>Method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4029075</xdr:colOff>
          <xdr:row>123</xdr:row>
          <xdr:rowOff>0</xdr:rowOff>
        </xdr:from>
        <xdr:to>
          <xdr:col>3</xdr:col>
          <xdr:colOff>5324475</xdr:colOff>
          <xdr:row>124</xdr:row>
          <xdr:rowOff>66675</xdr:rowOff>
        </xdr:to>
        <xdr:sp macro="" textlink="">
          <xdr:nvSpPr>
            <xdr:cNvPr id="26668" name="Option Button 44" hidden="1">
              <a:extLst>
                <a:ext uri="{63B3BB69-23CF-44E3-9099-C40C66FF867C}">
                  <a14:compatExt spid="_x0000_s26668"/>
                </a:ext>
                <a:ext uri="{FF2B5EF4-FFF2-40B4-BE49-F238E27FC236}">
                  <a16:creationId xmlns:a16="http://schemas.microsoft.com/office/drawing/2014/main" id="{00000000-0008-0000-0F00-00002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(annex III,a)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123</xdr:row>
          <xdr:rowOff>0</xdr:rowOff>
        </xdr:from>
        <xdr:to>
          <xdr:col>7</xdr:col>
          <xdr:colOff>314325</xdr:colOff>
          <xdr:row>124</xdr:row>
          <xdr:rowOff>66675</xdr:rowOff>
        </xdr:to>
        <xdr:sp macro="" textlink="">
          <xdr:nvSpPr>
            <xdr:cNvPr id="26669" name="Option Button 45" hidden="1">
              <a:extLst>
                <a:ext uri="{63B3BB69-23CF-44E3-9099-C40C66FF867C}">
                  <a14:compatExt spid="_x0000_s26669"/>
                </a:ext>
                <a:ext uri="{FF2B5EF4-FFF2-40B4-BE49-F238E27FC236}">
                  <a16:creationId xmlns:a16="http://schemas.microsoft.com/office/drawing/2014/main" id="{00000000-0008-0000-0F00-00002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(annex III,b)</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9525</xdr:colOff>
          <xdr:row>53</xdr:row>
          <xdr:rowOff>133350</xdr:rowOff>
        </xdr:from>
        <xdr:to>
          <xdr:col>3</xdr:col>
          <xdr:colOff>5629275</xdr:colOff>
          <xdr:row>59</xdr:row>
          <xdr:rowOff>28575</xdr:rowOff>
        </xdr:to>
        <xdr:sp macro="" textlink="">
          <xdr:nvSpPr>
            <xdr:cNvPr id="47105" name="Group Box 1" hidden="1">
              <a:extLst>
                <a:ext uri="{63B3BB69-23CF-44E3-9099-C40C66FF867C}">
                  <a14:compatExt spid="_x0000_s47105"/>
                </a:ext>
                <a:ext uri="{FF2B5EF4-FFF2-40B4-BE49-F238E27FC236}">
                  <a16:creationId xmlns:a16="http://schemas.microsoft.com/office/drawing/2014/main" id="{00000000-0008-0000-1000-000001B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nl-NL" sz="800" b="0" i="0" u="none" strike="noStrike" baseline="0">
                  <a:solidFill>
                    <a:srgbClr val="000000"/>
                  </a:solidFill>
                  <a:latin typeface="Segoe UI"/>
                  <a:cs typeface="Segoe UI"/>
                </a:rPr>
                <a:t>Method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54</xdr:row>
          <xdr:rowOff>95250</xdr:rowOff>
        </xdr:from>
        <xdr:to>
          <xdr:col>3</xdr:col>
          <xdr:colOff>2905125</xdr:colOff>
          <xdr:row>55</xdr:row>
          <xdr:rowOff>142875</xdr:rowOff>
        </xdr:to>
        <xdr:sp macro="" textlink="">
          <xdr:nvSpPr>
            <xdr:cNvPr id="47106" name="Option Button 2" hidden="1">
              <a:extLst>
                <a:ext uri="{63B3BB69-23CF-44E3-9099-C40C66FF867C}">
                  <a14:compatExt spid="_x0000_s47106"/>
                </a:ext>
                <a:ext uri="{FF2B5EF4-FFF2-40B4-BE49-F238E27FC236}">
                  <a16:creationId xmlns:a16="http://schemas.microsoft.com/office/drawing/2014/main" id="{00000000-0008-0000-1000-000002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4% default value for naphtha yield (Method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56</xdr:row>
          <xdr:rowOff>9525</xdr:rowOff>
        </xdr:from>
        <xdr:to>
          <xdr:col>3</xdr:col>
          <xdr:colOff>2943225</xdr:colOff>
          <xdr:row>57</xdr:row>
          <xdr:rowOff>66675</xdr:rowOff>
        </xdr:to>
        <xdr:sp macro="" textlink="">
          <xdr:nvSpPr>
            <xdr:cNvPr id="47107" name="Option Button 3" hidden="1">
              <a:extLst>
                <a:ext uri="{63B3BB69-23CF-44E3-9099-C40C66FF867C}">
                  <a14:compatExt spid="_x0000_s47107"/>
                </a:ext>
                <a:ext uri="{FF2B5EF4-FFF2-40B4-BE49-F238E27FC236}">
                  <a16:creationId xmlns:a16="http://schemas.microsoft.com/office/drawing/2014/main" id="{00000000-0008-0000-1000-000003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The average naphtha yield (Method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57</xdr:row>
          <xdr:rowOff>85725</xdr:rowOff>
        </xdr:from>
        <xdr:to>
          <xdr:col>3</xdr:col>
          <xdr:colOff>2924175</xdr:colOff>
          <xdr:row>58</xdr:row>
          <xdr:rowOff>142875</xdr:rowOff>
        </xdr:to>
        <xdr:sp macro="" textlink="">
          <xdr:nvSpPr>
            <xdr:cNvPr id="47108" name="Option Button 4" hidden="1">
              <a:extLst>
                <a:ext uri="{63B3BB69-23CF-44E3-9099-C40C66FF867C}">
                  <a14:compatExt spid="_x0000_s47108"/>
                </a:ext>
                <a:ext uri="{FF2B5EF4-FFF2-40B4-BE49-F238E27FC236}">
                  <a16:creationId xmlns:a16="http://schemas.microsoft.com/office/drawing/2014/main" id="{00000000-0008-0000-1000-000004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 The net actual naphtha consumption (Method 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476250</xdr:colOff>
          <xdr:row>112</xdr:row>
          <xdr:rowOff>142875</xdr:rowOff>
        </xdr:from>
        <xdr:to>
          <xdr:col>10</xdr:col>
          <xdr:colOff>638175</xdr:colOff>
          <xdr:row>115</xdr:row>
          <xdr:rowOff>66675</xdr:rowOff>
        </xdr:to>
        <xdr:sp macro="" textlink="">
          <xdr:nvSpPr>
            <xdr:cNvPr id="47114" name="Group Box 10" hidden="1">
              <a:extLst>
                <a:ext uri="{63B3BB69-23CF-44E3-9099-C40C66FF867C}">
                  <a14:compatExt spid="_x0000_s47114"/>
                </a:ext>
                <a:ext uri="{FF2B5EF4-FFF2-40B4-BE49-F238E27FC236}">
                  <a16:creationId xmlns:a16="http://schemas.microsoft.com/office/drawing/2014/main" id="{00000000-0008-0000-1000-00000AB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nl-NL" sz="800" b="0" i="0" u="none" strike="noStrike" baseline="0">
                  <a:solidFill>
                    <a:srgbClr val="000000"/>
                  </a:solidFill>
                  <a:latin typeface="Segoe UI"/>
                  <a:cs typeface="Segoe UI"/>
                </a:rPr>
                <a:t>Method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504825</xdr:colOff>
          <xdr:row>113</xdr:row>
          <xdr:rowOff>104775</xdr:rowOff>
        </xdr:from>
        <xdr:to>
          <xdr:col>6</xdr:col>
          <xdr:colOff>0</xdr:colOff>
          <xdr:row>114</xdr:row>
          <xdr:rowOff>152400</xdr:rowOff>
        </xdr:to>
        <xdr:sp macro="" textlink="">
          <xdr:nvSpPr>
            <xdr:cNvPr id="47115" name="Option Button 11" hidden="1">
              <a:extLst>
                <a:ext uri="{63B3BB69-23CF-44E3-9099-C40C66FF867C}">
                  <a14:compatExt spid="_x0000_s47115"/>
                </a:ext>
                <a:ext uri="{FF2B5EF4-FFF2-40B4-BE49-F238E27FC236}">
                  <a16:creationId xmlns:a16="http://schemas.microsoft.com/office/drawing/2014/main" id="{00000000-0008-0000-1000-00000B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Follow Annex III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113</xdr:row>
          <xdr:rowOff>85725</xdr:rowOff>
        </xdr:from>
        <xdr:to>
          <xdr:col>10</xdr:col>
          <xdr:colOff>581025</xdr:colOff>
          <xdr:row>114</xdr:row>
          <xdr:rowOff>142875</xdr:rowOff>
        </xdr:to>
        <xdr:sp macro="" textlink="">
          <xdr:nvSpPr>
            <xdr:cNvPr id="47116" name="Option Button 12" hidden="1">
              <a:extLst>
                <a:ext uri="{63B3BB69-23CF-44E3-9099-C40C66FF867C}">
                  <a14:compatExt spid="_x0000_s47116"/>
                </a:ext>
                <a:ext uri="{FF2B5EF4-FFF2-40B4-BE49-F238E27FC236}">
                  <a16:creationId xmlns:a16="http://schemas.microsoft.com/office/drawing/2014/main" id="{00000000-0008-0000-1000-00000C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Follow Annex III (b)</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8</xdr:col>
          <xdr:colOff>114300</xdr:colOff>
          <xdr:row>17</xdr:row>
          <xdr:rowOff>114300</xdr:rowOff>
        </xdr:from>
        <xdr:to>
          <xdr:col>11</xdr:col>
          <xdr:colOff>533400</xdr:colOff>
          <xdr:row>22</xdr:row>
          <xdr:rowOff>57150</xdr:rowOff>
        </xdr:to>
        <xdr:sp macro="" textlink="">
          <xdr:nvSpPr>
            <xdr:cNvPr id="21505" name="Button 1" hidden="1">
              <a:extLst>
                <a:ext uri="{63B3BB69-23CF-44E3-9099-C40C66FF867C}">
                  <a14:compatExt spid="_x0000_s21505"/>
                </a:ext>
                <a:ext uri="{FF2B5EF4-FFF2-40B4-BE49-F238E27FC236}">
                  <a16:creationId xmlns:a16="http://schemas.microsoft.com/office/drawing/2014/main" id="{00000000-0008-0000-1100-00000154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1200" b="0" i="0" u="none" strike="noStrike" baseline="0">
                  <a:solidFill>
                    <a:srgbClr val="000000"/>
                  </a:solidFill>
                  <a:latin typeface="Arial"/>
                  <a:cs typeface="Arial"/>
                </a:rPr>
                <a:t>Fill all the forms with</a:t>
              </a:r>
            </a:p>
            <a:p>
              <a:pPr algn="ctr" rtl="0">
                <a:defRPr sz="1000"/>
              </a:pPr>
              <a:r>
                <a:rPr lang="nl-NL" sz="1200" b="0" i="0" u="none" strike="noStrike" baseline="0">
                  <a:solidFill>
                    <a:srgbClr val="000000"/>
                  </a:solidFill>
                  <a:latin typeface="Arial"/>
                  <a:cs typeface="Arial"/>
                </a:rPr>
                <a:t>a value you will enter</a:t>
              </a:r>
            </a:p>
          </xdr:txBody>
        </xdr:sp>
        <xdr:clientData fPrint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7" Type="http://schemas.openxmlformats.org/officeDocument/2006/relationships/comments" Target="../comments14.xml"/><Relationship Id="rId2" Type="http://schemas.openxmlformats.org/officeDocument/2006/relationships/drawing" Target="../drawings/drawing2.xml"/><Relationship Id="rId1" Type="http://schemas.openxmlformats.org/officeDocument/2006/relationships/printerSettings" Target="../printerSettings/printerSettings16.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16.vml"/><Relationship Id="rId7" Type="http://schemas.openxmlformats.org/officeDocument/2006/relationships/ctrlProp" Target="../ctrlProps/ctrlProp10.xml"/><Relationship Id="rId2" Type="http://schemas.openxmlformats.org/officeDocument/2006/relationships/drawing" Target="../drawings/drawing3.xml"/><Relationship Id="rId1" Type="http://schemas.openxmlformats.org/officeDocument/2006/relationships/printerSettings" Target="../printerSettings/printerSettings17.bin"/><Relationship Id="rId6" Type="http://schemas.openxmlformats.org/officeDocument/2006/relationships/ctrlProp" Target="../ctrlProps/ctrlProp9.xml"/><Relationship Id="rId11" Type="http://schemas.openxmlformats.org/officeDocument/2006/relationships/comments" Target="../comments15.xml"/><Relationship Id="rId5" Type="http://schemas.openxmlformats.org/officeDocument/2006/relationships/ctrlProp" Target="../ctrlProps/ctrlProp8.xml"/><Relationship Id="rId10" Type="http://schemas.openxmlformats.org/officeDocument/2006/relationships/ctrlProp" Target="../ctrlProps/ctrlProp13.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4.xml"/><Relationship Id="rId1" Type="http://schemas.openxmlformats.org/officeDocument/2006/relationships/printerSettings" Target="../printerSettings/printerSettings18.bin"/><Relationship Id="rId4" Type="http://schemas.openxmlformats.org/officeDocument/2006/relationships/ctrlProp" Target="../ctrlProps/ctrlProp14.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8.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01">
    <pageSetUpPr fitToPage="1"/>
  </sheetPr>
  <dimension ref="A1:EE1000"/>
  <sheetViews>
    <sheetView tabSelected="1" zoomScaleNormal="100" workbookViewId="0">
      <selection activeCell="H27" sqref="H27"/>
    </sheetView>
  </sheetViews>
  <sheetFormatPr defaultColWidth="9.140625" defaultRowHeight="12.75" x14ac:dyDescent="0.2"/>
  <cols>
    <col min="1" max="1" width="4.140625" style="2" customWidth="1"/>
    <col min="2" max="2" width="9.42578125" style="2" bestFit="1" customWidth="1"/>
    <col min="3" max="3" width="9.140625" style="2"/>
    <col min="4" max="4" width="22" style="2" customWidth="1"/>
    <col min="5" max="10" width="9.140625" style="2"/>
    <col min="11" max="11" width="23.28515625" style="2" customWidth="1"/>
    <col min="12" max="16384" width="9.140625" style="2"/>
  </cols>
  <sheetData>
    <row r="1" spans="1:135" x14ac:dyDescent="0.2">
      <c r="A1" s="161"/>
      <c r="C1" s="45"/>
      <c r="D1" s="46"/>
      <c r="E1" s="164"/>
      <c r="K1" s="26"/>
    </row>
    <row r="2" spans="1:135" x14ac:dyDescent="0.2">
      <c r="A2" s="162"/>
      <c r="D2" s="46"/>
      <c r="E2" s="46"/>
      <c r="L2" s="47"/>
    </row>
    <row r="3" spans="1:135" x14ac:dyDescent="0.2">
      <c r="A3" s="163"/>
      <c r="D3" s="48"/>
      <c r="E3" s="48"/>
      <c r="F3" s="47"/>
      <c r="G3" s="47"/>
      <c r="H3" s="47"/>
      <c r="I3" s="47"/>
      <c r="J3" s="47"/>
      <c r="L3" s="47"/>
    </row>
    <row r="4" spans="1:135" x14ac:dyDescent="0.2">
      <c r="A4" s="163"/>
      <c r="D4" s="48"/>
      <c r="E4" s="48"/>
      <c r="F4" s="47"/>
      <c r="G4" s="47"/>
      <c r="H4" s="47"/>
      <c r="I4" s="47"/>
      <c r="J4" s="47"/>
      <c r="K4" s="47"/>
      <c r="L4" s="47"/>
    </row>
    <row r="5" spans="1:135" x14ac:dyDescent="0.2">
      <c r="D5" s="621" t="str">
        <f>IF('Table 1'!D2=0,"",'Table 1'!D2)</f>
        <v>Netherlands</v>
      </c>
      <c r="F5" s="47"/>
      <c r="G5" s="57" t="str">
        <f>IF(EXACT(CountryUser,"(select country)"),"",(IF('Table 1'!D3=0,"",'Table 1'!D3 &amp; " " &amp; QuestYear)))</f>
        <v>September 2026</v>
      </c>
      <c r="H5" s="47"/>
      <c r="I5" s="47"/>
      <c r="J5" s="47"/>
      <c r="K5" s="47"/>
      <c r="L5" s="47"/>
    </row>
    <row r="6" spans="1:135" ht="15" x14ac:dyDescent="0.25">
      <c r="E6" s="48"/>
      <c r="F6" s="47"/>
      <c r="G6" s="47"/>
      <c r="H6" s="47"/>
      <c r="I6" s="47"/>
      <c r="J6" s="47"/>
      <c r="K6" s="47"/>
      <c r="L6" s="47"/>
      <c r="M6" s="47"/>
      <c r="DS6" s="643" t="s">
        <v>1121</v>
      </c>
      <c r="DT6" s="644"/>
      <c r="DU6" s="645"/>
      <c r="DV6" s="645"/>
      <c r="DW6" s="645"/>
      <c r="DX6" s="645"/>
      <c r="DY6" s="645"/>
      <c r="DZ6" s="645"/>
      <c r="EA6" s="645"/>
      <c r="EB6" s="645"/>
      <c r="EC6" s="645"/>
      <c r="ED6" s="645"/>
    </row>
    <row r="7" spans="1:135" ht="33.75" x14ac:dyDescent="0.4">
      <c r="D7" s="49"/>
      <c r="E7" s="48"/>
      <c r="F7" s="47"/>
      <c r="G7" s="47"/>
      <c r="H7" s="47"/>
      <c r="I7" s="47"/>
      <c r="J7" s="47"/>
      <c r="K7" s="47"/>
      <c r="L7" s="47"/>
      <c r="M7" s="47"/>
      <c r="DS7" s="646" t="s">
        <v>1122</v>
      </c>
      <c r="DT7" s="646" t="s">
        <v>1113</v>
      </c>
      <c r="DU7" s="646" t="s">
        <v>1123</v>
      </c>
      <c r="DV7" s="646" t="s">
        <v>1124</v>
      </c>
      <c r="DW7" s="646" t="s">
        <v>1125</v>
      </c>
      <c r="DX7" s="646" t="s">
        <v>1126</v>
      </c>
      <c r="DY7" s="646" t="s">
        <v>415</v>
      </c>
      <c r="DZ7" s="646" t="s">
        <v>1127</v>
      </c>
      <c r="EA7" s="646" t="s">
        <v>1128</v>
      </c>
      <c r="EB7" s="646" t="s">
        <v>1129</v>
      </c>
      <c r="EC7" s="646" t="s">
        <v>1130</v>
      </c>
      <c r="ED7" s="646" t="s">
        <v>1131</v>
      </c>
      <c r="EE7" s="646" t="s">
        <v>1244</v>
      </c>
    </row>
    <row r="8" spans="1:135" ht="15" customHeight="1" x14ac:dyDescent="0.35">
      <c r="B8" s="50"/>
      <c r="D8" s="1101">
        <v>2026.1</v>
      </c>
      <c r="E8" s="1101"/>
      <c r="F8" s="1101"/>
      <c r="G8" s="1101"/>
      <c r="H8" s="1101"/>
      <c r="I8" s="1101"/>
      <c r="J8" s="1091"/>
      <c r="K8" s="47"/>
      <c r="L8" s="47"/>
      <c r="M8" s="47"/>
      <c r="DS8" s="647" t="str">
        <f>VLOOKUP(CountryUser,Param!$C$9:$E$67,3,0)</f>
        <v>NL</v>
      </c>
      <c r="DU8" s="647" t="s">
        <v>1134</v>
      </c>
      <c r="DV8" s="647" t="s">
        <v>1134</v>
      </c>
      <c r="DW8" s="647" t="s">
        <v>1134</v>
      </c>
      <c r="DX8" s="647" t="s">
        <v>1134</v>
      </c>
      <c r="DY8" s="647" t="s">
        <v>1134</v>
      </c>
      <c r="DZ8" s="647" t="s">
        <v>1134</v>
      </c>
      <c r="EA8" s="647" t="s">
        <v>1134</v>
      </c>
      <c r="EB8" s="647" t="s">
        <v>1134</v>
      </c>
      <c r="EC8" s="647" t="s">
        <v>1134</v>
      </c>
      <c r="ED8" s="647" t="s">
        <v>1134</v>
      </c>
      <c r="EE8" s="647" t="str">
        <f>QuestYear&amp;"-"&amp;TEXT(MATCH(FirstMonth,Param!C71:C82,0),"00")</f>
        <v>2026-09</v>
      </c>
    </row>
    <row r="9" spans="1:135" ht="15" customHeight="1" x14ac:dyDescent="0.25">
      <c r="B9" s="51"/>
      <c r="D9" s="52" t="s">
        <v>1379</v>
      </c>
      <c r="E9" s="46"/>
      <c r="L9" s="47"/>
      <c r="M9" s="47"/>
    </row>
    <row r="10" spans="1:135" ht="15" customHeight="1" x14ac:dyDescent="0.25">
      <c r="B10" s="51"/>
      <c r="D10" s="52" t="s">
        <v>0</v>
      </c>
      <c r="E10" s="46"/>
      <c r="L10" s="47"/>
      <c r="M10" s="47"/>
    </row>
    <row r="11" spans="1:135" ht="15" customHeight="1" x14ac:dyDescent="0.25">
      <c r="B11" s="51"/>
      <c r="D11" s="52" t="s">
        <v>1</v>
      </c>
      <c r="E11" s="46"/>
      <c r="L11" s="47"/>
      <c r="M11" s="47"/>
    </row>
    <row r="12" spans="1:135" ht="15" customHeight="1" x14ac:dyDescent="0.25">
      <c r="B12" s="51"/>
      <c r="D12" s="52" t="s">
        <v>927</v>
      </c>
      <c r="E12" s="46"/>
      <c r="L12" s="47"/>
      <c r="M12" s="47"/>
    </row>
    <row r="13" spans="1:135" ht="18" customHeight="1" x14ac:dyDescent="0.25">
      <c r="B13" s="51"/>
      <c r="D13" s="52" t="s">
        <v>114</v>
      </c>
      <c r="E13" s="48"/>
      <c r="F13" s="47"/>
      <c r="G13" s="47"/>
      <c r="L13" s="47"/>
      <c r="M13" s="47"/>
    </row>
    <row r="14" spans="1:135" ht="20.25" x14ac:dyDescent="0.3">
      <c r="D14" s="53" t="s">
        <v>924</v>
      </c>
      <c r="J14" s="620" t="s">
        <v>925</v>
      </c>
      <c r="L14" s="47"/>
      <c r="M14" s="47"/>
    </row>
    <row r="15" spans="1:135" ht="20.25" x14ac:dyDescent="0.3">
      <c r="D15" s="619" t="s">
        <v>926</v>
      </c>
      <c r="J15" s="620" t="s">
        <v>1374</v>
      </c>
    </row>
    <row r="16" spans="1:135" ht="23.25" x14ac:dyDescent="0.35">
      <c r="B16" s="54" t="s">
        <v>902</v>
      </c>
      <c r="C16" s="55"/>
      <c r="D16" s="55"/>
      <c r="E16" s="55"/>
      <c r="F16" s="55"/>
      <c r="G16" s="55"/>
      <c r="H16" s="55"/>
      <c r="I16" s="55"/>
      <c r="J16" s="55"/>
      <c r="K16" s="55"/>
      <c r="L16" s="47"/>
      <c r="M16" s="47"/>
    </row>
    <row r="17" spans="2:4" ht="18" x14ac:dyDescent="0.25">
      <c r="B17" s="30"/>
      <c r="D17" s="29"/>
    </row>
    <row r="18" spans="2:4" ht="18" customHeight="1" x14ac:dyDescent="0.2">
      <c r="B18" s="56" t="str">
        <f>'Table 1'!A8</f>
        <v>Table 1: SUPPLY OF CRUDE OIL, NGL, REFINERY FEEDSTOCKS, ADDITIVES AND OTHER HYDROCARBONS</v>
      </c>
    </row>
    <row r="19" spans="2:4" ht="17.25" customHeight="1" x14ac:dyDescent="0.2">
      <c r="B19" s="44" t="str">
        <f>IF('Table 1'!H28=0,"","Total Backflows in Table 1 is not equal to Total Backflows in Table 2.")</f>
        <v/>
      </c>
    </row>
    <row r="20" spans="2:4" x14ac:dyDescent="0.2">
      <c r="B20" s="44" t="str">
        <f>IF('Table 1'!H29=0,"","Total Products transferred in Table 1 is not equal to Total Products transferred in Table 2.")</f>
        <v>Total Products transferred in Table 1 is not equal to Total Products transferred in Table 2.</v>
      </c>
    </row>
    <row r="21" spans="2:4" x14ac:dyDescent="0.2">
      <c r="B21" s="44" t="str">
        <f>IF('Table 1'!H30=0,"","Total Imports in Table 1 is not equal to Total Imports in Table 3.")</f>
        <v>Total Imports in Table 1 is not equal to Total Imports in Table 3.</v>
      </c>
    </row>
    <row r="22" spans="2:4" x14ac:dyDescent="0.2">
      <c r="B22" s="44" t="str">
        <f>IF('Table 1'!H31=0,"","Total Exports in Table 1 is not equal to Total Exports in Table 4.")</f>
        <v>Total Exports in Table 1 is not equal to Total Exports in Table 4.</v>
      </c>
    </row>
    <row r="23" spans="2:4" x14ac:dyDescent="0.2">
      <c r="B23" s="44" t="str">
        <f>IF('Table 1'!H32=0,"","Total Direct use in Table 1 is not equal to Total Primary product receipts in Table 2.")</f>
        <v/>
      </c>
    </row>
    <row r="24" spans="2:4" x14ac:dyDescent="0.2">
      <c r="B24" s="44" t="str">
        <f>IF('Table 1'!H33=0,"","Total Stock changes in Table 1 is not equal to Total Closing stocks minus Total Opening stocks in Table 5.")</f>
        <v/>
      </c>
    </row>
    <row r="25" spans="2:4" x14ac:dyDescent="0.2">
      <c r="B25" s="44" t="str">
        <f>IF('Table 1'!$H$34=0,"","Refinery losses not equal to difference between refinery intake and gross output")</f>
        <v/>
      </c>
    </row>
    <row r="26" spans="2:4" x14ac:dyDescent="0.2">
      <c r="B26" s="44" t="str">
        <f>IF(MIN('Table 1'!D14,'Table 1'!D18:D20,'Table 1'!D24,'Table 1'!E14,'Table 1'!E18:E20,'Table 1'!E24,'Table 1'!F16:F20,'Table 1'!F24,'Table 1'!G14:G15,'Table 1'!G18:G20,'Table 1'!G24:G24,'Table 1'!I14:I15,'Table 1'!I18:I20,'Table 1'!I24,'Table 1'!J14:J20,'Table 1'!J24:J24,'Table 1'!J22)&lt;0,"There are some NEGATIVE numbers.","")</f>
        <v/>
      </c>
    </row>
    <row r="27" spans="2:4" ht="18" customHeight="1" x14ac:dyDescent="0.2">
      <c r="B27" s="56" t="str">
        <f>'Table 2'!A4</f>
        <v>Table 2: SUPPLY OF FINISHED PRODUCTS</v>
      </c>
    </row>
    <row r="28" spans="2:4" x14ac:dyDescent="0.2">
      <c r="B28" s="2" t="str">
        <f>IF('Table 2'!I32="OK","",'Table 2'!I32)</f>
        <v/>
      </c>
    </row>
    <row r="29" spans="2:4" x14ac:dyDescent="0.2">
      <c r="B29" s="2" t="str">
        <f>IF('Table 2'!I33="OK","",'Table 2'!I33)</f>
        <v>Imports (Balance) for Total products is not equal to Total Imports in Table 3 for Total products.</v>
      </c>
    </row>
    <row r="30" spans="2:4" x14ac:dyDescent="0.2">
      <c r="B30" s="2" t="str">
        <f>IF('Table 2'!I34="OK","",'Table 2'!I34)</f>
        <v>Exports (Balance) for Total products is not equal to Total Exports in Table 4 for Total products.</v>
      </c>
    </row>
    <row r="31" spans="2:4" x14ac:dyDescent="0.2">
      <c r="B31" s="2" t="str">
        <f>IF('Table 2'!I35="OK","",'Table 2'!I35)</f>
        <v>Interproduct transfers of Total products is not equal to 0.</v>
      </c>
    </row>
    <row r="32" spans="2:4" x14ac:dyDescent="0.2">
      <c r="B32" s="2" t="str">
        <f>IF('Table 2'!I36="OK","",'Table 2'!I36)</f>
        <v>Products transferred of Total products is not equal to Products transferred of Total in Table 1.</v>
      </c>
    </row>
    <row r="33" spans="2:2" x14ac:dyDescent="0.2">
      <c r="B33" s="2" t="str">
        <f>IF('Table 2'!I37="OK","",'Table 2'!I37)</f>
        <v/>
      </c>
    </row>
    <row r="34" spans="2:2" x14ac:dyDescent="0.2">
      <c r="B34" s="2" t="str">
        <f>IF('Table 2'!I39="OK","",'Table 2'!I39)</f>
        <v/>
      </c>
    </row>
    <row r="35" spans="2:2" x14ac:dyDescent="0.2">
      <c r="B35" s="2" t="str">
        <f>IF('Table 2'!I40="OK","",'Table 2'!I40)</f>
        <v/>
      </c>
    </row>
    <row r="36" spans="2:2" x14ac:dyDescent="0.2">
      <c r="B36" s="2" t="str">
        <f>IF('Table 2'!I41="OK","",'Table 2'!I41)</f>
        <v/>
      </c>
    </row>
    <row r="37" spans="2:2" x14ac:dyDescent="0.2">
      <c r="B37" s="2" t="str">
        <f>IF('Table 2'!I42="OK","",'Table 2'!I42)</f>
        <v/>
      </c>
    </row>
    <row r="38" spans="2:2" x14ac:dyDescent="0.2">
      <c r="B38" s="2" t="str">
        <f>IF('Table 2'!I43="OK","",'Table 2'!I43)</f>
        <v/>
      </c>
    </row>
    <row r="39" spans="2:2" x14ac:dyDescent="0.2">
      <c r="B39" s="2" t="str">
        <f>IF('Table 2'!I44="OK","",'Table 2'!I44)</f>
        <v/>
      </c>
    </row>
    <row r="40" spans="2:2" x14ac:dyDescent="0.2">
      <c r="B40" s="44" t="str">
        <f>IF(MIN('Table 2'!D8:AD8,'Table 2'!F9:AD11,'Table 2'!G12:AD13,'Table 2'!F14:AD14,'Table 2'!F16:AD16,'Table 2'!D20:AD20,'Table 2'!D22:AD22,'Table 2'!W23:W23,'Table 2'!AD23:AD23,'Table 2'!N21:O21,'Table 2'!M21,'Table 2'!H23)&lt;0,"There are some NEGATIVE numbers.","")</f>
        <v/>
      </c>
    </row>
    <row r="41" spans="2:2" ht="18" customHeight="1" x14ac:dyDescent="0.2">
      <c r="B41" s="56" t="str">
        <f>LEFT('Table 3'!A4,26)</f>
        <v>Table 3: IMPORTS BY ORIGIN</v>
      </c>
    </row>
    <row r="42" spans="2:2" x14ac:dyDescent="0.2">
      <c r="B42" s="2" t="str">
        <f>IF('Table 3'!H177=0,"","Total Crude oil Imports in Table 3 is not equal to Total Imports in Table 1.")</f>
        <v>Total Crude oil Imports in Table 3 is not equal to Total Imports in Table 1.</v>
      </c>
    </row>
    <row r="43" spans="2:2" x14ac:dyDescent="0.2">
      <c r="B43" s="2" t="str">
        <f>IF('Table 3'!H178=0,"","Total Products Imports in Table 3 is not equal to Total Imports in Table 2.")</f>
        <v>Total Products Imports in Table 3 is not equal to Total Imports in Table 2.</v>
      </c>
    </row>
    <row r="44" spans="2:2" x14ac:dyDescent="0.2">
      <c r="B44" s="2" t="str">
        <f>IF('Table 3'!H179=0,"","Total Imports in Table 3 is not equal to the sum of its components for Total.")</f>
        <v/>
      </c>
    </row>
    <row r="45" spans="2:2" x14ac:dyDescent="0.2">
      <c r="B45" s="2" t="str">
        <f>IF('Table 3'!H180=0,"","Total Imports in Table 3 is not equal to the sum of its components for Total products.")</f>
        <v/>
      </c>
    </row>
    <row r="46" spans="2:2" x14ac:dyDescent="0.2">
      <c r="B46" s="2" t="str">
        <f ca="1">IF('Table 3'!$H$181=0,"","Country is reporting imports to itself")</f>
        <v/>
      </c>
    </row>
    <row r="47" spans="2:2" x14ac:dyDescent="0.2">
      <c r="B47" s="2" t="str">
        <f>IF(MIN('Table 3'!C8:AG174)&lt;0,"There are some NEGATIVE imports.","")</f>
        <v/>
      </c>
    </row>
    <row r="48" spans="2:2" ht="18" customHeight="1" x14ac:dyDescent="0.2">
      <c r="B48" s="56" t="str">
        <f>LEFT('Table 4'!A4,31)</f>
        <v>Table 4: EXPORTS BY DESTINATION</v>
      </c>
    </row>
    <row r="49" spans="2:2" x14ac:dyDescent="0.2">
      <c r="B49" s="2" t="str">
        <f>IF('Table 4'!H177=0,"","Exports of Total in Table 4 is not equal to the Total Exports in Table 1.")</f>
        <v>Exports of Total in Table 4 is not equal to the Total Exports in Table 1.</v>
      </c>
    </row>
    <row r="50" spans="2:2" x14ac:dyDescent="0.2">
      <c r="B50" s="2" t="str">
        <f>IF('Table 4'!H178=0,"","Total products Exports in Table 4 is not equal to Total Exports in Table 2.")</f>
        <v>Total products Exports in Table 4 is not equal to Total Exports in Table 2.</v>
      </c>
    </row>
    <row r="51" spans="2:2" x14ac:dyDescent="0.2">
      <c r="B51" s="2" t="str">
        <f>IF('Table 4'!H179=0,"","Total Exports in Table 4 is not equal to the sum of its components for Total.")</f>
        <v/>
      </c>
    </row>
    <row r="52" spans="2:2" x14ac:dyDescent="0.2">
      <c r="B52" s="2" t="str">
        <f>IF('Table 4'!H180=0,"","Total Exports in Table 4 is not equal to the sum of its components for Total products.")</f>
        <v/>
      </c>
    </row>
    <row r="53" spans="2:2" x14ac:dyDescent="0.2">
      <c r="B53" s="2" t="str">
        <f ca="1">IF('Table 4'!$H$181=0,"","Country is reporting exports to itself")</f>
        <v/>
      </c>
    </row>
    <row r="54" spans="2:2" x14ac:dyDescent="0.2">
      <c r="B54" s="2" t="str">
        <f>IF(MIN('Table 4'!C8:AG173)&lt;0,"There are some NEGATIVE exports.","")</f>
        <v>There are some NEGATIVE exports.</v>
      </c>
    </row>
    <row r="55" spans="2:2" ht="18" customHeight="1" x14ac:dyDescent="0.2">
      <c r="B55" s="56" t="str">
        <f>'Table 5'!A4</f>
        <v>Table 5: STOCK LEVELS</v>
      </c>
    </row>
    <row r="56" spans="2:2" x14ac:dyDescent="0.2">
      <c r="B56" s="2" t="str">
        <f>IF('Table 5'!I48=0,"","Closing stocks minus opening stocks on national territory for Total is not equal to Stock changes in Table 1.")</f>
        <v/>
      </c>
    </row>
    <row r="57" spans="2:2" x14ac:dyDescent="0.2">
      <c r="B57" s="2" t="str">
        <f>IF('Table 5'!I49=0,"","Closing stocks minus opening stocks on national territory for Total products is not equal to Stock changes in Table 2.")</f>
        <v/>
      </c>
    </row>
    <row r="58" spans="2:2" x14ac:dyDescent="0.2">
      <c r="B58" s="2" t="str">
        <f>IF('Table 5'!I50=0,"","Total Stocks held for other countries under official agreement for Total is not equal to total of the same type of stocks in Table 6.")</f>
        <v/>
      </c>
    </row>
    <row r="59" spans="2:2" x14ac:dyDescent="0.2">
      <c r="B59" s="2" t="str">
        <f>IF('Table 5'!I51=0,"","Total Stocks held for other countries under official agreement for Total products is not equal to total of the same type of stocks in Table 6.")</f>
        <v>Total Stocks held for other countries under official agreement for Total products is not equal to total of the same type of stocks in Table 6.</v>
      </c>
    </row>
    <row r="60" spans="2:2" x14ac:dyDescent="0.2">
      <c r="B60" s="2" t="str">
        <f>IF('Table 5'!I52=0,"","Total Other stocks with known foreign destination for Total is not equal to total of the same type of stocks in Table 7.")</f>
        <v/>
      </c>
    </row>
    <row r="61" spans="2:2" x14ac:dyDescent="0.2">
      <c r="B61" s="2" t="str">
        <f>IF('Table 5'!I53=0,"","Total Other stocks with known foreign destination for Total products is not equal to total of the same type of stocks in Table 7.")</f>
        <v/>
      </c>
    </row>
    <row r="62" spans="2:2" x14ac:dyDescent="0.2">
      <c r="B62" s="2" t="str">
        <f>IF('Table 5'!I54=0,"","Total Stocks held abroad under official agreement for Total is not equal to total of the same type of stocks in Table 8.")</f>
        <v/>
      </c>
    </row>
    <row r="63" spans="2:2" x14ac:dyDescent="0.2">
      <c r="B63" s="2" t="str">
        <f>IF('Table 5'!I55=0,"","Total Stocks held abroad under official agreement for Total products is not equal to total of the same type of stocks in Table 8.")</f>
        <v/>
      </c>
    </row>
    <row r="64" spans="2:2" x14ac:dyDescent="0.2">
      <c r="B64" s="2" t="str">
        <f>IF('Table 5'!I56=0,"","Total Stocks held abroad designated definitely for import into your country for Total is not equal to total of the same type of stocks in Table 9.")</f>
        <v/>
      </c>
    </row>
    <row r="65" spans="2:2" x14ac:dyDescent="0.2">
      <c r="B65" s="2" t="str">
        <f>IF('Table 5'!I57=0,"","Total Stocks held abroad designated definitely for import into your country for Total products is not equal to total of the same type of stocks in Table 9.")</f>
        <v/>
      </c>
    </row>
    <row r="66" spans="2:2" x14ac:dyDescent="0.2">
      <c r="B66" s="2" t="str">
        <f>IF(MIN('Table 5'!D8:AF43)&lt;0,"There are some NEGATIVE numbers.","")</f>
        <v/>
      </c>
    </row>
    <row r="1000" spans="4:4" x14ac:dyDescent="0.2">
      <c r="D1000" s="647" t="s">
        <v>1134</v>
      </c>
    </row>
  </sheetData>
  <sheetProtection algorithmName="SHA-512" hashValue="yCQtvrIwEHZdDMMD5yHnh5fsvg5b2lYbW1dypcZsRXZ4RyavH9500PfSxGd6ubplPO+9eX6GQxEF4rKkgIMMLg==" saltValue="TxzF51doaHCFETgpyrMzJg==" spinCount="100000" sheet="1" objects="1" scenarios="1"/>
  <mergeCells count="1">
    <mergeCell ref="D8:I8"/>
  </mergeCells>
  <phoneticPr fontId="44" type="noConversion"/>
  <conditionalFormatting sqref="D5">
    <cfRule type="containsText" dxfId="1178" priority="2" stopIfTrue="1" operator="containsText" text="(select country)">
      <formula>NOT(ISERROR(SEARCH("(select country)",D5)))</formula>
    </cfRule>
  </conditionalFormatting>
  <pageMargins left="0.78740157480314965" right="0.78740157480314965" top="0.78740157480314965" bottom="0.78740157480314965" header="0.39370078740157483" footer="0.39370078740157483"/>
  <pageSetup paperSize="9" scale="70" orientation="portrait" r:id="rId1"/>
  <headerFooter alignWithMargins="0">
    <oddHeader>&amp;A</oddHeader>
    <oddFooter>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433" r:id="rId4" name="Button 1">
              <controlPr defaultSize="0" print="0" autoFill="0" autoPict="0" macro="[0]!CreateAsciiFileWithoutZeros">
                <anchor moveWithCells="1" sizeWithCells="1">
                  <from>
                    <xdr:col>1</xdr:col>
                    <xdr:colOff>95250</xdr:colOff>
                    <xdr:row>6</xdr:row>
                    <xdr:rowOff>295275</xdr:rowOff>
                  </from>
                  <to>
                    <xdr:col>2</xdr:col>
                    <xdr:colOff>304800</xdr:colOff>
                    <xdr:row>8</xdr:row>
                    <xdr:rowOff>123825</xdr:rowOff>
                  </to>
                </anchor>
              </controlPr>
            </control>
          </mc:Choice>
        </mc:AlternateContent>
        <mc:AlternateContent xmlns:mc="http://schemas.openxmlformats.org/markup-compatibility/2006">
          <mc:Choice Requires="x14">
            <control shapeId="18434" r:id="rId5" name="Button 2">
              <controlPr defaultSize="0" print="0" autoFill="0" autoPict="0" macro="[0]!EmptyForms" altText="Reset">
                <anchor moveWithCells="1" sizeWithCells="1">
                  <from>
                    <xdr:col>1</xdr:col>
                    <xdr:colOff>95250</xdr:colOff>
                    <xdr:row>12</xdr:row>
                    <xdr:rowOff>66675</xdr:rowOff>
                  </from>
                  <to>
                    <xdr:col>2</xdr:col>
                    <xdr:colOff>304800</xdr:colOff>
                    <xdr:row>13</xdr:row>
                    <xdr:rowOff>190500</xdr:rowOff>
                  </to>
                </anchor>
              </controlPr>
            </control>
          </mc:Choice>
        </mc:AlternateContent>
        <mc:AlternateContent xmlns:mc="http://schemas.openxmlformats.org/markup-compatibility/2006">
          <mc:Choice Requires="x14">
            <control shapeId="18435" r:id="rId6" name="Button 3">
              <controlPr defaultSize="0" print="0" autoFill="0" autoPict="0" macro="[0]!BeginImport">
                <anchor moveWithCells="1" sizeWithCells="1">
                  <from>
                    <xdr:col>1</xdr:col>
                    <xdr:colOff>95250</xdr:colOff>
                    <xdr:row>9</xdr:row>
                    <xdr:rowOff>114300</xdr:rowOff>
                  </from>
                  <to>
                    <xdr:col>2</xdr:col>
                    <xdr:colOff>304800</xdr:colOff>
                    <xdr:row>11</xdr:row>
                    <xdr:rowOff>85725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02">
    <pageSetUpPr fitToPage="1"/>
  </sheetPr>
  <dimension ref="A1:EE1000"/>
  <sheetViews>
    <sheetView zoomScaleNormal="100" workbookViewId="0">
      <pane xSplit="3" ySplit="13" topLeftCell="D14" activePane="bottomRight" state="frozen"/>
      <selection activeCell="DS9" sqref="DS9"/>
      <selection pane="topRight" activeCell="DS9" sqref="DS9"/>
      <selection pane="bottomLeft" activeCell="DS9" sqref="DS9"/>
      <selection pane="bottomRight"/>
    </sheetView>
  </sheetViews>
  <sheetFormatPr defaultColWidth="9.140625" defaultRowHeight="12.75" x14ac:dyDescent="0.2"/>
  <cols>
    <col min="1" max="1" width="2" style="2" customWidth="1"/>
    <col min="2" max="2" width="32.7109375" style="2" customWidth="1"/>
    <col min="3" max="3" width="3.28515625" style="2" bestFit="1" customWidth="1"/>
    <col min="4" max="7" width="14.140625" style="2" customWidth="1"/>
    <col min="8" max="8" width="12.5703125" style="2" customWidth="1"/>
    <col min="9" max="9" width="13.7109375" style="2" customWidth="1"/>
    <col min="10" max="10" width="13.5703125" style="2" customWidth="1"/>
    <col min="11" max="11" width="1.42578125" style="2" customWidth="1"/>
    <col min="12" max="12" width="38.42578125" style="2" customWidth="1"/>
    <col min="13" max="34" width="9.140625" style="2"/>
    <col min="35" max="35" width="11.5703125" style="2" customWidth="1"/>
    <col min="36" max="44" width="9.140625" style="2"/>
    <col min="45" max="45" width="12.5703125" style="2" hidden="1" customWidth="1"/>
    <col min="46" max="122" width="9.140625" style="2"/>
    <col min="123" max="135" width="9.140625" style="2" hidden="1" customWidth="1"/>
    <col min="136" max="16384" width="9.140625" style="2"/>
  </cols>
  <sheetData>
    <row r="1" spans="1:135" x14ac:dyDescent="0.2">
      <c r="A1" s="1" t="s">
        <v>611</v>
      </c>
      <c r="E1" s="164"/>
      <c r="F1" s="736" t="s">
        <v>1358</v>
      </c>
      <c r="G1" s="737">
        <v>43861</v>
      </c>
      <c r="J1" s="13">
        <v>2007.2</v>
      </c>
      <c r="M1" s="33" t="s">
        <v>140</v>
      </c>
      <c r="N1" s="33"/>
      <c r="O1" s="33"/>
      <c r="P1" s="33"/>
      <c r="Q1" s="33"/>
      <c r="R1" s="33"/>
      <c r="S1" s="33"/>
      <c r="T1" s="33"/>
      <c r="U1" s="33"/>
      <c r="V1" s="33"/>
      <c r="W1" s="33"/>
      <c r="X1" s="33"/>
      <c r="Y1" s="33"/>
      <c r="Z1" s="33"/>
      <c r="AA1" s="33"/>
      <c r="AB1" s="33"/>
      <c r="AC1" s="33"/>
      <c r="AD1" s="33"/>
      <c r="AE1" s="33"/>
      <c r="AF1" s="33"/>
      <c r="AG1" s="33"/>
      <c r="AH1" s="33"/>
    </row>
    <row r="2" spans="1:135" ht="15" x14ac:dyDescent="0.2">
      <c r="A2" s="33">
        <v>2012</v>
      </c>
      <c r="B2" s="3" t="s">
        <v>2</v>
      </c>
      <c r="C2" s="3"/>
      <c r="D2" s="1104" t="s">
        <v>47</v>
      </c>
      <c r="E2" s="1105"/>
      <c r="F2" s="736" t="s">
        <v>1359</v>
      </c>
      <c r="G2" s="737">
        <f>DATE(QuestYear,MATCH(FirstMonth,MonthList,0),2)</f>
        <v>46267</v>
      </c>
      <c r="L2" s="33" t="s">
        <v>141</v>
      </c>
      <c r="M2" s="33" t="s">
        <v>141</v>
      </c>
    </row>
    <row r="3" spans="1:135" ht="15" x14ac:dyDescent="0.2">
      <c r="B3" s="3" t="s">
        <v>3</v>
      </c>
      <c r="C3" s="3"/>
      <c r="D3" s="460" t="s">
        <v>307</v>
      </c>
      <c r="E3" s="461">
        <v>2026</v>
      </c>
      <c r="F3" s="736" t="s">
        <v>1360</v>
      </c>
      <c r="G3" s="736">
        <f>IF(G2&gt;G1,1,2)</f>
        <v>1</v>
      </c>
    </row>
    <row r="4" spans="1:135" ht="13.5" thickBot="1" x14ac:dyDescent="0.25">
      <c r="B4" s="4" t="s">
        <v>4</v>
      </c>
      <c r="C4" s="4"/>
      <c r="D4" s="462" t="s">
        <v>140</v>
      </c>
      <c r="F4" s="736" t="s">
        <v>1361</v>
      </c>
      <c r="G4" s="736"/>
    </row>
    <row r="5" spans="1:135" ht="13.5" thickBot="1" x14ac:dyDescent="0.25">
      <c r="B5" s="3" t="s">
        <v>5</v>
      </c>
      <c r="C5" s="3"/>
      <c r="D5" s="464"/>
    </row>
    <row r="6" spans="1:135" ht="15.75" thickBot="1" x14ac:dyDescent="0.3">
      <c r="B6" s="3" t="s">
        <v>616</v>
      </c>
      <c r="C6" s="3"/>
      <c r="D6" s="463"/>
      <c r="DS6" s="643" t="s">
        <v>1121</v>
      </c>
      <c r="DT6" s="644"/>
      <c r="DU6" s="645"/>
      <c r="DV6" s="645"/>
      <c r="DW6" s="645"/>
      <c r="DX6" s="645"/>
      <c r="DY6" s="645"/>
      <c r="DZ6" s="645"/>
      <c r="EA6" s="645"/>
      <c r="EB6" s="645"/>
      <c r="EC6" s="645"/>
      <c r="ED6" s="645"/>
    </row>
    <row r="7" spans="1:135" ht="33.75" x14ac:dyDescent="0.2">
      <c r="AS7" s="303" t="s">
        <v>351</v>
      </c>
      <c r="DS7" s="646" t="s">
        <v>1122</v>
      </c>
      <c r="DT7" s="646" t="s">
        <v>1113</v>
      </c>
      <c r="DU7" s="646" t="s">
        <v>1123</v>
      </c>
      <c r="DV7" s="646" t="s">
        <v>1124</v>
      </c>
      <c r="DW7" s="646" t="s">
        <v>1125</v>
      </c>
      <c r="DX7" s="646" t="s">
        <v>1126</v>
      </c>
      <c r="DY7" s="646" t="s">
        <v>415</v>
      </c>
      <c r="DZ7" s="646" t="s">
        <v>1127</v>
      </c>
      <c r="EA7" s="646" t="s">
        <v>1128</v>
      </c>
      <c r="EB7" s="646" t="s">
        <v>1129</v>
      </c>
      <c r="EC7" s="646" t="s">
        <v>1130</v>
      </c>
      <c r="ED7" s="646" t="s">
        <v>1131</v>
      </c>
      <c r="EE7" s="646" t="s">
        <v>1244</v>
      </c>
    </row>
    <row r="8" spans="1:135" x14ac:dyDescent="0.2">
      <c r="A8" s="5" t="s">
        <v>103</v>
      </c>
      <c r="AS8" s="138" t="s">
        <v>336</v>
      </c>
      <c r="DS8" s="647" t="str">
        <f>VLOOKUP(CountryUser, Param!$C$9:$E$67, 3, 0)</f>
        <v>NL</v>
      </c>
      <c r="EE8" s="647" t="str">
        <f>QuestYear&amp;"-"&amp;TEXT(MATCH(FirstMonth, Param!C71:C82,0), "00")</f>
        <v>2026-09</v>
      </c>
    </row>
    <row r="9" spans="1:135" x14ac:dyDescent="0.2">
      <c r="AS9"/>
    </row>
    <row r="10" spans="1:135" x14ac:dyDescent="0.2">
      <c r="J10" s="21" t="s">
        <v>632</v>
      </c>
      <c r="AS10"/>
    </row>
    <row r="11" spans="1:135" ht="12.75" customHeight="1" x14ac:dyDescent="0.2">
      <c r="A11" s="23"/>
      <c r="B11" s="173"/>
      <c r="C11" s="173"/>
      <c r="D11" s="1106" t="s">
        <v>625</v>
      </c>
      <c r="E11" s="1106" t="s">
        <v>646</v>
      </c>
      <c r="F11" s="1106" t="s">
        <v>647</v>
      </c>
      <c r="G11" s="1108" t="s">
        <v>666</v>
      </c>
      <c r="H11" s="166"/>
      <c r="I11" s="1106" t="s">
        <v>648</v>
      </c>
      <c r="J11" s="1110" t="s">
        <v>645</v>
      </c>
      <c r="L11" s="1102" t="s">
        <v>350</v>
      </c>
    </row>
    <row r="12" spans="1:135" ht="24" x14ac:dyDescent="0.2">
      <c r="A12" s="172"/>
      <c r="B12" s="27"/>
      <c r="C12" s="171"/>
      <c r="D12" s="1107"/>
      <c r="E12" s="1107"/>
      <c r="F12" s="1107"/>
      <c r="G12" s="1109"/>
      <c r="H12" s="99" t="s">
        <v>667</v>
      </c>
      <c r="I12" s="1107"/>
      <c r="J12" s="1111"/>
      <c r="L12" s="1103"/>
    </row>
    <row r="13" spans="1:135" x14ac:dyDescent="0.2">
      <c r="A13" s="22"/>
      <c r="B13" s="83"/>
      <c r="C13" s="77"/>
      <c r="D13" s="78" t="s">
        <v>152</v>
      </c>
      <c r="E13" s="79" t="s">
        <v>153</v>
      </c>
      <c r="F13" s="79" t="s">
        <v>154</v>
      </c>
      <c r="G13" s="79" t="s">
        <v>155</v>
      </c>
      <c r="H13" s="99" t="s">
        <v>156</v>
      </c>
      <c r="I13" s="79" t="s">
        <v>157</v>
      </c>
      <c r="J13" s="80" t="s">
        <v>158</v>
      </c>
      <c r="L13" s="80" t="s">
        <v>159</v>
      </c>
      <c r="AS13" s="303" t="s">
        <v>553</v>
      </c>
    </row>
    <row r="14" spans="1:135" x14ac:dyDescent="0.2">
      <c r="A14" s="81" t="s">
        <v>105</v>
      </c>
      <c r="B14" s="82" t="s">
        <v>649</v>
      </c>
      <c r="C14" s="149">
        <v>1</v>
      </c>
      <c r="D14" s="770">
        <v>27.846</v>
      </c>
      <c r="E14" s="770">
        <v>6.2110000000000003</v>
      </c>
      <c r="F14" s="58"/>
      <c r="G14" s="770">
        <v>17.899000000000001</v>
      </c>
      <c r="H14" s="58"/>
      <c r="I14" s="770">
        <v>0</v>
      </c>
      <c r="J14" s="771">
        <f>ROUND(D14+E14+G14+I14,3)</f>
        <v>51.956000000000003</v>
      </c>
      <c r="L14" s="129" t="str">
        <f>IF(ROUND(J14-SUM(D14:E14,G14,I14),3)=0,"","Total is not equal to the sum of each product")</f>
        <v/>
      </c>
      <c r="AS14" s="139" t="s">
        <v>338</v>
      </c>
      <c r="DS14" s="647"/>
      <c r="DT14" s="647" t="s">
        <v>1132</v>
      </c>
      <c r="DU14" s="647" t="s">
        <v>1133</v>
      </c>
      <c r="DV14" s="647" t="s">
        <v>338</v>
      </c>
      <c r="DW14" s="647" t="s">
        <v>1134</v>
      </c>
      <c r="DX14" s="647" t="s">
        <v>1134</v>
      </c>
      <c r="DY14" s="647" t="s">
        <v>1134</v>
      </c>
      <c r="DZ14" s="647" t="s">
        <v>1134</v>
      </c>
      <c r="EA14" s="647" t="s">
        <v>1134</v>
      </c>
      <c r="EB14" s="647" t="s">
        <v>1135</v>
      </c>
      <c r="EC14" s="647" t="s">
        <v>1134</v>
      </c>
      <c r="ED14" s="647" t="s">
        <v>1136</v>
      </c>
    </row>
    <row r="15" spans="1:135" x14ac:dyDescent="0.2">
      <c r="A15" s="18" t="s">
        <v>105</v>
      </c>
      <c r="B15" s="14" t="s">
        <v>852</v>
      </c>
      <c r="C15" s="150">
        <v>2</v>
      </c>
      <c r="D15" s="58"/>
      <c r="E15" s="58"/>
      <c r="F15" s="58"/>
      <c r="G15" s="770">
        <v>140.13999999999999</v>
      </c>
      <c r="H15" s="772">
        <v>140.13999999999999</v>
      </c>
      <c r="I15" s="770">
        <v>0</v>
      </c>
      <c r="J15" s="771">
        <f>ROUND(SUM(G15,I15),3)</f>
        <v>140.13999999999999</v>
      </c>
      <c r="L15" s="129" t="str">
        <f>IF(ROUND(J15-SUM(G15,I15),3)=0,"","Total is not equal to the sum of each product")</f>
        <v/>
      </c>
      <c r="AS15" s="139" t="s">
        <v>339</v>
      </c>
      <c r="DS15" s="648"/>
      <c r="DT15" s="648"/>
      <c r="DU15" s="647" t="s">
        <v>1133</v>
      </c>
      <c r="DV15" s="647" t="s">
        <v>339</v>
      </c>
      <c r="DW15" s="647" t="s">
        <v>1134</v>
      </c>
      <c r="DX15" s="647" t="s">
        <v>1134</v>
      </c>
      <c r="DY15" s="647" t="s">
        <v>1134</v>
      </c>
      <c r="DZ15" s="647" t="s">
        <v>1134</v>
      </c>
      <c r="EA15" s="647" t="s">
        <v>1134</v>
      </c>
      <c r="EB15" s="647" t="s">
        <v>1135</v>
      </c>
      <c r="EC15" s="647" t="s">
        <v>1134</v>
      </c>
      <c r="ED15" s="647" t="s">
        <v>1136</v>
      </c>
    </row>
    <row r="16" spans="1:135" ht="13.5" x14ac:dyDescent="0.2">
      <c r="A16" s="18" t="s">
        <v>105</v>
      </c>
      <c r="B16" s="15" t="s">
        <v>104</v>
      </c>
      <c r="C16" s="151">
        <v>3</v>
      </c>
      <c r="D16" s="58"/>
      <c r="E16" s="58"/>
      <c r="F16" s="770">
        <v>242.67</v>
      </c>
      <c r="G16" s="58"/>
      <c r="H16" s="58"/>
      <c r="I16" s="58"/>
      <c r="J16" s="771">
        <f>ROUND(F16,3)</f>
        <v>242.67</v>
      </c>
      <c r="L16" s="129" t="str">
        <f>IF(ROUND(J16-SUM(F16,),3)=0,"","Total is not equal to the sum of each product")</f>
        <v/>
      </c>
      <c r="AS16" s="139" t="s">
        <v>340</v>
      </c>
      <c r="DS16" s="648"/>
      <c r="DT16" s="648"/>
      <c r="DU16" s="647" t="s">
        <v>1137</v>
      </c>
      <c r="DV16" s="647" t="s">
        <v>340</v>
      </c>
      <c r="DW16" s="647" t="s">
        <v>1134</v>
      </c>
      <c r="DX16" s="647" t="s">
        <v>1134</v>
      </c>
      <c r="DY16" s="647" t="s">
        <v>1134</v>
      </c>
      <c r="DZ16" s="647" t="s">
        <v>1134</v>
      </c>
      <c r="EA16" s="647" t="s">
        <v>1134</v>
      </c>
      <c r="EB16" s="647" t="s">
        <v>1135</v>
      </c>
      <c r="EC16" s="647" t="s">
        <v>1134</v>
      </c>
      <c r="ED16" s="647" t="s">
        <v>1136</v>
      </c>
    </row>
    <row r="17" spans="1:134" ht="13.5" x14ac:dyDescent="0.2">
      <c r="A17" s="18" t="s">
        <v>105</v>
      </c>
      <c r="B17" s="15" t="s">
        <v>650</v>
      </c>
      <c r="C17" s="151">
        <v>4</v>
      </c>
      <c r="D17" s="770">
        <v>0</v>
      </c>
      <c r="E17" s="58"/>
      <c r="F17" s="770">
        <v>271.42099999999999</v>
      </c>
      <c r="G17" s="58"/>
      <c r="H17" s="58"/>
      <c r="I17" s="58"/>
      <c r="J17" s="771">
        <f>ROUND(D17+F17,3)</f>
        <v>271.42099999999999</v>
      </c>
      <c r="L17" s="129" t="str">
        <f>IF(ROUND(J17-SUM(D17,F17,),3)=0,"","Total is not equal to the sum of each product")</f>
        <v/>
      </c>
      <c r="AS17" s="139" t="s">
        <v>341</v>
      </c>
      <c r="DS17" s="648"/>
      <c r="DT17" s="648"/>
      <c r="DU17" s="647" t="s">
        <v>1138</v>
      </c>
      <c r="DV17" s="647" t="s">
        <v>341</v>
      </c>
      <c r="DW17" s="647" t="s">
        <v>1134</v>
      </c>
      <c r="DX17" s="647" t="s">
        <v>1134</v>
      </c>
      <c r="DY17" s="647" t="s">
        <v>1134</v>
      </c>
      <c r="DZ17" s="647" t="s">
        <v>1134</v>
      </c>
      <c r="EA17" s="647" t="s">
        <v>1134</v>
      </c>
      <c r="EB17" s="647" t="s">
        <v>1135</v>
      </c>
      <c r="EC17" s="647" t="s">
        <v>1134</v>
      </c>
      <c r="ED17" s="647" t="s">
        <v>1136</v>
      </c>
    </row>
    <row r="18" spans="1:134" ht="13.5" x14ac:dyDescent="0.2">
      <c r="A18" s="18" t="s">
        <v>105</v>
      </c>
      <c r="B18" s="15" t="s">
        <v>651</v>
      </c>
      <c r="C18" s="151">
        <v>5</v>
      </c>
      <c r="D18" s="770">
        <v>4422.6019999999999</v>
      </c>
      <c r="E18" s="770">
        <v>686.36199999999997</v>
      </c>
      <c r="F18" s="770">
        <v>0</v>
      </c>
      <c r="G18" s="770">
        <v>204.59100000000001</v>
      </c>
      <c r="H18" s="58"/>
      <c r="I18" s="770">
        <v>0</v>
      </c>
      <c r="J18" s="771">
        <f t="shared" ref="J18:J25" si="0">ROUND(SUM(D18:G18,I18),3)</f>
        <v>5313.5550000000003</v>
      </c>
      <c r="L18" s="129" t="str">
        <f>IF(ROUND(J18-SUM(D18:G18,I18),3)=0,"","Total is not equal to the sum of each product")</f>
        <v/>
      </c>
      <c r="AS18" s="139" t="s">
        <v>342</v>
      </c>
      <c r="DS18" s="648"/>
      <c r="DT18" s="648"/>
      <c r="DU18" s="647" t="s">
        <v>552</v>
      </c>
      <c r="DV18" s="647" t="s">
        <v>342</v>
      </c>
      <c r="DW18" s="647" t="s">
        <v>1134</v>
      </c>
      <c r="DX18" s="647" t="s">
        <v>1134</v>
      </c>
      <c r="DY18" s="647" t="s">
        <v>1134</v>
      </c>
      <c r="DZ18" s="647" t="s">
        <v>1134</v>
      </c>
      <c r="EA18" s="647" t="s">
        <v>1134</v>
      </c>
      <c r="EB18" s="647" t="s">
        <v>1135</v>
      </c>
      <c r="EC18" s="647" t="s">
        <v>1134</v>
      </c>
      <c r="ED18" s="647" t="s">
        <v>1136</v>
      </c>
    </row>
    <row r="19" spans="1:134" ht="13.5" x14ac:dyDescent="0.2">
      <c r="A19" s="18" t="s">
        <v>106</v>
      </c>
      <c r="B19" s="15" t="s">
        <v>652</v>
      </c>
      <c r="C19" s="151">
        <v>6</v>
      </c>
      <c r="D19" s="770">
        <v>29.035</v>
      </c>
      <c r="E19" s="770">
        <v>10.33</v>
      </c>
      <c r="F19" s="770">
        <v>0</v>
      </c>
      <c r="G19" s="770">
        <v>139.797</v>
      </c>
      <c r="H19" s="58"/>
      <c r="I19" s="770">
        <v>0</v>
      </c>
      <c r="J19" s="771">
        <f t="shared" si="0"/>
        <v>179.16200000000001</v>
      </c>
      <c r="L19" s="129" t="str">
        <f>IF(ROUND(J19-SUM(D19:G19,I19),3)=0,"","Total is not equal to the sum of each product")</f>
        <v/>
      </c>
      <c r="AS19" s="139" t="s">
        <v>343</v>
      </c>
      <c r="DS19" s="648"/>
      <c r="DT19" s="648"/>
      <c r="DU19" s="647" t="s">
        <v>571</v>
      </c>
      <c r="DV19" s="647" t="s">
        <v>343</v>
      </c>
      <c r="DW19" s="647" t="s">
        <v>1134</v>
      </c>
      <c r="DX19" s="647" t="s">
        <v>1134</v>
      </c>
      <c r="DY19" s="647" t="s">
        <v>1134</v>
      </c>
      <c r="DZ19" s="647" t="s">
        <v>1134</v>
      </c>
      <c r="EA19" s="647" t="s">
        <v>1134</v>
      </c>
      <c r="EB19" s="647" t="s">
        <v>1135</v>
      </c>
      <c r="EC19" s="647" t="s">
        <v>1134</v>
      </c>
      <c r="ED19" s="647" t="s">
        <v>1136</v>
      </c>
    </row>
    <row r="20" spans="1:134" ht="13.5" x14ac:dyDescent="0.2">
      <c r="A20" s="222" t="s">
        <v>106</v>
      </c>
      <c r="B20" s="223" t="s">
        <v>884</v>
      </c>
      <c r="C20" s="150">
        <v>7</v>
      </c>
      <c r="D20" s="770">
        <v>85.715999999999994</v>
      </c>
      <c r="E20" s="770">
        <v>205.369</v>
      </c>
      <c r="F20" s="770">
        <v>242.67</v>
      </c>
      <c r="G20" s="770">
        <v>219.71700000000001</v>
      </c>
      <c r="H20" s="772">
        <v>128.24199999999999</v>
      </c>
      <c r="I20" s="770">
        <v>0</v>
      </c>
      <c r="J20" s="771">
        <f t="shared" si="0"/>
        <v>753.47199999999998</v>
      </c>
      <c r="L20" s="129" t="str">
        <f t="shared" ref="L20:L24" si="1">IF(ROUND(J20-SUM(D20:G20,I20),3)=0,"","Total is not equal to the sum of each product")</f>
        <v/>
      </c>
      <c r="AS20" s="139" t="s">
        <v>344</v>
      </c>
      <c r="DS20" s="648"/>
      <c r="DT20" s="648"/>
      <c r="DU20" s="647" t="s">
        <v>1138</v>
      </c>
      <c r="DV20" s="647" t="s">
        <v>344</v>
      </c>
      <c r="DW20" s="647" t="s">
        <v>1134</v>
      </c>
      <c r="DX20" s="647" t="s">
        <v>1134</v>
      </c>
      <c r="DY20" s="647" t="s">
        <v>1134</v>
      </c>
      <c r="DZ20" s="647" t="s">
        <v>1134</v>
      </c>
      <c r="EA20" s="647" t="s">
        <v>1134</v>
      </c>
      <c r="EB20" s="647" t="s">
        <v>1135</v>
      </c>
      <c r="EC20" s="647" t="s">
        <v>1134</v>
      </c>
      <c r="ED20" s="647" t="s">
        <v>1136</v>
      </c>
    </row>
    <row r="21" spans="1:134" ht="13.5" x14ac:dyDescent="0.2">
      <c r="A21" s="18" t="s">
        <v>106</v>
      </c>
      <c r="B21" s="15" t="s">
        <v>869</v>
      </c>
      <c r="C21" s="150">
        <v>8</v>
      </c>
      <c r="D21" s="770">
        <v>164.654</v>
      </c>
      <c r="E21" s="770">
        <v>-113.411</v>
      </c>
      <c r="F21" s="770">
        <v>0</v>
      </c>
      <c r="G21" s="770">
        <v>2.6219999999999999</v>
      </c>
      <c r="H21" s="772">
        <v>11.898</v>
      </c>
      <c r="I21" s="770">
        <v>0</v>
      </c>
      <c r="J21" s="771">
        <f t="shared" si="0"/>
        <v>53.865000000000002</v>
      </c>
      <c r="L21" s="129" t="str">
        <f t="shared" si="1"/>
        <v/>
      </c>
      <c r="AS21" s="139" t="s">
        <v>345</v>
      </c>
      <c r="DS21" s="648"/>
      <c r="DT21" s="648"/>
      <c r="DU21" s="647" t="s">
        <v>415</v>
      </c>
      <c r="DV21" s="647" t="s">
        <v>1139</v>
      </c>
      <c r="DW21" s="647" t="s">
        <v>1134</v>
      </c>
      <c r="DX21" s="647" t="s">
        <v>1134</v>
      </c>
      <c r="DY21" s="647" t="s">
        <v>1140</v>
      </c>
      <c r="DZ21" s="647" t="s">
        <v>1134</v>
      </c>
      <c r="EA21" s="647" t="s">
        <v>1134</v>
      </c>
      <c r="EB21" s="647" t="s">
        <v>1135</v>
      </c>
      <c r="EC21" s="647" t="s">
        <v>1134</v>
      </c>
      <c r="ED21" s="647" t="s">
        <v>1136</v>
      </c>
    </row>
    <row r="22" spans="1:134" x14ac:dyDescent="0.2">
      <c r="A22" s="18" t="s">
        <v>107</v>
      </c>
      <c r="B22" s="16" t="s">
        <v>653</v>
      </c>
      <c r="C22" s="152">
        <v>9</v>
      </c>
      <c r="D22" s="771">
        <f>ROUND(D14+D17+D18-+D19-D20-D21,3)</f>
        <v>4171.0429999999997</v>
      </c>
      <c r="E22" s="771">
        <f>ROUND(E14+E18-E19-E20-E21,3)</f>
        <v>590.28499999999997</v>
      </c>
      <c r="F22" s="771">
        <f>ROUND(F16+F17+F18-F19-F20-F21,3)</f>
        <v>271.42099999999999</v>
      </c>
      <c r="G22" s="771">
        <f>ROUND(G14+G15+G18-G19-G20-G21,3)</f>
        <v>0.49399999999999999</v>
      </c>
      <c r="H22" s="773">
        <f>ROUND(H15-H20-H21,3)</f>
        <v>0</v>
      </c>
      <c r="I22" s="771">
        <f>ROUND(I14+I15+I18-I19-I20-I21,3)</f>
        <v>0</v>
      </c>
      <c r="J22" s="771">
        <f t="shared" si="0"/>
        <v>5033.2430000000004</v>
      </c>
      <c r="L22" s="129" t="str">
        <f t="shared" si="1"/>
        <v/>
      </c>
      <c r="AS22" s="139" t="s">
        <v>346</v>
      </c>
      <c r="DS22" s="648"/>
      <c r="DT22" s="648"/>
      <c r="DU22" s="647" t="s">
        <v>1137</v>
      </c>
      <c r="DV22" s="647" t="s">
        <v>346</v>
      </c>
      <c r="DW22" s="647" t="s">
        <v>1134</v>
      </c>
      <c r="DX22" s="647" t="s">
        <v>1134</v>
      </c>
      <c r="DY22" s="647" t="s">
        <v>1134</v>
      </c>
      <c r="DZ22" s="647" t="s">
        <v>1134</v>
      </c>
      <c r="EA22" s="647" t="s">
        <v>1134</v>
      </c>
      <c r="EB22" s="647" t="s">
        <v>1135</v>
      </c>
      <c r="EC22" s="647" t="s">
        <v>1134</v>
      </c>
      <c r="ED22" s="647" t="s">
        <v>1136</v>
      </c>
    </row>
    <row r="23" spans="1:134" x14ac:dyDescent="0.2">
      <c r="A23" s="18" t="s">
        <v>106</v>
      </c>
      <c r="B23" s="16" t="s">
        <v>7</v>
      </c>
      <c r="C23" s="152">
        <v>10</v>
      </c>
      <c r="D23" s="771">
        <f t="shared" ref="D23:I23" si="2">ROUND(D22-D24,3)</f>
        <v>-16.818000000000001</v>
      </c>
      <c r="E23" s="771">
        <f t="shared" si="2"/>
        <v>32.531999999999996</v>
      </c>
      <c r="F23" s="771">
        <f t="shared" si="2"/>
        <v>0</v>
      </c>
      <c r="G23" s="771">
        <f t="shared" si="2"/>
        <v>0.29199999999999998</v>
      </c>
      <c r="H23" s="773">
        <f t="shared" si="2"/>
        <v>0</v>
      </c>
      <c r="I23" s="771">
        <f t="shared" si="2"/>
        <v>0</v>
      </c>
      <c r="J23" s="771">
        <f t="shared" si="0"/>
        <v>16.006</v>
      </c>
      <c r="L23" s="129" t="str">
        <f t="shared" si="1"/>
        <v/>
      </c>
      <c r="AS23" s="139" t="s">
        <v>347</v>
      </c>
      <c r="DS23" s="648"/>
      <c r="DT23" s="648"/>
      <c r="DU23" s="647" t="s">
        <v>347</v>
      </c>
      <c r="DV23" s="647" t="s">
        <v>346</v>
      </c>
      <c r="DW23" s="647" t="s">
        <v>1134</v>
      </c>
      <c r="DX23" s="647" t="s">
        <v>1134</v>
      </c>
      <c r="DY23" s="647" t="s">
        <v>1134</v>
      </c>
      <c r="DZ23" s="647" t="s">
        <v>1134</v>
      </c>
      <c r="EA23" s="647" t="s">
        <v>1134</v>
      </c>
      <c r="EB23" s="647" t="s">
        <v>1135</v>
      </c>
      <c r="EC23" s="647" t="s">
        <v>1134</v>
      </c>
      <c r="ED23" s="647" t="s">
        <v>1136</v>
      </c>
    </row>
    <row r="24" spans="1:134" s="9" customFormat="1" ht="16.5" customHeight="1" x14ac:dyDescent="0.2">
      <c r="A24" s="19" t="s">
        <v>107</v>
      </c>
      <c r="B24" s="17" t="s">
        <v>853</v>
      </c>
      <c r="C24" s="146">
        <v>11</v>
      </c>
      <c r="D24" s="774">
        <v>4187.8609999999999</v>
      </c>
      <c r="E24" s="774">
        <v>557.75300000000004</v>
      </c>
      <c r="F24" s="774">
        <v>271.42099999999999</v>
      </c>
      <c r="G24" s="774">
        <v>0.20200000000000001</v>
      </c>
      <c r="H24" s="774">
        <v>0</v>
      </c>
      <c r="I24" s="774">
        <v>0</v>
      </c>
      <c r="J24" s="775">
        <f t="shared" si="0"/>
        <v>5017.2370000000001</v>
      </c>
      <c r="L24" s="129" t="str">
        <f t="shared" si="1"/>
        <v/>
      </c>
      <c r="AS24" s="140" t="s">
        <v>348</v>
      </c>
      <c r="DS24" s="649"/>
      <c r="DT24" s="648"/>
      <c r="DU24" s="647" t="s">
        <v>914</v>
      </c>
      <c r="DV24" s="647" t="s">
        <v>348</v>
      </c>
      <c r="DW24" s="647" t="s">
        <v>1134</v>
      </c>
      <c r="DX24" s="647" t="s">
        <v>1134</v>
      </c>
      <c r="DY24" s="647" t="s">
        <v>1134</v>
      </c>
      <c r="DZ24" s="647" t="s">
        <v>1134</v>
      </c>
      <c r="EA24" s="647" t="s">
        <v>1134</v>
      </c>
      <c r="EB24" s="647" t="s">
        <v>1135</v>
      </c>
      <c r="EC24" s="647" t="s">
        <v>1134</v>
      </c>
      <c r="ED24" s="647" t="s">
        <v>1136</v>
      </c>
    </row>
    <row r="25" spans="1:134" x14ac:dyDescent="0.2">
      <c r="A25" s="22"/>
      <c r="B25" s="76" t="s">
        <v>654</v>
      </c>
      <c r="C25" s="149">
        <v>12</v>
      </c>
      <c r="D25" s="770">
        <v>52.021000000000001</v>
      </c>
      <c r="E25" s="770">
        <v>0</v>
      </c>
      <c r="F25" s="770">
        <v>0</v>
      </c>
      <c r="G25" s="770">
        <v>0</v>
      </c>
      <c r="H25" s="772">
        <v>0</v>
      </c>
      <c r="I25" s="770">
        <v>0</v>
      </c>
      <c r="J25" s="771">
        <f t="shared" si="0"/>
        <v>52.021000000000001</v>
      </c>
      <c r="L25" s="129" t="str">
        <f t="shared" ref="L25" si="3">IF(ROUND(J25-SUM(D25:G25,I25),3)=0,"","Total is not equal to the sum of each product")</f>
        <v/>
      </c>
      <c r="AS25" s="139" t="s">
        <v>349</v>
      </c>
      <c r="DS25" s="648"/>
      <c r="DT25" s="648"/>
      <c r="DU25" s="647" t="s">
        <v>1141</v>
      </c>
      <c r="DV25" s="647" t="s">
        <v>349</v>
      </c>
      <c r="DW25" s="647" t="s">
        <v>1134</v>
      </c>
      <c r="DX25" s="647" t="s">
        <v>1134</v>
      </c>
      <c r="DY25" s="647" t="s">
        <v>1134</v>
      </c>
      <c r="DZ25" s="647" t="s">
        <v>1134</v>
      </c>
      <c r="EA25" s="647" t="s">
        <v>1134</v>
      </c>
      <c r="EB25" s="647" t="s">
        <v>1135</v>
      </c>
      <c r="EC25" s="647" t="s">
        <v>1134</v>
      </c>
      <c r="ED25" s="647" t="s">
        <v>1136</v>
      </c>
    </row>
    <row r="26" spans="1:134" s="65" customFormat="1" ht="22.5" customHeight="1" x14ac:dyDescent="0.2">
      <c r="D26" s="65" t="str">
        <f>IF(MIN(D14,D18:D20,D24)&lt;0,"Negative number","")</f>
        <v/>
      </c>
      <c r="E26" s="65" t="str">
        <f>IF(MIN(E14,E18:E20,E24)&lt;0,"Negative number","")</f>
        <v/>
      </c>
      <c r="F26" s="65" t="str">
        <f>IF(MIN(F16:F20,F24)&lt;0,"Negative number","")</f>
        <v/>
      </c>
      <c r="G26" s="65" t="str">
        <f>IF(MIN(G14:G15,G18:G20,G24:G24)&lt;0,"Negative number","")</f>
        <v/>
      </c>
      <c r="H26" s="65" t="str">
        <f>IF(MIN(H14:H15,H18:H20,H24:H24)&lt;0,"Negative number","")</f>
        <v/>
      </c>
      <c r="I26" s="64" t="str">
        <f>IF(MIN(I14:I15,I18:I20,I24)&lt;0,"Negative number","")</f>
        <v/>
      </c>
      <c r="J26" s="65" t="str">
        <f>IF(MIN(J14:J20,J24)&lt;0,"Negative number","")</f>
        <v/>
      </c>
    </row>
    <row r="27" spans="1:134" ht="22.5" customHeight="1" x14ac:dyDescent="0.2">
      <c r="B27" s="12"/>
      <c r="C27" s="12"/>
      <c r="H27" s="66" t="str">
        <f>IF(OR(H14&gt;G14,H15&gt;G15,H18&gt;G18,H19&gt;G19,H20&gt;G20,H24&gt;G24,H25&gt;G25),"Error: Of which Biofuels greater than Additives / Oxygenates","")</f>
        <v/>
      </c>
    </row>
    <row r="28" spans="1:134" x14ac:dyDescent="0.2">
      <c r="A28" s="20">
        <v>1</v>
      </c>
      <c r="B28" s="7" t="s">
        <v>1422</v>
      </c>
      <c r="C28" s="7"/>
      <c r="H28" s="69">
        <f>ROUND(J16-'Table 2'!AD26,3)</f>
        <v>0</v>
      </c>
      <c r="I28" s="12" t="str">
        <f>IF(H28=0,"OK","Total of Backflows not equal to Backflows to refineries of Total products in Table 2")</f>
        <v>OK</v>
      </c>
      <c r="L28" s="11"/>
    </row>
    <row r="29" spans="1:134" x14ac:dyDescent="0.2">
      <c r="A29" s="20">
        <v>2</v>
      </c>
      <c r="B29" s="7" t="s">
        <v>1421</v>
      </c>
      <c r="C29" s="7"/>
      <c r="H29" s="69">
        <f>ROUND(J17-'Table 2'!AD16,3)</f>
        <v>-1E-3</v>
      </c>
      <c r="I29" s="12" t="str">
        <f>IF(H29=0,"OK","Total of Products transferred not equal to Total products of Products transferred in Table 2")</f>
        <v>Total of Products transferred not equal to Total products of Products transferred in Table 2</v>
      </c>
    </row>
    <row r="30" spans="1:134" x14ac:dyDescent="0.2">
      <c r="A30" s="20">
        <v>3</v>
      </c>
      <c r="B30" s="7" t="s">
        <v>1380</v>
      </c>
      <c r="C30" s="7"/>
      <c r="H30" s="69">
        <f>ROUND(J18-'Table 3'!H174,3)</f>
        <v>-4.0000000000000001E-3</v>
      </c>
      <c r="I30" s="7" t="str">
        <f>IF(H30=0,"OK","Total Imports (Balance) do not equal Total Imports in Table 3")</f>
        <v>Total Imports (Balance) do not equal Total Imports in Table 3</v>
      </c>
    </row>
    <row r="31" spans="1:134" x14ac:dyDescent="0.2">
      <c r="A31" s="20">
        <v>4</v>
      </c>
      <c r="B31" s="12" t="s">
        <v>1381</v>
      </c>
      <c r="C31" s="12"/>
      <c r="H31" s="69">
        <f>ROUND(J19-'Table 4'!H174,3)</f>
        <v>1E-3</v>
      </c>
      <c r="I31" s="7" t="str">
        <f>IF(H31=0,"OK","Total Exports do not equal Total Exports in Table 4")</f>
        <v>Total Exports do not equal Total Exports in Table 4</v>
      </c>
    </row>
    <row r="32" spans="1:134" x14ac:dyDescent="0.2">
      <c r="A32" s="20">
        <v>5</v>
      </c>
      <c r="B32" s="7" t="s">
        <v>655</v>
      </c>
      <c r="C32" s="7"/>
      <c r="H32" s="69">
        <f>ROUND(J20-'Table 2'!AD8,3)</f>
        <v>0</v>
      </c>
      <c r="I32" s="12" t="str">
        <f>IF(H32=0,"OK","Total Direct use figure does not equal Total products of Primary product receipts in Table 2")</f>
        <v>OK</v>
      </c>
    </row>
    <row r="33" spans="1:9" x14ac:dyDescent="0.2">
      <c r="A33" s="20">
        <v>6</v>
      </c>
      <c r="B33" s="7" t="s">
        <v>903</v>
      </c>
      <c r="C33" s="7"/>
      <c r="H33" s="69">
        <f>ROUND(J21-('Table 5'!J9-'Table 5'!J8),3)</f>
        <v>0</v>
      </c>
      <c r="I33" s="12" t="str">
        <f>IF(H33=0,"OK","Stock changes not equal to Closing minus Opening levels on National territory, Table 5")</f>
        <v>OK</v>
      </c>
    </row>
    <row r="34" spans="1:9" x14ac:dyDescent="0.2">
      <c r="A34" s="20">
        <v>7</v>
      </c>
      <c r="B34" s="7" t="s">
        <v>1388</v>
      </c>
      <c r="C34" s="7"/>
      <c r="H34" s="69">
        <f>ROUND(J25-(J24-'Table 2'!AD9),3)</f>
        <v>0</v>
      </c>
      <c r="I34" s="12" t="str">
        <f>IF(H34=0,"OK","Refinery losses not equal to difference between refinery intake and gross output")</f>
        <v>OK</v>
      </c>
    </row>
    <row r="35" spans="1:9" x14ac:dyDescent="0.2">
      <c r="A35" s="20"/>
      <c r="B35" s="7"/>
      <c r="C35" s="7"/>
      <c r="H35" s="7"/>
    </row>
    <row r="36" spans="1:9" x14ac:dyDescent="0.2">
      <c r="A36" s="20"/>
      <c r="B36" s="7"/>
      <c r="C36" s="7"/>
      <c r="H36" s="7"/>
    </row>
    <row r="37" spans="1:9" x14ac:dyDescent="0.2">
      <c r="A37" s="20"/>
      <c r="B37" s="330"/>
      <c r="C37" s="7"/>
      <c r="H37" s="7"/>
    </row>
    <row r="38" spans="1:9" x14ac:dyDescent="0.2">
      <c r="A38" s="20"/>
      <c r="B38" s="7"/>
      <c r="C38" s="7"/>
      <c r="H38" s="7"/>
    </row>
    <row r="39" spans="1:9" x14ac:dyDescent="0.2">
      <c r="A39" s="20"/>
      <c r="B39" s="7"/>
      <c r="C39" s="7"/>
      <c r="H39" s="7"/>
    </row>
    <row r="40" spans="1:9" x14ac:dyDescent="0.2">
      <c r="A40" s="20"/>
      <c r="B40" s="7"/>
      <c r="C40" s="7"/>
      <c r="H40" s="7"/>
    </row>
    <row r="41" spans="1:9" x14ac:dyDescent="0.2">
      <c r="A41" s="20"/>
      <c r="B41" s="7"/>
      <c r="C41" s="7"/>
      <c r="H41" s="7"/>
    </row>
    <row r="42" spans="1:9" x14ac:dyDescent="0.2">
      <c r="A42" s="20"/>
      <c r="B42" s="7"/>
      <c r="C42" s="7"/>
      <c r="H42" s="7"/>
    </row>
    <row r="43" spans="1:9" x14ac:dyDescent="0.2">
      <c r="A43" s="20"/>
      <c r="B43" s="7"/>
      <c r="C43" s="7"/>
      <c r="H43" s="7"/>
    </row>
    <row r="44" spans="1:9" x14ac:dyDescent="0.2">
      <c r="A44" s="20"/>
      <c r="B44" s="7"/>
      <c r="C44" s="7"/>
      <c r="H44" s="7"/>
    </row>
    <row r="45" spans="1:9" x14ac:dyDescent="0.2">
      <c r="A45" s="20"/>
      <c r="B45" s="7"/>
      <c r="C45" s="7"/>
      <c r="H45" s="7"/>
    </row>
    <row r="46" spans="1:9" x14ac:dyDescent="0.2">
      <c r="A46" s="20"/>
      <c r="B46" s="7"/>
      <c r="C46" s="7"/>
      <c r="H46" s="7"/>
    </row>
    <row r="47" spans="1:9" x14ac:dyDescent="0.2">
      <c r="A47" s="20"/>
      <c r="B47" s="7"/>
      <c r="C47" s="7"/>
      <c r="H47" s="7"/>
    </row>
    <row r="48" spans="1:9" x14ac:dyDescent="0.2">
      <c r="A48" s="20"/>
      <c r="B48" s="7"/>
      <c r="C48" s="7"/>
      <c r="H48" s="7"/>
    </row>
    <row r="49" spans="1:8" x14ac:dyDescent="0.2">
      <c r="A49" s="20"/>
      <c r="B49" s="7"/>
      <c r="C49" s="7"/>
      <c r="H49" s="7"/>
    </row>
    <row r="50" spans="1:8" x14ac:dyDescent="0.2">
      <c r="A50" s="20"/>
      <c r="B50" s="7"/>
      <c r="C50" s="7"/>
      <c r="H50" s="7"/>
    </row>
    <row r="51" spans="1:8" x14ac:dyDescent="0.2">
      <c r="A51" s="20"/>
      <c r="B51" s="7"/>
      <c r="C51" s="7"/>
      <c r="H51" s="7"/>
    </row>
    <row r="52" spans="1:8" x14ac:dyDescent="0.2">
      <c r="A52" s="20"/>
      <c r="B52" s="7"/>
      <c r="C52" s="7"/>
      <c r="H52" s="7"/>
    </row>
    <row r="53" spans="1:8" x14ac:dyDescent="0.2">
      <c r="A53" s="20"/>
      <c r="B53" s="7"/>
      <c r="C53" s="7"/>
      <c r="H53" s="7"/>
    </row>
    <row r="54" spans="1:8" x14ac:dyDescent="0.2">
      <c r="A54" s="20"/>
      <c r="B54" s="7"/>
      <c r="C54" s="7"/>
      <c r="H54" s="7"/>
    </row>
    <row r="55" spans="1:8" x14ac:dyDescent="0.2">
      <c r="A55" s="20"/>
      <c r="B55" s="7"/>
      <c r="C55" s="7"/>
      <c r="H55" s="7"/>
    </row>
    <row r="56" spans="1:8" x14ac:dyDescent="0.2">
      <c r="A56" s="20"/>
      <c r="B56" s="7"/>
      <c r="C56" s="7"/>
      <c r="H56" s="7"/>
    </row>
    <row r="57" spans="1:8" x14ac:dyDescent="0.2">
      <c r="A57" s="20"/>
      <c r="B57" s="7"/>
      <c r="C57" s="7"/>
      <c r="H57" s="7"/>
    </row>
    <row r="58" spans="1:8" x14ac:dyDescent="0.2">
      <c r="A58" s="20"/>
      <c r="B58" s="7"/>
      <c r="C58" s="7"/>
      <c r="H58" s="7"/>
    </row>
    <row r="59" spans="1:8" x14ac:dyDescent="0.2">
      <c r="A59" s="20"/>
      <c r="B59" s="7"/>
      <c r="C59" s="7"/>
      <c r="H59" s="7"/>
    </row>
    <row r="60" spans="1:8" x14ac:dyDescent="0.2">
      <c r="A60" s="20"/>
      <c r="B60" s="7"/>
      <c r="C60" s="7"/>
      <c r="H60" s="7"/>
    </row>
    <row r="61" spans="1:8" x14ac:dyDescent="0.2">
      <c r="A61" s="20"/>
      <c r="B61" s="7"/>
      <c r="C61" s="7"/>
      <c r="H61" s="7"/>
    </row>
    <row r="62" spans="1:8" x14ac:dyDescent="0.2">
      <c r="A62" s="20"/>
      <c r="B62" s="7"/>
      <c r="C62" s="7"/>
      <c r="H62" s="7"/>
    </row>
    <row r="63" spans="1:8" x14ac:dyDescent="0.2">
      <c r="A63" s="20"/>
      <c r="B63" s="7"/>
      <c r="C63" s="7"/>
      <c r="H63" s="7"/>
    </row>
    <row r="64" spans="1:8" x14ac:dyDescent="0.2">
      <c r="A64" s="20"/>
      <c r="B64" s="7"/>
      <c r="C64" s="7"/>
      <c r="H64" s="7"/>
    </row>
    <row r="65" spans="1:8" x14ac:dyDescent="0.2">
      <c r="A65" s="20"/>
      <c r="B65" s="7"/>
      <c r="C65" s="7"/>
      <c r="H65" s="7"/>
    </row>
    <row r="66" spans="1:8" x14ac:dyDescent="0.2">
      <c r="A66" s="20"/>
      <c r="B66" s="7"/>
      <c r="C66" s="7"/>
      <c r="H66" s="7"/>
    </row>
    <row r="67" spans="1:8" x14ac:dyDescent="0.2">
      <c r="A67" s="20"/>
      <c r="B67" s="7"/>
      <c r="C67" s="7"/>
      <c r="H67" s="7"/>
    </row>
    <row r="68" spans="1:8" x14ac:dyDescent="0.2">
      <c r="A68" s="20"/>
      <c r="B68" s="7"/>
      <c r="C68" s="7"/>
      <c r="H68" s="7"/>
    </row>
    <row r="69" spans="1:8" x14ac:dyDescent="0.2">
      <c r="A69" s="20"/>
      <c r="B69" s="7"/>
      <c r="C69" s="7"/>
      <c r="H69" s="7"/>
    </row>
    <row r="70" spans="1:8" x14ac:dyDescent="0.2">
      <c r="A70" s="20"/>
      <c r="B70" s="7"/>
      <c r="C70" s="7"/>
      <c r="H70" s="7"/>
    </row>
    <row r="71" spans="1:8" x14ac:dyDescent="0.2">
      <c r="A71" s="20"/>
      <c r="B71" s="7"/>
      <c r="C71" s="7"/>
      <c r="H71" s="7"/>
    </row>
    <row r="72" spans="1:8" x14ac:dyDescent="0.2">
      <c r="A72" s="20"/>
      <c r="B72" s="7"/>
      <c r="C72" s="7"/>
      <c r="H72" s="7"/>
    </row>
    <row r="73" spans="1:8" x14ac:dyDescent="0.2">
      <c r="A73" s="20"/>
      <c r="B73" s="7"/>
      <c r="C73" s="7"/>
      <c r="H73" s="7"/>
    </row>
    <row r="74" spans="1:8" x14ac:dyDescent="0.2">
      <c r="A74" s="20"/>
      <c r="B74" s="7"/>
      <c r="C74" s="7"/>
      <c r="H74" s="7"/>
    </row>
    <row r="75" spans="1:8" x14ac:dyDescent="0.2">
      <c r="A75" s="20"/>
      <c r="B75" s="7"/>
      <c r="C75" s="7"/>
      <c r="H75" s="7"/>
    </row>
    <row r="76" spans="1:8" x14ac:dyDescent="0.2">
      <c r="A76" s="20"/>
      <c r="B76" s="7"/>
      <c r="C76" s="7"/>
      <c r="H76" s="7"/>
    </row>
    <row r="77" spans="1:8" x14ac:dyDescent="0.2">
      <c r="A77" s="20"/>
      <c r="B77" s="7"/>
      <c r="C77" s="7"/>
      <c r="H77" s="7"/>
    </row>
    <row r="78" spans="1:8" x14ac:dyDescent="0.2">
      <c r="A78" s="20"/>
      <c r="B78" s="7"/>
      <c r="C78" s="7"/>
      <c r="H78" s="7"/>
    </row>
    <row r="79" spans="1:8" x14ac:dyDescent="0.2">
      <c r="A79" s="20"/>
      <c r="B79" s="7"/>
      <c r="C79" s="7"/>
      <c r="H79" s="7"/>
    </row>
    <row r="80" spans="1:8" x14ac:dyDescent="0.2">
      <c r="A80" s="20"/>
      <c r="B80" s="7"/>
      <c r="C80" s="7"/>
      <c r="H80" s="7"/>
    </row>
    <row r="81" spans="1:8" x14ac:dyDescent="0.2">
      <c r="A81" s="20"/>
      <c r="B81" s="7"/>
      <c r="C81" s="7"/>
      <c r="H81" s="7"/>
    </row>
    <row r="82" spans="1:8" x14ac:dyDescent="0.2">
      <c r="A82" s="20"/>
      <c r="B82" s="7"/>
      <c r="C82" s="7"/>
      <c r="H82" s="7"/>
    </row>
    <row r="83" spans="1:8" x14ac:dyDescent="0.2">
      <c r="A83" s="20"/>
      <c r="B83" s="7"/>
      <c r="C83" s="7"/>
      <c r="H83" s="7"/>
    </row>
    <row r="84" spans="1:8" x14ac:dyDescent="0.2">
      <c r="A84" s="20"/>
      <c r="B84" s="7"/>
      <c r="C84" s="7"/>
      <c r="H84" s="7"/>
    </row>
    <row r="85" spans="1:8" x14ac:dyDescent="0.2">
      <c r="A85" s="20"/>
      <c r="B85" s="7"/>
      <c r="C85" s="7"/>
      <c r="H85" s="7"/>
    </row>
    <row r="86" spans="1:8" x14ac:dyDescent="0.2">
      <c r="A86" s="20"/>
      <c r="B86" s="7"/>
      <c r="C86" s="7"/>
      <c r="H86" s="7"/>
    </row>
    <row r="87" spans="1:8" x14ac:dyDescent="0.2">
      <c r="A87" s="20"/>
      <c r="B87" s="7"/>
      <c r="C87" s="7"/>
      <c r="H87" s="7"/>
    </row>
    <row r="88" spans="1:8" x14ac:dyDescent="0.2">
      <c r="A88" s="20"/>
      <c r="B88" s="7"/>
      <c r="C88" s="7"/>
      <c r="H88" s="7"/>
    </row>
    <row r="89" spans="1:8" x14ac:dyDescent="0.2">
      <c r="A89" s="20"/>
      <c r="B89" s="7"/>
      <c r="C89" s="7"/>
      <c r="H89" s="7"/>
    </row>
    <row r="90" spans="1:8" x14ac:dyDescent="0.2">
      <c r="A90" s="20"/>
      <c r="B90" s="7"/>
      <c r="C90" s="7"/>
      <c r="H90" s="7"/>
    </row>
    <row r="91" spans="1:8" x14ac:dyDescent="0.2">
      <c r="A91" s="20"/>
      <c r="B91" s="7"/>
      <c r="C91" s="7"/>
      <c r="H91" s="7"/>
    </row>
    <row r="92" spans="1:8" x14ac:dyDescent="0.2">
      <c r="A92" s="20"/>
      <c r="B92" s="7"/>
      <c r="C92" s="7"/>
      <c r="H92" s="7"/>
    </row>
    <row r="93" spans="1:8" x14ac:dyDescent="0.2">
      <c r="A93" s="20"/>
      <c r="B93" s="7"/>
      <c r="C93" s="7"/>
      <c r="H93" s="7"/>
    </row>
    <row r="94" spans="1:8" x14ac:dyDescent="0.2">
      <c r="A94" s="20"/>
      <c r="B94" s="7"/>
      <c r="C94" s="7"/>
      <c r="H94" s="7"/>
    </row>
    <row r="95" spans="1:8" x14ac:dyDescent="0.2">
      <c r="A95" s="20"/>
      <c r="B95" s="7"/>
      <c r="C95" s="7"/>
      <c r="H95" s="7"/>
    </row>
    <row r="96" spans="1:8" x14ac:dyDescent="0.2">
      <c r="A96" s="20"/>
      <c r="B96" s="7"/>
      <c r="C96" s="7"/>
      <c r="H96" s="7"/>
    </row>
    <row r="97" spans="1:8" x14ac:dyDescent="0.2">
      <c r="A97" s="20"/>
      <c r="B97" s="7"/>
      <c r="C97" s="7"/>
      <c r="H97" s="7"/>
    </row>
    <row r="98" spans="1:8" x14ac:dyDescent="0.2">
      <c r="A98" s="20"/>
      <c r="B98" s="7"/>
      <c r="C98" s="7"/>
      <c r="H98" s="7"/>
    </row>
    <row r="99" spans="1:8" x14ac:dyDescent="0.2">
      <c r="A99" s="20"/>
      <c r="B99" s="7"/>
      <c r="C99" s="7"/>
      <c r="H99" s="7"/>
    </row>
    <row r="100" spans="1:8" x14ac:dyDescent="0.2">
      <c r="A100" s="20"/>
      <c r="B100" s="7"/>
      <c r="C100" s="7"/>
      <c r="H100" s="7"/>
    </row>
    <row r="101" spans="1:8" x14ac:dyDescent="0.2">
      <c r="A101" s="20"/>
      <c r="B101" s="7"/>
      <c r="C101" s="7"/>
      <c r="H101" s="7"/>
    </row>
    <row r="102" spans="1:8" x14ac:dyDescent="0.2">
      <c r="A102" s="20"/>
      <c r="B102" s="7"/>
      <c r="C102" s="7"/>
      <c r="H102" s="7"/>
    </row>
    <row r="103" spans="1:8" x14ac:dyDescent="0.2">
      <c r="A103" s="20"/>
      <c r="B103" s="7"/>
      <c r="C103" s="7"/>
      <c r="H103" s="7"/>
    </row>
    <row r="104" spans="1:8" x14ac:dyDescent="0.2">
      <c r="A104" s="20"/>
      <c r="B104" s="7"/>
      <c r="C104" s="7"/>
      <c r="H104" s="7"/>
    </row>
    <row r="105" spans="1:8" x14ac:dyDescent="0.2">
      <c r="A105" s="20"/>
      <c r="B105" s="7"/>
      <c r="C105" s="7"/>
      <c r="H105" s="7"/>
    </row>
    <row r="106" spans="1:8" x14ac:dyDescent="0.2">
      <c r="A106" s="20"/>
      <c r="B106" s="7"/>
      <c r="C106" s="7"/>
      <c r="H106" s="7"/>
    </row>
    <row r="107" spans="1:8" x14ac:dyDescent="0.2">
      <c r="A107" s="20"/>
      <c r="B107" s="7"/>
      <c r="C107" s="7"/>
      <c r="H107" s="7"/>
    </row>
    <row r="108" spans="1:8" x14ac:dyDescent="0.2">
      <c r="A108" s="20"/>
      <c r="B108" s="7"/>
      <c r="C108" s="7"/>
      <c r="H108" s="7"/>
    </row>
    <row r="109" spans="1:8" x14ac:dyDescent="0.2">
      <c r="A109" s="20"/>
      <c r="B109" s="7"/>
      <c r="C109" s="7"/>
      <c r="H109" s="7"/>
    </row>
    <row r="110" spans="1:8" x14ac:dyDescent="0.2">
      <c r="A110" s="20"/>
      <c r="B110" s="7"/>
      <c r="C110" s="7"/>
      <c r="H110" s="7"/>
    </row>
    <row r="111" spans="1:8" x14ac:dyDescent="0.2">
      <c r="A111" s="20"/>
      <c r="B111" s="7"/>
      <c r="C111" s="7"/>
      <c r="H111" s="7"/>
    </row>
    <row r="112" spans="1:8" x14ac:dyDescent="0.2">
      <c r="A112" s="20"/>
      <c r="B112" s="7"/>
      <c r="C112" s="7"/>
      <c r="H112" s="7"/>
    </row>
    <row r="113" spans="1:8" x14ac:dyDescent="0.2">
      <c r="A113" s="20"/>
      <c r="B113" s="7"/>
      <c r="C113" s="7"/>
      <c r="H113" s="7"/>
    </row>
    <row r="114" spans="1:8" x14ac:dyDescent="0.2">
      <c r="A114" s="20"/>
      <c r="B114" s="7"/>
      <c r="C114" s="7"/>
      <c r="H114" s="7"/>
    </row>
    <row r="115" spans="1:8" x14ac:dyDescent="0.2">
      <c r="A115" s="20"/>
      <c r="B115" s="7"/>
      <c r="C115" s="7"/>
      <c r="H115" s="7"/>
    </row>
    <row r="116" spans="1:8" x14ac:dyDescent="0.2">
      <c r="A116" s="20"/>
      <c r="B116" s="7"/>
      <c r="C116" s="7"/>
      <c r="H116" s="7"/>
    </row>
    <row r="117" spans="1:8" x14ac:dyDescent="0.2">
      <c r="A117" s="20"/>
      <c r="B117" s="7"/>
      <c r="C117" s="7"/>
      <c r="H117" s="7"/>
    </row>
    <row r="118" spans="1:8" x14ac:dyDescent="0.2">
      <c r="A118" s="20"/>
      <c r="B118" s="7"/>
      <c r="C118" s="7"/>
      <c r="H118" s="7"/>
    </row>
    <row r="119" spans="1:8" x14ac:dyDescent="0.2">
      <c r="A119" s="20"/>
      <c r="B119" s="7"/>
      <c r="C119" s="7"/>
      <c r="H119" s="7"/>
    </row>
    <row r="120" spans="1:8" x14ac:dyDescent="0.2">
      <c r="A120" s="20"/>
      <c r="B120" s="7"/>
      <c r="C120" s="7"/>
      <c r="H120" s="7"/>
    </row>
    <row r="121" spans="1:8" x14ac:dyDescent="0.2">
      <c r="A121" s="20"/>
      <c r="B121" s="7"/>
      <c r="C121" s="7"/>
      <c r="H121" s="7"/>
    </row>
    <row r="122" spans="1:8" x14ac:dyDescent="0.2">
      <c r="A122" s="20"/>
      <c r="B122" s="7"/>
      <c r="C122" s="7"/>
      <c r="H122" s="7"/>
    </row>
    <row r="123" spans="1:8" x14ac:dyDescent="0.2">
      <c r="A123" s="20"/>
      <c r="B123" s="7"/>
      <c r="C123" s="7"/>
      <c r="H123" s="7"/>
    </row>
    <row r="124" spans="1:8" x14ac:dyDescent="0.2">
      <c r="A124" s="20"/>
      <c r="B124" s="7"/>
      <c r="C124" s="7"/>
      <c r="H124" s="7"/>
    </row>
    <row r="125" spans="1:8" x14ac:dyDescent="0.2">
      <c r="A125" s="20"/>
      <c r="B125" s="7"/>
      <c r="C125" s="7"/>
      <c r="H125" s="7"/>
    </row>
    <row r="126" spans="1:8" x14ac:dyDescent="0.2">
      <c r="A126" s="20"/>
      <c r="B126" s="7"/>
      <c r="C126" s="7"/>
      <c r="H126" s="7"/>
    </row>
    <row r="127" spans="1:8" x14ac:dyDescent="0.2">
      <c r="A127" s="20"/>
      <c r="B127" s="7"/>
      <c r="C127" s="7"/>
      <c r="H127" s="7"/>
    </row>
    <row r="128" spans="1:8" x14ac:dyDescent="0.2">
      <c r="A128" s="20"/>
      <c r="B128" s="7"/>
      <c r="C128" s="7"/>
      <c r="H128" s="7"/>
    </row>
    <row r="130" spans="2:10" hidden="1" x14ac:dyDescent="0.2">
      <c r="B130" s="306" t="s">
        <v>329</v>
      </c>
      <c r="D130" s="128" t="s">
        <v>330</v>
      </c>
      <c r="E130" s="128" t="s">
        <v>6</v>
      </c>
      <c r="F130" s="128" t="s">
        <v>331</v>
      </c>
      <c r="G130" s="128" t="s">
        <v>332</v>
      </c>
      <c r="H130" s="128" t="s">
        <v>333</v>
      </c>
      <c r="I130" s="128" t="s">
        <v>334</v>
      </c>
      <c r="J130" s="128" t="s">
        <v>335</v>
      </c>
    </row>
    <row r="1000" spans="2:10" hidden="1" x14ac:dyDescent="0.2">
      <c r="B1000" s="641" t="s">
        <v>1113</v>
      </c>
      <c r="D1000" s="642" t="s">
        <v>1114</v>
      </c>
      <c r="E1000" s="642" t="s">
        <v>1115</v>
      </c>
      <c r="F1000" s="642" t="s">
        <v>1116</v>
      </c>
      <c r="G1000" s="642" t="s">
        <v>1117</v>
      </c>
      <c r="H1000" s="642" t="s">
        <v>1118</v>
      </c>
      <c r="I1000" s="642" t="s">
        <v>1119</v>
      </c>
      <c r="J1000" s="642" t="s">
        <v>1120</v>
      </c>
    </row>
  </sheetData>
  <sheetProtection algorithmName="SHA-512" hashValue="bpmVl1KueK/A7aiVBPXuI3zG1uIcA4jbrqZwVnxxD7xqV3PhfKXmETw/8bPzLqUfHFllj6qWoEhmQexYWvk4EQ==" saltValue="iVt0F/eyImiT3njDv+NZPQ==" spinCount="100000" sheet="1" objects="1" scenarios="1"/>
  <dataConsolidate/>
  <mergeCells count="8">
    <mergeCell ref="L11:L12"/>
    <mergeCell ref="D2:E2"/>
    <mergeCell ref="D11:D12"/>
    <mergeCell ref="E11:E12"/>
    <mergeCell ref="F11:F12"/>
    <mergeCell ref="G11:G12"/>
    <mergeCell ref="I11:I12"/>
    <mergeCell ref="J11:J12"/>
  </mergeCells>
  <phoneticPr fontId="44" type="noConversion"/>
  <conditionalFormatting sqref="H15 H20 H22 H24:H25">
    <cfRule type="cellIs" dxfId="1177" priority="24" stopIfTrue="1" operator="greaterThan">
      <formula>G15</formula>
    </cfRule>
  </conditionalFormatting>
  <conditionalFormatting sqref="D15:E16 F14:F15 G16:I17 H14 H18:H19 E17">
    <cfRule type="cellIs" dxfId="1176" priority="17" stopIfTrue="1" operator="notEqual">
      <formula>0</formula>
    </cfRule>
  </conditionalFormatting>
  <conditionalFormatting sqref="D14:E14 G14:G15 H15 I14:I15 F16:F17 D18:G20 H20 I18:I20 J14:J20 D24:J25 D22:J22">
    <cfRule type="cellIs" dxfId="1175" priority="21" stopIfTrue="1" operator="lessThan">
      <formula>0</formula>
    </cfRule>
  </conditionalFormatting>
  <conditionalFormatting sqref="J18:J25">
    <cfRule type="cellIs" dxfId="1174" priority="15" stopIfTrue="1" operator="notEqual">
      <formula>ROUND(SUM(D18:G18,I18),3)</formula>
    </cfRule>
  </conditionalFormatting>
  <conditionalFormatting sqref="I28:I34">
    <cfRule type="cellIs" dxfId="1173" priority="25" stopIfTrue="1" operator="notEqual">
      <formula>"OK"</formula>
    </cfRule>
  </conditionalFormatting>
  <conditionalFormatting sqref="J17">
    <cfRule type="cellIs" dxfId="1172" priority="14" stopIfTrue="1" operator="notEqual">
      <formula>$D$17+$F$17</formula>
    </cfRule>
  </conditionalFormatting>
  <conditionalFormatting sqref="J16">
    <cfRule type="cellIs" dxfId="1171" priority="13" stopIfTrue="1" operator="notEqual">
      <formula>$F$16</formula>
    </cfRule>
  </conditionalFormatting>
  <conditionalFormatting sqref="J15">
    <cfRule type="cellIs" dxfId="1170" priority="12" stopIfTrue="1" operator="notEqual">
      <formula>ROUND(G15+I15,3)</formula>
    </cfRule>
  </conditionalFormatting>
  <conditionalFormatting sqref="J14">
    <cfRule type="cellIs" dxfId="1169" priority="11" stopIfTrue="1" operator="notEqual">
      <formula>ROUND(D14+E14+G14+I14,3)</formula>
    </cfRule>
  </conditionalFormatting>
  <conditionalFormatting sqref="D22">
    <cfRule type="cellIs" dxfId="1168" priority="10" stopIfTrue="1" operator="notEqual">
      <formula>ROUND(D14+D17+D18-D19-D20-D21,3)</formula>
    </cfRule>
  </conditionalFormatting>
  <conditionalFormatting sqref="F22">
    <cfRule type="cellIs" dxfId="1167" priority="9" stopIfTrue="1" operator="notEqual">
      <formula>ROUND(SUM(F16:F18)-SUM(F19:F21),3)</formula>
    </cfRule>
  </conditionalFormatting>
  <conditionalFormatting sqref="G22">
    <cfRule type="cellIs" dxfId="1166" priority="8" stopIfTrue="1" operator="notEqual">
      <formula>ROUND(SUM(G14,G15,G18)-SUM(G19:G21),3)</formula>
    </cfRule>
  </conditionalFormatting>
  <conditionalFormatting sqref="H22">
    <cfRule type="cellIs" dxfId="1165" priority="7" stopIfTrue="1" operator="notEqual">
      <formula>ROUND(H15-H20-H21,3)</formula>
    </cfRule>
  </conditionalFormatting>
  <conditionalFormatting sqref="I22">
    <cfRule type="cellIs" dxfId="1164" priority="6" stopIfTrue="1" operator="notEqual">
      <formula>ROUND(SUM(I14:I15,I18)-SUM(I19:I21),3)</formula>
    </cfRule>
  </conditionalFormatting>
  <conditionalFormatting sqref="D23:J23">
    <cfRule type="cellIs" dxfId="1163" priority="5" stopIfTrue="1" operator="notEqual">
      <formula>ROUND(D22-D24,3)</formula>
    </cfRule>
  </conditionalFormatting>
  <conditionalFormatting sqref="D25:I25">
    <cfRule type="cellIs" dxfId="1162" priority="4" operator="greaterThan">
      <formula>D$24</formula>
    </cfRule>
  </conditionalFormatting>
  <conditionalFormatting sqref="D17">
    <cfRule type="cellIs" dxfId="1161" priority="2" stopIfTrue="1" operator="lessThan">
      <formula>0</formula>
    </cfRule>
  </conditionalFormatting>
  <conditionalFormatting sqref="E22">
    <cfRule type="cellIs" dxfId="1160" priority="1" stopIfTrue="1" operator="notEqual">
      <formula>ROUND(E14+E18-E19-E20-E21,3)</formula>
    </cfRule>
  </conditionalFormatting>
  <dataValidations count="5">
    <dataValidation type="list" showInputMessage="1" sqref="D4" xr:uid="{00000000-0002-0000-0100-000000000000}">
      <formula1>$M$1:$M$2</formula1>
    </dataValidation>
    <dataValidation type="list" allowBlank="1" showInputMessage="1" showErrorMessage="1" errorTitle="Error" error="Please select a country in the list" sqref="D2" xr:uid="{00000000-0002-0000-0100-000001000000}">
      <formula1>CountryList</formula1>
    </dataValidation>
    <dataValidation type="list" allowBlank="1" showInputMessage="1" showErrorMessage="1" errorTitle="Error" error="Please select a month in the list" sqref="D3" xr:uid="{00000000-0002-0000-0100-000002000000}">
      <formula1>MonthList</formula1>
    </dataValidation>
    <dataValidation type="whole" allowBlank="1" showInputMessage="1" showErrorMessage="1" errorTitle="Error on the year" error="Please type in a year greater than 1990 with vintage year" sqref="E3" xr:uid="{00000000-0002-0000-0100-000003000000}">
      <formula1>1990</formula1>
      <formula2>2100</formula2>
    </dataValidation>
    <dataValidation type="decimal" operator="greaterThanOrEqual" allowBlank="1" showErrorMessage="1" errorTitle="Input error" error="Numbers only!" sqref="D18:E25 H20:H25 I18:I25 G18:G25 J16:J25 F16:F25 H15:J15 I14:J14 G14:G15 D14:E14 D17" xr:uid="{00000000-0002-0000-0100-000004000000}">
      <formula1>-10000000</formula1>
    </dataValidation>
  </dataValidations>
  <pageMargins left="0.78740157480314965" right="0.78740157480314965" top="0.78740157480314965" bottom="0.78740157480314965" header="0.39370078740157483" footer="0.39370078740157483"/>
  <pageSetup paperSize="9" scale="98" orientation="landscape" r:id="rId1"/>
  <headerFooter alignWithMargins="0">
    <oddHeader>&amp;C&amp;A</oddHeader>
    <oddFooter>Page &amp;P</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03">
    <pageSetUpPr fitToPage="1"/>
  </sheetPr>
  <dimension ref="A1:EE1000"/>
  <sheetViews>
    <sheetView zoomScaleNormal="100" workbookViewId="0">
      <pane xSplit="3" ySplit="7" topLeftCell="D8" activePane="bottomRight" state="frozen"/>
      <selection activeCell="ED11" sqref="ED11"/>
      <selection pane="topRight" activeCell="ED11" sqref="ED11"/>
      <selection pane="bottomLeft" activeCell="ED11" sqref="ED11"/>
      <selection pane="bottomRight" activeCell="D8" sqref="D8"/>
    </sheetView>
  </sheetViews>
  <sheetFormatPr defaultColWidth="9.140625" defaultRowHeight="12" x14ac:dyDescent="0.2"/>
  <cols>
    <col min="1" max="1" width="2" style="7" customWidth="1"/>
    <col min="2" max="2" width="45.7109375" style="3" customWidth="1"/>
    <col min="3" max="3" width="3.28515625" style="3" bestFit="1" customWidth="1"/>
    <col min="4" max="30" width="10.7109375" style="3" customWidth="1"/>
    <col min="31" max="31" width="1.5703125" style="3" customWidth="1"/>
    <col min="32" max="32" width="46.140625" style="3" customWidth="1"/>
    <col min="33" max="35" width="9.140625" style="3"/>
    <col min="36" max="36" width="10.7109375" style="3" customWidth="1"/>
    <col min="37" max="45" width="9.140625" style="3"/>
    <col min="46" max="46" width="12.85546875" style="3" hidden="1" customWidth="1"/>
    <col min="47" max="122" width="9.140625" style="3"/>
    <col min="123" max="135" width="9.140625" style="3" hidden="1" customWidth="1"/>
    <col min="136" max="16384" width="9.140625" style="3"/>
  </cols>
  <sheetData>
    <row r="1" spans="1:135" x14ac:dyDescent="0.2">
      <c r="A1" s="1" t="s">
        <v>611</v>
      </c>
      <c r="AT1" s="303" t="s">
        <v>351</v>
      </c>
    </row>
    <row r="2" spans="1:135" x14ac:dyDescent="0.2">
      <c r="A2" s="24" t="str">
        <f>IF('Table 1'!D2=0,"",'Table 1'!D2)</f>
        <v>Netherlands</v>
      </c>
      <c r="C2" s="24"/>
      <c r="AT2" s="137" t="s">
        <v>336</v>
      </c>
    </row>
    <row r="3" spans="1:135" x14ac:dyDescent="0.2">
      <c r="A3" s="24" t="str">
        <f>IF('Table 1'!D3=0,"",'Table 1'!D3 &amp; " " &amp; QuestYear)</f>
        <v>September 2026</v>
      </c>
      <c r="C3" s="24"/>
      <c r="D3" s="6"/>
      <c r="E3" s="6"/>
      <c r="F3" s="6"/>
      <c r="G3" s="6"/>
      <c r="H3" s="6"/>
      <c r="I3" s="6"/>
      <c r="J3" s="6"/>
      <c r="K3" s="6"/>
      <c r="L3" s="6"/>
      <c r="M3" s="6"/>
      <c r="N3" s="6"/>
      <c r="O3" s="6"/>
      <c r="P3" s="6"/>
      <c r="Q3" s="6"/>
      <c r="R3" s="6"/>
      <c r="S3" s="6"/>
      <c r="T3" s="6"/>
      <c r="U3" s="6"/>
      <c r="V3" s="6"/>
      <c r="W3" s="6"/>
      <c r="X3" s="6"/>
      <c r="Y3" s="6"/>
      <c r="Z3" s="6"/>
      <c r="AA3" s="6"/>
      <c r="AB3" s="316"/>
      <c r="AC3" s="6"/>
      <c r="AD3" s="6"/>
    </row>
    <row r="4" spans="1:135" x14ac:dyDescent="0.2">
      <c r="A4" s="5" t="s">
        <v>102</v>
      </c>
      <c r="D4" s="6"/>
      <c r="E4" s="6"/>
      <c r="F4" s="6"/>
      <c r="G4" s="6"/>
      <c r="H4" s="6"/>
      <c r="I4" s="6"/>
      <c r="J4" s="6"/>
      <c r="K4" s="6"/>
      <c r="L4" s="6"/>
      <c r="M4" s="6"/>
      <c r="N4" s="6"/>
      <c r="O4" s="6"/>
      <c r="P4" s="6"/>
      <c r="Q4" s="6"/>
      <c r="R4" s="6"/>
      <c r="S4" s="6"/>
      <c r="T4" s="6"/>
      <c r="U4" s="6"/>
      <c r="V4" s="6"/>
      <c r="W4" s="6"/>
      <c r="X4" s="6"/>
      <c r="Y4" s="6"/>
      <c r="Z4" s="6"/>
      <c r="AA4" s="6"/>
      <c r="AB4" s="6"/>
      <c r="AC4" s="6"/>
      <c r="AD4" s="25" t="s">
        <v>632</v>
      </c>
    </row>
    <row r="5" spans="1:135" ht="12.75" customHeight="1" x14ac:dyDescent="0.2">
      <c r="A5" s="168"/>
      <c r="B5" s="169"/>
      <c r="C5" s="167"/>
      <c r="D5" s="1124" t="s">
        <v>656</v>
      </c>
      <c r="E5" s="1126" t="s">
        <v>657</v>
      </c>
      <c r="F5" s="1128" t="s">
        <v>658</v>
      </c>
      <c r="G5" s="1124" t="s">
        <v>8</v>
      </c>
      <c r="H5" s="1124" t="s">
        <v>9</v>
      </c>
      <c r="I5" s="1126" t="s">
        <v>10</v>
      </c>
      <c r="J5" s="1114" t="s">
        <v>659</v>
      </c>
      <c r="K5" s="329"/>
      <c r="L5" s="194"/>
      <c r="M5" s="1122" t="s">
        <v>660</v>
      </c>
      <c r="N5" s="1124" t="s">
        <v>661</v>
      </c>
      <c r="O5" s="1116" t="s">
        <v>668</v>
      </c>
      <c r="P5" s="191"/>
      <c r="Q5" s="192"/>
      <c r="R5" s="1126" t="s">
        <v>664</v>
      </c>
      <c r="S5" s="193"/>
      <c r="T5" s="190"/>
      <c r="U5" s="1118" t="s">
        <v>670</v>
      </c>
      <c r="V5" s="190"/>
      <c r="W5" s="194"/>
      <c r="X5" s="1114" t="s">
        <v>628</v>
      </c>
      <c r="Y5" s="190"/>
      <c r="Z5" s="190"/>
      <c r="AA5" s="194"/>
      <c r="AB5" s="1128" t="s">
        <v>629</v>
      </c>
      <c r="AC5" s="1124" t="s">
        <v>630</v>
      </c>
      <c r="AD5" s="1120" t="s">
        <v>631</v>
      </c>
      <c r="AF5" s="1102" t="s">
        <v>350</v>
      </c>
    </row>
    <row r="6" spans="1:135" ht="45" x14ac:dyDescent="0.25">
      <c r="A6" s="623"/>
      <c r="B6" s="205"/>
      <c r="C6" s="624"/>
      <c r="D6" s="1125"/>
      <c r="E6" s="1127"/>
      <c r="F6" s="1129"/>
      <c r="G6" s="1125"/>
      <c r="H6" s="1125"/>
      <c r="I6" s="1127"/>
      <c r="J6" s="1115"/>
      <c r="K6" s="184" t="s">
        <v>623</v>
      </c>
      <c r="L6" s="195" t="s">
        <v>626</v>
      </c>
      <c r="M6" s="1123"/>
      <c r="N6" s="1125"/>
      <c r="O6" s="1117"/>
      <c r="P6" s="186" t="s">
        <v>662</v>
      </c>
      <c r="Q6" s="187" t="s">
        <v>663</v>
      </c>
      <c r="R6" s="1127"/>
      <c r="S6" s="188" t="s">
        <v>627</v>
      </c>
      <c r="T6" s="189" t="s">
        <v>669</v>
      </c>
      <c r="U6" s="1119"/>
      <c r="V6" s="184" t="s">
        <v>624</v>
      </c>
      <c r="W6" s="196" t="s">
        <v>671</v>
      </c>
      <c r="X6" s="1115"/>
      <c r="Y6" s="187" t="s">
        <v>674</v>
      </c>
      <c r="Z6" s="186" t="s">
        <v>1411</v>
      </c>
      <c r="AA6" s="196" t="s">
        <v>872</v>
      </c>
      <c r="AB6" s="1129"/>
      <c r="AC6" s="1125"/>
      <c r="AD6" s="1121"/>
      <c r="AF6" s="1113"/>
      <c r="DS6" s="650" t="s">
        <v>1121</v>
      </c>
      <c r="DT6" s="644"/>
      <c r="DU6" s="645"/>
      <c r="DV6" s="645"/>
      <c r="DW6" s="645"/>
      <c r="DX6" s="645"/>
      <c r="DY6" s="645"/>
      <c r="DZ6" s="645"/>
      <c r="EA6" s="645"/>
      <c r="EB6" s="645"/>
      <c r="EC6" s="645"/>
      <c r="ED6" s="645"/>
    </row>
    <row r="7" spans="1:135" ht="12.75" customHeight="1" x14ac:dyDescent="0.2">
      <c r="A7" s="622"/>
      <c r="B7" s="84"/>
      <c r="C7" s="84"/>
      <c r="D7" s="78" t="s">
        <v>152</v>
      </c>
      <c r="E7" s="478" t="s">
        <v>153</v>
      </c>
      <c r="F7" s="78" t="s">
        <v>154</v>
      </c>
      <c r="G7" s="79" t="s">
        <v>155</v>
      </c>
      <c r="H7" s="79" t="s">
        <v>156</v>
      </c>
      <c r="I7" s="85" t="s">
        <v>157</v>
      </c>
      <c r="J7" s="174" t="s">
        <v>158</v>
      </c>
      <c r="K7" s="85" t="s">
        <v>159</v>
      </c>
      <c r="L7" s="331" t="s">
        <v>160</v>
      </c>
      <c r="M7" s="78" t="s">
        <v>161</v>
      </c>
      <c r="N7" s="79" t="s">
        <v>162</v>
      </c>
      <c r="O7" s="175" t="s">
        <v>163</v>
      </c>
      <c r="P7" s="85" t="s">
        <v>164</v>
      </c>
      <c r="Q7" s="85" t="s">
        <v>165</v>
      </c>
      <c r="R7" s="331" t="s">
        <v>166</v>
      </c>
      <c r="S7" s="86" t="s">
        <v>167</v>
      </c>
      <c r="T7" s="100" t="s">
        <v>168</v>
      </c>
      <c r="U7" s="176" t="s">
        <v>169</v>
      </c>
      <c r="V7" s="87" t="s">
        <v>170</v>
      </c>
      <c r="W7" s="331" t="s">
        <v>171</v>
      </c>
      <c r="X7" s="176" t="s">
        <v>172</v>
      </c>
      <c r="Y7" s="86" t="s">
        <v>173</v>
      </c>
      <c r="Z7" s="89" t="s">
        <v>174</v>
      </c>
      <c r="AA7" s="331" t="s">
        <v>175</v>
      </c>
      <c r="AB7" s="78" t="s">
        <v>176</v>
      </c>
      <c r="AC7" s="79" t="s">
        <v>177</v>
      </c>
      <c r="AD7" s="80" t="s">
        <v>181</v>
      </c>
      <c r="AF7" s="80" t="s">
        <v>417</v>
      </c>
      <c r="AT7" s="332" t="s">
        <v>337</v>
      </c>
      <c r="DS7" s="641" t="s">
        <v>1122</v>
      </c>
      <c r="DT7" s="641" t="s">
        <v>1113</v>
      </c>
      <c r="DU7" s="641" t="s">
        <v>1123</v>
      </c>
      <c r="DV7" s="641" t="s">
        <v>1124</v>
      </c>
      <c r="DW7" s="641" t="s">
        <v>1125</v>
      </c>
      <c r="DX7" s="641" t="s">
        <v>1126</v>
      </c>
      <c r="DY7" s="641" t="s">
        <v>415</v>
      </c>
      <c r="DZ7" s="641" t="s">
        <v>1127</v>
      </c>
      <c r="EA7" s="641" t="s">
        <v>1128</v>
      </c>
      <c r="EB7" s="641" t="s">
        <v>1129</v>
      </c>
      <c r="EC7" s="641" t="s">
        <v>1130</v>
      </c>
      <c r="ED7" s="641" t="s">
        <v>1131</v>
      </c>
      <c r="EE7" s="641" t="s">
        <v>1244</v>
      </c>
    </row>
    <row r="8" spans="1:135" ht="13.5" x14ac:dyDescent="0.2">
      <c r="A8" s="41" t="s">
        <v>105</v>
      </c>
      <c r="B8" s="35" t="s">
        <v>633</v>
      </c>
      <c r="C8" s="153">
        <v>1</v>
      </c>
      <c r="D8" s="776">
        <v>85.715999999999994</v>
      </c>
      <c r="E8" s="777">
        <v>205.369</v>
      </c>
      <c r="F8" s="776">
        <v>179.87799999999999</v>
      </c>
      <c r="G8" s="770">
        <v>0</v>
      </c>
      <c r="H8" s="770">
        <v>0</v>
      </c>
      <c r="I8" s="778">
        <v>21.535</v>
      </c>
      <c r="J8" s="779">
        <v>136.72300000000001</v>
      </c>
      <c r="K8" s="778">
        <v>47.557000000000002</v>
      </c>
      <c r="L8" s="780">
        <v>89.165000000000006</v>
      </c>
      <c r="M8" s="776">
        <v>0</v>
      </c>
      <c r="N8" s="770">
        <v>0</v>
      </c>
      <c r="O8" s="781">
        <v>0</v>
      </c>
      <c r="P8" s="778">
        <v>0</v>
      </c>
      <c r="Q8" s="778">
        <v>0</v>
      </c>
      <c r="R8" s="778">
        <v>0</v>
      </c>
      <c r="S8" s="782">
        <v>56.987000000000002</v>
      </c>
      <c r="T8" s="772">
        <v>28.617999999999999</v>
      </c>
      <c r="U8" s="783">
        <v>85.605000000000004</v>
      </c>
      <c r="V8" s="776">
        <v>80.685000000000002</v>
      </c>
      <c r="W8" s="780">
        <v>4.9210000000000003</v>
      </c>
      <c r="X8" s="783">
        <v>0</v>
      </c>
      <c r="Y8" s="770">
        <v>0</v>
      </c>
      <c r="Z8" s="770">
        <v>0</v>
      </c>
      <c r="AA8" s="780">
        <v>0</v>
      </c>
      <c r="AB8" s="776">
        <v>0</v>
      </c>
      <c r="AC8" s="770">
        <v>38.646000000000001</v>
      </c>
      <c r="AD8" s="771">
        <f>ROUND(SUM(D8:J8,M8:O8,R8,U8,X8,AB8:AC8),3)</f>
        <v>753.47199999999998</v>
      </c>
      <c r="AF8" s="129" t="str">
        <f>IF(ROUND(AD8-SUM(D8:J8,M8:O8,R8,U8,X8,AB8:AC8),3)=0,"","Total products is not equal to the sum of products")</f>
        <v/>
      </c>
      <c r="AT8" s="130" t="s">
        <v>370</v>
      </c>
      <c r="DS8" s="647" t="str">
        <f>VLOOKUP(CountryUser, Param!$C$9:$E$67, 3, 0)</f>
        <v>NL</v>
      </c>
      <c r="DT8" s="647" t="s">
        <v>1132</v>
      </c>
      <c r="DU8" s="647" t="s">
        <v>1137</v>
      </c>
      <c r="DV8" s="647" t="s">
        <v>370</v>
      </c>
      <c r="DW8" s="647" t="s">
        <v>1134</v>
      </c>
      <c r="DX8" s="647" t="s">
        <v>1134</v>
      </c>
      <c r="DY8" s="647" t="s">
        <v>1134</v>
      </c>
      <c r="DZ8" s="647" t="s">
        <v>1134</v>
      </c>
      <c r="EA8" s="647" t="s">
        <v>1134</v>
      </c>
      <c r="EB8" s="647" t="s">
        <v>1135</v>
      </c>
      <c r="EC8" s="647" t="s">
        <v>1134</v>
      </c>
      <c r="ED8" s="647" t="s">
        <v>1136</v>
      </c>
      <c r="EE8" s="647" t="str">
        <f>QuestYear&amp;"-"&amp;TEXT(MATCH(FirstMonth, Param!C71:C82,0), "00")</f>
        <v>2026-09</v>
      </c>
    </row>
    <row r="9" spans="1:135" x14ac:dyDescent="0.2">
      <c r="A9" s="41" t="s">
        <v>105</v>
      </c>
      <c r="B9" s="35" t="s">
        <v>854</v>
      </c>
      <c r="C9" s="153">
        <v>2</v>
      </c>
      <c r="D9" s="62"/>
      <c r="E9" s="61"/>
      <c r="F9" s="776">
        <v>184.85</v>
      </c>
      <c r="G9" s="770">
        <v>0</v>
      </c>
      <c r="H9" s="770">
        <v>68.274000000000001</v>
      </c>
      <c r="I9" s="778">
        <v>860.23299999999995</v>
      </c>
      <c r="J9" s="779">
        <v>397.53</v>
      </c>
      <c r="K9" s="778">
        <v>0</v>
      </c>
      <c r="L9" s="780">
        <v>397.53</v>
      </c>
      <c r="M9" s="776">
        <v>9.1940000000000008</v>
      </c>
      <c r="N9" s="770">
        <v>0</v>
      </c>
      <c r="O9" s="781">
        <v>505.11500000000001</v>
      </c>
      <c r="P9" s="778">
        <v>0</v>
      </c>
      <c r="Q9" s="778">
        <v>505.11500000000001</v>
      </c>
      <c r="R9" s="778">
        <v>122.315</v>
      </c>
      <c r="S9" s="782">
        <v>1486.1980000000001</v>
      </c>
      <c r="T9" s="772">
        <v>172.792</v>
      </c>
      <c r="U9" s="783">
        <v>1658.99</v>
      </c>
      <c r="V9" s="776">
        <v>0</v>
      </c>
      <c r="W9" s="780">
        <v>1658.99</v>
      </c>
      <c r="X9" s="783">
        <v>878.16399999999999</v>
      </c>
      <c r="Y9" s="770">
        <v>595.44299999999998</v>
      </c>
      <c r="Z9" s="770">
        <v>0</v>
      </c>
      <c r="AA9" s="780">
        <v>282.721</v>
      </c>
      <c r="AB9" s="776">
        <v>33.457999999999998</v>
      </c>
      <c r="AC9" s="770">
        <v>247.09299999999999</v>
      </c>
      <c r="AD9" s="771">
        <f>ROUND(SUM(F9:J9,M9:O9,R9,U9,X9,AB9:AC9),3)</f>
        <v>4965.2160000000003</v>
      </c>
      <c r="AF9" s="129" t="str">
        <f>IF(ROUND(AD9-SUM(F9:J9,M9:O9,R9,U9,X9,AB9:AC9),3)=0,"","Total products is not equal to the sum of products")</f>
        <v/>
      </c>
      <c r="AT9" s="130" t="s">
        <v>371</v>
      </c>
      <c r="DS9" s="304"/>
      <c r="DT9" s="304"/>
      <c r="DU9" s="647" t="s">
        <v>1133</v>
      </c>
      <c r="DV9" s="647" t="s">
        <v>371</v>
      </c>
      <c r="DW9" s="647" t="s">
        <v>1134</v>
      </c>
      <c r="DX9" s="647" t="s">
        <v>1134</v>
      </c>
      <c r="DY9" s="647" t="s">
        <v>1134</v>
      </c>
      <c r="DZ9" s="647" t="s">
        <v>1134</v>
      </c>
      <c r="EA9" s="647" t="s">
        <v>1134</v>
      </c>
      <c r="EB9" s="647" t="s">
        <v>1135</v>
      </c>
      <c r="EC9" s="647" t="s">
        <v>1134</v>
      </c>
      <c r="ED9" s="647" t="s">
        <v>1136</v>
      </c>
    </row>
    <row r="10" spans="1:135" x14ac:dyDescent="0.2">
      <c r="A10" s="41" t="s">
        <v>105</v>
      </c>
      <c r="B10" s="35" t="s">
        <v>634</v>
      </c>
      <c r="C10" s="153">
        <v>3</v>
      </c>
      <c r="D10" s="62"/>
      <c r="E10" s="61"/>
      <c r="F10" s="776">
        <v>10.786</v>
      </c>
      <c r="G10" s="770">
        <v>0</v>
      </c>
      <c r="H10" s="770">
        <v>0</v>
      </c>
      <c r="I10" s="778">
        <v>0</v>
      </c>
      <c r="J10" s="784">
        <v>0</v>
      </c>
      <c r="K10" s="778">
        <v>0</v>
      </c>
      <c r="L10" s="780">
        <v>0</v>
      </c>
      <c r="M10" s="776">
        <v>0</v>
      </c>
      <c r="N10" s="770">
        <v>0</v>
      </c>
      <c r="O10" s="781">
        <v>0</v>
      </c>
      <c r="P10" s="778">
        <v>0</v>
      </c>
      <c r="Q10" s="778">
        <v>0</v>
      </c>
      <c r="R10" s="778">
        <v>0</v>
      </c>
      <c r="S10" s="782">
        <v>0</v>
      </c>
      <c r="T10" s="772">
        <v>0</v>
      </c>
      <c r="U10" s="783">
        <v>0</v>
      </c>
      <c r="V10" s="776">
        <v>0</v>
      </c>
      <c r="W10" s="780">
        <v>0</v>
      </c>
      <c r="X10" s="783">
        <v>0</v>
      </c>
      <c r="Y10" s="770">
        <v>0</v>
      </c>
      <c r="Z10" s="770">
        <v>0</v>
      </c>
      <c r="AA10" s="780">
        <v>0</v>
      </c>
      <c r="AB10" s="776">
        <v>0</v>
      </c>
      <c r="AC10" s="770">
        <v>0</v>
      </c>
      <c r="AD10" s="771">
        <f>ROUND(SUM(F10:J10,M10:O10,R10,U10,X10,AB10:AC10),3)</f>
        <v>10.786</v>
      </c>
      <c r="AF10" s="129" t="str">
        <f t="shared" ref="AF10" si="0">IF(ROUND(AD10-SUM(F10:J10,M10:O10,R10,U10,X10,AB10:AC10),3)=0,"","Total products is not equal to the sum of products")</f>
        <v/>
      </c>
      <c r="AT10" s="130" t="s">
        <v>372</v>
      </c>
      <c r="DS10" s="304"/>
      <c r="DT10" s="304"/>
      <c r="DU10" s="647" t="s">
        <v>1137</v>
      </c>
      <c r="DV10" s="647" t="s">
        <v>372</v>
      </c>
      <c r="DW10" s="647" t="s">
        <v>1134</v>
      </c>
      <c r="DX10" s="647" t="s">
        <v>1134</v>
      </c>
      <c r="DY10" s="647" t="s">
        <v>1134</v>
      </c>
      <c r="DZ10" s="647" t="s">
        <v>1134</v>
      </c>
      <c r="EA10" s="647" t="s">
        <v>1134</v>
      </c>
      <c r="EB10" s="647" t="s">
        <v>1135</v>
      </c>
      <c r="EC10" s="647" t="s">
        <v>1134</v>
      </c>
      <c r="ED10" s="647" t="s">
        <v>1136</v>
      </c>
    </row>
    <row r="11" spans="1:135" x14ac:dyDescent="0.2">
      <c r="A11" s="41" t="s">
        <v>106</v>
      </c>
      <c r="B11" s="35" t="s">
        <v>635</v>
      </c>
      <c r="C11" s="153">
        <v>4</v>
      </c>
      <c r="D11" s="62"/>
      <c r="E11" s="61"/>
      <c r="F11" s="776">
        <v>179.65199999999999</v>
      </c>
      <c r="G11" s="770">
        <v>0</v>
      </c>
      <c r="H11" s="770">
        <v>4.3890000000000002</v>
      </c>
      <c r="I11" s="778">
        <v>0</v>
      </c>
      <c r="J11" s="784">
        <v>0</v>
      </c>
      <c r="K11" s="778">
        <v>0</v>
      </c>
      <c r="L11" s="780">
        <v>0</v>
      </c>
      <c r="M11" s="776">
        <v>0</v>
      </c>
      <c r="N11" s="770">
        <v>0</v>
      </c>
      <c r="O11" s="781">
        <v>0</v>
      </c>
      <c r="P11" s="778">
        <v>0</v>
      </c>
      <c r="Q11" s="778">
        <v>0</v>
      </c>
      <c r="R11" s="778">
        <v>0</v>
      </c>
      <c r="S11" s="782">
        <v>0</v>
      </c>
      <c r="T11" s="772">
        <v>0</v>
      </c>
      <c r="U11" s="783">
        <v>0</v>
      </c>
      <c r="V11" s="776">
        <v>0</v>
      </c>
      <c r="W11" s="780">
        <v>0</v>
      </c>
      <c r="X11" s="783">
        <v>0</v>
      </c>
      <c r="Y11" s="770">
        <v>0</v>
      </c>
      <c r="Z11" s="770">
        <v>0</v>
      </c>
      <c r="AA11" s="780">
        <v>0</v>
      </c>
      <c r="AB11" s="776">
        <v>26.093</v>
      </c>
      <c r="AC11" s="770">
        <v>2E-3</v>
      </c>
      <c r="AD11" s="771">
        <f>ROUND(SUM(F11:J11,M11:O11,R11,U11,X11,AB11:AC11),3)</f>
        <v>210.136</v>
      </c>
      <c r="AF11" s="129" t="str">
        <f>IF(ROUND(AD11-SUM(F11:J11,M11:O11,R11,U11,X11,AB11:AC11),3)=0,"","Total products is not equal to the sum of products")</f>
        <v/>
      </c>
      <c r="AT11" s="130" t="s">
        <v>373</v>
      </c>
      <c r="DS11" s="304"/>
      <c r="DT11" s="304"/>
      <c r="DU11" s="647" t="s">
        <v>1165</v>
      </c>
      <c r="DV11" s="647" t="s">
        <v>373</v>
      </c>
      <c r="DW11" s="647" t="s">
        <v>1134</v>
      </c>
      <c r="DX11" s="647" t="s">
        <v>1134</v>
      </c>
      <c r="DY11" s="647" t="s">
        <v>1134</v>
      </c>
      <c r="DZ11" s="647" t="s">
        <v>1134</v>
      </c>
      <c r="EA11" s="647" t="s">
        <v>1134</v>
      </c>
      <c r="EB11" s="647" t="s">
        <v>1135</v>
      </c>
      <c r="EC11" s="647" t="s">
        <v>1134</v>
      </c>
      <c r="ED11" s="647" t="s">
        <v>1136</v>
      </c>
    </row>
    <row r="12" spans="1:135" ht="13.5" x14ac:dyDescent="0.2">
      <c r="A12" s="41" t="s">
        <v>105</v>
      </c>
      <c r="B12" s="36" t="s">
        <v>636</v>
      </c>
      <c r="C12" s="154">
        <v>5</v>
      </c>
      <c r="D12" s="62"/>
      <c r="E12" s="61"/>
      <c r="F12" s="62"/>
      <c r="G12" s="770">
        <v>0</v>
      </c>
      <c r="H12" s="770">
        <v>408.97</v>
      </c>
      <c r="I12" s="778">
        <v>1913.84</v>
      </c>
      <c r="J12" s="784">
        <v>540.21199999999999</v>
      </c>
      <c r="K12" s="778">
        <v>0</v>
      </c>
      <c r="L12" s="780">
        <v>540.21199999999999</v>
      </c>
      <c r="M12" s="776">
        <v>0</v>
      </c>
      <c r="N12" s="770">
        <v>0</v>
      </c>
      <c r="O12" s="781">
        <v>618.09</v>
      </c>
      <c r="P12" s="778">
        <v>0</v>
      </c>
      <c r="Q12" s="778">
        <v>592.55200000000002</v>
      </c>
      <c r="R12" s="778">
        <v>65.435000000000002</v>
      </c>
      <c r="S12" s="782">
        <v>561.73699999999997</v>
      </c>
      <c r="T12" s="772">
        <v>658.88699999999994</v>
      </c>
      <c r="U12" s="783">
        <v>1220.624</v>
      </c>
      <c r="V12" s="776">
        <v>0</v>
      </c>
      <c r="W12" s="780">
        <v>1220.624</v>
      </c>
      <c r="X12" s="783">
        <v>2185.8150000000001</v>
      </c>
      <c r="Y12" s="770">
        <v>930.86900000000003</v>
      </c>
      <c r="Z12" s="770">
        <v>0</v>
      </c>
      <c r="AA12" s="780">
        <v>1254.9459999999999</v>
      </c>
      <c r="AB12" s="776">
        <v>151.19300000000001</v>
      </c>
      <c r="AC12" s="770">
        <v>590.19600000000003</v>
      </c>
      <c r="AD12" s="771">
        <f>ROUND(SUM(G12:J12,M12:O12,R12,U12,X12,AB12:AC12),3)</f>
        <v>7694.375</v>
      </c>
      <c r="AF12" s="129" t="str">
        <f>IF(ROUND(AD12-SUM(G12:J12,M12:O12,R12,U12,X12,AB12:AC12),3)=0,"","Total products is not equal to the sum of products")</f>
        <v/>
      </c>
      <c r="AT12" s="130" t="s">
        <v>342</v>
      </c>
      <c r="DS12" s="304"/>
      <c r="DT12" s="304"/>
      <c r="DU12" s="647" t="s">
        <v>552</v>
      </c>
      <c r="DV12" s="647" t="s">
        <v>342</v>
      </c>
      <c r="DW12" s="647" t="s">
        <v>1134</v>
      </c>
      <c r="DX12" s="647" t="s">
        <v>1134</v>
      </c>
      <c r="DY12" s="647" t="s">
        <v>1134</v>
      </c>
      <c r="DZ12" s="647" t="s">
        <v>1134</v>
      </c>
      <c r="EA12" s="647" t="s">
        <v>1134</v>
      </c>
      <c r="EB12" s="647" t="s">
        <v>1135</v>
      </c>
      <c r="EC12" s="647" t="s">
        <v>1134</v>
      </c>
      <c r="ED12" s="647" t="s">
        <v>1136</v>
      </c>
    </row>
    <row r="13" spans="1:135" ht="13.5" x14ac:dyDescent="0.2">
      <c r="A13" s="41" t="s">
        <v>106</v>
      </c>
      <c r="B13" s="36" t="s">
        <v>637</v>
      </c>
      <c r="C13" s="154">
        <v>6</v>
      </c>
      <c r="D13" s="62"/>
      <c r="E13" s="61"/>
      <c r="F13" s="62"/>
      <c r="G13" s="770">
        <v>0</v>
      </c>
      <c r="H13" s="770">
        <v>134.66499999999999</v>
      </c>
      <c r="I13" s="778">
        <v>1237.3900000000001</v>
      </c>
      <c r="J13" s="784">
        <v>1916.6420000000001</v>
      </c>
      <c r="K13" s="778">
        <v>0</v>
      </c>
      <c r="L13" s="780">
        <v>1916.6420000000001</v>
      </c>
      <c r="M13" s="776">
        <v>9.4730000000000008</v>
      </c>
      <c r="N13" s="770">
        <v>0</v>
      </c>
      <c r="O13" s="781">
        <v>899.7</v>
      </c>
      <c r="P13" s="778">
        <v>0</v>
      </c>
      <c r="Q13" s="778">
        <v>899.7</v>
      </c>
      <c r="R13" s="778">
        <v>78.974000000000004</v>
      </c>
      <c r="S13" s="782">
        <v>1647.19</v>
      </c>
      <c r="T13" s="772">
        <v>547.75800000000004</v>
      </c>
      <c r="U13" s="783">
        <v>2194.9479999999999</v>
      </c>
      <c r="V13" s="776">
        <v>1.4139999999999999</v>
      </c>
      <c r="W13" s="780">
        <v>2193.5349999999999</v>
      </c>
      <c r="X13" s="783">
        <v>1895.1669999999999</v>
      </c>
      <c r="Y13" s="770">
        <v>1213.6890000000001</v>
      </c>
      <c r="Z13" s="770">
        <v>0</v>
      </c>
      <c r="AA13" s="780">
        <v>681.47799999999995</v>
      </c>
      <c r="AB13" s="776">
        <v>114.691</v>
      </c>
      <c r="AC13" s="770">
        <v>678.85299999999995</v>
      </c>
      <c r="AD13" s="771">
        <f>ROUND(SUM(G13:J13,M13:O13,R13,U13,X13,AB13:AC13),3)</f>
        <v>9160.5030000000006</v>
      </c>
      <c r="AF13" s="129" t="str">
        <f>IF(ROUND(AD13-SUM(G13:J13,M13:O13,R13,U13,X13,AB13:AC13),3)=0,"","Total products is not equal to the sum of products")</f>
        <v/>
      </c>
      <c r="AT13" s="130" t="s">
        <v>343</v>
      </c>
      <c r="DS13" s="304"/>
      <c r="DT13" s="304"/>
      <c r="DU13" s="647" t="s">
        <v>571</v>
      </c>
      <c r="DV13" s="647" t="s">
        <v>343</v>
      </c>
      <c r="DW13" s="647" t="s">
        <v>1134</v>
      </c>
      <c r="DX13" s="647" t="s">
        <v>1134</v>
      </c>
      <c r="DY13" s="647" t="s">
        <v>1134</v>
      </c>
      <c r="DZ13" s="647" t="s">
        <v>1134</v>
      </c>
      <c r="EA13" s="647" t="s">
        <v>1134</v>
      </c>
      <c r="EB13" s="647" t="s">
        <v>1135</v>
      </c>
      <c r="EC13" s="647" t="s">
        <v>1134</v>
      </c>
      <c r="ED13" s="647" t="s">
        <v>1136</v>
      </c>
    </row>
    <row r="14" spans="1:135" x14ac:dyDescent="0.2">
      <c r="A14" s="41" t="s">
        <v>106</v>
      </c>
      <c r="B14" s="35" t="s">
        <v>638</v>
      </c>
      <c r="C14" s="153">
        <v>7</v>
      </c>
      <c r="D14" s="62"/>
      <c r="E14" s="61"/>
      <c r="F14" s="776">
        <v>0</v>
      </c>
      <c r="G14" s="770">
        <v>0</v>
      </c>
      <c r="H14" s="770">
        <v>0</v>
      </c>
      <c r="I14" s="778">
        <v>0</v>
      </c>
      <c r="J14" s="779">
        <v>0</v>
      </c>
      <c r="K14" s="778">
        <v>0</v>
      </c>
      <c r="L14" s="780">
        <v>0</v>
      </c>
      <c r="M14" s="776">
        <v>0</v>
      </c>
      <c r="N14" s="770">
        <v>0</v>
      </c>
      <c r="O14" s="781">
        <v>0</v>
      </c>
      <c r="P14" s="778">
        <v>0</v>
      </c>
      <c r="Q14" s="778">
        <v>0</v>
      </c>
      <c r="R14" s="778">
        <v>0</v>
      </c>
      <c r="S14" s="782">
        <v>0</v>
      </c>
      <c r="T14" s="772">
        <v>174.25899999999999</v>
      </c>
      <c r="U14" s="783">
        <v>174.25899999999999</v>
      </c>
      <c r="V14" s="776">
        <v>23.131</v>
      </c>
      <c r="W14" s="780">
        <v>151.12799999999999</v>
      </c>
      <c r="X14" s="783">
        <v>755.29100000000005</v>
      </c>
      <c r="Y14" s="770">
        <v>430.327</v>
      </c>
      <c r="Z14" s="770">
        <v>0</v>
      </c>
      <c r="AA14" s="780">
        <v>324.96300000000002</v>
      </c>
      <c r="AB14" s="776">
        <v>0</v>
      </c>
      <c r="AC14" s="770">
        <v>0</v>
      </c>
      <c r="AD14" s="771">
        <f>ROUND(SUM(F14:J14,M14:O14,R14,U14,X14,AB14:AC14),3)</f>
        <v>929.55</v>
      </c>
      <c r="AF14" s="129" t="str">
        <f>IF(ROUND(AD14-SUM(F14:J14,M14:O14,R14,U14,X14,AB14:AC14),3)=0,"","Total products is not equal to the sum of products")</f>
        <v/>
      </c>
      <c r="AT14" s="130" t="s">
        <v>374</v>
      </c>
      <c r="DS14" s="304"/>
      <c r="DT14" s="304"/>
      <c r="DU14" s="647" t="s">
        <v>1166</v>
      </c>
      <c r="DV14" s="647" t="s">
        <v>1134</v>
      </c>
      <c r="DW14" s="647" t="s">
        <v>1134</v>
      </c>
      <c r="DX14" s="647" t="s">
        <v>1134</v>
      </c>
      <c r="DY14" s="647" t="s">
        <v>1134</v>
      </c>
      <c r="DZ14" s="647" t="s">
        <v>1134</v>
      </c>
      <c r="EA14" s="647" t="s">
        <v>1134</v>
      </c>
      <c r="EB14" s="647" t="s">
        <v>1135</v>
      </c>
      <c r="EC14" s="647" t="s">
        <v>1134</v>
      </c>
      <c r="ED14" s="647" t="s">
        <v>1136</v>
      </c>
    </row>
    <row r="15" spans="1:135" ht="13.5" x14ac:dyDescent="0.2">
      <c r="A15" s="41" t="s">
        <v>105</v>
      </c>
      <c r="B15" s="36" t="s">
        <v>639</v>
      </c>
      <c r="C15" s="154">
        <v>8</v>
      </c>
      <c r="D15" s="776">
        <v>-85.713999999999999</v>
      </c>
      <c r="E15" s="777">
        <v>-71.293999999999997</v>
      </c>
      <c r="F15" s="776">
        <v>0</v>
      </c>
      <c r="G15" s="770">
        <v>0</v>
      </c>
      <c r="H15" s="770">
        <v>-24.398</v>
      </c>
      <c r="I15" s="778">
        <v>-941.77300000000002</v>
      </c>
      <c r="J15" s="779">
        <v>1152.0440000000001</v>
      </c>
      <c r="K15" s="778">
        <v>0</v>
      </c>
      <c r="L15" s="780">
        <v>1152.0440000000001</v>
      </c>
      <c r="M15" s="776">
        <v>0</v>
      </c>
      <c r="N15" s="770">
        <v>0</v>
      </c>
      <c r="O15" s="781">
        <v>142.73599999999999</v>
      </c>
      <c r="P15" s="778">
        <v>0</v>
      </c>
      <c r="Q15" s="778">
        <v>142.73599999999999</v>
      </c>
      <c r="R15" s="778">
        <v>-93.826999999999998</v>
      </c>
      <c r="S15" s="782">
        <v>-48.454999999999998</v>
      </c>
      <c r="T15" s="772">
        <v>20.338999999999999</v>
      </c>
      <c r="U15" s="783">
        <v>-28.116</v>
      </c>
      <c r="V15" s="776">
        <v>0</v>
      </c>
      <c r="W15" s="780">
        <v>-28.116</v>
      </c>
      <c r="X15" s="783">
        <v>53.887</v>
      </c>
      <c r="Y15" s="770">
        <v>214.53800000000001</v>
      </c>
      <c r="Z15" s="770">
        <v>0</v>
      </c>
      <c r="AA15" s="780">
        <v>-160.65100000000001</v>
      </c>
      <c r="AB15" s="776">
        <v>0</v>
      </c>
      <c r="AC15" s="770">
        <v>-103.557</v>
      </c>
      <c r="AD15" s="771">
        <f>ROUND(SUM(D15:J15,M15:O15,R15,U15,X15,AB15:AC15),3)</f>
        <v>-1.2E-2</v>
      </c>
      <c r="AF15" s="129" t="str">
        <f>IF(ROUND(AD15-SUM(D15:J15,M15:O15,R15,U15,X15,AB15:AC15),3)=0,"","Total products is not equal to the sum of products")</f>
        <v/>
      </c>
      <c r="AT15" s="130" t="s">
        <v>375</v>
      </c>
      <c r="DS15" s="304"/>
      <c r="DT15" s="304"/>
      <c r="DU15" s="647" t="s">
        <v>1138</v>
      </c>
      <c r="DV15" s="647" t="s">
        <v>375</v>
      </c>
      <c r="DW15" s="647" t="s">
        <v>1134</v>
      </c>
      <c r="DX15" s="647" t="s">
        <v>1134</v>
      </c>
      <c r="DY15" s="647" t="s">
        <v>1134</v>
      </c>
      <c r="DZ15" s="647" t="s">
        <v>1134</v>
      </c>
      <c r="EA15" s="647" t="s">
        <v>1134</v>
      </c>
      <c r="EB15" s="647" t="s">
        <v>1135</v>
      </c>
      <c r="EC15" s="647" t="s">
        <v>1134</v>
      </c>
      <c r="ED15" s="647" t="s">
        <v>1136</v>
      </c>
    </row>
    <row r="16" spans="1:135" ht="13.5" x14ac:dyDescent="0.2">
      <c r="A16" s="41" t="s">
        <v>106</v>
      </c>
      <c r="B16" s="36" t="s">
        <v>640</v>
      </c>
      <c r="C16" s="154">
        <v>9</v>
      </c>
      <c r="D16" s="62"/>
      <c r="E16" s="61"/>
      <c r="F16" s="776">
        <v>0</v>
      </c>
      <c r="G16" s="770">
        <v>0</v>
      </c>
      <c r="H16" s="770">
        <v>0</v>
      </c>
      <c r="I16" s="778">
        <v>0</v>
      </c>
      <c r="J16" s="779">
        <v>0</v>
      </c>
      <c r="K16" s="778">
        <v>0</v>
      </c>
      <c r="L16" s="780">
        <v>0</v>
      </c>
      <c r="M16" s="776">
        <v>0</v>
      </c>
      <c r="N16" s="770">
        <v>0</v>
      </c>
      <c r="O16" s="781">
        <v>7.2220000000000004</v>
      </c>
      <c r="P16" s="778">
        <v>0</v>
      </c>
      <c r="Q16" s="778">
        <v>7.2220000000000004</v>
      </c>
      <c r="R16" s="778">
        <v>0.96299999999999997</v>
      </c>
      <c r="S16" s="782">
        <v>0</v>
      </c>
      <c r="T16" s="772">
        <v>19.763999999999999</v>
      </c>
      <c r="U16" s="783">
        <v>19.763999999999999</v>
      </c>
      <c r="V16" s="776">
        <v>0</v>
      </c>
      <c r="W16" s="780">
        <v>19.763999999999999</v>
      </c>
      <c r="X16" s="783">
        <v>229.93299999999999</v>
      </c>
      <c r="Y16" s="770">
        <v>0</v>
      </c>
      <c r="Z16" s="770">
        <v>0</v>
      </c>
      <c r="AA16" s="780">
        <v>229.93299999999999</v>
      </c>
      <c r="AB16" s="776">
        <v>0</v>
      </c>
      <c r="AC16" s="770">
        <v>13.54</v>
      </c>
      <c r="AD16" s="771">
        <f>ROUND(SUM(F16:J16,M16:O16,R16,U16,X16,AB16:AC16),3)</f>
        <v>271.42200000000003</v>
      </c>
      <c r="AF16" s="129" t="str">
        <f>IF(ROUND(AD16-SUM(F16:J16,M16:O16,R16,U16,X16,AB16:AC16),3)=0,"","Total products is not equal to the sum of products")</f>
        <v/>
      </c>
      <c r="AT16" s="130" t="s">
        <v>341</v>
      </c>
      <c r="DS16" s="304"/>
      <c r="DT16" s="304"/>
      <c r="DU16" s="647" t="s">
        <v>1138</v>
      </c>
      <c r="DV16" s="647" t="s">
        <v>341</v>
      </c>
      <c r="DW16" s="647" t="s">
        <v>1134</v>
      </c>
      <c r="DX16" s="647" t="s">
        <v>1134</v>
      </c>
      <c r="DY16" s="647" t="s">
        <v>1134</v>
      </c>
      <c r="DZ16" s="647" t="s">
        <v>1134</v>
      </c>
      <c r="EA16" s="647" t="s">
        <v>1134</v>
      </c>
      <c r="EB16" s="647" t="s">
        <v>1135</v>
      </c>
      <c r="EC16" s="647" t="s">
        <v>1134</v>
      </c>
      <c r="ED16" s="647" t="s">
        <v>1136</v>
      </c>
    </row>
    <row r="17" spans="1:134" ht="13.5" x14ac:dyDescent="0.2">
      <c r="A17" s="41" t="s">
        <v>106</v>
      </c>
      <c r="B17" s="36" t="s">
        <v>869</v>
      </c>
      <c r="C17" s="154">
        <v>10</v>
      </c>
      <c r="D17" s="62"/>
      <c r="E17" s="61"/>
      <c r="F17" s="62"/>
      <c r="G17" s="770">
        <v>0</v>
      </c>
      <c r="H17" s="770">
        <v>-0.20100000000000001</v>
      </c>
      <c r="I17" s="778">
        <v>-35.286999999999999</v>
      </c>
      <c r="J17" s="779">
        <v>-42.371000000000002</v>
      </c>
      <c r="K17" s="778">
        <v>0</v>
      </c>
      <c r="L17" s="780">
        <v>-42.371000000000002</v>
      </c>
      <c r="M17" s="776">
        <v>-4.0000000000000001E-3</v>
      </c>
      <c r="N17" s="770">
        <v>0</v>
      </c>
      <c r="O17" s="781">
        <v>32.484000000000002</v>
      </c>
      <c r="P17" s="778">
        <v>0</v>
      </c>
      <c r="Q17" s="778">
        <v>32.484000000000002</v>
      </c>
      <c r="R17" s="778">
        <v>8.0459999999999994</v>
      </c>
      <c r="S17" s="782">
        <v>8.49</v>
      </c>
      <c r="T17" s="772">
        <v>113.407</v>
      </c>
      <c r="U17" s="783">
        <v>121.89700000000001</v>
      </c>
      <c r="V17" s="776">
        <v>0</v>
      </c>
      <c r="W17" s="780">
        <v>121.89700000000001</v>
      </c>
      <c r="X17" s="783">
        <v>237.476</v>
      </c>
      <c r="Y17" s="770">
        <v>96.834000000000003</v>
      </c>
      <c r="Z17" s="770">
        <v>0</v>
      </c>
      <c r="AA17" s="780">
        <v>140.642</v>
      </c>
      <c r="AB17" s="776">
        <v>8.7159999999999993</v>
      </c>
      <c r="AC17" s="770">
        <v>0.108</v>
      </c>
      <c r="AD17" s="771">
        <f>ROUND(SUM(G17:J17,M17:O17,R17,U17,X17,AB17:AC17),3)</f>
        <v>330.86399999999998</v>
      </c>
      <c r="AF17" s="129" t="str">
        <f>IF(ROUND(AD17-SUM(G17:J17,M17:O17,R17,U17,X17,AB17:AC17),3)=0,"","Total products is not equal to the sum of products")</f>
        <v/>
      </c>
      <c r="AT17" s="130" t="s">
        <v>345</v>
      </c>
      <c r="DS17" s="304"/>
      <c r="DT17" s="304"/>
      <c r="DU17" s="647" t="s">
        <v>415</v>
      </c>
      <c r="DV17" s="647" t="s">
        <v>1139</v>
      </c>
      <c r="DW17" s="647" t="s">
        <v>1134</v>
      </c>
      <c r="DX17" s="647" t="s">
        <v>1134</v>
      </c>
      <c r="DY17" s="647" t="s">
        <v>1140</v>
      </c>
      <c r="DZ17" s="647" t="s">
        <v>1134</v>
      </c>
      <c r="EA17" s="647" t="s">
        <v>1134</v>
      </c>
      <c r="EB17" s="647" t="s">
        <v>1135</v>
      </c>
      <c r="EC17" s="647" t="s">
        <v>1134</v>
      </c>
      <c r="ED17" s="647" t="s">
        <v>1136</v>
      </c>
    </row>
    <row r="18" spans="1:134" x14ac:dyDescent="0.2">
      <c r="A18" s="41" t="s">
        <v>107</v>
      </c>
      <c r="B18" s="37" t="s">
        <v>864</v>
      </c>
      <c r="C18" s="155">
        <v>11</v>
      </c>
      <c r="D18" s="785">
        <f>ROUND(D8+D15,3)</f>
        <v>2E-3</v>
      </c>
      <c r="E18" s="787">
        <f>ROUND(E8+E15,3)</f>
        <v>134.07499999999999</v>
      </c>
      <c r="F18" s="788">
        <f>ROUND(F8+F9+F10-F11-F14+F15-F16,3)</f>
        <v>195.86199999999999</v>
      </c>
      <c r="G18" s="771">
        <f t="shared" ref="G18:AC18" si="1">ROUND(G8+G9+G10-G11+G12-G13-G14+G15-G16-G17,3)</f>
        <v>0</v>
      </c>
      <c r="H18" s="771">
        <f t="shared" si="1"/>
        <v>313.99299999999999</v>
      </c>
      <c r="I18" s="787">
        <f t="shared" si="1"/>
        <v>651.73199999999997</v>
      </c>
      <c r="J18" s="788">
        <f t="shared" si="1"/>
        <v>352.238</v>
      </c>
      <c r="K18" s="787">
        <f t="shared" si="1"/>
        <v>47.557000000000002</v>
      </c>
      <c r="L18" s="789">
        <f t="shared" si="1"/>
        <v>304.68</v>
      </c>
      <c r="M18" s="785">
        <f t="shared" si="1"/>
        <v>-0.27500000000000002</v>
      </c>
      <c r="N18" s="771">
        <f t="shared" si="1"/>
        <v>0</v>
      </c>
      <c r="O18" s="771">
        <f t="shared" si="1"/>
        <v>326.53500000000003</v>
      </c>
      <c r="P18" s="771">
        <f t="shared" si="1"/>
        <v>0</v>
      </c>
      <c r="Q18" s="771">
        <f t="shared" si="1"/>
        <v>300.99700000000001</v>
      </c>
      <c r="R18" s="787">
        <f t="shared" si="1"/>
        <v>5.94</v>
      </c>
      <c r="S18" s="788">
        <f t="shared" si="1"/>
        <v>400.78699999999998</v>
      </c>
      <c r="T18" s="773">
        <f t="shared" si="1"/>
        <v>25.448</v>
      </c>
      <c r="U18" s="773">
        <f t="shared" si="1"/>
        <v>426.23500000000001</v>
      </c>
      <c r="V18" s="785">
        <f t="shared" si="1"/>
        <v>56.14</v>
      </c>
      <c r="W18" s="786">
        <f t="shared" si="1"/>
        <v>370.09500000000003</v>
      </c>
      <c r="X18" s="785">
        <f t="shared" si="1"/>
        <v>-1E-3</v>
      </c>
      <c r="Y18" s="771">
        <f t="shared" si="1"/>
        <v>0</v>
      </c>
      <c r="Z18" s="771">
        <f t="shared" si="1"/>
        <v>0</v>
      </c>
      <c r="AA18" s="786">
        <f t="shared" si="1"/>
        <v>0</v>
      </c>
      <c r="AB18" s="785">
        <f t="shared" si="1"/>
        <v>35.151000000000003</v>
      </c>
      <c r="AC18" s="771">
        <f t="shared" si="1"/>
        <v>79.875</v>
      </c>
      <c r="AD18" s="771">
        <f>ROUND(SUM(D18:J18,M18:O18,R18,U18,X18,AB18:AC18),3)</f>
        <v>2521.3620000000001</v>
      </c>
      <c r="AF18" s="129" t="str">
        <f t="shared" ref="AF18" si="2">IF(ROUND(AD18-SUM(D18:J18,M18:O18,R18,U18,X18,AB18:AC18),3)=0,"","Total products is not equal to the sum of products")</f>
        <v/>
      </c>
      <c r="AT18" s="130" t="s">
        <v>376</v>
      </c>
      <c r="DS18" s="304"/>
      <c r="DT18" s="304"/>
      <c r="DU18" s="647" t="s">
        <v>1137</v>
      </c>
      <c r="DV18" s="647" t="s">
        <v>1167</v>
      </c>
      <c r="DW18" s="647" t="s">
        <v>1134</v>
      </c>
      <c r="DX18" s="647" t="s">
        <v>1134</v>
      </c>
      <c r="DY18" s="647" t="s">
        <v>1134</v>
      </c>
      <c r="DZ18" s="647" t="s">
        <v>1134</v>
      </c>
      <c r="EA18" s="647" t="s">
        <v>1134</v>
      </c>
      <c r="EB18" s="647" t="s">
        <v>1135</v>
      </c>
      <c r="EC18" s="647" t="s">
        <v>1134</v>
      </c>
      <c r="ED18" s="647" t="s">
        <v>1136</v>
      </c>
    </row>
    <row r="19" spans="1:134" x14ac:dyDescent="0.2">
      <c r="A19" s="41" t="s">
        <v>106</v>
      </c>
      <c r="B19" s="37" t="s">
        <v>7</v>
      </c>
      <c r="C19" s="155">
        <v>12</v>
      </c>
      <c r="D19" s="785">
        <f t="shared" ref="D19:AC19" si="3">ROUND(D18-D20,3)</f>
        <v>2E-3</v>
      </c>
      <c r="E19" s="786">
        <f t="shared" si="3"/>
        <v>1E-3</v>
      </c>
      <c r="F19" s="785">
        <f t="shared" si="3"/>
        <v>-4.9000000000000002E-2</v>
      </c>
      <c r="G19" s="771">
        <f t="shared" si="3"/>
        <v>0</v>
      </c>
      <c r="H19" s="771">
        <f t="shared" si="3"/>
        <v>5.7000000000000002E-2</v>
      </c>
      <c r="I19" s="787">
        <f t="shared" si="3"/>
        <v>-1.2999999999999999E-2</v>
      </c>
      <c r="J19" s="788">
        <f t="shared" si="3"/>
        <v>0</v>
      </c>
      <c r="K19" s="787">
        <f t="shared" si="3"/>
        <v>0</v>
      </c>
      <c r="L19" s="789">
        <f t="shared" si="3"/>
        <v>0</v>
      </c>
      <c r="M19" s="785">
        <f t="shared" si="3"/>
        <v>-0.28999999999999998</v>
      </c>
      <c r="N19" s="771">
        <f t="shared" si="3"/>
        <v>0</v>
      </c>
      <c r="O19" s="771">
        <f t="shared" si="3"/>
        <v>0</v>
      </c>
      <c r="P19" s="771">
        <f t="shared" si="3"/>
        <v>0</v>
      </c>
      <c r="Q19" s="771">
        <f t="shared" si="3"/>
        <v>0</v>
      </c>
      <c r="R19" s="787">
        <f t="shared" si="3"/>
        <v>-8.0000000000000002E-3</v>
      </c>
      <c r="S19" s="788">
        <f t="shared" si="3"/>
        <v>2.7E-2</v>
      </c>
      <c r="T19" s="773">
        <f t="shared" si="3"/>
        <v>0</v>
      </c>
      <c r="U19" s="773">
        <f t="shared" si="3"/>
        <v>2.7E-2</v>
      </c>
      <c r="V19" s="785">
        <f t="shared" si="3"/>
        <v>0</v>
      </c>
      <c r="W19" s="786">
        <f t="shared" si="3"/>
        <v>2.7E-2</v>
      </c>
      <c r="X19" s="785">
        <f t="shared" si="3"/>
        <v>-1E-3</v>
      </c>
      <c r="Y19" s="771">
        <f t="shared" si="3"/>
        <v>0</v>
      </c>
      <c r="Z19" s="771">
        <f t="shared" si="3"/>
        <v>0</v>
      </c>
      <c r="AA19" s="786">
        <f t="shared" si="3"/>
        <v>0</v>
      </c>
      <c r="AB19" s="785">
        <f t="shared" si="3"/>
        <v>0</v>
      </c>
      <c r="AC19" s="771">
        <f t="shared" si="3"/>
        <v>-5.9969999999999999</v>
      </c>
      <c r="AD19" s="771">
        <f>ROUND(SUM(D19:J19,M19:O19,R19,U19,X19,AB19:AC19),3)</f>
        <v>-6.2709999999999999</v>
      </c>
      <c r="AF19" s="129" t="str">
        <f>IF(ROUND(AD19-SUM(D19:J19,M19:O19,R19,U19,X19,AB19:AC19),3)=0,"","Total products is not equal to the sum of products")</f>
        <v/>
      </c>
      <c r="AT19" s="130" t="s">
        <v>347</v>
      </c>
      <c r="DS19" s="304"/>
      <c r="DT19" s="304"/>
      <c r="DU19" s="647" t="s">
        <v>347</v>
      </c>
      <c r="DV19" s="647" t="s">
        <v>1134</v>
      </c>
      <c r="DW19" s="647" t="s">
        <v>1134</v>
      </c>
      <c r="DX19" s="647" t="s">
        <v>1134</v>
      </c>
      <c r="DY19" s="647" t="s">
        <v>1134</v>
      </c>
      <c r="DZ19" s="647" t="s">
        <v>1134</v>
      </c>
      <c r="EA19" s="647" t="s">
        <v>1134</v>
      </c>
      <c r="EB19" s="647" t="s">
        <v>1135</v>
      </c>
      <c r="EC19" s="647" t="s">
        <v>1134</v>
      </c>
      <c r="ED19" s="647" t="s">
        <v>1136</v>
      </c>
    </row>
    <row r="20" spans="1:134" s="8" customFormat="1" ht="18.75" customHeight="1" x14ac:dyDescent="0.2">
      <c r="A20" s="224" t="s">
        <v>107</v>
      </c>
      <c r="B20" s="38" t="s">
        <v>855</v>
      </c>
      <c r="C20" s="153">
        <v>13</v>
      </c>
      <c r="D20" s="790">
        <v>0</v>
      </c>
      <c r="E20" s="791">
        <v>134.07400000000001</v>
      </c>
      <c r="F20" s="790">
        <v>195.911</v>
      </c>
      <c r="G20" s="792">
        <v>0</v>
      </c>
      <c r="H20" s="792">
        <v>313.93599999999998</v>
      </c>
      <c r="I20" s="793">
        <v>651.745</v>
      </c>
      <c r="J20" s="794">
        <v>352.238</v>
      </c>
      <c r="K20" s="793">
        <v>47.557000000000002</v>
      </c>
      <c r="L20" s="795">
        <v>304.68</v>
      </c>
      <c r="M20" s="790">
        <v>1.4999999999999999E-2</v>
      </c>
      <c r="N20" s="792">
        <v>0</v>
      </c>
      <c r="O20" s="796">
        <v>326.53500000000003</v>
      </c>
      <c r="P20" s="793">
        <v>0</v>
      </c>
      <c r="Q20" s="793">
        <v>300.99700000000001</v>
      </c>
      <c r="R20" s="793">
        <v>5.9480000000000004</v>
      </c>
      <c r="S20" s="797">
        <v>400.76</v>
      </c>
      <c r="T20" s="798">
        <v>25.448</v>
      </c>
      <c r="U20" s="799">
        <v>426.20800000000003</v>
      </c>
      <c r="V20" s="790">
        <v>56.14</v>
      </c>
      <c r="W20" s="795">
        <v>370.06799999999998</v>
      </c>
      <c r="X20" s="799">
        <v>0</v>
      </c>
      <c r="Y20" s="792">
        <v>0</v>
      </c>
      <c r="Z20" s="792">
        <v>0</v>
      </c>
      <c r="AA20" s="795">
        <v>0</v>
      </c>
      <c r="AB20" s="790">
        <v>35.151000000000003</v>
      </c>
      <c r="AC20" s="792">
        <v>85.872</v>
      </c>
      <c r="AD20" s="800">
        <f>ROUND(SUM(D20:J20,M20:O20,R20,U20,X20,AB20:AC20),3)</f>
        <v>2527.6329999999998</v>
      </c>
      <c r="AF20" s="129" t="str">
        <f>IF(ROUND(AD20-SUM(D20:J20,M20:O20,R20,U20,X20,AB20:AC20),3)=0,"","Total products is not equal to the sum of products")</f>
        <v/>
      </c>
      <c r="AT20" s="131" t="s">
        <v>377</v>
      </c>
      <c r="DS20" s="651"/>
      <c r="DT20" s="651"/>
      <c r="DU20" s="647" t="s">
        <v>914</v>
      </c>
      <c r="DV20" s="647" t="s">
        <v>1168</v>
      </c>
      <c r="DW20" s="647" t="s">
        <v>1134</v>
      </c>
      <c r="DX20" s="647" t="s">
        <v>1134</v>
      </c>
      <c r="DY20" s="647" t="s">
        <v>1134</v>
      </c>
      <c r="DZ20" s="647" t="s">
        <v>1134</v>
      </c>
      <c r="EA20" s="647" t="s">
        <v>1134</v>
      </c>
      <c r="EB20" s="647" t="s">
        <v>1135</v>
      </c>
      <c r="EC20" s="647" t="s">
        <v>1134</v>
      </c>
      <c r="ED20" s="647" t="s">
        <v>1136</v>
      </c>
    </row>
    <row r="21" spans="1:134" ht="13.5" x14ac:dyDescent="0.2">
      <c r="A21" s="42"/>
      <c r="B21" s="39" t="s">
        <v>641</v>
      </c>
      <c r="C21" s="153">
        <v>14</v>
      </c>
      <c r="D21" s="62"/>
      <c r="E21" s="61"/>
      <c r="F21" s="62"/>
      <c r="G21" s="58"/>
      <c r="H21" s="58"/>
      <c r="I21" s="59"/>
      <c r="J21" s="60"/>
      <c r="K21" s="59"/>
      <c r="L21" s="61"/>
      <c r="M21" s="776">
        <v>0</v>
      </c>
      <c r="N21" s="776">
        <v>0</v>
      </c>
      <c r="O21" s="783">
        <v>318.35300000000001</v>
      </c>
      <c r="P21" s="776">
        <v>0</v>
      </c>
      <c r="Q21" s="801">
        <v>292.815</v>
      </c>
      <c r="R21" s="59"/>
      <c r="S21" s="60"/>
      <c r="T21" s="58"/>
      <c r="U21" s="62"/>
      <c r="V21" s="62"/>
      <c r="W21" s="61"/>
      <c r="X21" s="62"/>
      <c r="Y21" s="58"/>
      <c r="Z21" s="59"/>
      <c r="AA21" s="61"/>
      <c r="AB21" s="62"/>
      <c r="AC21" s="58"/>
      <c r="AD21" s="771">
        <f>ROUND(SUM(M21:O21),3)</f>
        <v>318.35300000000001</v>
      </c>
      <c r="AF21" s="129" t="str">
        <f>IF(ROUND(AD21-SUM(M21:O21),3)=0,"","There is an error in this line")</f>
        <v/>
      </c>
      <c r="AT21" s="130" t="s">
        <v>607</v>
      </c>
      <c r="DS21" s="304"/>
      <c r="DT21" s="304"/>
      <c r="DU21" s="647" t="s">
        <v>1165</v>
      </c>
      <c r="DV21" s="647" t="s">
        <v>1169</v>
      </c>
      <c r="DW21" s="647" t="s">
        <v>1134</v>
      </c>
      <c r="DX21" s="647" t="s">
        <v>1134</v>
      </c>
      <c r="DY21" s="647" t="s">
        <v>1134</v>
      </c>
      <c r="DZ21" s="647" t="s">
        <v>1134</v>
      </c>
      <c r="EA21" s="647" t="s">
        <v>1134</v>
      </c>
      <c r="EB21" s="647" t="s">
        <v>1135</v>
      </c>
      <c r="EC21" s="647" t="s">
        <v>1134</v>
      </c>
      <c r="ED21" s="647" t="s">
        <v>1136</v>
      </c>
    </row>
    <row r="22" spans="1:134" x14ac:dyDescent="0.2">
      <c r="A22" s="43"/>
      <c r="B22" s="6" t="s">
        <v>642</v>
      </c>
      <c r="C22" s="153">
        <v>15</v>
      </c>
      <c r="D22" s="776">
        <v>0</v>
      </c>
      <c r="E22" s="777">
        <v>0</v>
      </c>
      <c r="F22" s="776">
        <v>0</v>
      </c>
      <c r="G22" s="770">
        <v>0</v>
      </c>
      <c r="H22" s="770">
        <v>0</v>
      </c>
      <c r="I22" s="778">
        <v>0</v>
      </c>
      <c r="J22" s="802">
        <v>0</v>
      </c>
      <c r="K22" s="778">
        <v>0</v>
      </c>
      <c r="L22" s="780">
        <v>0</v>
      </c>
      <c r="M22" s="776">
        <v>0</v>
      </c>
      <c r="N22" s="770">
        <v>0</v>
      </c>
      <c r="O22" s="781">
        <v>0</v>
      </c>
      <c r="P22" s="778">
        <v>0</v>
      </c>
      <c r="Q22" s="778">
        <v>0</v>
      </c>
      <c r="R22" s="778">
        <v>0</v>
      </c>
      <c r="S22" s="782">
        <v>0</v>
      </c>
      <c r="T22" s="772">
        <v>0</v>
      </c>
      <c r="U22" s="783">
        <v>0</v>
      </c>
      <c r="V22" s="776">
        <v>0</v>
      </c>
      <c r="W22" s="780">
        <v>0</v>
      </c>
      <c r="X22" s="783">
        <v>0</v>
      </c>
      <c r="Y22" s="770">
        <v>0</v>
      </c>
      <c r="Z22" s="770">
        <v>0</v>
      </c>
      <c r="AA22" s="780">
        <v>0</v>
      </c>
      <c r="AB22" s="776">
        <v>0</v>
      </c>
      <c r="AC22" s="770">
        <v>0</v>
      </c>
      <c r="AD22" s="771">
        <f>ROUND(SUM(D22:J22,M22:O22,R22,U22,X22,AB22:AC22),3)</f>
        <v>0</v>
      </c>
      <c r="AF22" s="129" t="str">
        <f>IF(ROUND(AD22-SUM(D22:J22,M22:O22,R22,U22,X22,AB22:AC22),3)=0,"","Total products is not equal to the sum of products")</f>
        <v/>
      </c>
      <c r="AT22" s="130" t="s">
        <v>608</v>
      </c>
      <c r="DS22" s="304"/>
      <c r="DT22" s="304"/>
      <c r="DU22" s="647" t="s">
        <v>1170</v>
      </c>
      <c r="DV22" s="647" t="s">
        <v>1134</v>
      </c>
      <c r="DW22" s="647" t="s">
        <v>1134</v>
      </c>
      <c r="DX22" s="647" t="s">
        <v>1171</v>
      </c>
      <c r="DY22" s="647" t="s">
        <v>1134</v>
      </c>
      <c r="DZ22" s="647" t="s">
        <v>1134</v>
      </c>
      <c r="EA22" s="647" t="s">
        <v>1134</v>
      </c>
      <c r="EB22" s="647" t="s">
        <v>1135</v>
      </c>
      <c r="EC22" s="647" t="s">
        <v>1134</v>
      </c>
      <c r="ED22" s="647" t="s">
        <v>1136</v>
      </c>
    </row>
    <row r="23" spans="1:134" x14ac:dyDescent="0.2">
      <c r="A23" s="43"/>
      <c r="B23" s="6" t="s">
        <v>643</v>
      </c>
      <c r="C23" s="153">
        <v>16</v>
      </c>
      <c r="D23" s="62"/>
      <c r="E23" s="61"/>
      <c r="F23" s="62"/>
      <c r="G23" s="58"/>
      <c r="H23" s="770">
        <v>9.1430000000000007</v>
      </c>
      <c r="I23" s="59"/>
      <c r="J23" s="60"/>
      <c r="K23" s="59"/>
      <c r="L23" s="61"/>
      <c r="M23" s="62"/>
      <c r="N23" s="58"/>
      <c r="O23" s="58"/>
      <c r="P23" s="59"/>
      <c r="Q23" s="59"/>
      <c r="R23" s="59"/>
      <c r="S23" s="60"/>
      <c r="T23" s="58"/>
      <c r="U23" s="62"/>
      <c r="V23" s="62"/>
      <c r="W23" s="61"/>
      <c r="X23" s="62"/>
      <c r="Y23" s="58"/>
      <c r="Z23" s="59"/>
      <c r="AA23" s="61"/>
      <c r="AB23" s="62"/>
      <c r="AC23" s="58"/>
      <c r="AD23" s="771">
        <f>ROUND(H23,3)</f>
        <v>9.1430000000000007</v>
      </c>
      <c r="AF23" s="129" t="str">
        <f>IF(ROUND(AD23-H23,3)=0,"","Total products is not equal to deliveries of Automotive LPG reported")</f>
        <v/>
      </c>
      <c r="AT23" s="130" t="s">
        <v>378</v>
      </c>
      <c r="DS23" s="304"/>
      <c r="DT23" s="304"/>
      <c r="DU23" s="647" t="s">
        <v>1165</v>
      </c>
      <c r="DV23" s="647" t="s">
        <v>1172</v>
      </c>
      <c r="DW23" s="647" t="s">
        <v>1134</v>
      </c>
      <c r="DX23" s="647" t="s">
        <v>1134</v>
      </c>
      <c r="DY23" s="647" t="s">
        <v>1134</v>
      </c>
      <c r="DZ23" s="647" t="s">
        <v>1134</v>
      </c>
      <c r="EA23" s="647" t="s">
        <v>1134</v>
      </c>
      <c r="EB23" s="647" t="s">
        <v>1135</v>
      </c>
      <c r="EC23" s="647" t="s">
        <v>1134</v>
      </c>
      <c r="ED23" s="647" t="s">
        <v>1136</v>
      </c>
    </row>
    <row r="24" spans="1:134" x14ac:dyDescent="0.2">
      <c r="A24" s="43"/>
      <c r="B24" s="6" t="s">
        <v>665</v>
      </c>
      <c r="C24" s="153">
        <v>17</v>
      </c>
      <c r="D24" s="62"/>
      <c r="E24" s="61"/>
      <c r="F24" s="62"/>
      <c r="G24" s="58"/>
      <c r="H24" s="59"/>
      <c r="I24" s="59"/>
      <c r="J24" s="60"/>
      <c r="K24" s="59"/>
      <c r="L24" s="61"/>
      <c r="M24" s="62"/>
      <c r="N24" s="58"/>
      <c r="O24" s="58"/>
      <c r="P24" s="59"/>
      <c r="Q24" s="59"/>
      <c r="R24" s="59"/>
      <c r="S24" s="60"/>
      <c r="T24" s="770">
        <v>1.68</v>
      </c>
      <c r="U24" s="781">
        <v>1.68</v>
      </c>
      <c r="V24" s="770">
        <v>0.249</v>
      </c>
      <c r="W24" s="770">
        <v>1.43</v>
      </c>
      <c r="X24" s="62"/>
      <c r="Y24" s="58"/>
      <c r="Z24" s="59"/>
      <c r="AA24" s="61"/>
      <c r="AB24" s="62"/>
      <c r="AC24" s="58"/>
      <c r="AD24" s="771">
        <f>ROUND(U24,3)</f>
        <v>1.68</v>
      </c>
      <c r="AF24" s="129" t="str">
        <f>IF(ROUND(AD24-U24,3)=0,"","Total products is not equal to Deliveries of rail and marine diesel of Total gas/diesel oil")</f>
        <v/>
      </c>
      <c r="AT24" s="130" t="s">
        <v>890</v>
      </c>
      <c r="DS24" s="304"/>
      <c r="DT24" s="304"/>
      <c r="DU24" s="647" t="s">
        <v>1165</v>
      </c>
      <c r="DV24" s="647" t="s">
        <v>1173</v>
      </c>
      <c r="DW24" s="647" t="s">
        <v>1134</v>
      </c>
      <c r="DX24" s="647" t="s">
        <v>1134</v>
      </c>
      <c r="DY24" s="647" t="s">
        <v>1134</v>
      </c>
      <c r="DZ24" s="647" t="s">
        <v>1134</v>
      </c>
      <c r="EA24" s="647" t="s">
        <v>1134</v>
      </c>
      <c r="EB24" s="647" t="s">
        <v>1135</v>
      </c>
      <c r="EC24" s="647" t="s">
        <v>1134</v>
      </c>
      <c r="ED24" s="647" t="s">
        <v>1136</v>
      </c>
    </row>
    <row r="25" spans="1:134" ht="13.5" x14ac:dyDescent="0.2">
      <c r="A25" s="88"/>
      <c r="B25" s="337" t="s">
        <v>865</v>
      </c>
      <c r="C25" s="153">
        <v>18</v>
      </c>
      <c r="D25" s="776">
        <v>0</v>
      </c>
      <c r="E25" s="777">
        <v>134.07400000000001</v>
      </c>
      <c r="F25" s="776">
        <v>182.97399999999999</v>
      </c>
      <c r="G25" s="770">
        <v>0</v>
      </c>
      <c r="H25" s="770">
        <v>294.32900000000001</v>
      </c>
      <c r="I25" s="778">
        <v>651.73199999999997</v>
      </c>
      <c r="J25" s="802">
        <v>0</v>
      </c>
      <c r="K25" s="778">
        <v>0</v>
      </c>
      <c r="L25" s="780">
        <v>0</v>
      </c>
      <c r="M25" s="776">
        <v>0</v>
      </c>
      <c r="N25" s="770">
        <v>0</v>
      </c>
      <c r="O25" s="781">
        <v>0</v>
      </c>
      <c r="P25" s="778">
        <v>0</v>
      </c>
      <c r="Q25" s="778">
        <v>0</v>
      </c>
      <c r="R25" s="778">
        <v>4.593</v>
      </c>
      <c r="S25" s="782">
        <v>0</v>
      </c>
      <c r="T25" s="772">
        <v>0.24399999999999999</v>
      </c>
      <c r="U25" s="783">
        <v>1.579</v>
      </c>
      <c r="V25" s="776">
        <v>0</v>
      </c>
      <c r="W25" s="780">
        <v>1.579</v>
      </c>
      <c r="X25" s="783">
        <v>0</v>
      </c>
      <c r="Y25" s="770">
        <v>0</v>
      </c>
      <c r="Z25" s="770">
        <v>0</v>
      </c>
      <c r="AA25" s="780">
        <v>0</v>
      </c>
      <c r="AB25" s="776">
        <v>0</v>
      </c>
      <c r="AC25" s="770">
        <v>48.27</v>
      </c>
      <c r="AD25" s="771">
        <f>ROUND(SUM(D25:J25,M25:O25,R25,U25,X25,AB25:AC25),3)</f>
        <v>1317.5509999999999</v>
      </c>
      <c r="AF25" s="129" t="str">
        <f>IF(ROUND(AD25-SUM(D25:J25,M25:O25,R25,U25,X25,AB25:AC25),3)=0,"","Total products is not equal to the sum of products")</f>
        <v/>
      </c>
      <c r="AT25" s="130" t="s">
        <v>379</v>
      </c>
      <c r="DS25" s="304"/>
      <c r="DT25" s="304"/>
      <c r="DU25" s="647" t="s">
        <v>1174</v>
      </c>
      <c r="DV25" s="647" t="s">
        <v>1175</v>
      </c>
      <c r="DW25" s="647" t="s">
        <v>1134</v>
      </c>
      <c r="DX25" s="647" t="s">
        <v>1134</v>
      </c>
      <c r="DY25" s="647" t="s">
        <v>1134</v>
      </c>
      <c r="DZ25" s="647" t="s">
        <v>1134</v>
      </c>
      <c r="EA25" s="647" t="s">
        <v>1134</v>
      </c>
      <c r="EB25" s="647" t="s">
        <v>1135</v>
      </c>
      <c r="EC25" s="647" t="s">
        <v>1134</v>
      </c>
      <c r="ED25" s="647" t="s">
        <v>1136</v>
      </c>
    </row>
    <row r="26" spans="1:134" ht="13.5" x14ac:dyDescent="0.2">
      <c r="A26" s="88"/>
      <c r="B26" s="337" t="s">
        <v>866</v>
      </c>
      <c r="C26" s="154">
        <v>19</v>
      </c>
      <c r="D26" s="62"/>
      <c r="E26" s="61"/>
      <c r="F26" s="776">
        <v>179.87799999999999</v>
      </c>
      <c r="G26" s="770">
        <v>0</v>
      </c>
      <c r="H26" s="770">
        <v>0</v>
      </c>
      <c r="I26" s="778">
        <v>21.535</v>
      </c>
      <c r="J26" s="802">
        <v>0</v>
      </c>
      <c r="K26" s="778">
        <v>0</v>
      </c>
      <c r="L26" s="780">
        <v>0</v>
      </c>
      <c r="M26" s="776">
        <v>0</v>
      </c>
      <c r="N26" s="770">
        <v>0</v>
      </c>
      <c r="O26" s="781">
        <v>0</v>
      </c>
      <c r="P26" s="778">
        <v>0</v>
      </c>
      <c r="Q26" s="778">
        <v>0</v>
      </c>
      <c r="R26" s="778">
        <v>0</v>
      </c>
      <c r="S26" s="782">
        <v>0</v>
      </c>
      <c r="T26" s="772">
        <v>4.9210000000000003</v>
      </c>
      <c r="U26" s="783">
        <v>4.9210000000000003</v>
      </c>
      <c r="V26" s="776">
        <v>0</v>
      </c>
      <c r="W26" s="780">
        <v>4.9210000000000003</v>
      </c>
      <c r="X26" s="783">
        <v>0</v>
      </c>
      <c r="Y26" s="770">
        <v>0</v>
      </c>
      <c r="Z26" s="770">
        <v>0</v>
      </c>
      <c r="AA26" s="780">
        <v>0</v>
      </c>
      <c r="AB26" s="776">
        <v>0</v>
      </c>
      <c r="AC26" s="770">
        <v>36.335999999999999</v>
      </c>
      <c r="AD26" s="771">
        <f>ROUND(SUM(F26:J26,M26:O26,R26,U26,X26,AB26:AC26),3)</f>
        <v>242.67</v>
      </c>
      <c r="AF26" s="129" t="str">
        <f>IF(ROUND(AD26-SUM(F26:J26,M26:O26,R26,U26,X26,AB26:AC26),3)=0,"","Total products is not equal to the sum of products")</f>
        <v/>
      </c>
      <c r="AT26" s="130" t="s">
        <v>340</v>
      </c>
      <c r="DS26" s="304"/>
      <c r="DT26" s="304"/>
      <c r="DU26" s="647" t="s">
        <v>1137</v>
      </c>
      <c r="DV26" s="647" t="s">
        <v>340</v>
      </c>
      <c r="DW26" s="647" t="s">
        <v>1134</v>
      </c>
      <c r="DX26" s="647" t="s">
        <v>1134</v>
      </c>
      <c r="DY26" s="647" t="s">
        <v>1134</v>
      </c>
      <c r="DZ26" s="647" t="s">
        <v>1134</v>
      </c>
      <c r="EA26" s="647" t="s">
        <v>1134</v>
      </c>
      <c r="EB26" s="647" t="s">
        <v>1135</v>
      </c>
      <c r="EC26" s="647" t="s">
        <v>1134</v>
      </c>
      <c r="ED26" s="647" t="s">
        <v>1136</v>
      </c>
    </row>
    <row r="27" spans="1:134" x14ac:dyDescent="0.2">
      <c r="A27" s="88"/>
      <c r="B27" s="337" t="s">
        <v>867</v>
      </c>
      <c r="C27" s="153">
        <v>20</v>
      </c>
      <c r="D27" s="62"/>
      <c r="E27" s="61"/>
      <c r="F27" s="62"/>
      <c r="G27" s="58"/>
      <c r="H27" s="58"/>
      <c r="I27" s="59"/>
      <c r="J27" s="60"/>
      <c r="K27" s="59"/>
      <c r="L27" s="61"/>
      <c r="M27" s="62"/>
      <c r="N27" s="58"/>
      <c r="O27" s="58"/>
      <c r="P27" s="59"/>
      <c r="Q27" s="59"/>
      <c r="R27" s="59"/>
      <c r="S27" s="60"/>
      <c r="T27" s="58"/>
      <c r="U27" s="62"/>
      <c r="V27" s="62"/>
      <c r="W27" s="61"/>
      <c r="X27" s="62"/>
      <c r="Y27" s="58"/>
      <c r="Z27" s="59"/>
      <c r="AA27" s="61"/>
      <c r="AB27" s="62"/>
      <c r="AC27" s="58"/>
      <c r="AD27" s="770">
        <f>ROUND(AD20-AD26,3)</f>
        <v>2284.9630000000002</v>
      </c>
      <c r="AF27" s="129"/>
      <c r="AT27" s="130" t="s">
        <v>380</v>
      </c>
      <c r="DS27" s="304"/>
      <c r="DT27" s="304"/>
      <c r="DU27" s="647" t="s">
        <v>1176</v>
      </c>
      <c r="DV27" s="647" t="s">
        <v>1177</v>
      </c>
      <c r="DW27" s="647" t="s">
        <v>1134</v>
      </c>
      <c r="DX27" s="647" t="s">
        <v>1134</v>
      </c>
      <c r="DY27" s="647" t="s">
        <v>1134</v>
      </c>
      <c r="DZ27" s="647" t="s">
        <v>1134</v>
      </c>
      <c r="EA27" s="647" t="s">
        <v>1134</v>
      </c>
      <c r="EB27" s="647" t="s">
        <v>1135</v>
      </c>
      <c r="EC27" s="647" t="s">
        <v>1134</v>
      </c>
      <c r="ED27" s="647" t="s">
        <v>1136</v>
      </c>
    </row>
    <row r="28" spans="1:134" s="67" customFormat="1" ht="24" customHeight="1" x14ac:dyDescent="0.2">
      <c r="A28" s="66"/>
      <c r="D28" s="68" t="str">
        <f>IF(MIN(D8,D18,D20,D22,D25)&lt;0,"Negative number","")</f>
        <v/>
      </c>
      <c r="E28" s="68" t="str">
        <f>IF(MIN(E8,E18,E20,E22,E25)&lt;0,"Negative number","")</f>
        <v/>
      </c>
      <c r="F28" s="68" t="str">
        <f>IF(MIN(F8:F11,F14,F16,F18,F20,F22,F25,F26)&lt;0,"Negative number","")</f>
        <v/>
      </c>
      <c r="G28" s="68" t="str">
        <f>IF(MIN(G8:G14,G16,G18,G20,G22,G25,G26)&lt;0,"Negative number","")</f>
        <v/>
      </c>
      <c r="H28" s="68" t="str">
        <f>IF(MIN(H8:H14,H16,H18,H20,H22,H23,H25,H26)&lt;0,"Negative number","")</f>
        <v/>
      </c>
      <c r="I28" s="68" t="str">
        <f>IF(MIN(I8:I14,I16,I18,I20,I22,I25,I26)&lt;0,"Negative number","")</f>
        <v/>
      </c>
      <c r="J28" s="68" t="str">
        <f>IF(MIN(J8:J14,J16,J18,J20,J22,J25,J26)&lt;0,"Negative number","")</f>
        <v/>
      </c>
      <c r="K28" s="68" t="str">
        <f>IF(MIN(K8:K14,K16,K18,K20,K22,K25,K26)&lt;0,"Negative number","")</f>
        <v/>
      </c>
      <c r="L28" s="68" t="str">
        <f>IF(MIN(L8:L14,L16,L18,L20,L22,L25,L26)&lt;0,"Negative number","")</f>
        <v/>
      </c>
      <c r="M28" s="68" t="str">
        <f>IF(MIN(M8:M14,M16,M18,M20,M21,M22,M25,M26)&lt;0,"Negative number","")</f>
        <v>Negative number</v>
      </c>
      <c r="N28" s="68" t="str">
        <f>IF(MIN(N8:N14,N16,N18,N20,N21,N22,N25,N26)&lt;0,"Negative number","")</f>
        <v/>
      </c>
      <c r="O28" s="68" t="str">
        <f>IF(MIN(O8:O14,O16,O18,O20,O21,O22,O25,O26)&lt;0,"Negative number","")</f>
        <v/>
      </c>
      <c r="P28" s="68" t="str">
        <f>IF(MIN(P8:P14,P16,P18,P20,P21,P22,P25,P26)&lt;0,"Negative number","")</f>
        <v/>
      </c>
      <c r="Q28" s="68" t="str">
        <f>IF(MIN(Q8:Q14,Q16,Q18,Q20,Q21,Q22,Q25,Q26)&lt;0,"Negative number","")</f>
        <v/>
      </c>
      <c r="R28" s="68" t="str">
        <f>IF(MIN(R8:R14,R16,R18,R20,R22,R25,R26)&lt;0,"Negative number","")</f>
        <v/>
      </c>
      <c r="S28" s="68" t="str">
        <f>IF(MIN(S8:S14,S16,S18,S20,S22,S25,S26)&lt;0,"Negative number","")</f>
        <v/>
      </c>
      <c r="T28" s="68" t="str">
        <f>IF(MIN(T8:T14,T16,T18,T20,T22,T25,T26)&lt;0,"Negative number","")</f>
        <v/>
      </c>
      <c r="U28" s="68" t="str">
        <f>IF(MIN(U8:U14,U16,U18,U20,U22,U24,U25,U26)&lt;0,"Negative number","")</f>
        <v/>
      </c>
      <c r="V28" s="68" t="str">
        <f>IF(MIN(V8:V14,V16,V18,V20,V22,V24,V25,V26)&lt;0,"Negative number","")</f>
        <v/>
      </c>
      <c r="W28" s="68" t="str">
        <f>IF(MIN(W8:W14,W16,W18,W20,W22,W24,W25,W26)&lt;0,"Negative number","")</f>
        <v/>
      </c>
      <c r="X28" s="68" t="str">
        <f>IF(MIN(X8:X14,X16,X18,X20,X22,X25,X26)&lt;0,"Negative number","")</f>
        <v>Negative number</v>
      </c>
      <c r="Y28" s="68" t="str">
        <f>IF(MIN(Y8:Y14,Y16,Y18,Y20,Y22,Y25,Y26)&lt;0,"Negative number","")</f>
        <v/>
      </c>
      <c r="Z28" s="68"/>
      <c r="AA28" s="68" t="str">
        <f>IF(MIN(AA8:AA14,AA16,AA18,AA20,AA22,AA25,AA26)&lt;0,"Negative number","")</f>
        <v/>
      </c>
      <c r="AB28" s="68" t="str">
        <f>IF(MIN(AB8:AB14,AB16,AB18,AB20,AB22,AB25,AB26)&lt;0,"Negative number","")</f>
        <v/>
      </c>
      <c r="AC28" s="68" t="str">
        <f>IF(MIN(AC8:AC14,AC16,AC18,AC20,AC22,AC25,AC26)&lt;0,"Negative number","")</f>
        <v/>
      </c>
      <c r="AD28" s="68" t="str">
        <f>IF(MIN(AD8:AD14,AD16,AD18,AD20,AD21:AD27)&lt;0,"Negative number","")</f>
        <v/>
      </c>
    </row>
    <row r="29" spans="1:134" s="67" customFormat="1" ht="24" customHeight="1" x14ac:dyDescent="0.2">
      <c r="A29" s="66"/>
      <c r="D29" s="68"/>
      <c r="E29" s="68"/>
      <c r="F29" s="68"/>
      <c r="G29" s="68"/>
      <c r="H29" s="68"/>
      <c r="I29" s="68"/>
      <c r="J29" s="479"/>
      <c r="K29" s="480"/>
      <c r="L29" s="1132" t="str">
        <f>IF(OR(L8&gt;J8,L9&gt;J9,L10&gt;J10,L11&gt;J11,L12&gt;J12,L13&gt;J13,L14&gt;J14,L16&gt;J16,L18&gt;J18,L20&gt;J20,L22&gt;J22,L25&gt;J25,L26&gt;J26),"Error: Non-biogasoline
is greater than Total.","")</f>
        <v/>
      </c>
      <c r="M29" s="1132"/>
      <c r="N29" s="480"/>
      <c r="O29" s="479"/>
      <c r="P29" s="480"/>
      <c r="Q29" s="1132" t="str">
        <f>IF(OR(Q8&gt;O8,Q9&gt;O9,Q10&gt;O10,Q11&gt;O11,Q12&gt;O12,Q13&gt;O13,Q14&gt;O14,Q16&gt;O16,Q18&gt;O18,Q20&gt;O20,Q22&gt;O22,Q25&gt;O25,Q26&gt;O26),"Error: Non-biogasoline
is greater than Total.","")</f>
        <v/>
      </c>
      <c r="R29" s="1132"/>
      <c r="S29" s="480"/>
      <c r="T29" s="480"/>
      <c r="U29" s="479" t="str">
        <f>IF(OR(U8&lt;&gt;S8+T8,U9&lt;&gt;S9+T9,U10&lt;&gt;S10+T10,U11&lt;&gt;S11+T11,U12&lt;&gt;S12+T12,U13&lt;&gt;S13+T13,U14&lt;&gt;S14+T14,U16&lt;&gt;S16+T16,U18&lt;&gt;S18+T18,U20&lt;&gt;S20+T20,U22&lt;&gt;S22+T22,T24&lt;&gt;U24,U25&lt;&gt;S25+T25,U26&lt;&gt;S26+T26),"Error: Sum not equal Total.","")</f>
        <v>Error: Sum not equal Total.</v>
      </c>
      <c r="V29" s="480"/>
      <c r="W29" s="480"/>
      <c r="X29" s="479" t="str">
        <f>IF(OR(X8&lt;&gt;Y8+AA8,X9&lt;&gt;Y9+AA9,X10&lt;&gt;Y10+AA10,X11&lt;&gt;Y11+AA11,X12&lt;&gt;Y12+AA12,X13&lt;&gt;Y13+AA13,X14&lt;&gt;Y14+AA14,X16&lt;&gt;Y16+AA16,X18&lt;&gt;Y18+AA18,X20&lt;&gt;Y20+AA20,X22&lt;&gt;Y22+AA22,X25&lt;&gt;Y25+AA25,X26&lt;&gt;Y26+AA26),"Error: Sum not equal Total.","")</f>
        <v>Error: Sum not equal Total.</v>
      </c>
      <c r="Y29" s="479"/>
      <c r="Z29" s="479"/>
      <c r="AA29" s="479"/>
      <c r="AB29" s="480"/>
      <c r="AC29" s="480"/>
      <c r="AD29" s="68"/>
    </row>
    <row r="30" spans="1:134" s="67" customFormat="1" ht="27.95" customHeight="1" x14ac:dyDescent="0.2">
      <c r="A30" s="66"/>
      <c r="J30" s="479"/>
      <c r="K30" s="1130" t="str">
        <f>IF(OR(K8&gt;J8,K9&gt;J9,K10&gt;J10,K11&gt;J11,K12&gt;J12,K13&gt;J13,K14&gt;J14,K16&gt;J16,K18&gt;J18,K20&gt;J20,K22&gt;J22,K25&gt;J25,K26&gt;J26),"Error: Biogasoline
is greater than Total.","")</f>
        <v/>
      </c>
      <c r="L30" s="1130"/>
      <c r="M30" s="479"/>
      <c r="N30" s="479"/>
      <c r="O30" s="479"/>
      <c r="P30" s="1130" t="str">
        <f>IF(OR(P8&gt;O8,P9&gt;O9,P10&gt;O10,P11&gt;O11,P12&gt;O12,P13&gt;O13,P14&gt;O14,P16&gt;O16,P18&gt;O18,P20&gt;O20,P21&gt;O21,P22&gt;O22,P25&gt;O25,P26&gt;O26),"Error: Bjo jet kerosene
is greater than Total.","")</f>
        <v/>
      </c>
      <c r="Q30" s="1130"/>
      <c r="R30" s="479"/>
      <c r="S30" s="479"/>
      <c r="T30" s="1133" t="str">
        <f>IF(OR(T8&gt;$U8,T9&gt;$U9,T10&gt;$U10,T11&gt;$U11,T12&gt;$U12,T13&gt;$U13,T14&gt;$U14,T16&gt;$U16,T18&gt;$U18,T20&gt;$U20,T22&gt;$U22,T24&gt;$U24,T25&gt;$U25,T26&gt;$U26),"Error: Heating and othergas oil
is greater than Total gas/diesel oil.","")</f>
        <v/>
      </c>
      <c r="U30" s="1133"/>
      <c r="V30" s="1130" t="str">
        <f>IF(OR(V8&gt;U8,V9&gt;U9,V10&gt;U10,V11&gt;U11,V12&gt;U12,V13&gt;U13,V14&gt;U14,V16&gt;U16,V18&gt;U18,V20&gt;U20,V22&gt;U22,V24&gt;U24,V25&gt;U25,V26&gt;U26),"Error: Biodiesels is greater than Total.","")</f>
        <v/>
      </c>
      <c r="W30" s="1130"/>
      <c r="X30" s="479"/>
      <c r="Y30" s="1130" t="str">
        <f>IF(OR(Y8&gt;X8,Y9&gt;X9,Y10&gt;X10,Y11&gt;X11,Y12&gt;X12,Y13&gt;X13,Y14&gt;X14,Y16&gt;X16,Y18&gt;X18,Y20&gt;X20,Y22&gt;X22,Y25&gt;X25,Y26&gt;X26),"Error: Fuel oil-low sulphur (&lt;1%)
is greater than Total.","")</f>
        <v>Error: Fuel oil-low sulphur (&lt;1%)
is greater than Total.</v>
      </c>
      <c r="Z30" s="1130"/>
      <c r="AA30" s="1130"/>
      <c r="AB30" s="1130"/>
      <c r="AC30" s="479"/>
    </row>
    <row r="31" spans="1:134" s="67" customFormat="1" ht="24.95" customHeight="1" x14ac:dyDescent="0.2">
      <c r="A31" s="66"/>
      <c r="J31" s="479" t="str">
        <f>IF(OR(J8&lt;&gt;K8+L8,J9&lt;&gt;K9+L9,J10&lt;&gt;K10+L10,J11&lt;&gt;K11+L11,J12&lt;&gt;K12+L12,J13&lt;&gt;K13+L13,J14&lt;&gt;K14+L14,J15&lt;&gt;K15+L15,J16&lt;&gt;K16+L16,J17&lt;&gt;K17+L17,J18&lt;&gt;K18+L18,J19&lt;&gt;K19+L19,J20&lt;&gt;K20+L20,J22&lt;&gt;K22+L22,J25&lt;&gt;K25+L25,J26&lt;&gt;K26+L26),"Error: Sum not equal Total.","")</f>
        <v>Error: Sum not equal Total.</v>
      </c>
      <c r="K31" s="479"/>
      <c r="L31" s="479"/>
      <c r="M31" s="479"/>
      <c r="N31" s="479"/>
      <c r="O31" s="479" t="str">
        <f>IF(OR(O8&lt;&gt;P8+Q8,O9&lt;&gt;P9+Q9,O10&lt;&gt;P10+Q10,O11&lt;&gt;P11+Q11,O12&lt;&gt;P12+Q12,O13&lt;&gt;P13+Q13,O14&lt;&gt;P14+Q14,O16&lt;&gt;P16+Q16,O18&lt;&gt;P18+Q18,O20&lt;&gt;P20+Q20,O21&lt;&gt;P21+Q21,O22&lt;&gt;P22+Q22,O25&lt;&gt;P25+Q25,O26&lt;&gt;P26+Q26),"Error: Sum not equal Total.","")</f>
        <v>Error: Sum not equal Total.</v>
      </c>
      <c r="P31" s="479"/>
      <c r="Q31" s="479"/>
      <c r="R31" s="479"/>
      <c r="S31" s="1130" t="str">
        <f>IF(OR(S8&gt;$U8,S9&gt;$U9,S10&gt;$U10,S11&gt;$U11,S12&gt;$U12,S13&gt;$U13,S14&gt;$U14,S16&gt;$U16,S18&gt;$U18,S20&gt;$U20,S22&gt;$U22,S25&gt;$U25,S26&gt;$U26),"Error: Road diesel is greater
than Total gas/diesel oil.","")</f>
        <v/>
      </c>
      <c r="T31" s="1130"/>
      <c r="U31" s="1130"/>
      <c r="V31" s="479"/>
      <c r="W31" s="1131" t="str">
        <f>IF(OR(W8&gt;U8,W9&gt;U9,W10&gt;U10,W11&gt;U11,W12&gt;U12,W13&gt;U13,W14&gt;U14,W16&gt;U16,W18&gt;U18,W20&gt;U20,W22&gt;U22,W24&gt;U24,W25&gt;U25,W26&gt;U26),"Error: Non-bio gas/diesel oil is greater than Total.","")</f>
        <v/>
      </c>
      <c r="X31" s="1131"/>
      <c r="Y31" s="479"/>
      <c r="Z31" s="479"/>
      <c r="AA31" s="1130" t="str">
        <f>IF(OR(AA8&gt;X8,AA9&gt;X9,AA10&gt;X10,AA11&gt;X11,AA12&gt;X12,AA13&gt;X13,AA14&gt;X14,AA16&gt;X16,AA18&gt;X18,AA20&gt;X20,AA22&gt;X22,AA25&gt;X25,AA26&gt;X26),"Error: Fuel oil-high sulphur (&gt;=1%) is greater than Total.","")</f>
        <v>Error: Fuel oil-high sulphur (&gt;=1%) is greater than Total.</v>
      </c>
      <c r="AB31" s="1130"/>
      <c r="AC31" s="1130"/>
    </row>
    <row r="32" spans="1:134" s="1042" customFormat="1" x14ac:dyDescent="0.2">
      <c r="A32" s="1039">
        <v>1</v>
      </c>
      <c r="B32" s="1040" t="s">
        <v>1417</v>
      </c>
      <c r="C32" s="1040"/>
      <c r="D32" s="1040"/>
      <c r="E32" s="1040"/>
      <c r="F32" s="1040"/>
      <c r="G32" s="1041"/>
      <c r="H32" s="1046">
        <f>ROUND(AD8-'Table 1'!J20,3)</f>
        <v>0</v>
      </c>
      <c r="I32" s="1043" t="str">
        <f>IF(H32=0,"OK","Total of 'Primary product receipts' not equal to total of 'Direct use' in Table 1.")</f>
        <v>OK</v>
      </c>
      <c r="W32" s="1044"/>
      <c r="AA32" s="1044"/>
    </row>
    <row r="33" spans="1:9" s="1042" customFormat="1" x14ac:dyDescent="0.2">
      <c r="A33" s="1039">
        <v>2</v>
      </c>
      <c r="B33" s="1040" t="s">
        <v>1383</v>
      </c>
      <c r="C33" s="1040"/>
      <c r="D33" s="1040"/>
      <c r="E33" s="1040"/>
      <c r="F33" s="1040"/>
      <c r="G33" s="1041"/>
      <c r="H33" s="1047">
        <f>ROUND(AD12-'Table 3'!AF174,3)</f>
        <v>-0.28000000000000003</v>
      </c>
      <c r="I33" s="1043" t="str">
        <f>IF(H33=0,"OK","Imports (Balance) for Total products is not equal to Total Imports in Table 3 for Total products.")</f>
        <v>Imports (Balance) for Total products is not equal to Total Imports in Table 3 for Total products.</v>
      </c>
    </row>
    <row r="34" spans="1:9" s="1042" customFormat="1" x14ac:dyDescent="0.2">
      <c r="A34" s="1039">
        <v>3</v>
      </c>
      <c r="B34" s="1040" t="s">
        <v>1384</v>
      </c>
      <c r="C34" s="1040"/>
      <c r="D34" s="1040"/>
      <c r="E34" s="1040"/>
      <c r="F34" s="1040"/>
      <c r="G34" s="1041"/>
      <c r="H34" s="1047">
        <f>ROUND(AD13-'Table 4'!AF174,3)</f>
        <v>0.19600000000000001</v>
      </c>
      <c r="I34" s="1043" t="str">
        <f>IF(H34=0,"OK","Exports (Balance) for Total products is not equal to Total Exports in Table 4 for Total products.")</f>
        <v>Exports (Balance) for Total products is not equal to Total Exports in Table 4 for Total products.</v>
      </c>
    </row>
    <row r="35" spans="1:9" s="1042" customFormat="1" x14ac:dyDescent="0.2">
      <c r="A35" s="1039">
        <v>4</v>
      </c>
      <c r="B35" s="1040" t="s">
        <v>1418</v>
      </c>
      <c r="C35" s="1040"/>
      <c r="D35" s="1040"/>
      <c r="E35" s="1040"/>
      <c r="F35" s="1040"/>
      <c r="G35" s="1041"/>
      <c r="H35" s="1047">
        <f>ROUND(AD15,3)</f>
        <v>-1.2E-2</v>
      </c>
      <c r="I35" s="1043" t="str">
        <f>IF(H35=0,"OK","Interproduct transfers of Total products is not equal to 0.")</f>
        <v>Interproduct transfers of Total products is not equal to 0.</v>
      </c>
    </row>
    <row r="36" spans="1:9" s="1042" customFormat="1" ht="24" customHeight="1" x14ac:dyDescent="0.2">
      <c r="A36" s="1039">
        <v>5</v>
      </c>
      <c r="B36" s="1112" t="s">
        <v>1419</v>
      </c>
      <c r="C36" s="1112"/>
      <c r="D36" s="1112"/>
      <c r="E36" s="1112"/>
      <c r="F36" s="1112"/>
      <c r="G36" s="1112"/>
      <c r="H36" s="1047">
        <f>ROUND(AD16-'Table 1'!J17,3)</f>
        <v>1E-3</v>
      </c>
      <c r="I36" s="1043" t="str">
        <f>IF(H36=0,"OK","Products transferred of Total products is not equal to Products transferred of Total in Table 1.")</f>
        <v>Products transferred of Total products is not equal to Products transferred of Total in Table 1.</v>
      </c>
    </row>
    <row r="37" spans="1:9" s="1042" customFormat="1" x14ac:dyDescent="0.2">
      <c r="A37" s="1039">
        <v>6</v>
      </c>
      <c r="B37" s="1040" t="s">
        <v>892</v>
      </c>
      <c r="C37" s="1040"/>
      <c r="D37" s="1040"/>
      <c r="E37" s="1040"/>
      <c r="F37" s="1040"/>
      <c r="H37" s="1047">
        <f>ROUND(AD17-('Table 5'!AH9-'Table 5'!AH8),3)</f>
        <v>0</v>
      </c>
      <c r="I37" s="1043" t="str">
        <f>IF(H37=0,"OK","Stock change for Total products is not equal to Closing stock level minus the Opening stock level on National territory in Table 5 for Total products.")</f>
        <v>OK</v>
      </c>
    </row>
    <row r="38" spans="1:9" s="1042" customFormat="1" x14ac:dyDescent="0.2">
      <c r="A38" s="1039">
        <v>7</v>
      </c>
      <c r="B38" s="1043" t="s">
        <v>868</v>
      </c>
      <c r="C38" s="1043"/>
      <c r="D38" s="1040"/>
      <c r="E38" s="1040"/>
      <c r="F38" s="1040"/>
      <c r="G38" s="1041"/>
      <c r="H38" s="1048"/>
      <c r="I38" s="1045" t="str">
        <f>IF(OR(H22+H23&gt;H20,M21+M22&gt;M20,N21+N22&gt;N20,O22+O21&gt;O20,P21+P22&gt;P20,Q22+Q21&gt;Q20,T22+T24&gt;T20,U22+U24&gt;U20,V22+V24&gt;V20,W22+W24&gt;W20),"Sum of Memo Items shoud not exceed Gross inland deliveries (Observed).","")</f>
        <v/>
      </c>
    </row>
    <row r="39" spans="1:9" s="1042" customFormat="1" x14ac:dyDescent="0.2">
      <c r="A39" s="1039"/>
      <c r="B39" s="1040" t="s">
        <v>904</v>
      </c>
      <c r="C39" s="1040"/>
      <c r="D39" s="1040"/>
      <c r="E39" s="1040"/>
      <c r="F39" s="1040"/>
      <c r="G39" s="1041"/>
      <c r="H39" s="1048">
        <f>IF(OR(M21&gt;M20,N21&gt;N20,O21&gt;O20,P21&gt;P20,Q21&gt;Q20),1,0)</f>
        <v>0</v>
      </c>
      <c r="I39" s="1040" t="str">
        <f>IF(H39=0,"OK","Deliveries to international aviation shoud not exceed Gross inland deliveries (Observed).")</f>
        <v>OK</v>
      </c>
    </row>
    <row r="40" spans="1:9" s="1042" customFormat="1" x14ac:dyDescent="0.2">
      <c r="A40" s="1039"/>
      <c r="B40" s="1040" t="s">
        <v>905</v>
      </c>
      <c r="C40" s="1040"/>
      <c r="D40" s="1040"/>
      <c r="E40" s="1040"/>
      <c r="F40" s="1040"/>
      <c r="G40" s="1041"/>
      <c r="H40" s="1048">
        <f>IF(OR(D22&gt;D20,E22&gt;E20,F22&gt;F20,G22&gt;G20,H22&gt;H20,I22&gt;I20,J22&gt;J20,K22&gt;K20,L22&gt;L20,M22&gt;M20,N22&gt;N20,O22&gt;O20,P22&gt;P20,Q22&gt;Q20,R22&gt;R20,S22&gt;S20,T22&gt;T20,U22&gt;U20,V22&gt;V20,W22&gt;W20,X22&gt;X20,Y22&gt;Y20,AA22&gt;AA20,AB22&gt;AB20,AC22&gt;AC20),1,0)</f>
        <v>0</v>
      </c>
      <c r="I40" s="1040" t="str">
        <f>IF(H40=0,"OK","Deliveries to Main activity producer power plants should not exceed Gross inland deliveries (Observed).")</f>
        <v>OK</v>
      </c>
    </row>
    <row r="41" spans="1:9" s="1042" customFormat="1" x14ac:dyDescent="0.2">
      <c r="A41" s="1039"/>
      <c r="B41" s="1040" t="s">
        <v>644</v>
      </c>
      <c r="C41" s="1040"/>
      <c r="D41" s="1040"/>
      <c r="E41" s="1040"/>
      <c r="F41" s="1040"/>
      <c r="G41" s="1041"/>
      <c r="H41" s="1048">
        <f>IF((H23&gt;H20),1,0)</f>
        <v>0</v>
      </c>
      <c r="I41" s="1040" t="str">
        <f>IF(H41=0,"OK","Deliveries of automotive LPG should not exceed Gross inland deliveries (Observed) of LPG.")</f>
        <v>OK</v>
      </c>
    </row>
    <row r="42" spans="1:9" s="1042" customFormat="1" x14ac:dyDescent="0.2">
      <c r="A42" s="1039"/>
      <c r="B42" s="1040" t="s">
        <v>673</v>
      </c>
      <c r="C42" s="1040"/>
      <c r="D42" s="1040"/>
      <c r="E42" s="1040"/>
      <c r="F42" s="1040"/>
      <c r="G42" s="1041"/>
      <c r="H42" s="1048">
        <f>IF(OR(T24&gt;T20,U24&gt;U20,V24&gt;V20,W24&gt;W20),1,0)</f>
        <v>0</v>
      </c>
      <c r="I42" s="1040" t="str">
        <f>IF(H42=0,"OK","Deliveries of rail and marine diesel should not exceed Gross inland deliveries (Observed).")</f>
        <v>OK</v>
      </c>
    </row>
    <row r="43" spans="1:9" s="1042" customFormat="1" x14ac:dyDescent="0.2">
      <c r="A43" s="1039">
        <v>8</v>
      </c>
      <c r="B43" s="1040" t="s">
        <v>893</v>
      </c>
      <c r="C43" s="1040"/>
      <c r="D43" s="1040"/>
      <c r="E43" s="1040"/>
      <c r="F43" s="1040"/>
      <c r="G43" s="1041"/>
      <c r="H43" s="1048">
        <f>IF(OR(D25&gt;D20,E25&gt;E20,F25&gt;F20,G25&gt;G20,H25&gt;H20,I25&gt;I20,J25&gt;J20,K25&gt;K20,L25&gt;L20,M25&gt;M20,N25&gt;N20,O25&gt;O20,P25&gt;P20,Q25&gt;Q20,R25&gt;R20,S25&gt;S20,T25&gt;T20,,U25&gt;U20,V25&gt;V20,W25&gt;W20,X25&gt;X20,Y25&gt;Y20,AA25&gt;AA20,AB25&gt;AB20,AC25&gt;AC20),1,0)</f>
        <v>0</v>
      </c>
      <c r="I43" s="1040" t="str">
        <f>IF(H43=0,"OK","Deliveries to the Petrochemical sector should not exceed Gross inland deliveries (Observed).")</f>
        <v>OK</v>
      </c>
    </row>
    <row r="44" spans="1:9" s="1042" customFormat="1" x14ac:dyDescent="0.2">
      <c r="A44" s="1039">
        <v>9</v>
      </c>
      <c r="B44" s="1040" t="s">
        <v>1420</v>
      </c>
      <c r="C44" s="1040"/>
      <c r="D44" s="1040"/>
      <c r="E44" s="1040"/>
      <c r="F44" s="1040"/>
      <c r="G44" s="1041"/>
      <c r="H44" s="1047">
        <f>ROUND(AD26-'Table 1'!J16,3)</f>
        <v>0</v>
      </c>
      <c r="I44" s="1040" t="str">
        <f>IF(H44=0,"OK","Backflows to refineries of Total products is not equal to Total of Backflows in Table 1.")</f>
        <v>OK</v>
      </c>
    </row>
    <row r="45" spans="1:9" s="1042" customFormat="1" x14ac:dyDescent="0.2">
      <c r="A45" s="1039"/>
      <c r="B45" s="1040"/>
      <c r="C45" s="1040"/>
      <c r="D45" s="1040"/>
      <c r="E45" s="1040"/>
      <c r="F45" s="1040"/>
      <c r="G45" s="1041"/>
      <c r="H45" s="1048"/>
      <c r="I45" s="1040"/>
    </row>
    <row r="46" spans="1:9" s="1042" customFormat="1" x14ac:dyDescent="0.2">
      <c r="A46" s="1039"/>
      <c r="B46" s="1040"/>
      <c r="C46" s="1040"/>
      <c r="D46" s="1040"/>
      <c r="E46" s="1040"/>
      <c r="F46" s="1040"/>
      <c r="G46" s="1041"/>
      <c r="H46" s="1041"/>
      <c r="I46" s="1040"/>
    </row>
    <row r="47" spans="1:9" x14ac:dyDescent="0.2">
      <c r="A47" s="20"/>
      <c r="B47" s="7"/>
      <c r="C47" s="7"/>
      <c r="D47" s="7"/>
      <c r="E47" s="7"/>
      <c r="F47" s="7"/>
      <c r="G47" s="7"/>
      <c r="H47" s="7"/>
      <c r="I47" s="7"/>
    </row>
    <row r="48" spans="1:9" x14ac:dyDescent="0.2">
      <c r="A48" s="20"/>
      <c r="B48" s="7"/>
      <c r="C48" s="7"/>
      <c r="D48" s="7"/>
      <c r="E48" s="7"/>
      <c r="F48" s="7"/>
      <c r="G48" s="7"/>
      <c r="H48" s="7"/>
      <c r="I48" s="7"/>
    </row>
    <row r="49" spans="1:9" x14ac:dyDescent="0.2">
      <c r="A49" s="20"/>
      <c r="B49" s="7"/>
      <c r="C49" s="7"/>
      <c r="D49" s="7"/>
      <c r="E49" s="7"/>
      <c r="F49" s="7"/>
      <c r="G49" s="7"/>
      <c r="H49" s="7"/>
      <c r="I49" s="7"/>
    </row>
    <row r="50" spans="1:9" x14ac:dyDescent="0.2">
      <c r="A50" s="20"/>
      <c r="B50" s="7"/>
      <c r="C50" s="7"/>
      <c r="D50" s="7"/>
      <c r="E50" s="7"/>
      <c r="F50" s="7"/>
      <c r="G50" s="7"/>
      <c r="H50" s="7"/>
      <c r="I50" s="7"/>
    </row>
    <row r="51" spans="1:9" x14ac:dyDescent="0.2">
      <c r="A51" s="20"/>
      <c r="B51" s="7"/>
      <c r="C51" s="7"/>
      <c r="D51" s="7"/>
      <c r="E51" s="7"/>
      <c r="F51" s="7"/>
      <c r="G51" s="7"/>
      <c r="H51" s="7"/>
      <c r="I51" s="7"/>
    </row>
    <row r="52" spans="1:9" x14ac:dyDescent="0.2">
      <c r="A52" s="20"/>
      <c r="B52" s="7"/>
      <c r="C52" s="7"/>
      <c r="D52" s="7"/>
      <c r="E52" s="7"/>
      <c r="F52" s="7"/>
      <c r="G52" s="7"/>
      <c r="H52" s="7"/>
      <c r="I52" s="7"/>
    </row>
    <row r="53" spans="1:9" x14ac:dyDescent="0.2">
      <c r="A53" s="20"/>
      <c r="B53" s="7"/>
      <c r="C53" s="7"/>
      <c r="D53" s="7"/>
      <c r="E53" s="7"/>
      <c r="F53" s="7"/>
      <c r="G53" s="7"/>
      <c r="H53" s="7"/>
      <c r="I53" s="7"/>
    </row>
    <row r="54" spans="1:9" x14ac:dyDescent="0.2">
      <c r="A54" s="20"/>
      <c r="B54" s="7"/>
      <c r="C54" s="7"/>
      <c r="D54" s="7"/>
      <c r="E54" s="7"/>
      <c r="F54" s="7"/>
      <c r="G54" s="7"/>
      <c r="H54" s="7"/>
      <c r="I54" s="7"/>
    </row>
    <row r="55" spans="1:9" x14ac:dyDescent="0.2">
      <c r="A55" s="20"/>
      <c r="B55" s="7"/>
      <c r="C55" s="7"/>
      <c r="D55" s="7"/>
      <c r="E55" s="7"/>
      <c r="F55" s="7"/>
      <c r="G55" s="7"/>
      <c r="H55" s="7"/>
      <c r="I55" s="7"/>
    </row>
    <row r="56" spans="1:9" x14ac:dyDescent="0.2">
      <c r="A56" s="20"/>
      <c r="B56" s="7"/>
      <c r="C56" s="7"/>
      <c r="D56" s="7"/>
      <c r="E56" s="7"/>
      <c r="F56" s="7"/>
      <c r="G56" s="7"/>
      <c r="H56" s="7"/>
      <c r="I56" s="7"/>
    </row>
    <row r="57" spans="1:9" x14ac:dyDescent="0.2">
      <c r="A57" s="20"/>
      <c r="B57" s="7"/>
      <c r="C57" s="7"/>
      <c r="D57" s="7"/>
      <c r="E57" s="7"/>
      <c r="F57" s="7"/>
      <c r="G57" s="7"/>
      <c r="H57" s="7"/>
      <c r="I57" s="7"/>
    </row>
    <row r="58" spans="1:9" x14ac:dyDescent="0.2">
      <c r="A58" s="20"/>
      <c r="B58" s="7"/>
      <c r="C58" s="7"/>
      <c r="D58" s="7"/>
      <c r="E58" s="7"/>
      <c r="F58" s="7"/>
      <c r="G58" s="7"/>
      <c r="H58" s="7"/>
      <c r="I58" s="7"/>
    </row>
    <row r="59" spans="1:9" x14ac:dyDescent="0.2">
      <c r="A59" s="20"/>
      <c r="B59" s="7"/>
      <c r="C59" s="7"/>
      <c r="D59" s="7"/>
      <c r="E59" s="7"/>
      <c r="F59" s="7"/>
      <c r="G59" s="7"/>
      <c r="H59" s="7"/>
      <c r="I59" s="7"/>
    </row>
    <row r="60" spans="1:9" x14ac:dyDescent="0.2">
      <c r="A60" s="20"/>
      <c r="B60" s="7"/>
      <c r="C60" s="7"/>
      <c r="D60" s="7"/>
      <c r="E60" s="7"/>
      <c r="F60" s="7"/>
      <c r="G60" s="7"/>
      <c r="H60" s="7"/>
      <c r="I60" s="7"/>
    </row>
    <row r="61" spans="1:9" x14ac:dyDescent="0.2">
      <c r="A61" s="20"/>
      <c r="B61" s="7"/>
      <c r="C61" s="7"/>
      <c r="D61" s="7"/>
      <c r="E61" s="7"/>
      <c r="F61" s="7"/>
      <c r="G61" s="7"/>
      <c r="H61" s="7"/>
      <c r="I61" s="7"/>
    </row>
    <row r="62" spans="1:9" x14ac:dyDescent="0.2">
      <c r="A62" s="20"/>
      <c r="B62" s="7"/>
      <c r="C62" s="7"/>
      <c r="D62" s="7"/>
      <c r="E62" s="7"/>
      <c r="F62" s="7"/>
      <c r="G62" s="7"/>
      <c r="H62" s="7"/>
      <c r="I62" s="7"/>
    </row>
    <row r="63" spans="1:9" x14ac:dyDescent="0.2">
      <c r="A63" s="20"/>
      <c r="B63" s="7"/>
      <c r="C63" s="7"/>
      <c r="D63" s="7"/>
      <c r="E63" s="7"/>
      <c r="F63" s="7"/>
      <c r="G63" s="7"/>
      <c r="H63" s="7"/>
      <c r="I63" s="7"/>
    </row>
    <row r="64" spans="1:9" x14ac:dyDescent="0.2">
      <c r="A64" s="20"/>
      <c r="B64" s="7"/>
      <c r="C64" s="7"/>
      <c r="D64" s="7"/>
      <c r="E64" s="7"/>
      <c r="F64" s="7"/>
      <c r="G64" s="7"/>
      <c r="H64" s="7"/>
      <c r="I64" s="7"/>
    </row>
    <row r="65" spans="1:9" x14ac:dyDescent="0.2">
      <c r="A65" s="20"/>
      <c r="B65" s="7"/>
      <c r="C65" s="7"/>
      <c r="D65" s="7"/>
      <c r="E65" s="7"/>
      <c r="F65" s="7"/>
      <c r="G65" s="7"/>
      <c r="H65" s="7"/>
      <c r="I65" s="7"/>
    </row>
    <row r="66" spans="1:9" x14ac:dyDescent="0.2">
      <c r="A66" s="20"/>
      <c r="B66" s="7"/>
      <c r="C66" s="7"/>
      <c r="D66" s="7"/>
      <c r="E66" s="7"/>
      <c r="F66" s="7"/>
      <c r="G66" s="7"/>
      <c r="H66" s="7"/>
      <c r="I66" s="7"/>
    </row>
    <row r="67" spans="1:9" x14ac:dyDescent="0.2">
      <c r="A67" s="20"/>
      <c r="B67" s="7"/>
      <c r="C67" s="7"/>
      <c r="D67" s="7"/>
      <c r="E67" s="7"/>
      <c r="F67" s="7"/>
      <c r="G67" s="7"/>
      <c r="H67" s="7"/>
      <c r="I67" s="7"/>
    </row>
    <row r="68" spans="1:9" x14ac:dyDescent="0.2">
      <c r="A68" s="20"/>
      <c r="B68" s="7"/>
      <c r="C68" s="7"/>
      <c r="D68" s="7"/>
      <c r="E68" s="7"/>
      <c r="F68" s="7"/>
      <c r="G68" s="7"/>
      <c r="H68" s="7"/>
      <c r="I68" s="7"/>
    </row>
    <row r="69" spans="1:9" x14ac:dyDescent="0.2">
      <c r="A69" s="20"/>
      <c r="B69" s="7"/>
      <c r="C69" s="7"/>
      <c r="D69" s="7"/>
      <c r="E69" s="7"/>
      <c r="F69" s="7"/>
      <c r="G69" s="7"/>
      <c r="H69" s="7"/>
      <c r="I69" s="7"/>
    </row>
    <row r="70" spans="1:9" x14ac:dyDescent="0.2">
      <c r="A70" s="20"/>
      <c r="B70" s="7"/>
      <c r="C70" s="7"/>
      <c r="D70" s="7"/>
      <c r="E70" s="7"/>
      <c r="F70" s="7"/>
      <c r="G70" s="7"/>
      <c r="H70" s="7"/>
      <c r="I70" s="7"/>
    </row>
    <row r="71" spans="1:9" x14ac:dyDescent="0.2">
      <c r="A71" s="20"/>
      <c r="B71" s="7"/>
      <c r="C71" s="7"/>
      <c r="D71" s="7"/>
      <c r="E71" s="7"/>
      <c r="F71" s="7"/>
      <c r="G71" s="7"/>
      <c r="H71" s="7"/>
      <c r="I71" s="7"/>
    </row>
    <row r="72" spans="1:9" x14ac:dyDescent="0.2">
      <c r="A72" s="20"/>
      <c r="B72" s="7"/>
      <c r="C72" s="7"/>
      <c r="D72" s="7"/>
      <c r="E72" s="7"/>
      <c r="F72" s="7"/>
      <c r="G72" s="7"/>
      <c r="H72" s="7"/>
      <c r="I72" s="7"/>
    </row>
    <row r="73" spans="1:9" x14ac:dyDescent="0.2">
      <c r="A73" s="20"/>
      <c r="B73" s="7"/>
      <c r="C73" s="7"/>
      <c r="D73" s="7"/>
      <c r="E73" s="7"/>
      <c r="F73" s="7"/>
      <c r="G73" s="7"/>
      <c r="H73" s="7"/>
      <c r="I73" s="7"/>
    </row>
    <row r="74" spans="1:9" x14ac:dyDescent="0.2">
      <c r="A74" s="20"/>
      <c r="B74" s="7"/>
      <c r="C74" s="7"/>
      <c r="D74" s="7"/>
      <c r="E74" s="7"/>
      <c r="F74" s="7"/>
      <c r="G74" s="7"/>
      <c r="H74" s="7"/>
      <c r="I74" s="7"/>
    </row>
    <row r="75" spans="1:9" x14ac:dyDescent="0.2">
      <c r="A75" s="20"/>
      <c r="B75" s="7"/>
      <c r="C75" s="7"/>
      <c r="D75" s="7"/>
      <c r="E75" s="7"/>
      <c r="F75" s="7"/>
      <c r="G75" s="7"/>
      <c r="H75" s="7"/>
      <c r="I75" s="7"/>
    </row>
    <row r="76" spans="1:9" x14ac:dyDescent="0.2">
      <c r="A76" s="20"/>
      <c r="B76" s="7"/>
      <c r="C76" s="7"/>
      <c r="D76" s="7"/>
      <c r="E76" s="7"/>
      <c r="F76" s="7"/>
      <c r="G76" s="7"/>
      <c r="H76" s="7"/>
      <c r="I76" s="7"/>
    </row>
    <row r="77" spans="1:9" x14ac:dyDescent="0.2">
      <c r="A77" s="20"/>
      <c r="B77" s="7"/>
      <c r="C77" s="7"/>
      <c r="D77" s="7"/>
      <c r="E77" s="7"/>
      <c r="F77" s="7"/>
      <c r="G77" s="7"/>
      <c r="H77" s="7"/>
      <c r="I77" s="7"/>
    </row>
    <row r="78" spans="1:9" x14ac:dyDescent="0.2">
      <c r="A78" s="20"/>
      <c r="B78" s="7"/>
      <c r="C78" s="7"/>
      <c r="D78" s="7"/>
      <c r="E78" s="7"/>
      <c r="F78" s="7"/>
      <c r="G78" s="7"/>
      <c r="H78" s="7"/>
      <c r="I78" s="7"/>
    </row>
    <row r="79" spans="1:9" x14ac:dyDescent="0.2">
      <c r="A79" s="20"/>
      <c r="B79" s="7"/>
      <c r="C79" s="7"/>
      <c r="D79" s="7"/>
      <c r="E79" s="7"/>
      <c r="F79" s="7"/>
      <c r="G79" s="7"/>
      <c r="H79" s="7"/>
      <c r="I79" s="7"/>
    </row>
    <row r="80" spans="1:9" x14ac:dyDescent="0.2">
      <c r="A80" s="20"/>
      <c r="B80" s="7"/>
      <c r="C80" s="7"/>
      <c r="D80" s="7"/>
      <c r="E80" s="7"/>
      <c r="F80" s="7"/>
      <c r="G80" s="7"/>
      <c r="H80" s="7"/>
      <c r="I80" s="7"/>
    </row>
    <row r="81" spans="1:9" x14ac:dyDescent="0.2">
      <c r="A81" s="20"/>
      <c r="B81" s="7"/>
      <c r="C81" s="7"/>
      <c r="D81" s="7"/>
      <c r="E81" s="7"/>
      <c r="F81" s="7"/>
      <c r="G81" s="7"/>
      <c r="H81" s="7"/>
      <c r="I81" s="7"/>
    </row>
    <row r="82" spans="1:9" x14ac:dyDescent="0.2">
      <c r="A82" s="20"/>
      <c r="B82" s="7"/>
      <c r="C82" s="7"/>
      <c r="D82" s="7"/>
      <c r="E82" s="7"/>
      <c r="F82" s="7"/>
      <c r="G82" s="7"/>
      <c r="H82" s="7"/>
      <c r="I82" s="7"/>
    </row>
    <row r="83" spans="1:9" x14ac:dyDescent="0.2">
      <c r="A83" s="20"/>
      <c r="B83" s="7"/>
      <c r="C83" s="7"/>
      <c r="D83" s="7"/>
      <c r="E83" s="7"/>
      <c r="F83" s="7"/>
      <c r="G83" s="7"/>
      <c r="H83" s="7"/>
      <c r="I83" s="7"/>
    </row>
    <row r="84" spans="1:9" x14ac:dyDescent="0.2">
      <c r="A84" s="20"/>
      <c r="B84" s="7"/>
      <c r="C84" s="7"/>
      <c r="D84" s="7"/>
      <c r="E84" s="7"/>
      <c r="F84" s="7"/>
      <c r="G84" s="7"/>
      <c r="H84" s="7"/>
      <c r="I84" s="7"/>
    </row>
    <row r="85" spans="1:9" x14ac:dyDescent="0.2">
      <c r="A85" s="20"/>
      <c r="B85" s="7"/>
      <c r="C85" s="7"/>
      <c r="D85" s="7"/>
      <c r="E85" s="7"/>
      <c r="F85" s="7"/>
      <c r="G85" s="7"/>
      <c r="H85" s="7"/>
      <c r="I85" s="7"/>
    </row>
    <row r="86" spans="1:9" x14ac:dyDescent="0.2">
      <c r="A86" s="20"/>
      <c r="B86" s="7"/>
      <c r="C86" s="7"/>
      <c r="D86" s="7"/>
      <c r="E86" s="7"/>
      <c r="F86" s="7"/>
      <c r="G86" s="7"/>
      <c r="H86" s="7"/>
      <c r="I86" s="7"/>
    </row>
    <row r="87" spans="1:9" x14ac:dyDescent="0.2">
      <c r="A87" s="20"/>
      <c r="B87" s="7"/>
      <c r="C87" s="7"/>
      <c r="D87" s="7"/>
      <c r="E87" s="7"/>
      <c r="F87" s="7"/>
      <c r="G87" s="7"/>
      <c r="H87" s="7"/>
      <c r="I87" s="7"/>
    </row>
    <row r="88" spans="1:9" x14ac:dyDescent="0.2">
      <c r="A88" s="20"/>
      <c r="B88" s="7"/>
      <c r="C88" s="7"/>
      <c r="D88" s="7"/>
      <c r="E88" s="7"/>
      <c r="F88" s="7"/>
      <c r="G88" s="7"/>
      <c r="H88" s="7"/>
      <c r="I88" s="7"/>
    </row>
    <row r="89" spans="1:9" x14ac:dyDescent="0.2">
      <c r="A89" s="20"/>
      <c r="B89" s="7"/>
      <c r="C89" s="7"/>
      <c r="D89" s="7"/>
      <c r="E89" s="7"/>
      <c r="F89" s="7"/>
      <c r="G89" s="7"/>
      <c r="H89" s="7"/>
      <c r="I89" s="7"/>
    </row>
    <row r="90" spans="1:9" x14ac:dyDescent="0.2">
      <c r="A90" s="20"/>
      <c r="B90" s="7"/>
      <c r="C90" s="7"/>
      <c r="D90" s="7"/>
      <c r="E90" s="7"/>
      <c r="F90" s="7"/>
      <c r="G90" s="7"/>
      <c r="H90" s="7"/>
      <c r="I90" s="7"/>
    </row>
    <row r="91" spans="1:9" x14ac:dyDescent="0.2">
      <c r="A91" s="20"/>
      <c r="B91" s="7"/>
      <c r="C91" s="7"/>
      <c r="D91" s="7"/>
      <c r="E91" s="7"/>
      <c r="F91" s="7"/>
      <c r="G91" s="7"/>
      <c r="H91" s="7"/>
      <c r="I91" s="7"/>
    </row>
    <row r="92" spans="1:9" x14ac:dyDescent="0.2">
      <c r="A92" s="20"/>
      <c r="B92" s="7"/>
      <c r="C92" s="7"/>
      <c r="D92" s="7"/>
      <c r="E92" s="7"/>
      <c r="F92" s="7"/>
      <c r="G92" s="7"/>
      <c r="H92" s="7"/>
      <c r="I92" s="7"/>
    </row>
    <row r="93" spans="1:9" x14ac:dyDescent="0.2">
      <c r="A93" s="20"/>
      <c r="B93" s="7"/>
      <c r="C93" s="7"/>
      <c r="D93" s="7"/>
      <c r="E93" s="7"/>
      <c r="F93" s="7"/>
      <c r="G93" s="7"/>
      <c r="H93" s="7"/>
      <c r="I93" s="7"/>
    </row>
    <row r="94" spans="1:9" x14ac:dyDescent="0.2">
      <c r="A94" s="20"/>
      <c r="B94" s="7"/>
      <c r="C94" s="7"/>
      <c r="D94" s="7"/>
      <c r="E94" s="7"/>
      <c r="F94" s="7"/>
      <c r="G94" s="7"/>
      <c r="H94" s="7"/>
      <c r="I94" s="7"/>
    </row>
    <row r="95" spans="1:9" x14ac:dyDescent="0.2">
      <c r="A95" s="20"/>
      <c r="B95" s="7"/>
      <c r="C95" s="7"/>
      <c r="D95" s="7"/>
      <c r="E95" s="7"/>
      <c r="F95" s="7"/>
      <c r="G95" s="7"/>
      <c r="H95" s="7"/>
      <c r="I95" s="7"/>
    </row>
    <row r="96" spans="1:9" x14ac:dyDescent="0.2">
      <c r="A96" s="20"/>
      <c r="B96" s="7"/>
      <c r="C96" s="7"/>
      <c r="D96" s="7"/>
      <c r="E96" s="7"/>
      <c r="F96" s="7"/>
      <c r="G96" s="7"/>
      <c r="H96" s="7"/>
      <c r="I96" s="7"/>
    </row>
    <row r="97" spans="1:9" x14ac:dyDescent="0.2">
      <c r="A97" s="20"/>
      <c r="B97" s="7"/>
      <c r="C97" s="7"/>
      <c r="D97" s="7"/>
      <c r="E97" s="7"/>
      <c r="F97" s="7"/>
      <c r="G97" s="7"/>
      <c r="H97" s="7"/>
      <c r="I97" s="7"/>
    </row>
    <row r="98" spans="1:9" x14ac:dyDescent="0.2">
      <c r="A98" s="20"/>
      <c r="B98" s="7"/>
      <c r="C98" s="7"/>
      <c r="D98" s="7"/>
      <c r="E98" s="7"/>
      <c r="F98" s="7"/>
      <c r="G98" s="7"/>
      <c r="H98" s="7"/>
      <c r="I98" s="7"/>
    </row>
    <row r="99" spans="1:9" x14ac:dyDescent="0.2">
      <c r="A99" s="20"/>
      <c r="B99" s="7"/>
      <c r="C99" s="7"/>
      <c r="D99" s="7"/>
      <c r="E99" s="7"/>
      <c r="F99" s="7"/>
      <c r="G99" s="7"/>
      <c r="H99" s="7"/>
      <c r="I99" s="7"/>
    </row>
    <row r="100" spans="1:9" x14ac:dyDescent="0.2">
      <c r="A100" s="20"/>
      <c r="B100" s="7"/>
      <c r="C100" s="7"/>
      <c r="D100" s="7"/>
      <c r="E100" s="7"/>
      <c r="F100" s="7"/>
      <c r="G100" s="7"/>
      <c r="H100" s="7"/>
      <c r="I100" s="7"/>
    </row>
    <row r="101" spans="1:9" x14ac:dyDescent="0.2">
      <c r="A101" s="20"/>
      <c r="B101" s="7"/>
      <c r="C101" s="7"/>
      <c r="D101" s="7"/>
      <c r="E101" s="7"/>
      <c r="F101" s="7"/>
      <c r="G101" s="7"/>
      <c r="H101" s="7"/>
      <c r="I101" s="7"/>
    </row>
    <row r="102" spans="1:9" x14ac:dyDescent="0.2">
      <c r="A102" s="20"/>
      <c r="B102" s="7"/>
      <c r="C102" s="7"/>
      <c r="D102" s="7"/>
      <c r="E102" s="7"/>
      <c r="F102" s="7"/>
      <c r="G102" s="7"/>
      <c r="H102" s="7"/>
      <c r="I102" s="7"/>
    </row>
    <row r="103" spans="1:9" x14ac:dyDescent="0.2">
      <c r="A103" s="20"/>
      <c r="B103" s="7"/>
      <c r="C103" s="7"/>
      <c r="D103" s="7"/>
      <c r="E103" s="7"/>
      <c r="F103" s="7"/>
      <c r="G103" s="7"/>
      <c r="H103" s="7"/>
      <c r="I103" s="7"/>
    </row>
    <row r="104" spans="1:9" x14ac:dyDescent="0.2">
      <c r="A104" s="20"/>
      <c r="B104" s="7"/>
      <c r="C104" s="7"/>
      <c r="D104" s="7"/>
      <c r="E104" s="7"/>
      <c r="F104" s="7"/>
      <c r="G104" s="7"/>
      <c r="H104" s="7"/>
      <c r="I104" s="7"/>
    </row>
    <row r="105" spans="1:9" x14ac:dyDescent="0.2">
      <c r="A105" s="20"/>
      <c r="B105" s="7"/>
      <c r="C105" s="7"/>
      <c r="D105" s="7"/>
      <c r="E105" s="7"/>
      <c r="F105" s="7"/>
      <c r="G105" s="7"/>
      <c r="H105" s="7"/>
      <c r="I105" s="7"/>
    </row>
    <row r="106" spans="1:9" x14ac:dyDescent="0.2">
      <c r="A106" s="20"/>
      <c r="B106" s="7"/>
      <c r="C106" s="7"/>
      <c r="D106" s="7"/>
      <c r="E106" s="7"/>
      <c r="F106" s="7"/>
      <c r="G106" s="7"/>
      <c r="H106" s="7"/>
      <c r="I106" s="7"/>
    </row>
    <row r="107" spans="1:9" x14ac:dyDescent="0.2">
      <c r="A107" s="20"/>
      <c r="B107" s="7"/>
      <c r="C107" s="7"/>
      <c r="D107" s="7"/>
      <c r="E107" s="7"/>
      <c r="F107" s="7"/>
      <c r="G107" s="7"/>
      <c r="H107" s="7"/>
      <c r="I107" s="7"/>
    </row>
    <row r="108" spans="1:9" x14ac:dyDescent="0.2">
      <c r="A108" s="20"/>
      <c r="B108" s="7"/>
      <c r="C108" s="7"/>
      <c r="D108" s="7"/>
      <c r="E108" s="7"/>
      <c r="F108" s="7"/>
      <c r="G108" s="7"/>
      <c r="H108" s="7"/>
      <c r="I108" s="7"/>
    </row>
    <row r="109" spans="1:9" x14ac:dyDescent="0.2">
      <c r="A109" s="20"/>
      <c r="B109" s="7"/>
      <c r="C109" s="7"/>
      <c r="D109" s="7"/>
      <c r="E109" s="7"/>
      <c r="F109" s="7"/>
      <c r="G109" s="7"/>
      <c r="H109" s="7"/>
      <c r="I109" s="7"/>
    </row>
    <row r="110" spans="1:9" x14ac:dyDescent="0.2">
      <c r="A110" s="20"/>
      <c r="B110" s="7"/>
      <c r="C110" s="7"/>
      <c r="D110" s="7"/>
      <c r="E110" s="7"/>
      <c r="F110" s="7"/>
      <c r="G110" s="7"/>
      <c r="H110" s="7"/>
      <c r="I110" s="7"/>
    </row>
    <row r="111" spans="1:9" x14ac:dyDescent="0.2">
      <c r="A111" s="20"/>
      <c r="B111" s="7"/>
      <c r="C111" s="7"/>
      <c r="D111" s="7"/>
      <c r="E111" s="7"/>
      <c r="F111" s="7"/>
      <c r="G111" s="7"/>
      <c r="H111" s="7"/>
      <c r="I111" s="7"/>
    </row>
    <row r="112" spans="1:9" x14ac:dyDescent="0.2">
      <c r="A112" s="20"/>
      <c r="B112" s="7"/>
      <c r="C112" s="7"/>
      <c r="D112" s="7"/>
      <c r="E112" s="7"/>
      <c r="F112" s="7"/>
      <c r="G112" s="7"/>
      <c r="H112" s="7"/>
      <c r="I112" s="7"/>
    </row>
    <row r="113" spans="1:9" x14ac:dyDescent="0.2">
      <c r="A113" s="20"/>
      <c r="B113" s="7"/>
      <c r="C113" s="7"/>
      <c r="D113" s="7"/>
      <c r="E113" s="7"/>
      <c r="F113" s="7"/>
      <c r="G113" s="7"/>
      <c r="H113" s="7"/>
      <c r="I113" s="7"/>
    </row>
    <row r="114" spans="1:9" x14ac:dyDescent="0.2">
      <c r="A114" s="20"/>
      <c r="B114" s="7"/>
      <c r="C114" s="7"/>
      <c r="D114" s="7"/>
      <c r="E114" s="7"/>
      <c r="F114" s="7"/>
      <c r="G114" s="7"/>
      <c r="H114" s="7"/>
      <c r="I114" s="7"/>
    </row>
    <row r="115" spans="1:9" x14ac:dyDescent="0.2">
      <c r="A115" s="20"/>
      <c r="B115" s="7"/>
      <c r="C115" s="7"/>
      <c r="D115" s="7"/>
      <c r="E115" s="7"/>
      <c r="F115" s="7"/>
      <c r="G115" s="7"/>
      <c r="H115" s="7"/>
      <c r="I115" s="7"/>
    </row>
    <row r="116" spans="1:9" x14ac:dyDescent="0.2">
      <c r="A116" s="20"/>
      <c r="B116" s="7"/>
      <c r="C116" s="7"/>
      <c r="D116" s="7"/>
      <c r="E116" s="7"/>
      <c r="F116" s="7"/>
      <c r="G116" s="7"/>
      <c r="H116" s="7"/>
      <c r="I116" s="7"/>
    </row>
    <row r="117" spans="1:9" x14ac:dyDescent="0.2">
      <c r="A117" s="20"/>
      <c r="B117" s="7"/>
      <c r="C117" s="7"/>
      <c r="D117" s="7"/>
      <c r="E117" s="7"/>
      <c r="F117" s="7"/>
      <c r="G117" s="7"/>
      <c r="H117" s="7"/>
      <c r="I117" s="7"/>
    </row>
    <row r="118" spans="1:9" x14ac:dyDescent="0.2">
      <c r="A118" s="20"/>
      <c r="B118" s="7"/>
      <c r="C118" s="7"/>
      <c r="D118" s="7"/>
      <c r="E118" s="7"/>
      <c r="F118" s="7"/>
      <c r="G118" s="7"/>
      <c r="H118" s="7"/>
      <c r="I118" s="7"/>
    </row>
    <row r="119" spans="1:9" x14ac:dyDescent="0.2">
      <c r="A119" s="20"/>
      <c r="B119" s="7"/>
      <c r="C119" s="7"/>
      <c r="D119" s="7"/>
      <c r="E119" s="7"/>
      <c r="F119" s="7"/>
      <c r="G119" s="7"/>
      <c r="H119" s="7"/>
      <c r="I119" s="7"/>
    </row>
    <row r="120" spans="1:9" x14ac:dyDescent="0.2">
      <c r="A120" s="20"/>
      <c r="B120" s="7"/>
      <c r="C120" s="7"/>
      <c r="D120" s="7"/>
      <c r="E120" s="7"/>
      <c r="F120" s="7"/>
      <c r="G120" s="7"/>
      <c r="H120" s="7"/>
      <c r="I120" s="7"/>
    </row>
    <row r="121" spans="1:9" x14ac:dyDescent="0.2">
      <c r="A121" s="20"/>
      <c r="B121" s="7"/>
      <c r="C121" s="7"/>
      <c r="D121" s="7"/>
      <c r="E121" s="7"/>
      <c r="F121" s="7"/>
      <c r="G121" s="7"/>
      <c r="H121" s="7"/>
      <c r="I121" s="7"/>
    </row>
    <row r="122" spans="1:9" x14ac:dyDescent="0.2">
      <c r="A122" s="20"/>
      <c r="B122" s="7"/>
      <c r="C122" s="7"/>
      <c r="D122" s="7"/>
      <c r="E122" s="7"/>
      <c r="F122" s="7"/>
      <c r="G122" s="7"/>
      <c r="H122" s="7"/>
      <c r="I122" s="7"/>
    </row>
    <row r="123" spans="1:9" x14ac:dyDescent="0.2">
      <c r="A123" s="20"/>
      <c r="B123" s="7"/>
      <c r="C123" s="7"/>
      <c r="D123" s="7"/>
      <c r="E123" s="7"/>
      <c r="F123" s="7"/>
      <c r="G123" s="7"/>
      <c r="H123" s="7"/>
      <c r="I123" s="7"/>
    </row>
    <row r="124" spans="1:9" x14ac:dyDescent="0.2">
      <c r="A124" s="20"/>
      <c r="B124" s="7"/>
      <c r="C124" s="7"/>
      <c r="D124" s="7"/>
      <c r="E124" s="7"/>
      <c r="F124" s="7"/>
      <c r="G124" s="7"/>
      <c r="H124" s="7"/>
      <c r="I124" s="7"/>
    </row>
    <row r="125" spans="1:9" x14ac:dyDescent="0.2">
      <c r="A125" s="20"/>
      <c r="B125" s="7"/>
      <c r="C125" s="7"/>
      <c r="D125" s="7"/>
      <c r="E125" s="7"/>
      <c r="F125" s="7"/>
      <c r="G125" s="7"/>
      <c r="H125" s="7"/>
      <c r="I125" s="7"/>
    </row>
    <row r="126" spans="1:9" x14ac:dyDescent="0.2">
      <c r="A126" s="20"/>
      <c r="B126" s="7"/>
      <c r="C126" s="7"/>
      <c r="D126" s="7"/>
      <c r="E126" s="7"/>
      <c r="F126" s="7"/>
      <c r="G126" s="7"/>
      <c r="H126" s="7"/>
      <c r="I126" s="7"/>
    </row>
    <row r="127" spans="1:9" x14ac:dyDescent="0.2">
      <c r="A127" s="20"/>
      <c r="B127" s="7"/>
      <c r="C127" s="7"/>
      <c r="D127" s="7"/>
      <c r="E127" s="7"/>
      <c r="F127" s="7"/>
      <c r="G127" s="7"/>
      <c r="H127" s="7"/>
      <c r="I127" s="7"/>
    </row>
    <row r="128" spans="1:9" x14ac:dyDescent="0.2">
      <c r="A128" s="20"/>
      <c r="B128" s="7"/>
      <c r="C128" s="7"/>
      <c r="D128" s="7"/>
      <c r="E128" s="7"/>
      <c r="F128" s="7"/>
      <c r="G128" s="7"/>
      <c r="H128" s="7"/>
      <c r="I128" s="7"/>
    </row>
    <row r="129" spans="1:30" x14ac:dyDescent="0.2">
      <c r="A129" s="20"/>
      <c r="B129" s="7"/>
      <c r="C129" s="7"/>
      <c r="D129" s="7"/>
      <c r="E129" s="7"/>
      <c r="F129" s="7"/>
      <c r="G129" s="7"/>
      <c r="H129" s="7"/>
      <c r="I129" s="7"/>
    </row>
    <row r="130" spans="1:30" x14ac:dyDescent="0.2">
      <c r="A130" s="20"/>
      <c r="B130" s="7"/>
      <c r="C130" s="7"/>
      <c r="D130" s="7"/>
      <c r="E130" s="7"/>
      <c r="F130" s="7"/>
      <c r="G130" s="7"/>
      <c r="H130" s="7"/>
      <c r="I130" s="7"/>
    </row>
    <row r="131" spans="1:30" x14ac:dyDescent="0.2">
      <c r="A131" s="20"/>
      <c r="B131" s="7"/>
      <c r="C131" s="7"/>
      <c r="I131" s="7"/>
    </row>
    <row r="132" spans="1:30" ht="12.75" hidden="1" x14ac:dyDescent="0.2">
      <c r="B132" s="306" t="s">
        <v>329</v>
      </c>
      <c r="D132" s="156" t="s">
        <v>330</v>
      </c>
      <c r="E132" s="156" t="s">
        <v>6</v>
      </c>
      <c r="F132" s="156" t="s">
        <v>352</v>
      </c>
      <c r="G132" s="156" t="s">
        <v>353</v>
      </c>
      <c r="H132" s="156" t="s">
        <v>9</v>
      </c>
      <c r="I132" s="156" t="s">
        <v>354</v>
      </c>
      <c r="J132" s="156" t="s">
        <v>355</v>
      </c>
      <c r="K132" s="156" t="s">
        <v>356</v>
      </c>
      <c r="L132" s="156" t="s">
        <v>891</v>
      </c>
      <c r="M132" s="156" t="s">
        <v>357</v>
      </c>
      <c r="N132" s="156" t="s">
        <v>358</v>
      </c>
      <c r="O132" s="156" t="s">
        <v>359</v>
      </c>
      <c r="P132" s="156" t="s">
        <v>878</v>
      </c>
      <c r="Q132" s="156" t="s">
        <v>879</v>
      </c>
      <c r="R132" s="156" t="s">
        <v>360</v>
      </c>
      <c r="S132" s="156" t="s">
        <v>361</v>
      </c>
      <c r="T132" s="156" t="s">
        <v>363</v>
      </c>
      <c r="U132" s="156" t="s">
        <v>364</v>
      </c>
      <c r="V132" s="156" t="s">
        <v>362</v>
      </c>
      <c r="W132" s="156" t="s">
        <v>880</v>
      </c>
      <c r="X132" s="156" t="s">
        <v>367</v>
      </c>
      <c r="Y132" s="156" t="s">
        <v>365</v>
      </c>
      <c r="Z132" s="156" t="s">
        <v>1412</v>
      </c>
      <c r="AA132" s="156" t="s">
        <v>366</v>
      </c>
      <c r="AB132" s="156" t="s">
        <v>368</v>
      </c>
      <c r="AC132" s="156" t="s">
        <v>606</v>
      </c>
      <c r="AD132" s="156" t="s">
        <v>369</v>
      </c>
    </row>
    <row r="1000" spans="2:44" ht="22.5" hidden="1" x14ac:dyDescent="0.2">
      <c r="B1000" s="641" t="s">
        <v>1113</v>
      </c>
      <c r="D1000" s="642" t="s">
        <v>1114</v>
      </c>
      <c r="E1000" s="642" t="s">
        <v>1115</v>
      </c>
      <c r="F1000" s="642" t="s">
        <v>1142</v>
      </c>
      <c r="G1000" s="642" t="s">
        <v>1143</v>
      </c>
      <c r="H1000" s="642" t="s">
        <v>1144</v>
      </c>
      <c r="I1000" s="642" t="s">
        <v>1145</v>
      </c>
      <c r="J1000" s="642" t="s">
        <v>1146</v>
      </c>
      <c r="K1000" s="642" t="s">
        <v>1147</v>
      </c>
      <c r="L1000" s="642" t="s">
        <v>1148</v>
      </c>
      <c r="M1000" s="642" t="s">
        <v>1149</v>
      </c>
      <c r="N1000" s="642" t="s">
        <v>1150</v>
      </c>
      <c r="O1000" s="642" t="s">
        <v>1151</v>
      </c>
      <c r="P1000" s="642" t="s">
        <v>1152</v>
      </c>
      <c r="Q1000" s="642" t="s">
        <v>1153</v>
      </c>
      <c r="R1000" s="642" t="s">
        <v>1154</v>
      </c>
      <c r="S1000" s="642" t="s">
        <v>1155</v>
      </c>
      <c r="T1000" s="642" t="s">
        <v>1156</v>
      </c>
      <c r="U1000" s="642" t="s">
        <v>1157</v>
      </c>
      <c r="V1000" s="642" t="s">
        <v>1158</v>
      </c>
      <c r="W1000" s="642" t="s">
        <v>1159</v>
      </c>
      <c r="X1000" s="642" t="s">
        <v>1160</v>
      </c>
      <c r="Y1000" s="642" t="s">
        <v>1161</v>
      </c>
      <c r="Z1000" s="642" t="s">
        <v>1414</v>
      </c>
      <c r="AA1000" s="642" t="s">
        <v>1162</v>
      </c>
      <c r="AB1000" s="642" t="s">
        <v>1163</v>
      </c>
      <c r="AC1000" s="642" t="s">
        <v>1406</v>
      </c>
      <c r="AD1000" s="642" t="s">
        <v>1178</v>
      </c>
      <c r="AG1000" s="211"/>
      <c r="AH1000" s="211"/>
      <c r="AI1000" s="211"/>
      <c r="AJ1000" s="211"/>
      <c r="AK1000" s="211"/>
      <c r="AL1000" s="211"/>
      <c r="AM1000" s="211"/>
      <c r="AN1000" s="211"/>
      <c r="AO1000" s="211"/>
      <c r="AP1000" s="211"/>
      <c r="AQ1000" s="211"/>
      <c r="AR1000" s="211"/>
    </row>
  </sheetData>
  <sheetProtection algorithmName="SHA-512" hashValue="Dk5aa09tE3RNxcGJEcV4/K4xLF8jxZDujlC6RHR4B3ZKKIsuRCyDc8LVbKqopmppomU1SAX12f8mcnzZUTmP6g==" saltValue="EDc6sTlX4E2sLNLyMEAlmQ==" spinCount="100000" sheet="1" objects="1" scenarios="1"/>
  <mergeCells count="28">
    <mergeCell ref="I5:I6"/>
    <mergeCell ref="G5:G6"/>
    <mergeCell ref="V30:W30"/>
    <mergeCell ref="W31:X31"/>
    <mergeCell ref="AA31:AC31"/>
    <mergeCell ref="Y30:AB30"/>
    <mergeCell ref="S31:U31"/>
    <mergeCell ref="L29:M29"/>
    <mergeCell ref="K30:L30"/>
    <mergeCell ref="P30:Q30"/>
    <mergeCell ref="Q29:R29"/>
    <mergeCell ref="T30:U30"/>
    <mergeCell ref="B36:G36"/>
    <mergeCell ref="AF5:AF6"/>
    <mergeCell ref="J5:J6"/>
    <mergeCell ref="O5:O6"/>
    <mergeCell ref="U5:U6"/>
    <mergeCell ref="X5:X6"/>
    <mergeCell ref="AD5:AD6"/>
    <mergeCell ref="M5:M6"/>
    <mergeCell ref="N5:N6"/>
    <mergeCell ref="R5:R6"/>
    <mergeCell ref="AB5:AB6"/>
    <mergeCell ref="AC5:AC6"/>
    <mergeCell ref="D5:D6"/>
    <mergeCell ref="E5:E6"/>
    <mergeCell ref="F5:F6"/>
    <mergeCell ref="H5:H6"/>
  </mergeCells>
  <phoneticPr fontId="44" type="noConversion"/>
  <conditionalFormatting sqref="D18:AD18 D8:AD14 D16:AD16 D20:AD27">
    <cfRule type="cellIs" dxfId="1159" priority="14" stopIfTrue="1" operator="lessThan">
      <formula>0</formula>
    </cfRule>
  </conditionalFormatting>
  <conditionalFormatting sqref="D9:E14 F12:F13 D17:F17 D23:G24 D21:L21 R21:AC21 D26:E26 D27:AC27 I23:S24 X23:AC24 T23:W23 H24 D16:E16">
    <cfRule type="cellIs" dxfId="1158" priority="13" stopIfTrue="1" operator="notEqual">
      <formula>0</formula>
    </cfRule>
  </conditionalFormatting>
  <conditionalFormatting sqref="D19:E19">
    <cfRule type="cellIs" dxfId="1157" priority="23" stopIfTrue="1" operator="notEqual">
      <formula>0</formula>
    </cfRule>
  </conditionalFormatting>
  <conditionalFormatting sqref="AD27">
    <cfRule type="cellIs" dxfId="1156" priority="12" stopIfTrue="1" operator="notEqual">
      <formula>$AD$20-$AD$26</formula>
    </cfRule>
  </conditionalFormatting>
  <conditionalFormatting sqref="AD8 AD15 AD18:AD20 AD22 AD25">
    <cfRule type="cellIs" dxfId="1155" priority="11" stopIfTrue="1" operator="notEqual">
      <formula>ROUND(SUM(D8:J8,M8:O8,R8,U8,X8,AB8:AC8),3)</formula>
    </cfRule>
  </conditionalFormatting>
  <conditionalFormatting sqref="U8:U20 U22 U24:U26">
    <cfRule type="expression" dxfId="1154" priority="21" stopIfTrue="1">
      <formula>OR(AND(OR(S8&lt;&gt;0,T8&lt;&gt;0),U8&lt;&gt;S8+T8),AND(OR(V8&lt;&gt;0,W8&lt;&gt;0),U8&lt;&gt;V8+W8))</formula>
    </cfRule>
    <cfRule type="expression" dxfId="1153" priority="22" stopIfTrue="1">
      <formula>OR(AND(S8+T8=0,U8&lt;&gt;0),AND(V8+W8=0,U8&lt;&gt;0))</formula>
    </cfRule>
  </conditionalFormatting>
  <conditionalFormatting sqref="X8:X20 X22 X25:X26">
    <cfRule type="expression" dxfId="1152" priority="19" stopIfTrue="1">
      <formula>AND(Y8+AA8=0,X8&lt;&gt;0)</formula>
    </cfRule>
    <cfRule type="cellIs" dxfId="1151" priority="20" stopIfTrue="1" operator="notEqual">
      <formula>Y8+AA8</formula>
    </cfRule>
  </conditionalFormatting>
  <conditionalFormatting sqref="O8:O22 O25:O26">
    <cfRule type="expression" dxfId="1150" priority="17" stopIfTrue="1">
      <formula>AND(P8+Q8=0,O8&lt;&gt;0)</formula>
    </cfRule>
    <cfRule type="cellIs" dxfId="1149" priority="18" stopIfTrue="1" operator="notEqual">
      <formula>P8+Q8</formula>
    </cfRule>
  </conditionalFormatting>
  <conditionalFormatting sqref="J8:J20 J22 J25:J26">
    <cfRule type="expression" dxfId="1148" priority="15" stopIfTrue="1">
      <formula>AND(K8+L8=0,J8&lt;&gt;0)</formula>
    </cfRule>
    <cfRule type="cellIs" dxfId="1147" priority="16" stopIfTrue="1" operator="notEqual">
      <formula>K8+L8</formula>
    </cfRule>
  </conditionalFormatting>
  <conditionalFormatting sqref="G18:AC18">
    <cfRule type="cellIs" dxfId="1146" priority="9" stopIfTrue="1" operator="notEqual">
      <formula>ROUND(SUM(G8:G10,G12,G15)-SUM(G11,G13:G14,G16:G17),3)</formula>
    </cfRule>
  </conditionalFormatting>
  <conditionalFormatting sqref="D19:AC19">
    <cfRule type="cellIs" dxfId="1145" priority="10" stopIfTrue="1" operator="notEqual">
      <formula>ROUND(D18-D20,3)</formula>
    </cfRule>
  </conditionalFormatting>
  <conditionalFormatting sqref="I32:I37 I39:I44">
    <cfRule type="cellIs" dxfId="1144" priority="24" stopIfTrue="1" operator="notEqual">
      <formula>"OK"</formula>
    </cfRule>
  </conditionalFormatting>
  <conditionalFormatting sqref="D18">
    <cfRule type="cellIs" dxfId="1143" priority="8" stopIfTrue="1" operator="notEqual">
      <formula>ROUND(D8+D15,3)</formula>
    </cfRule>
  </conditionalFormatting>
  <conditionalFormatting sqref="F18">
    <cfRule type="cellIs" dxfId="1142" priority="7" stopIfTrue="1" operator="notEqual">
      <formula>ROUND(SUM(F8:F10,F15)-SUM(F11,F14,F16),3)</formula>
    </cfRule>
  </conditionalFormatting>
  <conditionalFormatting sqref="AD9:AD11 AD14 AD16 AD26">
    <cfRule type="cellIs" dxfId="1141" priority="6" stopIfTrue="1" operator="notEqual">
      <formula>SUM(E9:J9,M9:O9,R9,U9,X9,AB9:AC9)</formula>
    </cfRule>
  </conditionalFormatting>
  <conditionalFormatting sqref="AD12:AD13 AD17">
    <cfRule type="cellIs" dxfId="1140" priority="5" stopIfTrue="1" operator="notEqual">
      <formula>SUM(F12:J12,M12:O12,R12,U12,X12,AB12:AC12)</formula>
    </cfRule>
  </conditionalFormatting>
  <conditionalFormatting sqref="AD21">
    <cfRule type="cellIs" dxfId="1139" priority="4" stopIfTrue="1" operator="notEqual">
      <formula>SUM(M21:O21)</formula>
    </cfRule>
  </conditionalFormatting>
  <conditionalFormatting sqref="AD23">
    <cfRule type="cellIs" dxfId="1138" priority="3" stopIfTrue="1" operator="notEqual">
      <formula>H23</formula>
    </cfRule>
  </conditionalFormatting>
  <conditionalFormatting sqref="AD24">
    <cfRule type="cellIs" dxfId="1137" priority="2" stopIfTrue="1" operator="notEqual">
      <formula>U24</formula>
    </cfRule>
  </conditionalFormatting>
  <conditionalFormatting sqref="E18">
    <cfRule type="cellIs" dxfId="1136" priority="1" stopIfTrue="1" operator="notEqual">
      <formula>ROUND(E8+E15-E16,3)</formula>
    </cfRule>
  </conditionalFormatting>
  <dataValidations count="1">
    <dataValidation type="decimal" operator="greaterThanOrEqual" allowBlank="1" showErrorMessage="1" errorTitle="Input error" error="Numbers only!" sqref="D22:AC22 T24:W24 H23 D18:AD20 AD21:AD27 M21:Q21 D8:AD8 F9:AD11 G12:AD13 F14:AD14 D15:AD15 E16:AD16 G17:AD17 D25:AC25 F26:AC26" xr:uid="{00000000-0002-0000-0200-000000000000}">
      <formula1>-10000000</formula1>
    </dataValidation>
  </dataValidations>
  <printOptions horizontalCentered="1"/>
  <pageMargins left="0.39370078740157483" right="0.39370078740157483" top="0.78740157480314965" bottom="0.78740157480314965" header="0.39370078740157483" footer="0.39370078740157483"/>
  <pageSetup paperSize="9" scale="42" firstPageNumber="2" orientation="landscape" r:id="rId1"/>
  <headerFooter alignWithMargins="0">
    <oddHeader>&amp;A</oddHeader>
    <oddFooter>Page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04">
    <pageSetUpPr fitToPage="1"/>
  </sheetPr>
  <dimension ref="A1:EE1000"/>
  <sheetViews>
    <sheetView zoomScaleNormal="100" workbookViewId="0">
      <pane xSplit="2" ySplit="7" topLeftCell="C8" activePane="bottomRight" state="frozen"/>
      <selection activeCell="ED11" sqref="ED11"/>
      <selection pane="topRight" activeCell="ED11" sqref="ED11"/>
      <selection pane="bottomLeft" activeCell="ED11" sqref="ED11"/>
      <selection pane="bottomRight" activeCell="C8" sqref="C8"/>
    </sheetView>
  </sheetViews>
  <sheetFormatPr defaultColWidth="9.140625" defaultRowHeight="12.75" x14ac:dyDescent="0.2"/>
  <cols>
    <col min="1" max="1" width="31.28515625" style="2" customWidth="1"/>
    <col min="2" max="2" width="3.7109375" style="2" customWidth="1"/>
    <col min="3" max="33" width="9.28515625" style="2" customWidth="1"/>
    <col min="34" max="34" width="3.5703125" style="2" customWidth="1"/>
    <col min="35" max="35" width="76.140625" style="2" bestFit="1" customWidth="1"/>
    <col min="36" max="36" width="3.7109375" style="2" customWidth="1"/>
    <col min="37" max="38" width="13.42578125" style="141" customWidth="1"/>
    <col min="39" max="44" width="9.140625" style="2"/>
    <col min="45" max="45" width="4.140625" style="2" hidden="1" customWidth="1"/>
    <col min="46" max="46" width="13.42578125" style="2" hidden="1" customWidth="1"/>
    <col min="47" max="122" width="9.140625" style="2"/>
    <col min="123" max="135" width="9.140625" style="2" hidden="1" customWidth="1"/>
    <col min="136" max="16384" width="9.140625" style="2"/>
  </cols>
  <sheetData>
    <row r="1" spans="1:135" ht="12.75" customHeight="1" x14ac:dyDescent="0.2">
      <c r="A1" s="1" t="s">
        <v>611</v>
      </c>
      <c r="B1" s="1"/>
      <c r="C1" s="1"/>
      <c r="AT1" s="141"/>
    </row>
    <row r="2" spans="1:135" x14ac:dyDescent="0.2">
      <c r="A2" s="24" t="str">
        <f>IF('Table 1'!D2=0,"",'Table 1'!D2)</f>
        <v>Netherlands</v>
      </c>
      <c r="B2" s="24"/>
      <c r="AT2" s="141"/>
    </row>
    <row r="3" spans="1:135" ht="12.75" customHeight="1" x14ac:dyDescent="0.2">
      <c r="A3" s="24" t="str">
        <f>IF('Table 1'!D3=0,"",'Table 1'!D3 &amp; " " &amp; QuestYear)</f>
        <v>September 2026</v>
      </c>
      <c r="B3" s="24"/>
      <c r="C3" s="26"/>
      <c r="D3" s="26"/>
      <c r="E3" s="26"/>
      <c r="F3" s="26"/>
      <c r="G3" s="26"/>
      <c r="H3" s="26"/>
      <c r="I3" s="26"/>
      <c r="J3" s="26"/>
      <c r="K3" s="26"/>
      <c r="L3" s="26"/>
      <c r="M3" s="26"/>
      <c r="N3" s="26"/>
      <c r="O3" s="26"/>
      <c r="P3" s="26"/>
      <c r="Q3" s="26"/>
      <c r="R3" s="26"/>
      <c r="S3" s="26"/>
      <c r="T3" s="26"/>
      <c r="U3" s="26"/>
      <c r="V3" s="26"/>
      <c r="W3" s="26"/>
      <c r="AS3" s="141"/>
      <c r="AT3" s="303" t="s">
        <v>351</v>
      </c>
    </row>
    <row r="4" spans="1:135" ht="13.5" thickBot="1" x14ac:dyDescent="0.25">
      <c r="A4" s="28" t="s">
        <v>179</v>
      </c>
      <c r="B4" s="28"/>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25" t="s">
        <v>108</v>
      </c>
      <c r="AS4" s="141"/>
      <c r="AT4" s="338" t="s">
        <v>552</v>
      </c>
    </row>
    <row r="5" spans="1:135" ht="12.75" customHeight="1" x14ac:dyDescent="0.2">
      <c r="A5" s="745"/>
      <c r="B5" s="739"/>
      <c r="C5" s="1143" t="s">
        <v>656</v>
      </c>
      <c r="D5" s="1143" t="s">
        <v>657</v>
      </c>
      <c r="E5" s="1143" t="s">
        <v>647</v>
      </c>
      <c r="F5" s="1137" t="s">
        <v>666</v>
      </c>
      <c r="G5" s="1137" t="s">
        <v>885</v>
      </c>
      <c r="H5" s="1147" t="s">
        <v>886</v>
      </c>
      <c r="I5" s="1135" t="s">
        <v>8</v>
      </c>
      <c r="J5" s="1143" t="s">
        <v>9</v>
      </c>
      <c r="K5" s="1137" t="s">
        <v>10</v>
      </c>
      <c r="L5" s="1134" t="s">
        <v>659</v>
      </c>
      <c r="M5" s="740"/>
      <c r="N5" s="741"/>
      <c r="O5" s="1135" t="s">
        <v>660</v>
      </c>
      <c r="P5" s="1143" t="s">
        <v>661</v>
      </c>
      <c r="Q5" s="1146" t="s">
        <v>668</v>
      </c>
      <c r="R5" s="742"/>
      <c r="S5" s="743"/>
      <c r="T5" s="1141" t="s">
        <v>664</v>
      </c>
      <c r="U5" s="744"/>
      <c r="V5" s="741"/>
      <c r="W5" s="1142" t="s">
        <v>670</v>
      </c>
      <c r="X5" s="741"/>
      <c r="Y5" s="741"/>
      <c r="Z5" s="1134" t="s">
        <v>628</v>
      </c>
      <c r="AA5" s="741"/>
      <c r="AB5" s="741"/>
      <c r="AC5" s="741"/>
      <c r="AD5" s="1135" t="s">
        <v>629</v>
      </c>
      <c r="AE5" s="1137" t="s">
        <v>630</v>
      </c>
      <c r="AF5" s="1136" t="s">
        <v>631</v>
      </c>
      <c r="AG5" s="1144" t="s">
        <v>679</v>
      </c>
      <c r="AI5" s="1139" t="s">
        <v>350</v>
      </c>
      <c r="AS5" s="141"/>
      <c r="AT5" s="1"/>
    </row>
    <row r="6" spans="1:135" s="27" customFormat="1" ht="56.25" x14ac:dyDescent="0.25">
      <c r="A6" s="746"/>
      <c r="B6" s="171"/>
      <c r="C6" s="1125"/>
      <c r="D6" s="1125"/>
      <c r="E6" s="1125"/>
      <c r="F6" s="1125"/>
      <c r="G6" s="1138"/>
      <c r="H6" s="1148"/>
      <c r="I6" s="1123"/>
      <c r="J6" s="1125"/>
      <c r="K6" s="1138"/>
      <c r="L6" s="1115"/>
      <c r="M6" s="184" t="s">
        <v>623</v>
      </c>
      <c r="N6" s="195" t="s">
        <v>626</v>
      </c>
      <c r="O6" s="1123"/>
      <c r="P6" s="1125"/>
      <c r="Q6" s="1117"/>
      <c r="R6" s="186" t="s">
        <v>662</v>
      </c>
      <c r="S6" s="187" t="s">
        <v>663</v>
      </c>
      <c r="T6" s="1127"/>
      <c r="U6" s="188" t="s">
        <v>627</v>
      </c>
      <c r="V6" s="189" t="s">
        <v>669</v>
      </c>
      <c r="W6" s="1119"/>
      <c r="X6" s="184" t="s">
        <v>624</v>
      </c>
      <c r="Y6" s="196" t="s">
        <v>671</v>
      </c>
      <c r="Z6" s="1115"/>
      <c r="AA6" s="187" t="s">
        <v>674</v>
      </c>
      <c r="AB6" s="186" t="s">
        <v>1411</v>
      </c>
      <c r="AC6" s="196" t="s">
        <v>872</v>
      </c>
      <c r="AD6" s="1123"/>
      <c r="AE6" s="1138"/>
      <c r="AF6" s="1121"/>
      <c r="AG6" s="1145"/>
      <c r="AI6" s="1140"/>
      <c r="AS6" s="1"/>
      <c r="AT6" s="1"/>
      <c r="DS6" s="652" t="s">
        <v>1121</v>
      </c>
      <c r="DT6" s="644"/>
      <c r="DU6" s="653"/>
      <c r="DV6" s="653"/>
      <c r="DW6" s="653"/>
      <c r="DX6" s="653"/>
      <c r="DY6" s="653"/>
      <c r="DZ6" s="653"/>
      <c r="EA6" s="653"/>
      <c r="EB6" s="653"/>
      <c r="EC6" s="653"/>
      <c r="ED6" s="653"/>
    </row>
    <row r="7" spans="1:135" s="27" customFormat="1" ht="12.75" customHeight="1" x14ac:dyDescent="0.2">
      <c r="A7" s="747"/>
      <c r="B7" s="77"/>
      <c r="C7" s="87" t="s">
        <v>152</v>
      </c>
      <c r="D7" s="86" t="s">
        <v>153</v>
      </c>
      <c r="E7" s="86" t="s">
        <v>154</v>
      </c>
      <c r="F7" s="86" t="s">
        <v>155</v>
      </c>
      <c r="G7" s="86" t="s">
        <v>156</v>
      </c>
      <c r="H7" s="93" t="s">
        <v>157</v>
      </c>
      <c r="I7" s="87" t="s">
        <v>158</v>
      </c>
      <c r="J7" s="87" t="s">
        <v>159</v>
      </c>
      <c r="K7" s="96" t="s">
        <v>160</v>
      </c>
      <c r="L7" s="179" t="s">
        <v>161</v>
      </c>
      <c r="M7" s="86" t="s">
        <v>162</v>
      </c>
      <c r="N7" s="89" t="s">
        <v>163</v>
      </c>
      <c r="O7" s="95" t="s">
        <v>164</v>
      </c>
      <c r="P7" s="177" t="s">
        <v>165</v>
      </c>
      <c r="Q7" s="180" t="s">
        <v>166</v>
      </c>
      <c r="R7" s="86" t="s">
        <v>167</v>
      </c>
      <c r="S7" s="86" t="s">
        <v>168</v>
      </c>
      <c r="T7" s="94" t="s">
        <v>169</v>
      </c>
      <c r="U7" s="87" t="s">
        <v>170</v>
      </c>
      <c r="V7" s="101" t="s">
        <v>171</v>
      </c>
      <c r="W7" s="176" t="s">
        <v>172</v>
      </c>
      <c r="X7" s="177" t="s">
        <v>173</v>
      </c>
      <c r="Y7" s="89" t="s">
        <v>174</v>
      </c>
      <c r="Z7" s="179" t="s">
        <v>175</v>
      </c>
      <c r="AA7" s="177" t="s">
        <v>176</v>
      </c>
      <c r="AB7" s="177" t="s">
        <v>177</v>
      </c>
      <c r="AC7" s="89" t="s">
        <v>181</v>
      </c>
      <c r="AD7" s="178" t="s">
        <v>417</v>
      </c>
      <c r="AE7" s="89" t="s">
        <v>672</v>
      </c>
      <c r="AF7" s="90" t="s">
        <v>678</v>
      </c>
      <c r="AG7" s="738" t="s">
        <v>499</v>
      </c>
      <c r="AI7" s="90" t="s">
        <v>680</v>
      </c>
      <c r="AS7" s="142" t="s">
        <v>553</v>
      </c>
      <c r="AT7" s="142"/>
      <c r="DS7" s="654" t="s">
        <v>1122</v>
      </c>
      <c r="DT7" s="654" t="s">
        <v>1113</v>
      </c>
      <c r="DU7" s="654" t="s">
        <v>1123</v>
      </c>
      <c r="DV7" s="654" t="s">
        <v>1124</v>
      </c>
      <c r="DW7" s="654" t="s">
        <v>1125</v>
      </c>
      <c r="DX7" s="654" t="s">
        <v>1126</v>
      </c>
      <c r="DY7" s="654" t="s">
        <v>415</v>
      </c>
      <c r="DZ7" s="654" t="s">
        <v>1127</v>
      </c>
      <c r="EA7" s="654" t="s">
        <v>1128</v>
      </c>
      <c r="EB7" s="654" t="s">
        <v>1129</v>
      </c>
      <c r="EC7" s="654" t="s">
        <v>1130</v>
      </c>
      <c r="ED7" s="654" t="s">
        <v>1131</v>
      </c>
      <c r="EE7" s="654" t="s">
        <v>1244</v>
      </c>
    </row>
    <row r="8" spans="1:135" x14ac:dyDescent="0.2">
      <c r="A8" s="748" t="s">
        <v>930</v>
      </c>
      <c r="B8" s="145">
        <v>1</v>
      </c>
      <c r="C8" s="770">
        <v>0</v>
      </c>
      <c r="D8" s="770">
        <v>0</v>
      </c>
      <c r="E8" s="770">
        <v>0</v>
      </c>
      <c r="F8" s="770">
        <v>0</v>
      </c>
      <c r="G8" s="770">
        <v>0</v>
      </c>
      <c r="H8" s="786">
        <f t="shared" ref="H8:H40" si="0">ROUND(SUM(C8:G8),3)</f>
        <v>0</v>
      </c>
      <c r="I8" s="776">
        <v>0</v>
      </c>
      <c r="J8" s="776">
        <v>0</v>
      </c>
      <c r="K8" s="801">
        <v>0</v>
      </c>
      <c r="L8" s="802">
        <v>0</v>
      </c>
      <c r="M8" s="803">
        <v>0</v>
      </c>
      <c r="N8" s="778">
        <v>0</v>
      </c>
      <c r="O8" s="782">
        <v>0</v>
      </c>
      <c r="P8" s="803">
        <v>0</v>
      </c>
      <c r="Q8" s="781">
        <v>0</v>
      </c>
      <c r="R8" s="803">
        <v>0</v>
      </c>
      <c r="S8" s="778">
        <v>0</v>
      </c>
      <c r="T8" s="778">
        <v>0</v>
      </c>
      <c r="U8" s="804">
        <v>0</v>
      </c>
      <c r="V8" s="772">
        <v>0</v>
      </c>
      <c r="W8" s="783">
        <v>0</v>
      </c>
      <c r="X8" s="803">
        <v>0</v>
      </c>
      <c r="Y8" s="778">
        <v>0</v>
      </c>
      <c r="Z8" s="802">
        <v>0</v>
      </c>
      <c r="AA8" s="803">
        <v>0</v>
      </c>
      <c r="AB8" s="803">
        <v>0</v>
      </c>
      <c r="AC8" s="778">
        <v>0</v>
      </c>
      <c r="AD8" s="782">
        <v>0</v>
      </c>
      <c r="AE8" s="803">
        <v>0</v>
      </c>
      <c r="AF8" s="771">
        <f t="shared" ref="AF8:AF71" si="1">ROUND(SUM(I8:L8,O8:Q8,T8,W8,Z8,AD8:AE8),3)</f>
        <v>0</v>
      </c>
      <c r="AG8" s="805">
        <f t="shared" ref="AG8:AG71" si="2">ROUND(SUM(H8,AF8),3)</f>
        <v>0</v>
      </c>
      <c r="AH8" s="1084">
        <f>IF(ROUND(H8-SUM(C8:G8),3)=0,0,1)+IF(ROUND(AF8-SUM(I8:L8,O8:Q8,T8,W8,Z8,AD8:AE8),3)=0,0,1)+IF(ROUND(AG8-SUM(AF8,H8),3)=0,0,1)</f>
        <v>0</v>
      </c>
      <c r="AI8" s="132" t="str">
        <f>IF(AH8=0," ",IF(AH8=1,"A total is not equal to the sum of its components: ",AH8&amp;" totals are not equal to the sum of their components: "))&amp;IF(AH8=0,"",IF(H8-SUM(C8:G8)=0,"","Total (column F). ")&amp;IF(AF8-SUM(I8:L8,O8:Q8,T8,W8,Z8,AD8:AE8)=0,"","Total products. ")&amp;IF(AG8-SUM(AF8,H8)=0,"","Total oil."))</f>
        <v xml:space="preserve"> </v>
      </c>
      <c r="AS8" s="130" t="s">
        <v>932</v>
      </c>
      <c r="AT8" s="130" t="s">
        <v>931</v>
      </c>
      <c r="DS8" s="647" t="str">
        <f>VLOOKUP(CountryUser, Param!$C$9:$E$67, 3, 0)</f>
        <v>NL</v>
      </c>
      <c r="DT8" s="647" t="s">
        <v>1132</v>
      </c>
      <c r="DU8" s="647" t="s">
        <v>552</v>
      </c>
      <c r="DV8" s="647" t="s">
        <v>1134</v>
      </c>
      <c r="DW8" s="647" t="s">
        <v>1134</v>
      </c>
      <c r="DX8" s="647" t="s">
        <v>1134</v>
      </c>
      <c r="DY8" s="647" t="s">
        <v>1134</v>
      </c>
      <c r="DZ8" s="647" t="s">
        <v>1134</v>
      </c>
      <c r="EA8" s="647" t="s">
        <v>932</v>
      </c>
      <c r="EB8" s="647" t="s">
        <v>1135</v>
      </c>
      <c r="EC8" s="647" t="s">
        <v>1134</v>
      </c>
      <c r="ED8" s="647" t="s">
        <v>1136</v>
      </c>
      <c r="EE8" s="647" t="str">
        <f>QuestYear&amp;"-"&amp;TEXT(MATCH(FirstMonth, Param!C71:C82,0), "00")</f>
        <v>2026-09</v>
      </c>
    </row>
    <row r="9" spans="1:135" x14ac:dyDescent="0.2">
      <c r="A9" s="748" t="s">
        <v>12</v>
      </c>
      <c r="B9" s="145">
        <v>2</v>
      </c>
      <c r="C9" s="770">
        <v>0</v>
      </c>
      <c r="D9" s="770">
        <v>0</v>
      </c>
      <c r="E9" s="770">
        <v>0</v>
      </c>
      <c r="F9" s="770">
        <v>0</v>
      </c>
      <c r="G9" s="770">
        <v>0</v>
      </c>
      <c r="H9" s="786">
        <f t="shared" si="0"/>
        <v>0</v>
      </c>
      <c r="I9" s="776">
        <v>0</v>
      </c>
      <c r="J9" s="776">
        <v>24.297999999999998</v>
      </c>
      <c r="K9" s="801">
        <v>13.115</v>
      </c>
      <c r="L9" s="802">
        <v>3.702</v>
      </c>
      <c r="M9" s="803">
        <v>0</v>
      </c>
      <c r="N9" s="778">
        <v>3.702</v>
      </c>
      <c r="O9" s="782">
        <v>0</v>
      </c>
      <c r="P9" s="803">
        <v>0</v>
      </c>
      <c r="Q9" s="781">
        <v>0</v>
      </c>
      <c r="R9" s="803">
        <v>0</v>
      </c>
      <c r="S9" s="778">
        <v>0</v>
      </c>
      <c r="T9" s="778">
        <v>0</v>
      </c>
      <c r="U9" s="804">
        <v>0</v>
      </c>
      <c r="V9" s="772">
        <v>0</v>
      </c>
      <c r="W9" s="783">
        <v>0</v>
      </c>
      <c r="X9" s="803">
        <v>0</v>
      </c>
      <c r="Y9" s="778">
        <v>0</v>
      </c>
      <c r="Z9" s="802">
        <v>0</v>
      </c>
      <c r="AA9" s="803">
        <v>0</v>
      </c>
      <c r="AB9" s="803">
        <v>0</v>
      </c>
      <c r="AC9" s="778">
        <v>0</v>
      </c>
      <c r="AD9" s="782">
        <v>0</v>
      </c>
      <c r="AE9" s="803">
        <v>0</v>
      </c>
      <c r="AF9" s="771">
        <f t="shared" si="1"/>
        <v>41.115000000000002</v>
      </c>
      <c r="AG9" s="805">
        <f t="shared" si="2"/>
        <v>41.115000000000002</v>
      </c>
      <c r="AH9" s="1084">
        <f t="shared" ref="AH9:AH74" si="3">IF(ROUND(H9-SUM(C9:G9),3)=0,0,1)+IF(ROUND(AF9-SUM(I9:L9,O9:Q9,T9,W9,Z9,AD9:AE9),3)=0,0,1)+IF(ROUND(AG9-SUM(AF9,H9),3)=0,0,1)</f>
        <v>0</v>
      </c>
      <c r="AI9" s="132" t="str">
        <f t="shared" ref="AI9:AI74" si="4">IF(AH9=0," ",IF(AH9=1,"A total is not equal to the sum of its components: ",AH9&amp;" totals are not equal to the sum of their components: "))&amp;IF(AH9=0,"",IF(H9-SUM(C9:G9)=0,"","Total (column F). ")&amp;IF(AF9-SUM(I9:L9,O9:Q9,T9,W9,Z9,AD9:AE9)=0,"","Total products. ")&amp;IF(AG9-SUM(AF9,H9)=0,"","Total oil."))</f>
        <v xml:space="preserve"> </v>
      </c>
      <c r="AS9" s="139" t="s">
        <v>419</v>
      </c>
      <c r="AT9" s="139" t="s">
        <v>420</v>
      </c>
      <c r="DS9" s="304"/>
      <c r="DT9" s="304"/>
      <c r="DU9" s="647" t="s">
        <v>552</v>
      </c>
      <c r="DV9" s="647" t="s">
        <v>1134</v>
      </c>
      <c r="DW9" s="647" t="s">
        <v>1134</v>
      </c>
      <c r="DX9" s="647" t="s">
        <v>1134</v>
      </c>
      <c r="DY9" s="647" t="s">
        <v>1134</v>
      </c>
      <c r="DZ9" s="647" t="s">
        <v>1134</v>
      </c>
      <c r="EA9" s="647" t="s">
        <v>419</v>
      </c>
      <c r="EB9" s="647" t="s">
        <v>1135</v>
      </c>
      <c r="EC9" s="647" t="s">
        <v>1134</v>
      </c>
      <c r="ED9" s="647" t="s">
        <v>1136</v>
      </c>
    </row>
    <row r="10" spans="1:135" ht="12.75" customHeight="1" x14ac:dyDescent="0.2">
      <c r="A10" s="749" t="s">
        <v>953</v>
      </c>
      <c r="B10" s="146">
        <v>3</v>
      </c>
      <c r="C10" s="770">
        <v>0</v>
      </c>
      <c r="D10" s="770">
        <v>0</v>
      </c>
      <c r="E10" s="770">
        <v>0</v>
      </c>
      <c r="F10" s="770">
        <v>0</v>
      </c>
      <c r="G10" s="770">
        <v>0</v>
      </c>
      <c r="H10" s="786">
        <f t="shared" si="0"/>
        <v>0</v>
      </c>
      <c r="I10" s="776">
        <v>0</v>
      </c>
      <c r="J10" s="776">
        <v>0</v>
      </c>
      <c r="K10" s="801">
        <v>0</v>
      </c>
      <c r="L10" s="802">
        <v>0</v>
      </c>
      <c r="M10" s="803">
        <v>0</v>
      </c>
      <c r="N10" s="778">
        <v>0</v>
      </c>
      <c r="O10" s="782">
        <v>0</v>
      </c>
      <c r="P10" s="803">
        <v>0</v>
      </c>
      <c r="Q10" s="781">
        <v>0</v>
      </c>
      <c r="R10" s="803">
        <v>0</v>
      </c>
      <c r="S10" s="778">
        <v>0</v>
      </c>
      <c r="T10" s="778">
        <v>0</v>
      </c>
      <c r="U10" s="804">
        <v>0</v>
      </c>
      <c r="V10" s="772">
        <v>0</v>
      </c>
      <c r="W10" s="783">
        <v>0</v>
      </c>
      <c r="X10" s="803">
        <v>0</v>
      </c>
      <c r="Y10" s="778">
        <v>0</v>
      </c>
      <c r="Z10" s="802">
        <v>0</v>
      </c>
      <c r="AA10" s="803">
        <v>0</v>
      </c>
      <c r="AB10" s="803">
        <v>0</v>
      </c>
      <c r="AC10" s="778">
        <v>0</v>
      </c>
      <c r="AD10" s="782">
        <v>0</v>
      </c>
      <c r="AE10" s="803">
        <v>0</v>
      </c>
      <c r="AF10" s="771">
        <f t="shared" si="1"/>
        <v>0</v>
      </c>
      <c r="AG10" s="805">
        <f t="shared" si="2"/>
        <v>0</v>
      </c>
      <c r="AH10" s="1084">
        <f t="shared" si="3"/>
        <v>0</v>
      </c>
      <c r="AI10" s="132" t="str">
        <f t="shared" si="4"/>
        <v xml:space="preserve"> </v>
      </c>
      <c r="AS10" s="139" t="s">
        <v>678</v>
      </c>
      <c r="AT10" s="139" t="s">
        <v>1015</v>
      </c>
      <c r="DS10" s="304"/>
      <c r="DT10" s="304"/>
      <c r="DU10" s="647" t="s">
        <v>552</v>
      </c>
      <c r="DV10" s="647" t="s">
        <v>1134</v>
      </c>
      <c r="DW10" s="647" t="s">
        <v>1134</v>
      </c>
      <c r="DX10" s="647" t="s">
        <v>1134</v>
      </c>
      <c r="DY10" s="647" t="s">
        <v>1134</v>
      </c>
      <c r="DZ10" s="647" t="s">
        <v>1134</v>
      </c>
      <c r="EA10" s="647" t="s">
        <v>678</v>
      </c>
      <c r="EB10" s="647" t="s">
        <v>1135</v>
      </c>
      <c r="EC10" s="647" t="s">
        <v>1134</v>
      </c>
      <c r="ED10" s="647" t="s">
        <v>1136</v>
      </c>
    </row>
    <row r="11" spans="1:135" ht="12.75" customHeight="1" x14ac:dyDescent="0.2">
      <c r="A11" s="749" t="s">
        <v>178</v>
      </c>
      <c r="B11" s="146">
        <v>4</v>
      </c>
      <c r="C11" s="770">
        <v>113.77800000000001</v>
      </c>
      <c r="D11" s="770">
        <v>0</v>
      </c>
      <c r="E11" s="770">
        <v>0</v>
      </c>
      <c r="F11" s="770">
        <v>0</v>
      </c>
      <c r="G11" s="770">
        <v>0</v>
      </c>
      <c r="H11" s="786">
        <f t="shared" si="0"/>
        <v>113.77800000000001</v>
      </c>
      <c r="I11" s="776">
        <v>0</v>
      </c>
      <c r="J11" s="776">
        <v>0</v>
      </c>
      <c r="K11" s="801">
        <v>5.6120000000000001</v>
      </c>
      <c r="L11" s="802">
        <v>1.585</v>
      </c>
      <c r="M11" s="803">
        <v>0</v>
      </c>
      <c r="N11" s="778">
        <v>1.585</v>
      </c>
      <c r="O11" s="782">
        <v>0</v>
      </c>
      <c r="P11" s="803">
        <v>0</v>
      </c>
      <c r="Q11" s="781">
        <v>0</v>
      </c>
      <c r="R11" s="803">
        <v>0</v>
      </c>
      <c r="S11" s="778">
        <v>0</v>
      </c>
      <c r="T11" s="778">
        <v>0</v>
      </c>
      <c r="U11" s="804">
        <v>0</v>
      </c>
      <c r="V11" s="772">
        <v>0</v>
      </c>
      <c r="W11" s="783">
        <v>0</v>
      </c>
      <c r="X11" s="803">
        <v>0</v>
      </c>
      <c r="Y11" s="778">
        <v>0</v>
      </c>
      <c r="Z11" s="802">
        <v>0</v>
      </c>
      <c r="AA11" s="803">
        <v>0</v>
      </c>
      <c r="AB11" s="803">
        <v>0</v>
      </c>
      <c r="AC11" s="778">
        <v>0</v>
      </c>
      <c r="AD11" s="782">
        <v>0</v>
      </c>
      <c r="AE11" s="803">
        <v>0</v>
      </c>
      <c r="AF11" s="771">
        <f t="shared" si="1"/>
        <v>7.1970000000000001</v>
      </c>
      <c r="AG11" s="805">
        <f t="shared" si="2"/>
        <v>120.97499999999999</v>
      </c>
      <c r="AH11" s="1084">
        <f t="shared" si="3"/>
        <v>0</v>
      </c>
      <c r="AI11" s="132" t="str">
        <f t="shared" si="4"/>
        <v xml:space="preserve"> </v>
      </c>
      <c r="AS11" s="139" t="s">
        <v>421</v>
      </c>
      <c r="AT11" s="139" t="s">
        <v>422</v>
      </c>
      <c r="DS11" s="304"/>
      <c r="DT11" s="304"/>
      <c r="DU11" s="647" t="s">
        <v>552</v>
      </c>
      <c r="DV11" s="647" t="s">
        <v>1134</v>
      </c>
      <c r="DW11" s="647" t="s">
        <v>1134</v>
      </c>
      <c r="DX11" s="647" t="s">
        <v>1134</v>
      </c>
      <c r="DY11" s="647" t="s">
        <v>1134</v>
      </c>
      <c r="DZ11" s="647" t="s">
        <v>1134</v>
      </c>
      <c r="EA11" s="647" t="s">
        <v>421</v>
      </c>
      <c r="EB11" s="647" t="s">
        <v>1135</v>
      </c>
      <c r="EC11" s="647" t="s">
        <v>1134</v>
      </c>
      <c r="ED11" s="647" t="s">
        <v>1136</v>
      </c>
    </row>
    <row r="12" spans="1:135" x14ac:dyDescent="0.2">
      <c r="A12" s="749" t="s">
        <v>13</v>
      </c>
      <c r="B12" s="146">
        <v>5</v>
      </c>
      <c r="C12" s="770">
        <v>50.46</v>
      </c>
      <c r="D12" s="770">
        <v>0</v>
      </c>
      <c r="E12" s="770">
        <v>0</v>
      </c>
      <c r="F12" s="770">
        <v>1E-3</v>
      </c>
      <c r="G12" s="770">
        <v>0</v>
      </c>
      <c r="H12" s="786">
        <f t="shared" si="0"/>
        <v>50.460999999999999</v>
      </c>
      <c r="I12" s="776">
        <v>0</v>
      </c>
      <c r="J12" s="776">
        <v>0</v>
      </c>
      <c r="K12" s="801">
        <v>0</v>
      </c>
      <c r="L12" s="802">
        <v>0</v>
      </c>
      <c r="M12" s="803">
        <v>0</v>
      </c>
      <c r="N12" s="778">
        <v>0</v>
      </c>
      <c r="O12" s="782">
        <v>0</v>
      </c>
      <c r="P12" s="803">
        <v>0</v>
      </c>
      <c r="Q12" s="781">
        <v>0</v>
      </c>
      <c r="R12" s="803">
        <v>0</v>
      </c>
      <c r="S12" s="778">
        <v>0</v>
      </c>
      <c r="T12" s="778">
        <v>0</v>
      </c>
      <c r="U12" s="804">
        <v>0</v>
      </c>
      <c r="V12" s="772">
        <v>0</v>
      </c>
      <c r="W12" s="783">
        <v>0</v>
      </c>
      <c r="X12" s="803">
        <v>0</v>
      </c>
      <c r="Y12" s="778">
        <v>0</v>
      </c>
      <c r="Z12" s="802">
        <v>0</v>
      </c>
      <c r="AA12" s="803">
        <v>0</v>
      </c>
      <c r="AB12" s="803">
        <v>0</v>
      </c>
      <c r="AC12" s="778">
        <v>0</v>
      </c>
      <c r="AD12" s="782">
        <v>0</v>
      </c>
      <c r="AE12" s="803">
        <v>3.0000000000000001E-3</v>
      </c>
      <c r="AF12" s="771">
        <f t="shared" si="1"/>
        <v>3.0000000000000001E-3</v>
      </c>
      <c r="AG12" s="805">
        <f t="shared" si="2"/>
        <v>50.463999999999999</v>
      </c>
      <c r="AH12" s="1084">
        <f t="shared" si="3"/>
        <v>0</v>
      </c>
      <c r="AI12" s="132" t="str">
        <f t="shared" si="4"/>
        <v xml:space="preserve"> </v>
      </c>
      <c r="AS12" s="139" t="s">
        <v>423</v>
      </c>
      <c r="AT12" s="139" t="s">
        <v>424</v>
      </c>
      <c r="DS12" s="304"/>
      <c r="DT12" s="304"/>
      <c r="DU12" s="647" t="s">
        <v>552</v>
      </c>
      <c r="DV12" s="647" t="s">
        <v>1134</v>
      </c>
      <c r="DW12" s="647" t="s">
        <v>1134</v>
      </c>
      <c r="DX12" s="647" t="s">
        <v>1134</v>
      </c>
      <c r="DY12" s="647" t="s">
        <v>1134</v>
      </c>
      <c r="DZ12" s="647" t="s">
        <v>1134</v>
      </c>
      <c r="EA12" s="647" t="s">
        <v>423</v>
      </c>
      <c r="EB12" s="647" t="s">
        <v>1135</v>
      </c>
      <c r="EC12" s="647" t="s">
        <v>1134</v>
      </c>
      <c r="ED12" s="647" t="s">
        <v>1136</v>
      </c>
    </row>
    <row r="13" spans="1:135" ht="12.75" customHeight="1" x14ac:dyDescent="0.2">
      <c r="A13" s="749" t="s">
        <v>554</v>
      </c>
      <c r="B13" s="146">
        <v>6</v>
      </c>
      <c r="C13" s="770">
        <v>0</v>
      </c>
      <c r="D13" s="770">
        <v>0</v>
      </c>
      <c r="E13" s="770">
        <v>0</v>
      </c>
      <c r="F13" s="770">
        <v>0</v>
      </c>
      <c r="G13" s="770">
        <v>0</v>
      </c>
      <c r="H13" s="786">
        <f t="shared" si="0"/>
        <v>0</v>
      </c>
      <c r="I13" s="776">
        <v>0</v>
      </c>
      <c r="J13" s="776">
        <v>0</v>
      </c>
      <c r="K13" s="801">
        <v>0</v>
      </c>
      <c r="L13" s="802">
        <v>0</v>
      </c>
      <c r="M13" s="803">
        <v>0</v>
      </c>
      <c r="N13" s="778">
        <v>0</v>
      </c>
      <c r="O13" s="782">
        <v>0</v>
      </c>
      <c r="P13" s="803">
        <v>0</v>
      </c>
      <c r="Q13" s="781">
        <v>0</v>
      </c>
      <c r="R13" s="803">
        <v>0</v>
      </c>
      <c r="S13" s="778">
        <v>0</v>
      </c>
      <c r="T13" s="778">
        <v>0</v>
      </c>
      <c r="U13" s="804">
        <v>0</v>
      </c>
      <c r="V13" s="772">
        <v>0</v>
      </c>
      <c r="W13" s="783">
        <v>0</v>
      </c>
      <c r="X13" s="803">
        <v>0</v>
      </c>
      <c r="Y13" s="778">
        <v>0</v>
      </c>
      <c r="Z13" s="802">
        <v>0</v>
      </c>
      <c r="AA13" s="803">
        <v>0</v>
      </c>
      <c r="AB13" s="803">
        <v>0</v>
      </c>
      <c r="AC13" s="778">
        <v>0</v>
      </c>
      <c r="AD13" s="782">
        <v>0</v>
      </c>
      <c r="AE13" s="803">
        <v>0</v>
      </c>
      <c r="AF13" s="771">
        <f t="shared" si="1"/>
        <v>0</v>
      </c>
      <c r="AG13" s="805">
        <f t="shared" si="2"/>
        <v>0</v>
      </c>
      <c r="AH13" s="1084">
        <f t="shared" si="3"/>
        <v>0</v>
      </c>
      <c r="AI13" s="132" t="str">
        <f t="shared" si="4"/>
        <v xml:space="preserve"> </v>
      </c>
      <c r="AS13" s="139" t="s">
        <v>501</v>
      </c>
      <c r="AT13" s="139" t="s">
        <v>502</v>
      </c>
      <c r="DS13" s="304"/>
      <c r="DT13" s="304"/>
      <c r="DU13" s="647" t="s">
        <v>552</v>
      </c>
      <c r="DV13" s="647" t="s">
        <v>1134</v>
      </c>
      <c r="DW13" s="647" t="s">
        <v>1134</v>
      </c>
      <c r="DX13" s="647" t="s">
        <v>1134</v>
      </c>
      <c r="DY13" s="647" t="s">
        <v>1134</v>
      </c>
      <c r="DZ13" s="647" t="s">
        <v>1134</v>
      </c>
      <c r="EA13" s="647" t="s">
        <v>501</v>
      </c>
      <c r="EB13" s="647" t="s">
        <v>1135</v>
      </c>
      <c r="EC13" s="647" t="s">
        <v>1134</v>
      </c>
      <c r="ED13" s="647" t="s">
        <v>1136</v>
      </c>
    </row>
    <row r="14" spans="1:135" x14ac:dyDescent="0.2">
      <c r="A14" s="749" t="s">
        <v>954</v>
      </c>
      <c r="B14" s="146">
        <v>7</v>
      </c>
      <c r="C14" s="770">
        <v>0</v>
      </c>
      <c r="D14" s="770">
        <v>0</v>
      </c>
      <c r="E14" s="770">
        <v>0</v>
      </c>
      <c r="F14" s="770">
        <v>0</v>
      </c>
      <c r="G14" s="770">
        <v>0</v>
      </c>
      <c r="H14" s="786">
        <f t="shared" si="0"/>
        <v>0</v>
      </c>
      <c r="I14" s="776">
        <v>0</v>
      </c>
      <c r="J14" s="776">
        <v>0</v>
      </c>
      <c r="K14" s="801">
        <v>0</v>
      </c>
      <c r="L14" s="802">
        <v>0</v>
      </c>
      <c r="M14" s="803">
        <v>0</v>
      </c>
      <c r="N14" s="778">
        <v>0</v>
      </c>
      <c r="O14" s="782">
        <v>0</v>
      </c>
      <c r="P14" s="803">
        <v>0</v>
      </c>
      <c r="Q14" s="781">
        <v>0</v>
      </c>
      <c r="R14" s="803">
        <v>0</v>
      </c>
      <c r="S14" s="778">
        <v>0</v>
      </c>
      <c r="T14" s="778">
        <v>0</v>
      </c>
      <c r="U14" s="804">
        <v>0</v>
      </c>
      <c r="V14" s="772">
        <v>0</v>
      </c>
      <c r="W14" s="783">
        <v>0</v>
      </c>
      <c r="X14" s="803">
        <v>0</v>
      </c>
      <c r="Y14" s="778">
        <v>0</v>
      </c>
      <c r="Z14" s="802">
        <v>0</v>
      </c>
      <c r="AA14" s="803">
        <v>0</v>
      </c>
      <c r="AB14" s="803">
        <v>0</v>
      </c>
      <c r="AC14" s="778">
        <v>0</v>
      </c>
      <c r="AD14" s="782">
        <v>0</v>
      </c>
      <c r="AE14" s="803">
        <v>0</v>
      </c>
      <c r="AF14" s="771">
        <f t="shared" si="1"/>
        <v>0</v>
      </c>
      <c r="AG14" s="805">
        <f t="shared" si="2"/>
        <v>0</v>
      </c>
      <c r="AH14" s="1084">
        <f t="shared" si="3"/>
        <v>0</v>
      </c>
      <c r="AI14" s="132" t="str">
        <f t="shared" si="4"/>
        <v xml:space="preserve"> </v>
      </c>
      <c r="AS14" s="139" t="s">
        <v>1016</v>
      </c>
      <c r="AT14" s="139" t="s">
        <v>1017</v>
      </c>
      <c r="DS14" s="304"/>
      <c r="DT14" s="304"/>
      <c r="DU14" s="647" t="s">
        <v>552</v>
      </c>
      <c r="DV14" s="647" t="s">
        <v>1134</v>
      </c>
      <c r="DW14" s="647" t="s">
        <v>1134</v>
      </c>
      <c r="DX14" s="647" t="s">
        <v>1134</v>
      </c>
      <c r="DY14" s="647" t="s">
        <v>1134</v>
      </c>
      <c r="DZ14" s="647" t="s">
        <v>1134</v>
      </c>
      <c r="EA14" s="647" t="s">
        <v>1016</v>
      </c>
      <c r="EB14" s="647" t="s">
        <v>1135</v>
      </c>
      <c r="EC14" s="647" t="s">
        <v>1134</v>
      </c>
      <c r="ED14" s="647" t="s">
        <v>1136</v>
      </c>
    </row>
    <row r="15" spans="1:135" ht="12.75" customHeight="1" x14ac:dyDescent="0.2">
      <c r="A15" s="749" t="s">
        <v>14</v>
      </c>
      <c r="B15" s="146">
        <v>8</v>
      </c>
      <c r="C15" s="770">
        <v>0</v>
      </c>
      <c r="D15" s="770">
        <v>0</v>
      </c>
      <c r="E15" s="770">
        <v>0</v>
      </c>
      <c r="F15" s="770">
        <v>0</v>
      </c>
      <c r="G15" s="770">
        <v>0</v>
      </c>
      <c r="H15" s="786">
        <f t="shared" si="0"/>
        <v>0</v>
      </c>
      <c r="I15" s="776">
        <v>0</v>
      </c>
      <c r="J15" s="776">
        <v>0</v>
      </c>
      <c r="K15" s="801">
        <v>0</v>
      </c>
      <c r="L15" s="802">
        <v>0</v>
      </c>
      <c r="M15" s="803">
        <v>0</v>
      </c>
      <c r="N15" s="778">
        <v>0</v>
      </c>
      <c r="O15" s="782">
        <v>0</v>
      </c>
      <c r="P15" s="803">
        <v>0</v>
      </c>
      <c r="Q15" s="781">
        <v>0</v>
      </c>
      <c r="R15" s="803">
        <v>0</v>
      </c>
      <c r="S15" s="778">
        <v>0</v>
      </c>
      <c r="T15" s="778">
        <v>0</v>
      </c>
      <c r="U15" s="804">
        <v>0</v>
      </c>
      <c r="V15" s="772">
        <v>0</v>
      </c>
      <c r="W15" s="783">
        <v>0</v>
      </c>
      <c r="X15" s="803">
        <v>0</v>
      </c>
      <c r="Y15" s="778">
        <v>0</v>
      </c>
      <c r="Z15" s="802">
        <v>0</v>
      </c>
      <c r="AA15" s="803">
        <v>0</v>
      </c>
      <c r="AB15" s="803">
        <v>0</v>
      </c>
      <c r="AC15" s="778">
        <v>0</v>
      </c>
      <c r="AD15" s="782">
        <v>0</v>
      </c>
      <c r="AE15" s="803">
        <v>0</v>
      </c>
      <c r="AF15" s="771">
        <f t="shared" si="1"/>
        <v>0</v>
      </c>
      <c r="AG15" s="805">
        <f t="shared" si="2"/>
        <v>0</v>
      </c>
      <c r="AH15" s="1084">
        <f t="shared" si="3"/>
        <v>0</v>
      </c>
      <c r="AI15" s="132" t="str">
        <f t="shared" si="4"/>
        <v xml:space="preserve"> </v>
      </c>
      <c r="AS15" s="139" t="s">
        <v>232</v>
      </c>
      <c r="AT15" s="139" t="s">
        <v>231</v>
      </c>
      <c r="DS15" s="304"/>
      <c r="DT15" s="304"/>
      <c r="DU15" s="647" t="s">
        <v>552</v>
      </c>
      <c r="DV15" s="647" t="s">
        <v>1134</v>
      </c>
      <c r="DW15" s="647" t="s">
        <v>1134</v>
      </c>
      <c r="DX15" s="647" t="s">
        <v>1134</v>
      </c>
      <c r="DY15" s="647" t="s">
        <v>1134</v>
      </c>
      <c r="DZ15" s="647" t="s">
        <v>1134</v>
      </c>
      <c r="EA15" s="647" t="s">
        <v>232</v>
      </c>
      <c r="EB15" s="647" t="s">
        <v>1135</v>
      </c>
      <c r="EC15" s="647" t="s">
        <v>1134</v>
      </c>
      <c r="ED15" s="647" t="s">
        <v>1136</v>
      </c>
    </row>
    <row r="16" spans="1:135" x14ac:dyDescent="0.2">
      <c r="A16" s="749" t="s">
        <v>15</v>
      </c>
      <c r="B16" s="146">
        <v>9</v>
      </c>
      <c r="C16" s="770">
        <v>0</v>
      </c>
      <c r="D16" s="770">
        <v>0</v>
      </c>
      <c r="E16" s="770">
        <v>0</v>
      </c>
      <c r="F16" s="770">
        <v>0</v>
      </c>
      <c r="G16" s="770">
        <v>0</v>
      </c>
      <c r="H16" s="786">
        <f t="shared" si="0"/>
        <v>0</v>
      </c>
      <c r="I16" s="776">
        <v>0</v>
      </c>
      <c r="J16" s="776">
        <v>0</v>
      </c>
      <c r="K16" s="801">
        <v>0</v>
      </c>
      <c r="L16" s="802">
        <v>0</v>
      </c>
      <c r="M16" s="803">
        <v>0</v>
      </c>
      <c r="N16" s="778">
        <v>0</v>
      </c>
      <c r="O16" s="782">
        <v>0</v>
      </c>
      <c r="P16" s="803">
        <v>0</v>
      </c>
      <c r="Q16" s="781">
        <v>0</v>
      </c>
      <c r="R16" s="803">
        <v>0</v>
      </c>
      <c r="S16" s="778">
        <v>0</v>
      </c>
      <c r="T16" s="778">
        <v>0</v>
      </c>
      <c r="U16" s="804">
        <v>0</v>
      </c>
      <c r="V16" s="772">
        <v>0</v>
      </c>
      <c r="W16" s="783">
        <v>0</v>
      </c>
      <c r="X16" s="803">
        <v>0</v>
      </c>
      <c r="Y16" s="778">
        <v>0</v>
      </c>
      <c r="Z16" s="802">
        <v>0</v>
      </c>
      <c r="AA16" s="803">
        <v>0</v>
      </c>
      <c r="AB16" s="803">
        <v>0</v>
      </c>
      <c r="AC16" s="778">
        <v>0</v>
      </c>
      <c r="AD16" s="782">
        <v>0</v>
      </c>
      <c r="AE16" s="803">
        <v>0.94399999999999995</v>
      </c>
      <c r="AF16" s="771">
        <f t="shared" si="1"/>
        <v>0.94399999999999995</v>
      </c>
      <c r="AG16" s="805">
        <f t="shared" si="2"/>
        <v>0.94399999999999995</v>
      </c>
      <c r="AH16" s="1084">
        <f t="shared" si="3"/>
        <v>0</v>
      </c>
      <c r="AI16" s="132" t="str">
        <f t="shared" si="4"/>
        <v xml:space="preserve"> </v>
      </c>
      <c r="AS16" s="139" t="s">
        <v>234</v>
      </c>
      <c r="AT16" s="139" t="s">
        <v>233</v>
      </c>
      <c r="DS16" s="304"/>
      <c r="DT16" s="304"/>
      <c r="DU16" s="647" t="s">
        <v>552</v>
      </c>
      <c r="DV16" s="647" t="s">
        <v>1134</v>
      </c>
      <c r="DW16" s="647" t="s">
        <v>1134</v>
      </c>
      <c r="DX16" s="647" t="s">
        <v>1134</v>
      </c>
      <c r="DY16" s="647" t="s">
        <v>1134</v>
      </c>
      <c r="DZ16" s="647" t="s">
        <v>1134</v>
      </c>
      <c r="EA16" s="647" t="s">
        <v>234</v>
      </c>
      <c r="EB16" s="647" t="s">
        <v>1135</v>
      </c>
      <c r="EC16" s="647" t="s">
        <v>1134</v>
      </c>
      <c r="ED16" s="647" t="s">
        <v>1136</v>
      </c>
    </row>
    <row r="17" spans="1:134" ht="12.75" customHeight="1" x14ac:dyDescent="0.2">
      <c r="A17" s="749" t="s">
        <v>555</v>
      </c>
      <c r="B17" s="146">
        <v>10</v>
      </c>
      <c r="C17" s="770">
        <v>0</v>
      </c>
      <c r="D17" s="770">
        <v>0</v>
      </c>
      <c r="E17" s="770">
        <v>0</v>
      </c>
      <c r="F17" s="770">
        <v>0</v>
      </c>
      <c r="G17" s="770">
        <v>0</v>
      </c>
      <c r="H17" s="786">
        <f t="shared" si="0"/>
        <v>0</v>
      </c>
      <c r="I17" s="776">
        <v>0</v>
      </c>
      <c r="J17" s="776">
        <v>0</v>
      </c>
      <c r="K17" s="801">
        <v>0</v>
      </c>
      <c r="L17" s="802">
        <v>0</v>
      </c>
      <c r="M17" s="803">
        <v>0</v>
      </c>
      <c r="N17" s="778">
        <v>0</v>
      </c>
      <c r="O17" s="782">
        <v>0</v>
      </c>
      <c r="P17" s="803">
        <v>0</v>
      </c>
      <c r="Q17" s="781">
        <v>0</v>
      </c>
      <c r="R17" s="803">
        <v>0</v>
      </c>
      <c r="S17" s="778">
        <v>0</v>
      </c>
      <c r="T17" s="778">
        <v>0</v>
      </c>
      <c r="U17" s="804">
        <v>0</v>
      </c>
      <c r="V17" s="772">
        <v>0</v>
      </c>
      <c r="W17" s="783">
        <v>0</v>
      </c>
      <c r="X17" s="803">
        <v>0</v>
      </c>
      <c r="Y17" s="778">
        <v>0</v>
      </c>
      <c r="Z17" s="802">
        <v>34.493000000000002</v>
      </c>
      <c r="AA17" s="803">
        <v>14.689</v>
      </c>
      <c r="AB17" s="803">
        <v>0</v>
      </c>
      <c r="AC17" s="778">
        <v>19.803999999999998</v>
      </c>
      <c r="AD17" s="782">
        <v>0</v>
      </c>
      <c r="AE17" s="803">
        <v>2.9359999999999999</v>
      </c>
      <c r="AF17" s="771">
        <f t="shared" si="1"/>
        <v>37.429000000000002</v>
      </c>
      <c r="AG17" s="805">
        <f t="shared" si="2"/>
        <v>37.429000000000002</v>
      </c>
      <c r="AH17" s="1084">
        <f t="shared" si="3"/>
        <v>0</v>
      </c>
      <c r="AI17" s="132" t="str">
        <f t="shared" si="4"/>
        <v xml:space="preserve"> </v>
      </c>
      <c r="AS17" s="139" t="s">
        <v>503</v>
      </c>
      <c r="AT17" s="139" t="s">
        <v>504</v>
      </c>
      <c r="DS17" s="304"/>
      <c r="DT17" s="304"/>
      <c r="DU17" s="647" t="s">
        <v>552</v>
      </c>
      <c r="DV17" s="647" t="s">
        <v>1134</v>
      </c>
      <c r="DW17" s="647" t="s">
        <v>1134</v>
      </c>
      <c r="DX17" s="647" t="s">
        <v>1134</v>
      </c>
      <c r="DY17" s="647" t="s">
        <v>1134</v>
      </c>
      <c r="DZ17" s="647" t="s">
        <v>1134</v>
      </c>
      <c r="EA17" s="647" t="s">
        <v>503</v>
      </c>
      <c r="EB17" s="647" t="s">
        <v>1135</v>
      </c>
      <c r="EC17" s="647" t="s">
        <v>1134</v>
      </c>
      <c r="ED17" s="647" t="s">
        <v>1136</v>
      </c>
    </row>
    <row r="18" spans="1:134" x14ac:dyDescent="0.2">
      <c r="A18" s="749" t="s">
        <v>16</v>
      </c>
      <c r="B18" s="146">
        <v>11</v>
      </c>
      <c r="C18" s="770">
        <v>0</v>
      </c>
      <c r="D18" s="770">
        <v>0</v>
      </c>
      <c r="E18" s="770">
        <v>0</v>
      </c>
      <c r="F18" s="770">
        <v>0</v>
      </c>
      <c r="G18" s="770">
        <v>0</v>
      </c>
      <c r="H18" s="786">
        <f t="shared" si="0"/>
        <v>0</v>
      </c>
      <c r="I18" s="776">
        <v>0</v>
      </c>
      <c r="J18" s="776">
        <v>0</v>
      </c>
      <c r="K18" s="801">
        <v>0</v>
      </c>
      <c r="L18" s="802">
        <v>0</v>
      </c>
      <c r="M18" s="803">
        <v>0</v>
      </c>
      <c r="N18" s="778">
        <v>0</v>
      </c>
      <c r="O18" s="782">
        <v>0</v>
      </c>
      <c r="P18" s="803">
        <v>0</v>
      </c>
      <c r="Q18" s="781">
        <v>0</v>
      </c>
      <c r="R18" s="803">
        <v>0</v>
      </c>
      <c r="S18" s="778">
        <v>0</v>
      </c>
      <c r="T18" s="778">
        <v>0</v>
      </c>
      <c r="U18" s="804">
        <v>0</v>
      </c>
      <c r="V18" s="772">
        <v>0</v>
      </c>
      <c r="W18" s="783">
        <v>0</v>
      </c>
      <c r="X18" s="803">
        <v>0</v>
      </c>
      <c r="Y18" s="778">
        <v>0</v>
      </c>
      <c r="Z18" s="802">
        <v>0</v>
      </c>
      <c r="AA18" s="803">
        <v>0</v>
      </c>
      <c r="AB18" s="803">
        <v>0</v>
      </c>
      <c r="AC18" s="778">
        <v>0</v>
      </c>
      <c r="AD18" s="782">
        <v>0</v>
      </c>
      <c r="AE18" s="803">
        <v>0</v>
      </c>
      <c r="AF18" s="771">
        <f t="shared" si="1"/>
        <v>0</v>
      </c>
      <c r="AG18" s="805">
        <f t="shared" si="2"/>
        <v>0</v>
      </c>
      <c r="AH18" s="1084">
        <f t="shared" si="3"/>
        <v>0</v>
      </c>
      <c r="AI18" s="132" t="str">
        <f t="shared" si="4"/>
        <v xml:space="preserve"> </v>
      </c>
      <c r="AS18" s="139" t="s">
        <v>425</v>
      </c>
      <c r="AT18" s="139" t="s">
        <v>426</v>
      </c>
      <c r="DS18" s="304"/>
      <c r="DT18" s="304"/>
      <c r="DU18" s="647" t="s">
        <v>552</v>
      </c>
      <c r="DV18" s="647" t="s">
        <v>1134</v>
      </c>
      <c r="DW18" s="647" t="s">
        <v>1134</v>
      </c>
      <c r="DX18" s="647" t="s">
        <v>1134</v>
      </c>
      <c r="DY18" s="647" t="s">
        <v>1134</v>
      </c>
      <c r="DZ18" s="647" t="s">
        <v>1134</v>
      </c>
      <c r="EA18" s="647" t="s">
        <v>425</v>
      </c>
      <c r="EB18" s="647" t="s">
        <v>1135</v>
      </c>
      <c r="EC18" s="647" t="s">
        <v>1134</v>
      </c>
      <c r="ED18" s="647" t="s">
        <v>1136</v>
      </c>
    </row>
    <row r="19" spans="1:134" ht="12.75" customHeight="1" x14ac:dyDescent="0.2">
      <c r="A19" s="749" t="s">
        <v>17</v>
      </c>
      <c r="B19" s="146">
        <v>12</v>
      </c>
      <c r="C19" s="770">
        <v>0</v>
      </c>
      <c r="D19" s="770">
        <v>0</v>
      </c>
      <c r="E19" s="770">
        <v>0</v>
      </c>
      <c r="F19" s="770">
        <v>0</v>
      </c>
      <c r="G19" s="770">
        <v>0</v>
      </c>
      <c r="H19" s="786">
        <f t="shared" si="0"/>
        <v>0</v>
      </c>
      <c r="I19" s="776">
        <v>0</v>
      </c>
      <c r="J19" s="776">
        <v>0</v>
      </c>
      <c r="K19" s="801">
        <v>0</v>
      </c>
      <c r="L19" s="802">
        <v>0</v>
      </c>
      <c r="M19" s="803">
        <v>0</v>
      </c>
      <c r="N19" s="778">
        <v>0</v>
      </c>
      <c r="O19" s="782">
        <v>0</v>
      </c>
      <c r="P19" s="803">
        <v>0</v>
      </c>
      <c r="Q19" s="781">
        <v>0</v>
      </c>
      <c r="R19" s="803">
        <v>0</v>
      </c>
      <c r="S19" s="778">
        <v>0</v>
      </c>
      <c r="T19" s="778">
        <v>0</v>
      </c>
      <c r="U19" s="804">
        <v>0</v>
      </c>
      <c r="V19" s="772">
        <v>0</v>
      </c>
      <c r="W19" s="783">
        <v>0</v>
      </c>
      <c r="X19" s="803">
        <v>0</v>
      </c>
      <c r="Y19" s="778">
        <v>0</v>
      </c>
      <c r="Z19" s="802">
        <v>0</v>
      </c>
      <c r="AA19" s="803">
        <v>0</v>
      </c>
      <c r="AB19" s="803">
        <v>0</v>
      </c>
      <c r="AC19" s="778">
        <v>0</v>
      </c>
      <c r="AD19" s="782">
        <v>0</v>
      </c>
      <c r="AE19" s="803">
        <v>0</v>
      </c>
      <c r="AF19" s="771">
        <f t="shared" si="1"/>
        <v>0</v>
      </c>
      <c r="AG19" s="805">
        <f t="shared" si="2"/>
        <v>0</v>
      </c>
      <c r="AH19" s="1084">
        <f t="shared" si="3"/>
        <v>0</v>
      </c>
      <c r="AI19" s="132" t="str">
        <f t="shared" si="4"/>
        <v xml:space="preserve"> </v>
      </c>
      <c r="AS19" s="139" t="s">
        <v>427</v>
      </c>
      <c r="AT19" s="139" t="s">
        <v>428</v>
      </c>
      <c r="DS19" s="304"/>
      <c r="DT19" s="304"/>
      <c r="DU19" s="647" t="s">
        <v>552</v>
      </c>
      <c r="DV19" s="647" t="s">
        <v>1134</v>
      </c>
      <c r="DW19" s="647" t="s">
        <v>1134</v>
      </c>
      <c r="DX19" s="647" t="s">
        <v>1134</v>
      </c>
      <c r="DY19" s="647" t="s">
        <v>1134</v>
      </c>
      <c r="DZ19" s="647" t="s">
        <v>1134</v>
      </c>
      <c r="EA19" s="647" t="s">
        <v>427</v>
      </c>
      <c r="EB19" s="647" t="s">
        <v>1135</v>
      </c>
      <c r="EC19" s="647" t="s">
        <v>1134</v>
      </c>
      <c r="ED19" s="647" t="s">
        <v>1136</v>
      </c>
    </row>
    <row r="20" spans="1:134" x14ac:dyDescent="0.2">
      <c r="A20" s="750" t="s">
        <v>955</v>
      </c>
      <c r="B20" s="146">
        <v>13</v>
      </c>
      <c r="C20" s="770">
        <v>0</v>
      </c>
      <c r="D20" s="770">
        <v>0</v>
      </c>
      <c r="E20" s="770">
        <v>0</v>
      </c>
      <c r="F20" s="770">
        <v>0</v>
      </c>
      <c r="G20" s="770">
        <v>0</v>
      </c>
      <c r="H20" s="786">
        <f t="shared" si="0"/>
        <v>0</v>
      </c>
      <c r="I20" s="776">
        <v>0</v>
      </c>
      <c r="J20" s="776">
        <v>0</v>
      </c>
      <c r="K20" s="801">
        <v>0</v>
      </c>
      <c r="L20" s="802">
        <v>0</v>
      </c>
      <c r="M20" s="803">
        <v>0</v>
      </c>
      <c r="N20" s="778">
        <v>0</v>
      </c>
      <c r="O20" s="782">
        <v>0</v>
      </c>
      <c r="P20" s="803">
        <v>0</v>
      </c>
      <c r="Q20" s="781">
        <v>0</v>
      </c>
      <c r="R20" s="803">
        <v>0</v>
      </c>
      <c r="S20" s="778">
        <v>0</v>
      </c>
      <c r="T20" s="778">
        <v>0</v>
      </c>
      <c r="U20" s="804">
        <v>0</v>
      </c>
      <c r="V20" s="772">
        <v>0</v>
      </c>
      <c r="W20" s="783">
        <v>0</v>
      </c>
      <c r="X20" s="803">
        <v>0</v>
      </c>
      <c r="Y20" s="778">
        <v>0</v>
      </c>
      <c r="Z20" s="802">
        <v>0</v>
      </c>
      <c r="AA20" s="803">
        <v>0</v>
      </c>
      <c r="AB20" s="803">
        <v>0</v>
      </c>
      <c r="AC20" s="778">
        <v>0</v>
      </c>
      <c r="AD20" s="782">
        <v>0</v>
      </c>
      <c r="AE20" s="803">
        <v>0</v>
      </c>
      <c r="AF20" s="771">
        <f t="shared" si="1"/>
        <v>0</v>
      </c>
      <c r="AG20" s="805">
        <f t="shared" si="2"/>
        <v>0</v>
      </c>
      <c r="AH20" s="1084">
        <f t="shared" si="3"/>
        <v>0</v>
      </c>
      <c r="AI20" s="132" t="str">
        <f t="shared" si="4"/>
        <v xml:space="preserve"> </v>
      </c>
      <c r="AS20" s="139" t="s">
        <v>1018</v>
      </c>
      <c r="AT20" s="139" t="s">
        <v>1019</v>
      </c>
      <c r="DS20" s="304"/>
      <c r="DT20" s="304"/>
      <c r="DU20" s="647" t="s">
        <v>552</v>
      </c>
      <c r="DV20" s="647" t="s">
        <v>1134</v>
      </c>
      <c r="DW20" s="647" t="s">
        <v>1134</v>
      </c>
      <c r="DX20" s="647" t="s">
        <v>1134</v>
      </c>
      <c r="DY20" s="647" t="s">
        <v>1134</v>
      </c>
      <c r="DZ20" s="647" t="s">
        <v>1134</v>
      </c>
      <c r="EA20" s="647" t="s">
        <v>1018</v>
      </c>
      <c r="EB20" s="647" t="s">
        <v>1135</v>
      </c>
      <c r="EC20" s="647" t="s">
        <v>1134</v>
      </c>
      <c r="ED20" s="647" t="s">
        <v>1136</v>
      </c>
    </row>
    <row r="21" spans="1:134" ht="12.75" customHeight="1" x14ac:dyDescent="0.2">
      <c r="A21" s="749" t="s">
        <v>956</v>
      </c>
      <c r="B21" s="146">
        <v>14</v>
      </c>
      <c r="C21" s="770">
        <v>0</v>
      </c>
      <c r="D21" s="770">
        <v>0</v>
      </c>
      <c r="E21" s="770">
        <v>0</v>
      </c>
      <c r="F21" s="770">
        <v>0</v>
      </c>
      <c r="G21" s="770">
        <v>0</v>
      </c>
      <c r="H21" s="786">
        <f t="shared" si="0"/>
        <v>0</v>
      </c>
      <c r="I21" s="776">
        <v>0</v>
      </c>
      <c r="J21" s="776">
        <v>0</v>
      </c>
      <c r="K21" s="801">
        <v>0</v>
      </c>
      <c r="L21" s="802">
        <v>0</v>
      </c>
      <c r="M21" s="803">
        <v>0</v>
      </c>
      <c r="N21" s="778">
        <v>0</v>
      </c>
      <c r="O21" s="782">
        <v>0</v>
      </c>
      <c r="P21" s="803">
        <v>0</v>
      </c>
      <c r="Q21" s="781">
        <v>0</v>
      </c>
      <c r="R21" s="803">
        <v>0</v>
      </c>
      <c r="S21" s="778">
        <v>0</v>
      </c>
      <c r="T21" s="778">
        <v>0</v>
      </c>
      <c r="U21" s="804">
        <v>0</v>
      </c>
      <c r="V21" s="772">
        <v>0</v>
      </c>
      <c r="W21" s="783">
        <v>0</v>
      </c>
      <c r="X21" s="803">
        <v>0</v>
      </c>
      <c r="Y21" s="778">
        <v>0</v>
      </c>
      <c r="Z21" s="802">
        <v>0</v>
      </c>
      <c r="AA21" s="803">
        <v>0</v>
      </c>
      <c r="AB21" s="803">
        <v>0</v>
      </c>
      <c r="AC21" s="778">
        <v>0</v>
      </c>
      <c r="AD21" s="782">
        <v>0</v>
      </c>
      <c r="AE21" s="803">
        <v>0</v>
      </c>
      <c r="AF21" s="771">
        <f t="shared" si="1"/>
        <v>0</v>
      </c>
      <c r="AG21" s="805">
        <f t="shared" si="2"/>
        <v>0</v>
      </c>
      <c r="AH21" s="1084">
        <f t="shared" si="3"/>
        <v>0</v>
      </c>
      <c r="AI21" s="132" t="str">
        <f t="shared" si="4"/>
        <v xml:space="preserve"> </v>
      </c>
      <c r="AS21" s="130" t="s">
        <v>1020</v>
      </c>
      <c r="AT21" s="130" t="s">
        <v>1021</v>
      </c>
      <c r="DS21" s="304"/>
      <c r="DT21" s="304"/>
      <c r="DU21" s="647" t="s">
        <v>552</v>
      </c>
      <c r="DV21" s="647" t="s">
        <v>1134</v>
      </c>
      <c r="DW21" s="647" t="s">
        <v>1134</v>
      </c>
      <c r="DX21" s="647" t="s">
        <v>1134</v>
      </c>
      <c r="DY21" s="647" t="s">
        <v>1134</v>
      </c>
      <c r="DZ21" s="647" t="s">
        <v>1134</v>
      </c>
      <c r="EA21" s="647" t="s">
        <v>1020</v>
      </c>
      <c r="EB21" s="647" t="s">
        <v>1135</v>
      </c>
      <c r="EC21" s="647" t="s">
        <v>1134</v>
      </c>
      <c r="ED21" s="647" t="s">
        <v>1136</v>
      </c>
    </row>
    <row r="22" spans="1:134" x14ac:dyDescent="0.2">
      <c r="A22" s="749" t="s">
        <v>556</v>
      </c>
      <c r="B22" s="146">
        <v>15</v>
      </c>
      <c r="C22" s="770">
        <v>0</v>
      </c>
      <c r="D22" s="770">
        <v>0</v>
      </c>
      <c r="E22" s="770">
        <v>0</v>
      </c>
      <c r="F22" s="770">
        <v>0</v>
      </c>
      <c r="G22" s="770">
        <v>0</v>
      </c>
      <c r="H22" s="786">
        <f t="shared" si="0"/>
        <v>0</v>
      </c>
      <c r="I22" s="776">
        <v>0</v>
      </c>
      <c r="J22" s="776">
        <v>0</v>
      </c>
      <c r="K22" s="801">
        <v>0</v>
      </c>
      <c r="L22" s="802">
        <v>0</v>
      </c>
      <c r="M22" s="803">
        <v>0</v>
      </c>
      <c r="N22" s="778">
        <v>0</v>
      </c>
      <c r="O22" s="782">
        <v>0</v>
      </c>
      <c r="P22" s="803">
        <v>0</v>
      </c>
      <c r="Q22" s="781">
        <v>0</v>
      </c>
      <c r="R22" s="803">
        <v>0</v>
      </c>
      <c r="S22" s="778">
        <v>0</v>
      </c>
      <c r="T22" s="778">
        <v>0</v>
      </c>
      <c r="U22" s="804">
        <v>0</v>
      </c>
      <c r="V22" s="772">
        <v>0</v>
      </c>
      <c r="W22" s="783">
        <v>0</v>
      </c>
      <c r="X22" s="803">
        <v>0</v>
      </c>
      <c r="Y22" s="778">
        <v>0</v>
      </c>
      <c r="Z22" s="802">
        <v>0</v>
      </c>
      <c r="AA22" s="803">
        <v>0</v>
      </c>
      <c r="AB22" s="803">
        <v>0</v>
      </c>
      <c r="AC22" s="778">
        <v>0</v>
      </c>
      <c r="AD22" s="782">
        <v>0</v>
      </c>
      <c r="AE22" s="803">
        <v>0</v>
      </c>
      <c r="AF22" s="771">
        <f t="shared" si="1"/>
        <v>0</v>
      </c>
      <c r="AG22" s="805">
        <f t="shared" si="2"/>
        <v>0</v>
      </c>
      <c r="AH22" s="1084">
        <f t="shared" si="3"/>
        <v>0</v>
      </c>
      <c r="AI22" s="132" t="str">
        <f t="shared" si="4"/>
        <v xml:space="preserve"> </v>
      </c>
      <c r="AS22" s="139" t="s">
        <v>505</v>
      </c>
      <c r="AT22" s="139" t="s">
        <v>506</v>
      </c>
      <c r="DS22" s="304"/>
      <c r="DT22" s="304"/>
      <c r="DU22" s="647" t="s">
        <v>552</v>
      </c>
      <c r="DV22" s="647" t="s">
        <v>1134</v>
      </c>
      <c r="DW22" s="647" t="s">
        <v>1134</v>
      </c>
      <c r="DX22" s="647" t="s">
        <v>1134</v>
      </c>
      <c r="DY22" s="647" t="s">
        <v>1134</v>
      </c>
      <c r="DZ22" s="647" t="s">
        <v>1134</v>
      </c>
      <c r="EA22" s="647" t="s">
        <v>505</v>
      </c>
      <c r="EB22" s="647" t="s">
        <v>1135</v>
      </c>
      <c r="EC22" s="647" t="s">
        <v>1134</v>
      </c>
      <c r="ED22" s="647" t="s">
        <v>1136</v>
      </c>
    </row>
    <row r="23" spans="1:134" ht="12.75" customHeight="1" x14ac:dyDescent="0.2">
      <c r="A23" s="749" t="s">
        <v>18</v>
      </c>
      <c r="B23" s="146">
        <v>16</v>
      </c>
      <c r="C23" s="770">
        <v>0.93</v>
      </c>
      <c r="D23" s="770">
        <v>183.26</v>
      </c>
      <c r="E23" s="770">
        <v>0</v>
      </c>
      <c r="F23" s="770">
        <v>18.108000000000001</v>
      </c>
      <c r="G23" s="770">
        <v>0</v>
      </c>
      <c r="H23" s="786">
        <f t="shared" si="0"/>
        <v>202.298</v>
      </c>
      <c r="I23" s="776">
        <v>0</v>
      </c>
      <c r="J23" s="776">
        <v>20.297000000000001</v>
      </c>
      <c r="K23" s="801">
        <v>356.31700000000001</v>
      </c>
      <c r="L23" s="802">
        <v>100.57599999999999</v>
      </c>
      <c r="M23" s="803">
        <v>0</v>
      </c>
      <c r="N23" s="778">
        <v>100.57599999999999</v>
      </c>
      <c r="O23" s="782">
        <v>1.7000000000000001E-2</v>
      </c>
      <c r="P23" s="803">
        <v>0</v>
      </c>
      <c r="Q23" s="781">
        <v>57.835000000000001</v>
      </c>
      <c r="R23" s="803">
        <v>0</v>
      </c>
      <c r="S23" s="778">
        <v>32.298000000000002</v>
      </c>
      <c r="T23" s="778">
        <v>6.1280000000000001</v>
      </c>
      <c r="U23" s="804">
        <v>290.13400000000001</v>
      </c>
      <c r="V23" s="772">
        <v>340.30900000000003</v>
      </c>
      <c r="W23" s="783">
        <v>630.44299999999998</v>
      </c>
      <c r="X23" s="803">
        <v>0</v>
      </c>
      <c r="Y23" s="778">
        <v>630.44299999999998</v>
      </c>
      <c r="Z23" s="802">
        <v>725.65300000000002</v>
      </c>
      <c r="AA23" s="803">
        <v>309.03300000000002</v>
      </c>
      <c r="AB23" s="803">
        <v>0</v>
      </c>
      <c r="AC23" s="778">
        <v>416.61900000000003</v>
      </c>
      <c r="AD23" s="782">
        <v>27.638999999999999</v>
      </c>
      <c r="AE23" s="803">
        <v>161.172</v>
      </c>
      <c r="AF23" s="771">
        <f t="shared" si="1"/>
        <v>2086.0770000000002</v>
      </c>
      <c r="AG23" s="805">
        <f t="shared" si="2"/>
        <v>2288.375</v>
      </c>
      <c r="AH23" s="1084">
        <f t="shared" si="3"/>
        <v>0</v>
      </c>
      <c r="AI23" s="132" t="str">
        <f t="shared" si="4"/>
        <v xml:space="preserve"> </v>
      </c>
      <c r="AS23" s="139" t="s">
        <v>236</v>
      </c>
      <c r="AT23" s="139" t="s">
        <v>235</v>
      </c>
      <c r="DS23" s="304"/>
      <c r="DT23" s="304"/>
      <c r="DU23" s="647" t="s">
        <v>552</v>
      </c>
      <c r="DV23" s="647" t="s">
        <v>1134</v>
      </c>
      <c r="DW23" s="647" t="s">
        <v>1134</v>
      </c>
      <c r="DX23" s="647" t="s">
        <v>1134</v>
      </c>
      <c r="DY23" s="647" t="s">
        <v>1134</v>
      </c>
      <c r="DZ23" s="647" t="s">
        <v>1134</v>
      </c>
      <c r="EA23" s="647" t="s">
        <v>236</v>
      </c>
      <c r="EB23" s="647" t="s">
        <v>1135</v>
      </c>
      <c r="EC23" s="647" t="s">
        <v>1134</v>
      </c>
      <c r="ED23" s="647" t="s">
        <v>1136</v>
      </c>
    </row>
    <row r="24" spans="1:134" x14ac:dyDescent="0.2">
      <c r="A24" s="749" t="s">
        <v>957</v>
      </c>
      <c r="B24" s="146">
        <v>17</v>
      </c>
      <c r="C24" s="770">
        <v>0</v>
      </c>
      <c r="D24" s="770">
        <v>0</v>
      </c>
      <c r="E24" s="770">
        <v>0</v>
      </c>
      <c r="F24" s="770">
        <v>0</v>
      </c>
      <c r="G24" s="770">
        <v>0</v>
      </c>
      <c r="H24" s="786">
        <f t="shared" si="0"/>
        <v>0</v>
      </c>
      <c r="I24" s="776">
        <v>0</v>
      </c>
      <c r="J24" s="776">
        <v>0</v>
      </c>
      <c r="K24" s="801">
        <v>0</v>
      </c>
      <c r="L24" s="802">
        <v>0</v>
      </c>
      <c r="M24" s="803">
        <v>0</v>
      </c>
      <c r="N24" s="778">
        <v>0</v>
      </c>
      <c r="O24" s="782">
        <v>0</v>
      </c>
      <c r="P24" s="803">
        <v>0</v>
      </c>
      <c r="Q24" s="781">
        <v>0</v>
      </c>
      <c r="R24" s="803">
        <v>0</v>
      </c>
      <c r="S24" s="778">
        <v>0</v>
      </c>
      <c r="T24" s="778">
        <v>0</v>
      </c>
      <c r="U24" s="804">
        <v>0</v>
      </c>
      <c r="V24" s="772">
        <v>0</v>
      </c>
      <c r="W24" s="783">
        <v>0</v>
      </c>
      <c r="X24" s="803">
        <v>0</v>
      </c>
      <c r="Y24" s="778">
        <v>0</v>
      </c>
      <c r="Z24" s="802">
        <v>0</v>
      </c>
      <c r="AA24" s="803">
        <v>0</v>
      </c>
      <c r="AB24" s="803">
        <v>0</v>
      </c>
      <c r="AC24" s="778">
        <v>0</v>
      </c>
      <c r="AD24" s="782">
        <v>0</v>
      </c>
      <c r="AE24" s="803">
        <v>0</v>
      </c>
      <c r="AF24" s="771">
        <f t="shared" si="1"/>
        <v>0</v>
      </c>
      <c r="AG24" s="805">
        <f t="shared" si="2"/>
        <v>0</v>
      </c>
      <c r="AH24" s="1084">
        <f t="shared" si="3"/>
        <v>0</v>
      </c>
      <c r="AI24" s="132" t="str">
        <f t="shared" si="4"/>
        <v xml:space="preserve"> </v>
      </c>
      <c r="AS24" s="139" t="s">
        <v>1022</v>
      </c>
      <c r="AT24" s="139" t="s">
        <v>1023</v>
      </c>
      <c r="DS24" s="304"/>
      <c r="DT24" s="304"/>
      <c r="DU24" s="647" t="s">
        <v>552</v>
      </c>
      <c r="DV24" s="647" t="s">
        <v>1134</v>
      </c>
      <c r="DW24" s="647" t="s">
        <v>1134</v>
      </c>
      <c r="DX24" s="647" t="s">
        <v>1134</v>
      </c>
      <c r="DY24" s="647" t="s">
        <v>1134</v>
      </c>
      <c r="DZ24" s="647" t="s">
        <v>1134</v>
      </c>
      <c r="EA24" s="647" t="s">
        <v>1022</v>
      </c>
      <c r="EB24" s="647" t="s">
        <v>1135</v>
      </c>
      <c r="EC24" s="647" t="s">
        <v>1134</v>
      </c>
      <c r="ED24" s="647" t="s">
        <v>1136</v>
      </c>
    </row>
    <row r="25" spans="1:134" ht="12.75" customHeight="1" x14ac:dyDescent="0.2">
      <c r="A25" s="749" t="s">
        <v>958</v>
      </c>
      <c r="B25" s="145">
        <v>18</v>
      </c>
      <c r="C25" s="770">
        <v>0</v>
      </c>
      <c r="D25" s="770">
        <v>0</v>
      </c>
      <c r="E25" s="770">
        <v>0</v>
      </c>
      <c r="F25" s="770">
        <v>0</v>
      </c>
      <c r="G25" s="770">
        <v>0</v>
      </c>
      <c r="H25" s="786">
        <f t="shared" si="0"/>
        <v>0</v>
      </c>
      <c r="I25" s="776">
        <v>0</v>
      </c>
      <c r="J25" s="776">
        <v>0</v>
      </c>
      <c r="K25" s="801">
        <v>0</v>
      </c>
      <c r="L25" s="802">
        <v>0</v>
      </c>
      <c r="M25" s="803">
        <v>0</v>
      </c>
      <c r="N25" s="778">
        <v>0</v>
      </c>
      <c r="O25" s="782">
        <v>0</v>
      </c>
      <c r="P25" s="803">
        <v>0</v>
      </c>
      <c r="Q25" s="781">
        <v>0</v>
      </c>
      <c r="R25" s="803">
        <v>0</v>
      </c>
      <c r="S25" s="778">
        <v>0</v>
      </c>
      <c r="T25" s="778">
        <v>0</v>
      </c>
      <c r="U25" s="804">
        <v>0</v>
      </c>
      <c r="V25" s="772">
        <v>0</v>
      </c>
      <c r="W25" s="783">
        <v>0</v>
      </c>
      <c r="X25" s="803">
        <v>0</v>
      </c>
      <c r="Y25" s="778">
        <v>0</v>
      </c>
      <c r="Z25" s="802">
        <v>0</v>
      </c>
      <c r="AA25" s="803">
        <v>0</v>
      </c>
      <c r="AB25" s="803">
        <v>0</v>
      </c>
      <c r="AC25" s="778">
        <v>0</v>
      </c>
      <c r="AD25" s="782">
        <v>0</v>
      </c>
      <c r="AE25" s="803">
        <v>0</v>
      </c>
      <c r="AF25" s="771">
        <f t="shared" si="1"/>
        <v>0</v>
      </c>
      <c r="AG25" s="805">
        <f t="shared" si="2"/>
        <v>0</v>
      </c>
      <c r="AH25" s="1084">
        <f t="shared" si="3"/>
        <v>0</v>
      </c>
      <c r="AI25" s="132" t="str">
        <f t="shared" si="4"/>
        <v xml:space="preserve"> </v>
      </c>
      <c r="AS25" s="139" t="s">
        <v>1024</v>
      </c>
      <c r="AT25" s="139" t="s">
        <v>1025</v>
      </c>
      <c r="DS25" s="304"/>
      <c r="DT25" s="304"/>
      <c r="DU25" s="647" t="s">
        <v>552</v>
      </c>
      <c r="DV25" s="647" t="s">
        <v>1134</v>
      </c>
      <c r="DW25" s="647" t="s">
        <v>1134</v>
      </c>
      <c r="DX25" s="647" t="s">
        <v>1134</v>
      </c>
      <c r="DY25" s="647" t="s">
        <v>1134</v>
      </c>
      <c r="DZ25" s="647" t="s">
        <v>1134</v>
      </c>
      <c r="EA25" s="647" t="s">
        <v>1024</v>
      </c>
      <c r="EB25" s="647" t="s">
        <v>1135</v>
      </c>
      <c r="EC25" s="647" t="s">
        <v>1134</v>
      </c>
      <c r="ED25" s="647" t="s">
        <v>1136</v>
      </c>
    </row>
    <row r="26" spans="1:134" x14ac:dyDescent="0.2">
      <c r="A26" s="749" t="s">
        <v>959</v>
      </c>
      <c r="B26" s="146">
        <v>19</v>
      </c>
      <c r="C26" s="770">
        <v>0</v>
      </c>
      <c r="D26" s="772">
        <v>0</v>
      </c>
      <c r="E26" s="772">
        <v>0</v>
      </c>
      <c r="F26" s="772">
        <v>0</v>
      </c>
      <c r="G26" s="772">
        <v>0</v>
      </c>
      <c r="H26" s="786">
        <f t="shared" si="0"/>
        <v>0</v>
      </c>
      <c r="I26" s="806">
        <v>0</v>
      </c>
      <c r="J26" s="806">
        <v>0</v>
      </c>
      <c r="K26" s="807">
        <v>0</v>
      </c>
      <c r="L26" s="802">
        <v>0</v>
      </c>
      <c r="M26" s="803">
        <v>0</v>
      </c>
      <c r="N26" s="803">
        <v>0</v>
      </c>
      <c r="O26" s="808">
        <v>0</v>
      </c>
      <c r="P26" s="803">
        <v>0</v>
      </c>
      <c r="Q26" s="781">
        <v>0</v>
      </c>
      <c r="R26" s="803">
        <v>0</v>
      </c>
      <c r="S26" s="803">
        <v>0</v>
      </c>
      <c r="T26" s="803">
        <v>0</v>
      </c>
      <c r="U26" s="809">
        <v>0</v>
      </c>
      <c r="V26" s="772">
        <v>0</v>
      </c>
      <c r="W26" s="783">
        <v>0</v>
      </c>
      <c r="X26" s="803">
        <v>0</v>
      </c>
      <c r="Y26" s="803">
        <v>0</v>
      </c>
      <c r="Z26" s="802">
        <v>0</v>
      </c>
      <c r="AA26" s="803">
        <v>0</v>
      </c>
      <c r="AB26" s="803">
        <v>0</v>
      </c>
      <c r="AC26" s="803">
        <v>0</v>
      </c>
      <c r="AD26" s="808">
        <v>0</v>
      </c>
      <c r="AE26" s="803">
        <v>0</v>
      </c>
      <c r="AF26" s="771">
        <f t="shared" si="1"/>
        <v>0</v>
      </c>
      <c r="AG26" s="805">
        <f t="shared" si="2"/>
        <v>0</v>
      </c>
      <c r="AH26" s="1084">
        <f t="shared" si="3"/>
        <v>0</v>
      </c>
      <c r="AI26" s="132" t="str">
        <f t="shared" si="4"/>
        <v xml:space="preserve"> </v>
      </c>
      <c r="AS26" s="139" t="s">
        <v>1026</v>
      </c>
      <c r="AT26" s="139" t="s">
        <v>1027</v>
      </c>
      <c r="DS26" s="304"/>
      <c r="DT26" s="304"/>
      <c r="DU26" s="647" t="s">
        <v>552</v>
      </c>
      <c r="DV26" s="647" t="s">
        <v>1134</v>
      </c>
      <c r="DW26" s="647" t="s">
        <v>1134</v>
      </c>
      <c r="DX26" s="647" t="s">
        <v>1134</v>
      </c>
      <c r="DY26" s="647" t="s">
        <v>1134</v>
      </c>
      <c r="DZ26" s="647" t="s">
        <v>1134</v>
      </c>
      <c r="EA26" s="647" t="s">
        <v>1026</v>
      </c>
      <c r="EB26" s="647" t="s">
        <v>1135</v>
      </c>
      <c r="EC26" s="647" t="s">
        <v>1134</v>
      </c>
      <c r="ED26" s="647" t="s">
        <v>1136</v>
      </c>
    </row>
    <row r="27" spans="1:134" ht="12.75" customHeight="1" x14ac:dyDescent="0.2">
      <c r="A27" s="749" t="s">
        <v>595</v>
      </c>
      <c r="B27" s="146">
        <v>20</v>
      </c>
      <c r="C27" s="770">
        <v>0</v>
      </c>
      <c r="D27" s="770">
        <v>0</v>
      </c>
      <c r="E27" s="770">
        <v>0</v>
      </c>
      <c r="F27" s="770">
        <v>0</v>
      </c>
      <c r="G27" s="770">
        <v>0</v>
      </c>
      <c r="H27" s="786">
        <f t="shared" si="0"/>
        <v>0</v>
      </c>
      <c r="I27" s="776">
        <v>0</v>
      </c>
      <c r="J27" s="776">
        <v>0</v>
      </c>
      <c r="K27" s="801">
        <v>0</v>
      </c>
      <c r="L27" s="802">
        <v>0</v>
      </c>
      <c r="M27" s="803">
        <v>0</v>
      </c>
      <c r="N27" s="778">
        <v>0</v>
      </c>
      <c r="O27" s="782">
        <v>0</v>
      </c>
      <c r="P27" s="803">
        <v>0</v>
      </c>
      <c r="Q27" s="781">
        <v>0</v>
      </c>
      <c r="R27" s="803">
        <v>0</v>
      </c>
      <c r="S27" s="778">
        <v>0</v>
      </c>
      <c r="T27" s="778">
        <v>0</v>
      </c>
      <c r="U27" s="804">
        <v>0</v>
      </c>
      <c r="V27" s="772">
        <v>0</v>
      </c>
      <c r="W27" s="783">
        <v>0</v>
      </c>
      <c r="X27" s="803">
        <v>0</v>
      </c>
      <c r="Y27" s="778">
        <v>0</v>
      </c>
      <c r="Z27" s="802">
        <v>0</v>
      </c>
      <c r="AA27" s="803">
        <v>0</v>
      </c>
      <c r="AB27" s="803">
        <v>0</v>
      </c>
      <c r="AC27" s="778">
        <v>0</v>
      </c>
      <c r="AD27" s="782">
        <v>0</v>
      </c>
      <c r="AE27" s="803">
        <v>0</v>
      </c>
      <c r="AF27" s="771">
        <f t="shared" si="1"/>
        <v>0</v>
      </c>
      <c r="AG27" s="805">
        <f t="shared" si="2"/>
        <v>0</v>
      </c>
      <c r="AH27" s="1084">
        <f t="shared" si="3"/>
        <v>0</v>
      </c>
      <c r="AI27" s="132" t="str">
        <f t="shared" si="4"/>
        <v xml:space="preserve"> </v>
      </c>
      <c r="AS27" s="139" t="s">
        <v>537</v>
      </c>
      <c r="AT27" s="139" t="s">
        <v>538</v>
      </c>
      <c r="DS27" s="304"/>
      <c r="DT27" s="304"/>
      <c r="DU27" s="647" t="s">
        <v>552</v>
      </c>
      <c r="DV27" s="647" t="s">
        <v>1134</v>
      </c>
      <c r="DW27" s="647" t="s">
        <v>1134</v>
      </c>
      <c r="DX27" s="647" t="s">
        <v>1134</v>
      </c>
      <c r="DY27" s="647" t="s">
        <v>1134</v>
      </c>
      <c r="DZ27" s="647" t="s">
        <v>1134</v>
      </c>
      <c r="EA27" s="647" t="s">
        <v>537</v>
      </c>
      <c r="EB27" s="647" t="s">
        <v>1135</v>
      </c>
      <c r="EC27" s="647" t="s">
        <v>1134</v>
      </c>
      <c r="ED27" s="647" t="s">
        <v>1136</v>
      </c>
    </row>
    <row r="28" spans="1:134" ht="12.75" customHeight="1" x14ac:dyDescent="0.2">
      <c r="A28" s="749" t="s">
        <v>1424</v>
      </c>
      <c r="B28" s="146">
        <v>21</v>
      </c>
      <c r="C28" s="770">
        <v>0</v>
      </c>
      <c r="D28" s="770">
        <v>0</v>
      </c>
      <c r="E28" s="770">
        <v>0</v>
      </c>
      <c r="F28" s="770">
        <v>0</v>
      </c>
      <c r="G28" s="770">
        <v>0</v>
      </c>
      <c r="H28" s="786">
        <f t="shared" si="0"/>
        <v>0</v>
      </c>
      <c r="I28" s="776">
        <v>0</v>
      </c>
      <c r="J28" s="776">
        <v>0</v>
      </c>
      <c r="K28" s="801">
        <v>0</v>
      </c>
      <c r="L28" s="802">
        <v>0</v>
      </c>
      <c r="M28" s="803">
        <v>0</v>
      </c>
      <c r="N28" s="778">
        <v>0</v>
      </c>
      <c r="O28" s="782">
        <v>0</v>
      </c>
      <c r="P28" s="803">
        <v>0</v>
      </c>
      <c r="Q28" s="781">
        <v>0</v>
      </c>
      <c r="R28" s="803">
        <v>0</v>
      </c>
      <c r="S28" s="778">
        <v>0</v>
      </c>
      <c r="T28" s="778">
        <v>0</v>
      </c>
      <c r="U28" s="804">
        <v>0</v>
      </c>
      <c r="V28" s="772">
        <v>0</v>
      </c>
      <c r="W28" s="783">
        <v>0</v>
      </c>
      <c r="X28" s="803">
        <v>0</v>
      </c>
      <c r="Y28" s="778">
        <v>0</v>
      </c>
      <c r="Z28" s="802">
        <v>0</v>
      </c>
      <c r="AA28" s="803">
        <v>0</v>
      </c>
      <c r="AB28" s="803">
        <v>0</v>
      </c>
      <c r="AC28" s="778">
        <v>0</v>
      </c>
      <c r="AD28" s="782">
        <v>0</v>
      </c>
      <c r="AE28" s="803">
        <v>0</v>
      </c>
      <c r="AF28" s="771">
        <f t="shared" si="1"/>
        <v>0</v>
      </c>
      <c r="AG28" s="805">
        <f t="shared" si="2"/>
        <v>0</v>
      </c>
      <c r="AH28" s="1084"/>
      <c r="AI28" s="132"/>
      <c r="AS28" s="1097" t="s">
        <v>1428</v>
      </c>
      <c r="AT28" s="1098" t="s">
        <v>1429</v>
      </c>
      <c r="DS28" s="304"/>
      <c r="DT28" s="304"/>
      <c r="DU28" s="647" t="s">
        <v>552</v>
      </c>
      <c r="DV28" s="647" t="s">
        <v>1134</v>
      </c>
      <c r="DW28" s="647" t="s">
        <v>1134</v>
      </c>
      <c r="DX28" s="647" t="s">
        <v>1134</v>
      </c>
      <c r="DY28" s="647" t="s">
        <v>1134</v>
      </c>
      <c r="DZ28" s="647" t="s">
        <v>1134</v>
      </c>
      <c r="EA28" s="647" t="s">
        <v>1428</v>
      </c>
      <c r="EB28" s="647" t="s">
        <v>1135</v>
      </c>
      <c r="EC28" s="647" t="s">
        <v>1134</v>
      </c>
      <c r="ED28" s="647" t="s">
        <v>1136</v>
      </c>
    </row>
    <row r="29" spans="1:134" x14ac:dyDescent="0.2">
      <c r="A29" s="749" t="s">
        <v>19</v>
      </c>
      <c r="B29" s="146">
        <v>22</v>
      </c>
      <c r="C29" s="770">
        <v>538.86599999999999</v>
      </c>
      <c r="D29" s="770">
        <v>0</v>
      </c>
      <c r="E29" s="770">
        <v>0</v>
      </c>
      <c r="F29" s="770">
        <v>5.1429999999999998</v>
      </c>
      <c r="G29" s="770">
        <v>0</v>
      </c>
      <c r="H29" s="786">
        <f t="shared" si="0"/>
        <v>544.00900000000001</v>
      </c>
      <c r="I29" s="776">
        <v>0</v>
      </c>
      <c r="J29" s="776">
        <v>0</v>
      </c>
      <c r="K29" s="801">
        <v>47.45</v>
      </c>
      <c r="L29" s="802">
        <v>13.393000000000001</v>
      </c>
      <c r="M29" s="803">
        <v>0</v>
      </c>
      <c r="N29" s="778">
        <v>13.393000000000001</v>
      </c>
      <c r="O29" s="782">
        <v>0</v>
      </c>
      <c r="P29" s="803">
        <v>0</v>
      </c>
      <c r="Q29" s="781">
        <v>0</v>
      </c>
      <c r="R29" s="803">
        <v>0</v>
      </c>
      <c r="S29" s="778">
        <v>0</v>
      </c>
      <c r="T29" s="778">
        <v>0</v>
      </c>
      <c r="U29" s="804">
        <v>0</v>
      </c>
      <c r="V29" s="772">
        <v>0</v>
      </c>
      <c r="W29" s="783">
        <v>0</v>
      </c>
      <c r="X29" s="803">
        <v>0</v>
      </c>
      <c r="Y29" s="778">
        <v>0</v>
      </c>
      <c r="Z29" s="802">
        <v>20.736999999999998</v>
      </c>
      <c r="AA29" s="803">
        <v>8.8309999999999995</v>
      </c>
      <c r="AB29" s="803">
        <v>0</v>
      </c>
      <c r="AC29" s="778">
        <v>11.906000000000001</v>
      </c>
      <c r="AD29" s="782">
        <v>0</v>
      </c>
      <c r="AE29" s="803">
        <v>1.4359999999999999</v>
      </c>
      <c r="AF29" s="771">
        <f t="shared" si="1"/>
        <v>83.016000000000005</v>
      </c>
      <c r="AG29" s="805">
        <f t="shared" si="2"/>
        <v>627.02499999999998</v>
      </c>
      <c r="AH29" s="1084">
        <f t="shared" si="3"/>
        <v>0</v>
      </c>
      <c r="AI29" s="132" t="str">
        <f t="shared" si="4"/>
        <v xml:space="preserve"> </v>
      </c>
      <c r="AS29" s="139" t="s">
        <v>429</v>
      </c>
      <c r="AT29" s="139" t="s">
        <v>430</v>
      </c>
      <c r="DS29" s="304"/>
      <c r="DT29" s="304"/>
      <c r="DU29" s="647" t="s">
        <v>552</v>
      </c>
      <c r="DV29" s="647" t="s">
        <v>1134</v>
      </c>
      <c r="DW29" s="647" t="s">
        <v>1134</v>
      </c>
      <c r="DX29" s="647" t="s">
        <v>1134</v>
      </c>
      <c r="DY29" s="647" t="s">
        <v>1134</v>
      </c>
      <c r="DZ29" s="647" t="s">
        <v>1134</v>
      </c>
      <c r="EA29" s="647" t="s">
        <v>429</v>
      </c>
      <c r="EB29" s="647" t="s">
        <v>1135</v>
      </c>
      <c r="EC29" s="647" t="s">
        <v>1134</v>
      </c>
      <c r="ED29" s="647" t="s">
        <v>1136</v>
      </c>
    </row>
    <row r="30" spans="1:134" ht="12.75" customHeight="1" x14ac:dyDescent="0.2">
      <c r="A30" s="749" t="s">
        <v>960</v>
      </c>
      <c r="B30" s="146">
        <v>23</v>
      </c>
      <c r="C30" s="770">
        <v>0</v>
      </c>
      <c r="D30" s="770">
        <v>0</v>
      </c>
      <c r="E30" s="770">
        <v>0</v>
      </c>
      <c r="F30" s="770">
        <v>0</v>
      </c>
      <c r="G30" s="770">
        <v>0</v>
      </c>
      <c r="H30" s="786">
        <f t="shared" si="0"/>
        <v>0</v>
      </c>
      <c r="I30" s="776">
        <v>0</v>
      </c>
      <c r="J30" s="776">
        <v>0</v>
      </c>
      <c r="K30" s="801">
        <v>0</v>
      </c>
      <c r="L30" s="802">
        <v>0</v>
      </c>
      <c r="M30" s="803">
        <v>0</v>
      </c>
      <c r="N30" s="778">
        <v>0</v>
      </c>
      <c r="O30" s="782">
        <v>0</v>
      </c>
      <c r="P30" s="803">
        <v>0</v>
      </c>
      <c r="Q30" s="781">
        <v>0</v>
      </c>
      <c r="R30" s="803">
        <v>0</v>
      </c>
      <c r="S30" s="778">
        <v>0</v>
      </c>
      <c r="T30" s="778">
        <v>0</v>
      </c>
      <c r="U30" s="804">
        <v>0</v>
      </c>
      <c r="V30" s="772">
        <v>0</v>
      </c>
      <c r="W30" s="783">
        <v>0</v>
      </c>
      <c r="X30" s="803">
        <v>0</v>
      </c>
      <c r="Y30" s="778">
        <v>0</v>
      </c>
      <c r="Z30" s="802">
        <v>0</v>
      </c>
      <c r="AA30" s="803">
        <v>0</v>
      </c>
      <c r="AB30" s="803">
        <v>0</v>
      </c>
      <c r="AC30" s="778">
        <v>0</v>
      </c>
      <c r="AD30" s="782">
        <v>0</v>
      </c>
      <c r="AE30" s="803">
        <v>0</v>
      </c>
      <c r="AF30" s="771">
        <f t="shared" si="1"/>
        <v>0</v>
      </c>
      <c r="AG30" s="805">
        <f t="shared" si="2"/>
        <v>0</v>
      </c>
      <c r="AH30" s="1084">
        <f t="shared" si="3"/>
        <v>0</v>
      </c>
      <c r="AI30" s="132" t="str">
        <f t="shared" si="4"/>
        <v xml:space="preserve"> </v>
      </c>
      <c r="AS30" s="139" t="s">
        <v>1028</v>
      </c>
      <c r="AT30" s="139" t="s">
        <v>1029</v>
      </c>
      <c r="DS30" s="304"/>
      <c r="DT30" s="304"/>
      <c r="DU30" s="647" t="s">
        <v>552</v>
      </c>
      <c r="DV30" s="647" t="s">
        <v>1134</v>
      </c>
      <c r="DW30" s="647" t="s">
        <v>1134</v>
      </c>
      <c r="DX30" s="647" t="s">
        <v>1134</v>
      </c>
      <c r="DY30" s="647" t="s">
        <v>1134</v>
      </c>
      <c r="DZ30" s="647" t="s">
        <v>1134</v>
      </c>
      <c r="EA30" s="647" t="s">
        <v>1028</v>
      </c>
      <c r="EB30" s="647" t="s">
        <v>1135</v>
      </c>
      <c r="EC30" s="647" t="s">
        <v>1134</v>
      </c>
      <c r="ED30" s="647" t="s">
        <v>1136</v>
      </c>
    </row>
    <row r="31" spans="1:134" x14ac:dyDescent="0.2">
      <c r="A31" s="749" t="s">
        <v>600</v>
      </c>
      <c r="B31" s="146">
        <v>24</v>
      </c>
      <c r="C31" s="770">
        <v>0</v>
      </c>
      <c r="D31" s="770">
        <v>0</v>
      </c>
      <c r="E31" s="770">
        <v>0</v>
      </c>
      <c r="F31" s="770">
        <v>0</v>
      </c>
      <c r="G31" s="770">
        <v>0</v>
      </c>
      <c r="H31" s="786">
        <f t="shared" si="0"/>
        <v>0</v>
      </c>
      <c r="I31" s="776">
        <v>0</v>
      </c>
      <c r="J31" s="776">
        <v>0</v>
      </c>
      <c r="K31" s="801">
        <v>0</v>
      </c>
      <c r="L31" s="802">
        <v>0</v>
      </c>
      <c r="M31" s="803">
        <v>0</v>
      </c>
      <c r="N31" s="778">
        <v>0</v>
      </c>
      <c r="O31" s="782">
        <v>0</v>
      </c>
      <c r="P31" s="803">
        <v>0</v>
      </c>
      <c r="Q31" s="781">
        <v>0</v>
      </c>
      <c r="R31" s="803">
        <v>0</v>
      </c>
      <c r="S31" s="778">
        <v>0</v>
      </c>
      <c r="T31" s="778">
        <v>0</v>
      </c>
      <c r="U31" s="804">
        <v>0</v>
      </c>
      <c r="V31" s="772">
        <v>0</v>
      </c>
      <c r="W31" s="783">
        <v>0</v>
      </c>
      <c r="X31" s="803">
        <v>0</v>
      </c>
      <c r="Y31" s="778">
        <v>0</v>
      </c>
      <c r="Z31" s="802">
        <v>0</v>
      </c>
      <c r="AA31" s="803">
        <v>0</v>
      </c>
      <c r="AB31" s="803">
        <v>0</v>
      </c>
      <c r="AC31" s="778">
        <v>0</v>
      </c>
      <c r="AD31" s="782">
        <v>0</v>
      </c>
      <c r="AE31" s="803">
        <v>4.2000000000000003E-2</v>
      </c>
      <c r="AF31" s="771">
        <f t="shared" si="1"/>
        <v>4.2000000000000003E-2</v>
      </c>
      <c r="AG31" s="805">
        <f t="shared" si="2"/>
        <v>4.2000000000000003E-2</v>
      </c>
      <c r="AH31" s="1084">
        <f t="shared" si="3"/>
        <v>0</v>
      </c>
      <c r="AI31" s="132" t="str">
        <f t="shared" si="4"/>
        <v xml:space="preserve"> </v>
      </c>
      <c r="AS31" s="139" t="s">
        <v>431</v>
      </c>
      <c r="AT31" s="139" t="s">
        <v>432</v>
      </c>
      <c r="DS31" s="304"/>
      <c r="DT31" s="304"/>
      <c r="DU31" s="647" t="s">
        <v>552</v>
      </c>
      <c r="DV31" s="647" t="s">
        <v>1134</v>
      </c>
      <c r="DW31" s="647" t="s">
        <v>1134</v>
      </c>
      <c r="DX31" s="647" t="s">
        <v>1134</v>
      </c>
      <c r="DY31" s="647" t="s">
        <v>1134</v>
      </c>
      <c r="DZ31" s="647" t="s">
        <v>1134</v>
      </c>
      <c r="EA31" s="647" t="s">
        <v>431</v>
      </c>
      <c r="EB31" s="647" t="s">
        <v>1135</v>
      </c>
      <c r="EC31" s="647" t="s">
        <v>1134</v>
      </c>
      <c r="ED31" s="647" t="s">
        <v>1136</v>
      </c>
    </row>
    <row r="32" spans="1:134" ht="12.75" customHeight="1" x14ac:dyDescent="0.2">
      <c r="A32" s="749" t="s">
        <v>20</v>
      </c>
      <c r="B32" s="146">
        <v>25</v>
      </c>
      <c r="C32" s="770">
        <v>0</v>
      </c>
      <c r="D32" s="770">
        <v>0</v>
      </c>
      <c r="E32" s="770">
        <v>0</v>
      </c>
      <c r="F32" s="770">
        <v>0</v>
      </c>
      <c r="G32" s="770">
        <v>0</v>
      </c>
      <c r="H32" s="786">
        <f t="shared" si="0"/>
        <v>0</v>
      </c>
      <c r="I32" s="776">
        <v>0</v>
      </c>
      <c r="J32" s="776">
        <v>0</v>
      </c>
      <c r="K32" s="801">
        <v>0</v>
      </c>
      <c r="L32" s="802">
        <v>0</v>
      </c>
      <c r="M32" s="803">
        <v>0</v>
      </c>
      <c r="N32" s="778">
        <v>0</v>
      </c>
      <c r="O32" s="782">
        <v>0</v>
      </c>
      <c r="P32" s="803">
        <v>0</v>
      </c>
      <c r="Q32" s="781">
        <v>0</v>
      </c>
      <c r="R32" s="803">
        <v>0</v>
      </c>
      <c r="S32" s="778">
        <v>0</v>
      </c>
      <c r="T32" s="778">
        <v>0</v>
      </c>
      <c r="U32" s="804">
        <v>0</v>
      </c>
      <c r="V32" s="772">
        <v>0</v>
      </c>
      <c r="W32" s="783">
        <v>0</v>
      </c>
      <c r="X32" s="803">
        <v>0</v>
      </c>
      <c r="Y32" s="778">
        <v>0</v>
      </c>
      <c r="Z32" s="802">
        <v>10.099</v>
      </c>
      <c r="AA32" s="803">
        <v>4.3010000000000002</v>
      </c>
      <c r="AB32" s="803">
        <v>0</v>
      </c>
      <c r="AC32" s="778">
        <v>5.798</v>
      </c>
      <c r="AD32" s="782">
        <v>0</v>
      </c>
      <c r="AE32" s="803">
        <v>0.68500000000000005</v>
      </c>
      <c r="AF32" s="771">
        <f t="shared" si="1"/>
        <v>10.784000000000001</v>
      </c>
      <c r="AG32" s="805">
        <f t="shared" si="2"/>
        <v>10.784000000000001</v>
      </c>
      <c r="AH32" s="1084">
        <f t="shared" si="3"/>
        <v>0</v>
      </c>
      <c r="AI32" s="132" t="str">
        <f t="shared" si="4"/>
        <v xml:space="preserve"> </v>
      </c>
      <c r="AS32" s="139" t="s">
        <v>433</v>
      </c>
      <c r="AT32" s="139" t="s">
        <v>434</v>
      </c>
      <c r="DS32" s="304"/>
      <c r="DT32" s="304"/>
      <c r="DU32" s="647" t="s">
        <v>552</v>
      </c>
      <c r="DV32" s="647" t="s">
        <v>1134</v>
      </c>
      <c r="DW32" s="647" t="s">
        <v>1134</v>
      </c>
      <c r="DX32" s="647" t="s">
        <v>1134</v>
      </c>
      <c r="DY32" s="647" t="s">
        <v>1134</v>
      </c>
      <c r="DZ32" s="647" t="s">
        <v>1134</v>
      </c>
      <c r="EA32" s="647" t="s">
        <v>433</v>
      </c>
      <c r="EB32" s="647" t="s">
        <v>1135</v>
      </c>
      <c r="EC32" s="647" t="s">
        <v>1134</v>
      </c>
      <c r="ED32" s="647" t="s">
        <v>1136</v>
      </c>
    </row>
    <row r="33" spans="1:134" x14ac:dyDescent="0.2">
      <c r="A33" s="749" t="s">
        <v>961</v>
      </c>
      <c r="B33" s="146">
        <v>26</v>
      </c>
      <c r="C33" s="770">
        <v>0</v>
      </c>
      <c r="D33" s="770">
        <v>0</v>
      </c>
      <c r="E33" s="770">
        <v>0</v>
      </c>
      <c r="F33" s="770">
        <v>0</v>
      </c>
      <c r="G33" s="770">
        <v>0</v>
      </c>
      <c r="H33" s="786">
        <f t="shared" si="0"/>
        <v>0</v>
      </c>
      <c r="I33" s="776">
        <v>0</v>
      </c>
      <c r="J33" s="776">
        <v>0</v>
      </c>
      <c r="K33" s="801">
        <v>0</v>
      </c>
      <c r="L33" s="802">
        <v>0</v>
      </c>
      <c r="M33" s="803">
        <v>0</v>
      </c>
      <c r="N33" s="778">
        <v>0</v>
      </c>
      <c r="O33" s="782">
        <v>0</v>
      </c>
      <c r="P33" s="803">
        <v>0</v>
      </c>
      <c r="Q33" s="781">
        <v>0</v>
      </c>
      <c r="R33" s="803">
        <v>0</v>
      </c>
      <c r="S33" s="778">
        <v>0</v>
      </c>
      <c r="T33" s="778">
        <v>0</v>
      </c>
      <c r="U33" s="804">
        <v>0</v>
      </c>
      <c r="V33" s="772">
        <v>0</v>
      </c>
      <c r="W33" s="783">
        <v>0</v>
      </c>
      <c r="X33" s="803">
        <v>0</v>
      </c>
      <c r="Y33" s="778">
        <v>0</v>
      </c>
      <c r="Z33" s="802">
        <v>0</v>
      </c>
      <c r="AA33" s="803">
        <v>0</v>
      </c>
      <c r="AB33" s="803">
        <v>0</v>
      </c>
      <c r="AC33" s="778">
        <v>0</v>
      </c>
      <c r="AD33" s="782">
        <v>0</v>
      </c>
      <c r="AE33" s="803">
        <v>0</v>
      </c>
      <c r="AF33" s="771">
        <f t="shared" si="1"/>
        <v>0</v>
      </c>
      <c r="AG33" s="805">
        <f t="shared" si="2"/>
        <v>0</v>
      </c>
      <c r="AH33" s="1084">
        <f t="shared" si="3"/>
        <v>0</v>
      </c>
      <c r="AI33" s="132" t="str">
        <f t="shared" si="4"/>
        <v xml:space="preserve"> </v>
      </c>
      <c r="AS33" s="139" t="s">
        <v>1030</v>
      </c>
      <c r="AT33" s="139" t="s">
        <v>1031</v>
      </c>
      <c r="DS33" s="304"/>
      <c r="DT33" s="304"/>
      <c r="DU33" s="647" t="s">
        <v>552</v>
      </c>
      <c r="DV33" s="647" t="s">
        <v>1134</v>
      </c>
      <c r="DW33" s="647" t="s">
        <v>1134</v>
      </c>
      <c r="DX33" s="647" t="s">
        <v>1134</v>
      </c>
      <c r="DY33" s="647" t="s">
        <v>1134</v>
      </c>
      <c r="DZ33" s="647" t="s">
        <v>1134</v>
      </c>
      <c r="EA33" s="647" t="s">
        <v>1030</v>
      </c>
      <c r="EB33" s="647" t="s">
        <v>1135</v>
      </c>
      <c r="EC33" s="647" t="s">
        <v>1134</v>
      </c>
      <c r="ED33" s="647" t="s">
        <v>1136</v>
      </c>
    </row>
    <row r="34" spans="1:134" ht="12.75" customHeight="1" x14ac:dyDescent="0.2">
      <c r="A34" s="749" t="s">
        <v>21</v>
      </c>
      <c r="B34" s="146">
        <v>27</v>
      </c>
      <c r="C34" s="770">
        <v>67.066999999999993</v>
      </c>
      <c r="D34" s="770">
        <v>0</v>
      </c>
      <c r="E34" s="770">
        <v>0</v>
      </c>
      <c r="F34" s="770">
        <v>0</v>
      </c>
      <c r="G34" s="770">
        <v>0</v>
      </c>
      <c r="H34" s="786">
        <f t="shared" si="0"/>
        <v>67.066999999999993</v>
      </c>
      <c r="I34" s="776">
        <v>0</v>
      </c>
      <c r="J34" s="776">
        <v>0</v>
      </c>
      <c r="K34" s="801">
        <v>0</v>
      </c>
      <c r="L34" s="802">
        <v>0</v>
      </c>
      <c r="M34" s="803">
        <v>0</v>
      </c>
      <c r="N34" s="778">
        <v>0</v>
      </c>
      <c r="O34" s="782">
        <v>0</v>
      </c>
      <c r="P34" s="803">
        <v>0</v>
      </c>
      <c r="Q34" s="781">
        <v>0</v>
      </c>
      <c r="R34" s="803">
        <v>0</v>
      </c>
      <c r="S34" s="778">
        <v>0</v>
      </c>
      <c r="T34" s="778">
        <v>0</v>
      </c>
      <c r="U34" s="804">
        <v>0</v>
      </c>
      <c r="V34" s="772">
        <v>0</v>
      </c>
      <c r="W34" s="783">
        <v>0</v>
      </c>
      <c r="X34" s="803">
        <v>0</v>
      </c>
      <c r="Y34" s="778">
        <v>0</v>
      </c>
      <c r="Z34" s="802">
        <v>0</v>
      </c>
      <c r="AA34" s="803">
        <v>0</v>
      </c>
      <c r="AB34" s="803">
        <v>0</v>
      </c>
      <c r="AC34" s="778">
        <v>0</v>
      </c>
      <c r="AD34" s="782">
        <v>0</v>
      </c>
      <c r="AE34" s="803">
        <v>0</v>
      </c>
      <c r="AF34" s="771">
        <f t="shared" si="1"/>
        <v>0</v>
      </c>
      <c r="AG34" s="805">
        <f t="shared" si="2"/>
        <v>67.066999999999993</v>
      </c>
      <c r="AH34" s="1084">
        <f t="shared" si="3"/>
        <v>0</v>
      </c>
      <c r="AI34" s="132" t="str">
        <f t="shared" si="4"/>
        <v xml:space="preserve"> </v>
      </c>
      <c r="AS34" s="139" t="s">
        <v>435</v>
      </c>
      <c r="AT34" s="139" t="s">
        <v>436</v>
      </c>
      <c r="DS34" s="304"/>
      <c r="DT34" s="304"/>
      <c r="DU34" s="647" t="s">
        <v>552</v>
      </c>
      <c r="DV34" s="647" t="s">
        <v>1134</v>
      </c>
      <c r="DW34" s="647" t="s">
        <v>1134</v>
      </c>
      <c r="DX34" s="647" t="s">
        <v>1134</v>
      </c>
      <c r="DY34" s="647" t="s">
        <v>1134</v>
      </c>
      <c r="DZ34" s="647" t="s">
        <v>1134</v>
      </c>
      <c r="EA34" s="647" t="s">
        <v>435</v>
      </c>
      <c r="EB34" s="647" t="s">
        <v>1135</v>
      </c>
      <c r="EC34" s="647" t="s">
        <v>1134</v>
      </c>
      <c r="ED34" s="647" t="s">
        <v>1136</v>
      </c>
    </row>
    <row r="35" spans="1:134" x14ac:dyDescent="0.2">
      <c r="A35" s="749" t="s">
        <v>22</v>
      </c>
      <c r="B35" s="146">
        <v>28</v>
      </c>
      <c r="C35" s="770">
        <v>54.49</v>
      </c>
      <c r="D35" s="770">
        <v>0</v>
      </c>
      <c r="E35" s="770">
        <v>0</v>
      </c>
      <c r="F35" s="770">
        <v>0</v>
      </c>
      <c r="G35" s="770">
        <v>0</v>
      </c>
      <c r="H35" s="786">
        <f t="shared" si="0"/>
        <v>54.49</v>
      </c>
      <c r="I35" s="776">
        <v>0</v>
      </c>
      <c r="J35" s="776">
        <v>0</v>
      </c>
      <c r="K35" s="801">
        <v>0</v>
      </c>
      <c r="L35" s="802">
        <v>0</v>
      </c>
      <c r="M35" s="803">
        <v>0</v>
      </c>
      <c r="N35" s="778">
        <v>0</v>
      </c>
      <c r="O35" s="782">
        <v>0</v>
      </c>
      <c r="P35" s="803">
        <v>0</v>
      </c>
      <c r="Q35" s="781">
        <v>3.9E-2</v>
      </c>
      <c r="R35" s="803">
        <v>0</v>
      </c>
      <c r="S35" s="778">
        <v>3.9E-2</v>
      </c>
      <c r="T35" s="778">
        <v>0</v>
      </c>
      <c r="U35" s="804">
        <v>40.020000000000003</v>
      </c>
      <c r="V35" s="772">
        <v>46.941000000000003</v>
      </c>
      <c r="W35" s="783">
        <v>86.960999999999999</v>
      </c>
      <c r="X35" s="803">
        <v>0</v>
      </c>
      <c r="Y35" s="778">
        <v>86.960999999999999</v>
      </c>
      <c r="Z35" s="802">
        <v>0</v>
      </c>
      <c r="AA35" s="803">
        <v>0</v>
      </c>
      <c r="AB35" s="803">
        <v>0</v>
      </c>
      <c r="AC35" s="778">
        <v>0</v>
      </c>
      <c r="AD35" s="782">
        <v>0</v>
      </c>
      <c r="AE35" s="803">
        <v>12.775</v>
      </c>
      <c r="AF35" s="771">
        <f t="shared" si="1"/>
        <v>99.775000000000006</v>
      </c>
      <c r="AG35" s="805">
        <f t="shared" si="2"/>
        <v>154.26499999999999</v>
      </c>
      <c r="AH35" s="1084">
        <f t="shared" si="3"/>
        <v>0</v>
      </c>
      <c r="AI35" s="132" t="str">
        <f t="shared" si="4"/>
        <v xml:space="preserve"> </v>
      </c>
      <c r="AS35" s="139" t="s">
        <v>238</v>
      </c>
      <c r="AT35" s="139" t="s">
        <v>237</v>
      </c>
      <c r="DS35" s="304"/>
      <c r="DT35" s="304"/>
      <c r="DU35" s="647" t="s">
        <v>552</v>
      </c>
      <c r="DV35" s="647" t="s">
        <v>1134</v>
      </c>
      <c r="DW35" s="647" t="s">
        <v>1134</v>
      </c>
      <c r="DX35" s="647" t="s">
        <v>1134</v>
      </c>
      <c r="DY35" s="647" t="s">
        <v>1134</v>
      </c>
      <c r="DZ35" s="647" t="s">
        <v>1134</v>
      </c>
      <c r="EA35" s="647" t="s">
        <v>238</v>
      </c>
      <c r="EB35" s="647" t="s">
        <v>1135</v>
      </c>
      <c r="EC35" s="647" t="s">
        <v>1134</v>
      </c>
      <c r="ED35" s="647" t="s">
        <v>1136</v>
      </c>
    </row>
    <row r="36" spans="1:134" ht="12.75" customHeight="1" x14ac:dyDescent="0.2">
      <c r="A36" s="749" t="s">
        <v>962</v>
      </c>
      <c r="B36" s="146">
        <v>29</v>
      </c>
      <c r="C36" s="770">
        <v>0</v>
      </c>
      <c r="D36" s="770">
        <v>0</v>
      </c>
      <c r="E36" s="770">
        <v>0</v>
      </c>
      <c r="F36" s="770">
        <v>0</v>
      </c>
      <c r="G36" s="770">
        <v>0</v>
      </c>
      <c r="H36" s="786">
        <f t="shared" si="0"/>
        <v>0</v>
      </c>
      <c r="I36" s="776">
        <v>0</v>
      </c>
      <c r="J36" s="776">
        <v>0</v>
      </c>
      <c r="K36" s="801">
        <v>0</v>
      </c>
      <c r="L36" s="802">
        <v>0</v>
      </c>
      <c r="M36" s="803">
        <v>0</v>
      </c>
      <c r="N36" s="778">
        <v>0</v>
      </c>
      <c r="O36" s="782">
        <v>0</v>
      </c>
      <c r="P36" s="803">
        <v>0</v>
      </c>
      <c r="Q36" s="781">
        <v>0</v>
      </c>
      <c r="R36" s="803">
        <v>0</v>
      </c>
      <c r="S36" s="778">
        <v>0</v>
      </c>
      <c r="T36" s="778">
        <v>0</v>
      </c>
      <c r="U36" s="804">
        <v>0</v>
      </c>
      <c r="V36" s="772">
        <v>0</v>
      </c>
      <c r="W36" s="783">
        <v>0</v>
      </c>
      <c r="X36" s="803">
        <v>0</v>
      </c>
      <c r="Y36" s="778">
        <v>0</v>
      </c>
      <c r="Z36" s="802">
        <v>0</v>
      </c>
      <c r="AA36" s="803">
        <v>0</v>
      </c>
      <c r="AB36" s="803">
        <v>0</v>
      </c>
      <c r="AC36" s="778">
        <v>0</v>
      </c>
      <c r="AD36" s="782">
        <v>0</v>
      </c>
      <c r="AE36" s="803">
        <v>0</v>
      </c>
      <c r="AF36" s="771">
        <f t="shared" si="1"/>
        <v>0</v>
      </c>
      <c r="AG36" s="805">
        <f t="shared" si="2"/>
        <v>0</v>
      </c>
      <c r="AH36" s="1084">
        <f t="shared" si="3"/>
        <v>0</v>
      </c>
      <c r="AI36" s="132" t="str">
        <f t="shared" si="4"/>
        <v xml:space="preserve"> </v>
      </c>
      <c r="AS36" s="139" t="s">
        <v>1032</v>
      </c>
      <c r="AT36" s="139" t="s">
        <v>1033</v>
      </c>
      <c r="DS36" s="304"/>
      <c r="DT36" s="304"/>
      <c r="DU36" s="647" t="s">
        <v>552</v>
      </c>
      <c r="DV36" s="647" t="s">
        <v>1134</v>
      </c>
      <c r="DW36" s="647" t="s">
        <v>1134</v>
      </c>
      <c r="DX36" s="647" t="s">
        <v>1134</v>
      </c>
      <c r="DY36" s="647" t="s">
        <v>1134</v>
      </c>
      <c r="DZ36" s="647" t="s">
        <v>1134</v>
      </c>
      <c r="EA36" s="647" t="s">
        <v>1032</v>
      </c>
      <c r="EB36" s="647" t="s">
        <v>1135</v>
      </c>
      <c r="EC36" s="647" t="s">
        <v>1134</v>
      </c>
      <c r="ED36" s="647" t="s">
        <v>1136</v>
      </c>
    </row>
    <row r="37" spans="1:134" x14ac:dyDescent="0.2">
      <c r="A37" s="749" t="s">
        <v>613</v>
      </c>
      <c r="B37" s="146">
        <v>30</v>
      </c>
      <c r="C37" s="770">
        <v>0</v>
      </c>
      <c r="D37" s="770">
        <v>0</v>
      </c>
      <c r="E37" s="770">
        <v>0</v>
      </c>
      <c r="F37" s="770">
        <v>0</v>
      </c>
      <c r="G37" s="770">
        <v>0</v>
      </c>
      <c r="H37" s="786">
        <f t="shared" si="0"/>
        <v>0</v>
      </c>
      <c r="I37" s="776">
        <v>0</v>
      </c>
      <c r="J37" s="776">
        <v>0</v>
      </c>
      <c r="K37" s="801">
        <v>0</v>
      </c>
      <c r="L37" s="802">
        <v>0</v>
      </c>
      <c r="M37" s="803">
        <v>0</v>
      </c>
      <c r="N37" s="778">
        <v>0</v>
      </c>
      <c r="O37" s="782">
        <v>0</v>
      </c>
      <c r="P37" s="803">
        <v>0</v>
      </c>
      <c r="Q37" s="781">
        <v>0</v>
      </c>
      <c r="R37" s="803">
        <v>0</v>
      </c>
      <c r="S37" s="778">
        <v>0</v>
      </c>
      <c r="T37" s="778">
        <v>0</v>
      </c>
      <c r="U37" s="804">
        <v>0</v>
      </c>
      <c r="V37" s="772">
        <v>0</v>
      </c>
      <c r="W37" s="783">
        <v>0</v>
      </c>
      <c r="X37" s="803">
        <v>0</v>
      </c>
      <c r="Y37" s="778">
        <v>0</v>
      </c>
      <c r="Z37" s="802">
        <v>0</v>
      </c>
      <c r="AA37" s="803">
        <v>0</v>
      </c>
      <c r="AB37" s="803">
        <v>0</v>
      </c>
      <c r="AC37" s="778">
        <v>0</v>
      </c>
      <c r="AD37" s="782">
        <v>0</v>
      </c>
      <c r="AE37" s="803">
        <v>0</v>
      </c>
      <c r="AF37" s="771">
        <f t="shared" si="1"/>
        <v>0</v>
      </c>
      <c r="AG37" s="805">
        <f t="shared" si="2"/>
        <v>0</v>
      </c>
      <c r="AH37" s="1084">
        <f t="shared" si="3"/>
        <v>0</v>
      </c>
      <c r="AI37" s="132" t="str">
        <f t="shared" si="4"/>
        <v xml:space="preserve"> </v>
      </c>
      <c r="AS37" s="130" t="s">
        <v>617</v>
      </c>
      <c r="AT37" s="130" t="s">
        <v>618</v>
      </c>
      <c r="DS37" s="304"/>
      <c r="DT37" s="304"/>
      <c r="DU37" s="647" t="s">
        <v>552</v>
      </c>
      <c r="DV37" s="647" t="s">
        <v>1134</v>
      </c>
      <c r="DW37" s="647" t="s">
        <v>1134</v>
      </c>
      <c r="DX37" s="647" t="s">
        <v>1134</v>
      </c>
      <c r="DY37" s="647" t="s">
        <v>1134</v>
      </c>
      <c r="DZ37" s="647" t="s">
        <v>1134</v>
      </c>
      <c r="EA37" s="647" t="s">
        <v>617</v>
      </c>
      <c r="EB37" s="647" t="s">
        <v>1135</v>
      </c>
      <c r="EC37" s="647" t="s">
        <v>1134</v>
      </c>
      <c r="ED37" s="647" t="s">
        <v>1136</v>
      </c>
    </row>
    <row r="38" spans="1:134" ht="12.75" customHeight="1" x14ac:dyDescent="0.2">
      <c r="A38" s="749" t="s">
        <v>963</v>
      </c>
      <c r="B38" s="146">
        <v>31</v>
      </c>
      <c r="C38" s="770">
        <v>0</v>
      </c>
      <c r="D38" s="770">
        <v>0</v>
      </c>
      <c r="E38" s="770">
        <v>0</v>
      </c>
      <c r="F38" s="770">
        <v>21.36</v>
      </c>
      <c r="G38" s="770">
        <v>0</v>
      </c>
      <c r="H38" s="786">
        <f t="shared" si="0"/>
        <v>21.36</v>
      </c>
      <c r="I38" s="776">
        <v>0</v>
      </c>
      <c r="J38" s="776">
        <v>0</v>
      </c>
      <c r="K38" s="801">
        <v>1.86</v>
      </c>
      <c r="L38" s="802">
        <v>0.52500000000000002</v>
      </c>
      <c r="M38" s="803">
        <v>0</v>
      </c>
      <c r="N38" s="778">
        <v>0.52500000000000002</v>
      </c>
      <c r="O38" s="782">
        <v>0</v>
      </c>
      <c r="P38" s="803">
        <v>0</v>
      </c>
      <c r="Q38" s="781">
        <v>0</v>
      </c>
      <c r="R38" s="803">
        <v>0</v>
      </c>
      <c r="S38" s="778">
        <v>0</v>
      </c>
      <c r="T38" s="778">
        <v>0</v>
      </c>
      <c r="U38" s="804">
        <v>22.443000000000001</v>
      </c>
      <c r="V38" s="772">
        <v>26.323</v>
      </c>
      <c r="W38" s="783">
        <v>48.765999999999998</v>
      </c>
      <c r="X38" s="803">
        <v>0</v>
      </c>
      <c r="Y38" s="778">
        <v>48.765999999999998</v>
      </c>
      <c r="Z38" s="802">
        <v>0</v>
      </c>
      <c r="AA38" s="803">
        <v>0</v>
      </c>
      <c r="AB38" s="803">
        <v>0</v>
      </c>
      <c r="AC38" s="778">
        <v>0</v>
      </c>
      <c r="AD38" s="782">
        <v>0.151</v>
      </c>
      <c r="AE38" s="803">
        <v>10.714</v>
      </c>
      <c r="AF38" s="771">
        <f t="shared" si="1"/>
        <v>62.015999999999998</v>
      </c>
      <c r="AG38" s="805">
        <f t="shared" si="2"/>
        <v>83.376000000000005</v>
      </c>
      <c r="AH38" s="1084">
        <f t="shared" si="3"/>
        <v>0</v>
      </c>
      <c r="AI38" s="132" t="str">
        <f t="shared" si="4"/>
        <v xml:space="preserve"> </v>
      </c>
      <c r="AS38" s="139" t="s">
        <v>437</v>
      </c>
      <c r="AT38" s="139" t="s">
        <v>438</v>
      </c>
      <c r="DS38" s="304"/>
      <c r="DT38" s="304"/>
      <c r="DU38" s="647" t="s">
        <v>552</v>
      </c>
      <c r="DV38" s="647" t="s">
        <v>1134</v>
      </c>
      <c r="DW38" s="647" t="s">
        <v>1134</v>
      </c>
      <c r="DX38" s="647" t="s">
        <v>1134</v>
      </c>
      <c r="DY38" s="647" t="s">
        <v>1134</v>
      </c>
      <c r="DZ38" s="647" t="s">
        <v>1134</v>
      </c>
      <c r="EA38" s="647" t="s">
        <v>437</v>
      </c>
      <c r="EB38" s="647" t="s">
        <v>1135</v>
      </c>
      <c r="EC38" s="647" t="s">
        <v>1134</v>
      </c>
      <c r="ED38" s="647" t="s">
        <v>1136</v>
      </c>
    </row>
    <row r="39" spans="1:134" x14ac:dyDescent="0.2">
      <c r="A39" s="749" t="s">
        <v>23</v>
      </c>
      <c r="B39" s="146">
        <v>32</v>
      </c>
      <c r="C39" s="770">
        <v>0</v>
      </c>
      <c r="D39" s="770">
        <v>0</v>
      </c>
      <c r="E39" s="770">
        <v>0</v>
      </c>
      <c r="F39" s="770">
        <v>0</v>
      </c>
      <c r="G39" s="770">
        <v>0</v>
      </c>
      <c r="H39" s="786">
        <f t="shared" si="0"/>
        <v>0</v>
      </c>
      <c r="I39" s="776">
        <v>0</v>
      </c>
      <c r="J39" s="776">
        <v>0</v>
      </c>
      <c r="K39" s="801">
        <v>0</v>
      </c>
      <c r="L39" s="802">
        <v>0</v>
      </c>
      <c r="M39" s="803">
        <v>0</v>
      </c>
      <c r="N39" s="778">
        <v>0</v>
      </c>
      <c r="O39" s="782">
        <v>0</v>
      </c>
      <c r="P39" s="803">
        <v>0</v>
      </c>
      <c r="Q39" s="781">
        <v>0</v>
      </c>
      <c r="R39" s="803">
        <v>0</v>
      </c>
      <c r="S39" s="778">
        <v>0</v>
      </c>
      <c r="T39" s="778">
        <v>0</v>
      </c>
      <c r="U39" s="804">
        <v>0</v>
      </c>
      <c r="V39" s="772">
        <v>0</v>
      </c>
      <c r="W39" s="783">
        <v>0</v>
      </c>
      <c r="X39" s="803">
        <v>0</v>
      </c>
      <c r="Y39" s="778">
        <v>0</v>
      </c>
      <c r="Z39" s="802">
        <v>0</v>
      </c>
      <c r="AA39" s="803">
        <v>0</v>
      </c>
      <c r="AB39" s="803">
        <v>0</v>
      </c>
      <c r="AC39" s="778">
        <v>0</v>
      </c>
      <c r="AD39" s="782">
        <v>0</v>
      </c>
      <c r="AE39" s="803">
        <v>0</v>
      </c>
      <c r="AF39" s="771">
        <f t="shared" si="1"/>
        <v>0</v>
      </c>
      <c r="AG39" s="805">
        <f t="shared" si="2"/>
        <v>0</v>
      </c>
      <c r="AH39" s="1084">
        <f t="shared" si="3"/>
        <v>0</v>
      </c>
      <c r="AI39" s="132" t="str">
        <f t="shared" si="4"/>
        <v xml:space="preserve"> </v>
      </c>
      <c r="AS39" s="139" t="s">
        <v>439</v>
      </c>
      <c r="AT39" s="139" t="s">
        <v>440</v>
      </c>
      <c r="DS39" s="304"/>
      <c r="DT39" s="304"/>
      <c r="DU39" s="647" t="s">
        <v>552</v>
      </c>
      <c r="DV39" s="647" t="s">
        <v>1134</v>
      </c>
      <c r="DW39" s="647" t="s">
        <v>1134</v>
      </c>
      <c r="DX39" s="647" t="s">
        <v>1134</v>
      </c>
      <c r="DY39" s="647" t="s">
        <v>1134</v>
      </c>
      <c r="DZ39" s="647" t="s">
        <v>1134</v>
      </c>
      <c r="EA39" s="647" t="s">
        <v>439</v>
      </c>
      <c r="EB39" s="647" t="s">
        <v>1135</v>
      </c>
      <c r="EC39" s="647" t="s">
        <v>1134</v>
      </c>
      <c r="ED39" s="647" t="s">
        <v>1136</v>
      </c>
    </row>
    <row r="40" spans="1:134" ht="12.75" customHeight="1" x14ac:dyDescent="0.2">
      <c r="A40" s="749" t="s">
        <v>24</v>
      </c>
      <c r="B40" s="146">
        <v>33</v>
      </c>
      <c r="C40" s="770">
        <v>67.385000000000005</v>
      </c>
      <c r="D40" s="770">
        <v>0</v>
      </c>
      <c r="E40" s="770">
        <v>0</v>
      </c>
      <c r="F40" s="770">
        <v>0</v>
      </c>
      <c r="G40" s="770">
        <v>0</v>
      </c>
      <c r="H40" s="786">
        <f t="shared" si="0"/>
        <v>67.385000000000005</v>
      </c>
      <c r="I40" s="776">
        <v>0</v>
      </c>
      <c r="J40" s="776">
        <v>0</v>
      </c>
      <c r="K40" s="801">
        <v>0</v>
      </c>
      <c r="L40" s="802">
        <v>0</v>
      </c>
      <c r="M40" s="803">
        <v>0</v>
      </c>
      <c r="N40" s="778">
        <v>0</v>
      </c>
      <c r="O40" s="782">
        <v>0</v>
      </c>
      <c r="P40" s="803">
        <v>0</v>
      </c>
      <c r="Q40" s="781">
        <v>0</v>
      </c>
      <c r="R40" s="803">
        <v>0</v>
      </c>
      <c r="S40" s="778">
        <v>0</v>
      </c>
      <c r="T40" s="778">
        <v>0</v>
      </c>
      <c r="U40" s="804">
        <v>0</v>
      </c>
      <c r="V40" s="772">
        <v>0</v>
      </c>
      <c r="W40" s="783">
        <v>0</v>
      </c>
      <c r="X40" s="803">
        <v>0</v>
      </c>
      <c r="Y40" s="778">
        <v>0</v>
      </c>
      <c r="Z40" s="802">
        <v>0</v>
      </c>
      <c r="AA40" s="803">
        <v>0</v>
      </c>
      <c r="AB40" s="803">
        <v>0</v>
      </c>
      <c r="AC40" s="778">
        <v>0</v>
      </c>
      <c r="AD40" s="782">
        <v>0</v>
      </c>
      <c r="AE40" s="803">
        <v>0</v>
      </c>
      <c r="AF40" s="771">
        <f t="shared" si="1"/>
        <v>0</v>
      </c>
      <c r="AG40" s="805">
        <f t="shared" si="2"/>
        <v>67.385000000000005</v>
      </c>
      <c r="AH40" s="1084">
        <f t="shared" si="3"/>
        <v>0</v>
      </c>
      <c r="AI40" s="132" t="str">
        <f t="shared" si="4"/>
        <v xml:space="preserve"> </v>
      </c>
      <c r="AS40" s="139" t="s">
        <v>441</v>
      </c>
      <c r="AT40" s="139" t="s">
        <v>442</v>
      </c>
      <c r="DS40" s="304"/>
      <c r="DT40" s="304"/>
      <c r="DU40" s="647" t="s">
        <v>552</v>
      </c>
      <c r="DV40" s="647" t="s">
        <v>1134</v>
      </c>
      <c r="DW40" s="647" t="s">
        <v>1134</v>
      </c>
      <c r="DX40" s="647" t="s">
        <v>1134</v>
      </c>
      <c r="DY40" s="647" t="s">
        <v>1134</v>
      </c>
      <c r="DZ40" s="647" t="s">
        <v>1134</v>
      </c>
      <c r="EA40" s="647" t="s">
        <v>441</v>
      </c>
      <c r="EB40" s="647" t="s">
        <v>1135</v>
      </c>
      <c r="EC40" s="647" t="s">
        <v>1134</v>
      </c>
      <c r="ED40" s="647" t="s">
        <v>1136</v>
      </c>
    </row>
    <row r="41" spans="1:134" ht="12.75" customHeight="1" x14ac:dyDescent="0.2">
      <c r="A41" s="749" t="s">
        <v>964</v>
      </c>
      <c r="B41" s="146">
        <v>34</v>
      </c>
      <c r="C41" s="770">
        <v>0</v>
      </c>
      <c r="D41" s="770">
        <v>0</v>
      </c>
      <c r="E41" s="770">
        <v>0</v>
      </c>
      <c r="F41" s="770">
        <v>0</v>
      </c>
      <c r="G41" s="770">
        <v>0</v>
      </c>
      <c r="H41" s="786">
        <f t="shared" ref="H41:H104" si="5">ROUND(SUM(C41:G41),3)</f>
        <v>0</v>
      </c>
      <c r="I41" s="776">
        <v>0</v>
      </c>
      <c r="J41" s="776">
        <v>0</v>
      </c>
      <c r="K41" s="801">
        <v>0</v>
      </c>
      <c r="L41" s="802">
        <v>0</v>
      </c>
      <c r="M41" s="803">
        <v>0</v>
      </c>
      <c r="N41" s="778">
        <v>0</v>
      </c>
      <c r="O41" s="782">
        <v>0</v>
      </c>
      <c r="P41" s="803">
        <v>0</v>
      </c>
      <c r="Q41" s="781">
        <v>0</v>
      </c>
      <c r="R41" s="803">
        <v>0</v>
      </c>
      <c r="S41" s="778">
        <v>0</v>
      </c>
      <c r="T41" s="778">
        <v>0</v>
      </c>
      <c r="U41" s="804">
        <v>0</v>
      </c>
      <c r="V41" s="772">
        <v>0</v>
      </c>
      <c r="W41" s="783">
        <v>0</v>
      </c>
      <c r="X41" s="803">
        <v>0</v>
      </c>
      <c r="Y41" s="778">
        <v>0</v>
      </c>
      <c r="Z41" s="802">
        <v>0</v>
      </c>
      <c r="AA41" s="803">
        <v>0</v>
      </c>
      <c r="AB41" s="803">
        <v>0</v>
      </c>
      <c r="AC41" s="778">
        <v>0</v>
      </c>
      <c r="AD41" s="782">
        <v>0</v>
      </c>
      <c r="AE41" s="803">
        <v>3.0000000000000001E-3</v>
      </c>
      <c r="AF41" s="771">
        <f t="shared" si="1"/>
        <v>3.0000000000000001E-3</v>
      </c>
      <c r="AG41" s="805">
        <f t="shared" si="2"/>
        <v>3.0000000000000001E-3</v>
      </c>
      <c r="AH41" s="1084">
        <f t="shared" si="3"/>
        <v>0</v>
      </c>
      <c r="AI41" s="132" t="str">
        <f t="shared" si="4"/>
        <v xml:space="preserve"> </v>
      </c>
      <c r="AS41" s="139" t="s">
        <v>1034</v>
      </c>
      <c r="AT41" s="139" t="s">
        <v>1035</v>
      </c>
      <c r="DS41" s="304"/>
      <c r="DT41" s="304"/>
      <c r="DU41" s="647" t="s">
        <v>552</v>
      </c>
      <c r="DV41" s="647" t="s">
        <v>1134</v>
      </c>
      <c r="DW41" s="647" t="s">
        <v>1134</v>
      </c>
      <c r="DX41" s="647" t="s">
        <v>1134</v>
      </c>
      <c r="DY41" s="647" t="s">
        <v>1134</v>
      </c>
      <c r="DZ41" s="647" t="s">
        <v>1134</v>
      </c>
      <c r="EA41" s="647" t="s">
        <v>1034</v>
      </c>
      <c r="EB41" s="647" t="s">
        <v>1135</v>
      </c>
      <c r="EC41" s="647" t="s">
        <v>1134</v>
      </c>
      <c r="ED41" s="647" t="s">
        <v>1136</v>
      </c>
    </row>
    <row r="42" spans="1:134" x14ac:dyDescent="0.2">
      <c r="A42" s="749" t="s">
        <v>965</v>
      </c>
      <c r="B42" s="146">
        <v>35</v>
      </c>
      <c r="C42" s="770">
        <v>0</v>
      </c>
      <c r="D42" s="770">
        <v>0</v>
      </c>
      <c r="E42" s="770">
        <v>0</v>
      </c>
      <c r="F42" s="770">
        <v>0</v>
      </c>
      <c r="G42" s="770">
        <v>0</v>
      </c>
      <c r="H42" s="786">
        <f t="shared" si="5"/>
        <v>0</v>
      </c>
      <c r="I42" s="776">
        <v>0</v>
      </c>
      <c r="J42" s="776">
        <v>0</v>
      </c>
      <c r="K42" s="801">
        <v>0</v>
      </c>
      <c r="L42" s="802">
        <v>0</v>
      </c>
      <c r="M42" s="803">
        <v>0</v>
      </c>
      <c r="N42" s="778">
        <v>0</v>
      </c>
      <c r="O42" s="782">
        <v>0</v>
      </c>
      <c r="P42" s="803">
        <v>0</v>
      </c>
      <c r="Q42" s="781">
        <v>0</v>
      </c>
      <c r="R42" s="803">
        <v>0</v>
      </c>
      <c r="S42" s="778">
        <v>0</v>
      </c>
      <c r="T42" s="778">
        <v>0</v>
      </c>
      <c r="U42" s="804">
        <v>0</v>
      </c>
      <c r="V42" s="772">
        <v>0</v>
      </c>
      <c r="W42" s="783">
        <v>0</v>
      </c>
      <c r="X42" s="803">
        <v>0</v>
      </c>
      <c r="Y42" s="778">
        <v>0</v>
      </c>
      <c r="Z42" s="802">
        <v>0</v>
      </c>
      <c r="AA42" s="803">
        <v>0</v>
      </c>
      <c r="AB42" s="803">
        <v>0</v>
      </c>
      <c r="AC42" s="778">
        <v>0</v>
      </c>
      <c r="AD42" s="782">
        <v>0</v>
      </c>
      <c r="AE42" s="803">
        <v>0</v>
      </c>
      <c r="AF42" s="771">
        <f t="shared" si="1"/>
        <v>0</v>
      </c>
      <c r="AG42" s="805">
        <f t="shared" si="2"/>
        <v>0</v>
      </c>
      <c r="AH42" s="1084">
        <f t="shared" si="3"/>
        <v>0</v>
      </c>
      <c r="AI42" s="132" t="str">
        <f t="shared" si="4"/>
        <v xml:space="preserve"> </v>
      </c>
      <c r="AS42" s="139" t="s">
        <v>1036</v>
      </c>
      <c r="AT42" s="139" t="s">
        <v>1037</v>
      </c>
      <c r="DS42" s="304"/>
      <c r="DT42" s="304"/>
      <c r="DU42" s="647" t="s">
        <v>552</v>
      </c>
      <c r="DV42" s="647" t="s">
        <v>1134</v>
      </c>
      <c r="DW42" s="647" t="s">
        <v>1134</v>
      </c>
      <c r="DX42" s="647" t="s">
        <v>1134</v>
      </c>
      <c r="DY42" s="647" t="s">
        <v>1134</v>
      </c>
      <c r="DZ42" s="647" t="s">
        <v>1134</v>
      </c>
      <c r="EA42" s="647" t="s">
        <v>1036</v>
      </c>
      <c r="EB42" s="647" t="s">
        <v>1135</v>
      </c>
      <c r="EC42" s="647" t="s">
        <v>1134</v>
      </c>
      <c r="ED42" s="647" t="s">
        <v>1136</v>
      </c>
    </row>
    <row r="43" spans="1:134" ht="12.75" customHeight="1" x14ac:dyDescent="0.2">
      <c r="A43" s="749" t="s">
        <v>567</v>
      </c>
      <c r="B43" s="146">
        <v>36</v>
      </c>
      <c r="C43" s="770">
        <v>0</v>
      </c>
      <c r="D43" s="770">
        <v>0</v>
      </c>
      <c r="E43" s="770">
        <v>0</v>
      </c>
      <c r="F43" s="770">
        <v>0</v>
      </c>
      <c r="G43" s="770">
        <v>0</v>
      </c>
      <c r="H43" s="786">
        <f t="shared" si="5"/>
        <v>0</v>
      </c>
      <c r="I43" s="776">
        <v>0</v>
      </c>
      <c r="J43" s="776">
        <v>0</v>
      </c>
      <c r="K43" s="801">
        <v>4.9660000000000002</v>
      </c>
      <c r="L43" s="802">
        <v>1.4019999999999999</v>
      </c>
      <c r="M43" s="803">
        <v>0</v>
      </c>
      <c r="N43" s="778">
        <v>1.4019999999999999</v>
      </c>
      <c r="O43" s="782">
        <v>0</v>
      </c>
      <c r="P43" s="803">
        <v>0</v>
      </c>
      <c r="Q43" s="781">
        <v>3.0000000000000001E-3</v>
      </c>
      <c r="R43" s="803">
        <v>0</v>
      </c>
      <c r="S43" s="778">
        <v>3.0000000000000001E-3</v>
      </c>
      <c r="T43" s="778">
        <v>0</v>
      </c>
      <c r="U43" s="804">
        <v>0</v>
      </c>
      <c r="V43" s="772">
        <v>0</v>
      </c>
      <c r="W43" s="783">
        <v>0</v>
      </c>
      <c r="X43" s="803">
        <v>0</v>
      </c>
      <c r="Y43" s="778">
        <v>0</v>
      </c>
      <c r="Z43" s="802">
        <v>0</v>
      </c>
      <c r="AA43" s="803">
        <v>0</v>
      </c>
      <c r="AB43" s="803">
        <v>0</v>
      </c>
      <c r="AC43" s="778">
        <v>0</v>
      </c>
      <c r="AD43" s="782">
        <v>0</v>
      </c>
      <c r="AE43" s="803">
        <v>0.13300000000000001</v>
      </c>
      <c r="AF43" s="771">
        <f t="shared" si="1"/>
        <v>6.5039999999999996</v>
      </c>
      <c r="AG43" s="805">
        <f t="shared" si="2"/>
        <v>6.5039999999999996</v>
      </c>
      <c r="AH43" s="1084">
        <f t="shared" si="3"/>
        <v>0</v>
      </c>
      <c r="AI43" s="132" t="str">
        <f t="shared" si="4"/>
        <v xml:space="preserve"> </v>
      </c>
      <c r="AS43" s="139" t="s">
        <v>539</v>
      </c>
      <c r="AT43" s="139" t="s">
        <v>540</v>
      </c>
      <c r="DS43" s="304"/>
      <c r="DT43" s="304"/>
      <c r="DU43" s="647" t="s">
        <v>552</v>
      </c>
      <c r="DV43" s="647" t="s">
        <v>1134</v>
      </c>
      <c r="DW43" s="647" t="s">
        <v>1134</v>
      </c>
      <c r="DX43" s="647" t="s">
        <v>1134</v>
      </c>
      <c r="DY43" s="647" t="s">
        <v>1134</v>
      </c>
      <c r="DZ43" s="647" t="s">
        <v>1134</v>
      </c>
      <c r="EA43" s="647" t="s">
        <v>539</v>
      </c>
      <c r="EB43" s="647" t="s">
        <v>1135</v>
      </c>
      <c r="EC43" s="647" t="s">
        <v>1134</v>
      </c>
      <c r="ED43" s="647" t="s">
        <v>1136</v>
      </c>
    </row>
    <row r="44" spans="1:134" x14ac:dyDescent="0.2">
      <c r="A44" s="749" t="s">
        <v>966</v>
      </c>
      <c r="B44" s="146">
        <v>37</v>
      </c>
      <c r="C44" s="770">
        <v>0</v>
      </c>
      <c r="D44" s="770">
        <v>0</v>
      </c>
      <c r="E44" s="770">
        <v>0</v>
      </c>
      <c r="F44" s="770">
        <v>0</v>
      </c>
      <c r="G44" s="770">
        <v>0</v>
      </c>
      <c r="H44" s="786">
        <f t="shared" si="5"/>
        <v>0</v>
      </c>
      <c r="I44" s="776">
        <v>0</v>
      </c>
      <c r="J44" s="776">
        <v>0</v>
      </c>
      <c r="K44" s="801">
        <v>0</v>
      </c>
      <c r="L44" s="802">
        <v>0</v>
      </c>
      <c r="M44" s="803">
        <v>0</v>
      </c>
      <c r="N44" s="778">
        <v>0</v>
      </c>
      <c r="O44" s="782">
        <v>0</v>
      </c>
      <c r="P44" s="803">
        <v>0</v>
      </c>
      <c r="Q44" s="781">
        <v>0</v>
      </c>
      <c r="R44" s="803">
        <v>0</v>
      </c>
      <c r="S44" s="778">
        <v>0</v>
      </c>
      <c r="T44" s="778">
        <v>0</v>
      </c>
      <c r="U44" s="804">
        <v>0</v>
      </c>
      <c r="V44" s="772">
        <v>0</v>
      </c>
      <c r="W44" s="783">
        <v>0</v>
      </c>
      <c r="X44" s="803">
        <v>0</v>
      </c>
      <c r="Y44" s="778">
        <v>0</v>
      </c>
      <c r="Z44" s="802">
        <v>0</v>
      </c>
      <c r="AA44" s="803">
        <v>0</v>
      </c>
      <c r="AB44" s="803">
        <v>0</v>
      </c>
      <c r="AC44" s="778">
        <v>0</v>
      </c>
      <c r="AD44" s="782">
        <v>0</v>
      </c>
      <c r="AE44" s="803">
        <v>0</v>
      </c>
      <c r="AF44" s="771">
        <f t="shared" si="1"/>
        <v>0</v>
      </c>
      <c r="AG44" s="805">
        <f t="shared" si="2"/>
        <v>0</v>
      </c>
      <c r="AH44" s="1084">
        <f t="shared" si="3"/>
        <v>0</v>
      </c>
      <c r="AI44" s="132" t="str">
        <f t="shared" si="4"/>
        <v xml:space="preserve"> </v>
      </c>
      <c r="AS44" s="139" t="s">
        <v>1038</v>
      </c>
      <c r="AT44" s="139" t="s">
        <v>1039</v>
      </c>
      <c r="DS44" s="304"/>
      <c r="DT44" s="304"/>
      <c r="DU44" s="647" t="s">
        <v>552</v>
      </c>
      <c r="DV44" s="647" t="s">
        <v>1134</v>
      </c>
      <c r="DW44" s="647" t="s">
        <v>1134</v>
      </c>
      <c r="DX44" s="647" t="s">
        <v>1134</v>
      </c>
      <c r="DY44" s="647" t="s">
        <v>1134</v>
      </c>
      <c r="DZ44" s="647" t="s">
        <v>1134</v>
      </c>
      <c r="EA44" s="647" t="s">
        <v>1038</v>
      </c>
      <c r="EB44" s="647" t="s">
        <v>1135</v>
      </c>
      <c r="EC44" s="647" t="s">
        <v>1134</v>
      </c>
      <c r="ED44" s="647" t="s">
        <v>1136</v>
      </c>
    </row>
    <row r="45" spans="1:134" x14ac:dyDescent="0.2">
      <c r="A45" s="749" t="s">
        <v>967</v>
      </c>
      <c r="B45" s="146">
        <v>38</v>
      </c>
      <c r="C45" s="770">
        <v>0</v>
      </c>
      <c r="D45" s="770">
        <v>0</v>
      </c>
      <c r="E45" s="770">
        <v>0</v>
      </c>
      <c r="F45" s="770">
        <v>0</v>
      </c>
      <c r="G45" s="770">
        <v>0</v>
      </c>
      <c r="H45" s="786">
        <f t="shared" si="5"/>
        <v>0</v>
      </c>
      <c r="I45" s="776">
        <v>0</v>
      </c>
      <c r="J45" s="776">
        <v>0</v>
      </c>
      <c r="K45" s="801">
        <v>0</v>
      </c>
      <c r="L45" s="802">
        <v>0</v>
      </c>
      <c r="M45" s="803">
        <v>0</v>
      </c>
      <c r="N45" s="778">
        <v>0</v>
      </c>
      <c r="O45" s="782">
        <v>0</v>
      </c>
      <c r="P45" s="803">
        <v>0</v>
      </c>
      <c r="Q45" s="781">
        <v>0</v>
      </c>
      <c r="R45" s="803">
        <v>0</v>
      </c>
      <c r="S45" s="778">
        <v>0</v>
      </c>
      <c r="T45" s="778">
        <v>0</v>
      </c>
      <c r="U45" s="804">
        <v>0</v>
      </c>
      <c r="V45" s="772">
        <v>0</v>
      </c>
      <c r="W45" s="783">
        <v>0</v>
      </c>
      <c r="X45" s="803">
        <v>0</v>
      </c>
      <c r="Y45" s="778">
        <v>0</v>
      </c>
      <c r="Z45" s="802">
        <v>0</v>
      </c>
      <c r="AA45" s="803">
        <v>0</v>
      </c>
      <c r="AB45" s="803">
        <v>0</v>
      </c>
      <c r="AC45" s="778">
        <v>0</v>
      </c>
      <c r="AD45" s="782">
        <v>0</v>
      </c>
      <c r="AE45" s="803">
        <v>0</v>
      </c>
      <c r="AF45" s="771">
        <f t="shared" si="1"/>
        <v>0</v>
      </c>
      <c r="AG45" s="805">
        <f t="shared" si="2"/>
        <v>0</v>
      </c>
      <c r="AH45" s="1084">
        <f t="shared" si="3"/>
        <v>0</v>
      </c>
      <c r="AI45" s="132" t="str">
        <f t="shared" si="4"/>
        <v xml:space="preserve"> </v>
      </c>
      <c r="AS45" s="139" t="s">
        <v>1040</v>
      </c>
      <c r="AT45" s="139" t="s">
        <v>1041</v>
      </c>
      <c r="DS45" s="304"/>
      <c r="DT45" s="304"/>
      <c r="DU45" s="647" t="s">
        <v>552</v>
      </c>
      <c r="DV45" s="647" t="s">
        <v>1134</v>
      </c>
      <c r="DW45" s="647" t="s">
        <v>1134</v>
      </c>
      <c r="DX45" s="647" t="s">
        <v>1134</v>
      </c>
      <c r="DY45" s="647" t="s">
        <v>1134</v>
      </c>
      <c r="DZ45" s="647" t="s">
        <v>1134</v>
      </c>
      <c r="EA45" s="647" t="s">
        <v>1040</v>
      </c>
      <c r="EB45" s="647" t="s">
        <v>1135</v>
      </c>
      <c r="EC45" s="647" t="s">
        <v>1134</v>
      </c>
      <c r="ED45" s="647" t="s">
        <v>1136</v>
      </c>
    </row>
    <row r="46" spans="1:134" ht="12.75" customHeight="1" x14ac:dyDescent="0.2">
      <c r="A46" s="749" t="s">
        <v>150</v>
      </c>
      <c r="B46" s="146">
        <v>39</v>
      </c>
      <c r="C46" s="770">
        <v>0</v>
      </c>
      <c r="D46" s="770">
        <v>0</v>
      </c>
      <c r="E46" s="770">
        <v>0</v>
      </c>
      <c r="F46" s="770">
        <v>0</v>
      </c>
      <c r="G46" s="770">
        <v>0</v>
      </c>
      <c r="H46" s="786">
        <f t="shared" si="5"/>
        <v>0</v>
      </c>
      <c r="I46" s="776">
        <v>0</v>
      </c>
      <c r="J46" s="776">
        <v>0</v>
      </c>
      <c r="K46" s="801">
        <v>0</v>
      </c>
      <c r="L46" s="802">
        <v>0</v>
      </c>
      <c r="M46" s="803">
        <v>0</v>
      </c>
      <c r="N46" s="778">
        <v>0</v>
      </c>
      <c r="O46" s="782">
        <v>0</v>
      </c>
      <c r="P46" s="803">
        <v>0</v>
      </c>
      <c r="Q46" s="781">
        <v>0</v>
      </c>
      <c r="R46" s="803">
        <v>0</v>
      </c>
      <c r="S46" s="778">
        <v>0</v>
      </c>
      <c r="T46" s="778">
        <v>0</v>
      </c>
      <c r="U46" s="804">
        <v>0</v>
      </c>
      <c r="V46" s="772">
        <v>0</v>
      </c>
      <c r="W46" s="783">
        <v>0</v>
      </c>
      <c r="X46" s="803">
        <v>0</v>
      </c>
      <c r="Y46" s="778">
        <v>0</v>
      </c>
      <c r="Z46" s="802">
        <v>0</v>
      </c>
      <c r="AA46" s="803">
        <v>0</v>
      </c>
      <c r="AB46" s="803">
        <v>0</v>
      </c>
      <c r="AC46" s="778">
        <v>0</v>
      </c>
      <c r="AD46" s="782">
        <v>0</v>
      </c>
      <c r="AE46" s="803">
        <v>0</v>
      </c>
      <c r="AF46" s="771">
        <f t="shared" si="1"/>
        <v>0</v>
      </c>
      <c r="AG46" s="805">
        <f t="shared" si="2"/>
        <v>0</v>
      </c>
      <c r="AH46" s="1084">
        <f t="shared" si="3"/>
        <v>0</v>
      </c>
      <c r="AI46" s="132" t="str">
        <f t="shared" si="4"/>
        <v xml:space="preserve"> </v>
      </c>
      <c r="AS46" s="139" t="s">
        <v>445</v>
      </c>
      <c r="AT46" s="139" t="s">
        <v>446</v>
      </c>
      <c r="DS46" s="304"/>
      <c r="DT46" s="304"/>
      <c r="DU46" s="647" t="s">
        <v>552</v>
      </c>
      <c r="DV46" s="647" t="s">
        <v>1134</v>
      </c>
      <c r="DW46" s="647" t="s">
        <v>1134</v>
      </c>
      <c r="DX46" s="647" t="s">
        <v>1134</v>
      </c>
      <c r="DY46" s="647" t="s">
        <v>1134</v>
      </c>
      <c r="DZ46" s="647" t="s">
        <v>1134</v>
      </c>
      <c r="EA46" s="647" t="s">
        <v>445</v>
      </c>
      <c r="EB46" s="647" t="s">
        <v>1135</v>
      </c>
      <c r="EC46" s="647" t="s">
        <v>1134</v>
      </c>
      <c r="ED46" s="647" t="s">
        <v>1136</v>
      </c>
    </row>
    <row r="47" spans="1:134" x14ac:dyDescent="0.2">
      <c r="A47" s="749" t="s">
        <v>25</v>
      </c>
      <c r="B47" s="146">
        <v>40</v>
      </c>
      <c r="C47" s="770">
        <v>0</v>
      </c>
      <c r="D47" s="770">
        <v>0</v>
      </c>
      <c r="E47" s="770">
        <v>0</v>
      </c>
      <c r="F47" s="770">
        <v>0</v>
      </c>
      <c r="G47" s="770">
        <v>0</v>
      </c>
      <c r="H47" s="786">
        <f t="shared" si="5"/>
        <v>0</v>
      </c>
      <c r="I47" s="776">
        <v>0</v>
      </c>
      <c r="J47" s="776">
        <v>0</v>
      </c>
      <c r="K47" s="801">
        <v>3.653</v>
      </c>
      <c r="L47" s="802">
        <v>1.0309999999999999</v>
      </c>
      <c r="M47" s="803">
        <v>0</v>
      </c>
      <c r="N47" s="778">
        <v>1.0309999999999999</v>
      </c>
      <c r="O47" s="782">
        <v>0</v>
      </c>
      <c r="P47" s="803">
        <v>0</v>
      </c>
      <c r="Q47" s="781">
        <v>0</v>
      </c>
      <c r="R47" s="803">
        <v>0</v>
      </c>
      <c r="S47" s="778">
        <v>0</v>
      </c>
      <c r="T47" s="778">
        <v>0</v>
      </c>
      <c r="U47" s="804">
        <v>0</v>
      </c>
      <c r="V47" s="772">
        <v>0</v>
      </c>
      <c r="W47" s="783">
        <v>0</v>
      </c>
      <c r="X47" s="803">
        <v>0</v>
      </c>
      <c r="Y47" s="778">
        <v>0</v>
      </c>
      <c r="Z47" s="802">
        <v>6.5000000000000002E-2</v>
      </c>
      <c r="AA47" s="803">
        <v>2.7E-2</v>
      </c>
      <c r="AB47" s="803">
        <v>0</v>
      </c>
      <c r="AC47" s="778">
        <v>3.7999999999999999E-2</v>
      </c>
      <c r="AD47" s="782">
        <v>0</v>
      </c>
      <c r="AE47" s="803">
        <v>0.73399999999999999</v>
      </c>
      <c r="AF47" s="771">
        <f t="shared" si="1"/>
        <v>5.4829999999999997</v>
      </c>
      <c r="AG47" s="805">
        <f t="shared" si="2"/>
        <v>5.4829999999999997</v>
      </c>
      <c r="AH47" s="1084">
        <f t="shared" si="3"/>
        <v>0</v>
      </c>
      <c r="AI47" s="132" t="str">
        <f t="shared" si="4"/>
        <v xml:space="preserve"> </v>
      </c>
      <c r="AS47" s="139" t="s">
        <v>240</v>
      </c>
      <c r="AT47" s="139" t="s">
        <v>239</v>
      </c>
      <c r="DS47" s="304"/>
      <c r="DT47" s="304"/>
      <c r="DU47" s="647" t="s">
        <v>552</v>
      </c>
      <c r="DV47" s="647" t="s">
        <v>1134</v>
      </c>
      <c r="DW47" s="647" t="s">
        <v>1134</v>
      </c>
      <c r="DX47" s="647" t="s">
        <v>1134</v>
      </c>
      <c r="DY47" s="647" t="s">
        <v>1134</v>
      </c>
      <c r="DZ47" s="647" t="s">
        <v>1134</v>
      </c>
      <c r="EA47" s="647" t="s">
        <v>240</v>
      </c>
      <c r="EB47" s="647" t="s">
        <v>1135</v>
      </c>
      <c r="EC47" s="647" t="s">
        <v>1134</v>
      </c>
      <c r="ED47" s="647" t="s">
        <v>1136</v>
      </c>
    </row>
    <row r="48" spans="1:134" ht="12.75" customHeight="1" x14ac:dyDescent="0.2">
      <c r="A48" s="749" t="s">
        <v>968</v>
      </c>
      <c r="B48" s="146">
        <v>41</v>
      </c>
      <c r="C48" s="770">
        <v>0</v>
      </c>
      <c r="D48" s="770">
        <v>0</v>
      </c>
      <c r="E48" s="770">
        <v>0</v>
      </c>
      <c r="F48" s="770">
        <v>0</v>
      </c>
      <c r="G48" s="770">
        <v>0</v>
      </c>
      <c r="H48" s="786">
        <f t="shared" si="5"/>
        <v>0</v>
      </c>
      <c r="I48" s="776">
        <v>0</v>
      </c>
      <c r="J48" s="776">
        <v>0</v>
      </c>
      <c r="K48" s="801">
        <v>0</v>
      </c>
      <c r="L48" s="802">
        <v>0</v>
      </c>
      <c r="M48" s="803">
        <v>0</v>
      </c>
      <c r="N48" s="778">
        <v>0</v>
      </c>
      <c r="O48" s="782">
        <v>0</v>
      </c>
      <c r="P48" s="803">
        <v>0</v>
      </c>
      <c r="Q48" s="781">
        <v>0</v>
      </c>
      <c r="R48" s="803">
        <v>0</v>
      </c>
      <c r="S48" s="778">
        <v>0</v>
      </c>
      <c r="T48" s="778">
        <v>0</v>
      </c>
      <c r="U48" s="804">
        <v>0</v>
      </c>
      <c r="V48" s="772">
        <v>0</v>
      </c>
      <c r="W48" s="783">
        <v>0</v>
      </c>
      <c r="X48" s="803">
        <v>0</v>
      </c>
      <c r="Y48" s="778">
        <v>0</v>
      </c>
      <c r="Z48" s="802">
        <v>0</v>
      </c>
      <c r="AA48" s="803">
        <v>0</v>
      </c>
      <c r="AB48" s="803">
        <v>0</v>
      </c>
      <c r="AC48" s="778">
        <v>0</v>
      </c>
      <c r="AD48" s="782">
        <v>0</v>
      </c>
      <c r="AE48" s="803">
        <v>0</v>
      </c>
      <c r="AF48" s="771">
        <f t="shared" si="1"/>
        <v>0</v>
      </c>
      <c r="AG48" s="805">
        <f t="shared" si="2"/>
        <v>0</v>
      </c>
      <c r="AH48" s="1084">
        <f t="shared" si="3"/>
        <v>0</v>
      </c>
      <c r="AI48" s="132" t="str">
        <f t="shared" si="4"/>
        <v xml:space="preserve"> </v>
      </c>
      <c r="AS48" s="139" t="s">
        <v>937</v>
      </c>
      <c r="AT48" s="139" t="s">
        <v>938</v>
      </c>
      <c r="DS48" s="304"/>
      <c r="DT48" s="304"/>
      <c r="DU48" s="647" t="s">
        <v>552</v>
      </c>
      <c r="DV48" s="647" t="s">
        <v>1134</v>
      </c>
      <c r="DW48" s="647" t="s">
        <v>1134</v>
      </c>
      <c r="DX48" s="647" t="s">
        <v>1134</v>
      </c>
      <c r="DY48" s="647" t="s">
        <v>1134</v>
      </c>
      <c r="DZ48" s="647" t="s">
        <v>1134</v>
      </c>
      <c r="EA48" s="647" t="s">
        <v>937</v>
      </c>
      <c r="EB48" s="647" t="s">
        <v>1135</v>
      </c>
      <c r="EC48" s="647" t="s">
        <v>1134</v>
      </c>
      <c r="ED48" s="647" t="s">
        <v>1136</v>
      </c>
    </row>
    <row r="49" spans="1:134" x14ac:dyDescent="0.2">
      <c r="A49" s="749" t="s">
        <v>969</v>
      </c>
      <c r="B49" s="146">
        <v>42</v>
      </c>
      <c r="C49" s="770">
        <v>0</v>
      </c>
      <c r="D49" s="770">
        <v>0</v>
      </c>
      <c r="E49" s="770">
        <v>0</v>
      </c>
      <c r="F49" s="770">
        <v>0</v>
      </c>
      <c r="G49" s="770">
        <v>0</v>
      </c>
      <c r="H49" s="786">
        <f t="shared" si="5"/>
        <v>0</v>
      </c>
      <c r="I49" s="776">
        <v>0</v>
      </c>
      <c r="J49" s="776">
        <v>0</v>
      </c>
      <c r="K49" s="801">
        <v>0</v>
      </c>
      <c r="L49" s="802">
        <v>0</v>
      </c>
      <c r="M49" s="803">
        <v>0</v>
      </c>
      <c r="N49" s="778">
        <v>0</v>
      </c>
      <c r="O49" s="782">
        <v>0</v>
      </c>
      <c r="P49" s="803">
        <v>0</v>
      </c>
      <c r="Q49" s="781">
        <v>0</v>
      </c>
      <c r="R49" s="803">
        <v>0</v>
      </c>
      <c r="S49" s="778">
        <v>0</v>
      </c>
      <c r="T49" s="778">
        <v>0</v>
      </c>
      <c r="U49" s="804">
        <v>0</v>
      </c>
      <c r="V49" s="772">
        <v>0</v>
      </c>
      <c r="W49" s="783">
        <v>0</v>
      </c>
      <c r="X49" s="803">
        <v>0</v>
      </c>
      <c r="Y49" s="778">
        <v>0</v>
      </c>
      <c r="Z49" s="802">
        <v>0</v>
      </c>
      <c r="AA49" s="803">
        <v>0</v>
      </c>
      <c r="AB49" s="803">
        <v>0</v>
      </c>
      <c r="AC49" s="778">
        <v>0</v>
      </c>
      <c r="AD49" s="782">
        <v>0</v>
      </c>
      <c r="AE49" s="803">
        <v>0</v>
      </c>
      <c r="AF49" s="771">
        <f t="shared" si="1"/>
        <v>0</v>
      </c>
      <c r="AG49" s="805">
        <f t="shared" si="2"/>
        <v>0</v>
      </c>
      <c r="AH49" s="1084">
        <f t="shared" si="3"/>
        <v>0</v>
      </c>
      <c r="AI49" s="132" t="str">
        <f t="shared" si="4"/>
        <v xml:space="preserve"> </v>
      </c>
      <c r="AS49" s="139" t="s">
        <v>443</v>
      </c>
      <c r="AT49" s="139" t="s">
        <v>444</v>
      </c>
      <c r="DS49" s="304"/>
      <c r="DT49" s="304"/>
      <c r="DU49" s="647" t="s">
        <v>552</v>
      </c>
      <c r="DV49" s="647" t="s">
        <v>1134</v>
      </c>
      <c r="DW49" s="647" t="s">
        <v>1134</v>
      </c>
      <c r="DX49" s="647" t="s">
        <v>1134</v>
      </c>
      <c r="DY49" s="647" t="s">
        <v>1134</v>
      </c>
      <c r="DZ49" s="647" t="s">
        <v>1134</v>
      </c>
      <c r="EA49" s="647" t="s">
        <v>443</v>
      </c>
      <c r="EB49" s="647" t="s">
        <v>1135</v>
      </c>
      <c r="EC49" s="647" t="s">
        <v>1134</v>
      </c>
      <c r="ED49" s="647" t="s">
        <v>1136</v>
      </c>
    </row>
    <row r="50" spans="1:134" ht="12.75" customHeight="1" x14ac:dyDescent="0.2">
      <c r="A50" s="749" t="s">
        <v>26</v>
      </c>
      <c r="B50" s="146">
        <v>43</v>
      </c>
      <c r="C50" s="770">
        <v>0</v>
      </c>
      <c r="D50" s="770">
        <v>0</v>
      </c>
      <c r="E50" s="770">
        <v>0</v>
      </c>
      <c r="F50" s="770">
        <v>0.83699999999999997</v>
      </c>
      <c r="G50" s="770">
        <v>0</v>
      </c>
      <c r="H50" s="786">
        <f t="shared" si="5"/>
        <v>0.83699999999999997</v>
      </c>
      <c r="I50" s="776">
        <v>0</v>
      </c>
      <c r="J50" s="776">
        <v>4.2039999999999997</v>
      </c>
      <c r="K50" s="801">
        <v>58.404000000000003</v>
      </c>
      <c r="L50" s="802">
        <v>16.486000000000001</v>
      </c>
      <c r="M50" s="803">
        <v>0</v>
      </c>
      <c r="N50" s="778">
        <v>16.486000000000001</v>
      </c>
      <c r="O50" s="782">
        <v>0</v>
      </c>
      <c r="P50" s="803">
        <v>0</v>
      </c>
      <c r="Q50" s="781">
        <v>0</v>
      </c>
      <c r="R50" s="803">
        <v>0</v>
      </c>
      <c r="S50" s="778">
        <v>0</v>
      </c>
      <c r="T50" s="778">
        <v>0</v>
      </c>
      <c r="U50" s="804">
        <v>0.192</v>
      </c>
      <c r="V50" s="772">
        <v>0.22600000000000001</v>
      </c>
      <c r="W50" s="783">
        <v>0.41799999999999998</v>
      </c>
      <c r="X50" s="803">
        <v>0</v>
      </c>
      <c r="Y50" s="778">
        <v>0.41799999999999998</v>
      </c>
      <c r="Z50" s="802">
        <v>0</v>
      </c>
      <c r="AA50" s="803">
        <v>0</v>
      </c>
      <c r="AB50" s="803">
        <v>0</v>
      </c>
      <c r="AC50" s="778">
        <v>0</v>
      </c>
      <c r="AD50" s="782">
        <v>0</v>
      </c>
      <c r="AE50" s="803">
        <v>0.47299999999999998</v>
      </c>
      <c r="AF50" s="771">
        <f t="shared" si="1"/>
        <v>79.984999999999999</v>
      </c>
      <c r="AG50" s="805">
        <f t="shared" si="2"/>
        <v>80.822000000000003</v>
      </c>
      <c r="AH50" s="1084">
        <f t="shared" si="3"/>
        <v>0</v>
      </c>
      <c r="AI50" s="132" t="str">
        <f t="shared" si="4"/>
        <v xml:space="preserve"> </v>
      </c>
      <c r="AS50" s="139" t="s">
        <v>242</v>
      </c>
      <c r="AT50" s="139" t="s">
        <v>241</v>
      </c>
      <c r="DS50" s="304"/>
      <c r="DT50" s="304"/>
      <c r="DU50" s="647" t="s">
        <v>552</v>
      </c>
      <c r="DV50" s="647" t="s">
        <v>1134</v>
      </c>
      <c r="DW50" s="647" t="s">
        <v>1134</v>
      </c>
      <c r="DX50" s="647" t="s">
        <v>1134</v>
      </c>
      <c r="DY50" s="647" t="s">
        <v>1134</v>
      </c>
      <c r="DZ50" s="647" t="s">
        <v>1134</v>
      </c>
      <c r="EA50" s="647" t="s">
        <v>242</v>
      </c>
      <c r="EB50" s="647" t="s">
        <v>1135</v>
      </c>
      <c r="EC50" s="647" t="s">
        <v>1134</v>
      </c>
      <c r="ED50" s="647" t="s">
        <v>1136</v>
      </c>
    </row>
    <row r="51" spans="1:134" x14ac:dyDescent="0.2">
      <c r="A51" s="749" t="s">
        <v>970</v>
      </c>
      <c r="B51" s="146">
        <v>44</v>
      </c>
      <c r="C51" s="770">
        <v>0</v>
      </c>
      <c r="D51" s="770">
        <v>0</v>
      </c>
      <c r="E51" s="770">
        <v>0</v>
      </c>
      <c r="F51" s="770">
        <v>0</v>
      </c>
      <c r="G51" s="770">
        <v>0</v>
      </c>
      <c r="H51" s="786">
        <f t="shared" si="5"/>
        <v>0</v>
      </c>
      <c r="I51" s="776">
        <v>0</v>
      </c>
      <c r="J51" s="776">
        <v>0</v>
      </c>
      <c r="K51" s="801">
        <v>0</v>
      </c>
      <c r="L51" s="802">
        <v>0</v>
      </c>
      <c r="M51" s="803">
        <v>0</v>
      </c>
      <c r="N51" s="778">
        <v>0</v>
      </c>
      <c r="O51" s="782">
        <v>0</v>
      </c>
      <c r="P51" s="803">
        <v>0</v>
      </c>
      <c r="Q51" s="781">
        <v>0</v>
      </c>
      <c r="R51" s="803">
        <v>0</v>
      </c>
      <c r="S51" s="778">
        <v>0</v>
      </c>
      <c r="T51" s="778">
        <v>0</v>
      </c>
      <c r="U51" s="804">
        <v>0</v>
      </c>
      <c r="V51" s="772">
        <v>0</v>
      </c>
      <c r="W51" s="783">
        <v>0</v>
      </c>
      <c r="X51" s="803">
        <v>0</v>
      </c>
      <c r="Y51" s="778">
        <v>0</v>
      </c>
      <c r="Z51" s="802">
        <v>0</v>
      </c>
      <c r="AA51" s="803">
        <v>0</v>
      </c>
      <c r="AB51" s="803">
        <v>0</v>
      </c>
      <c r="AC51" s="778">
        <v>0</v>
      </c>
      <c r="AD51" s="782">
        <v>0</v>
      </c>
      <c r="AE51" s="803">
        <v>0</v>
      </c>
      <c r="AF51" s="771">
        <f t="shared" si="1"/>
        <v>0</v>
      </c>
      <c r="AG51" s="805">
        <f t="shared" si="2"/>
        <v>0</v>
      </c>
      <c r="AH51" s="1084">
        <f t="shared" si="3"/>
        <v>0</v>
      </c>
      <c r="AI51" s="132" t="str">
        <f t="shared" si="4"/>
        <v xml:space="preserve"> </v>
      </c>
      <c r="AS51" s="139" t="s">
        <v>1042</v>
      </c>
      <c r="AT51" s="139" t="s">
        <v>1043</v>
      </c>
      <c r="DS51" s="304"/>
      <c r="DT51" s="304"/>
      <c r="DU51" s="647" t="s">
        <v>552</v>
      </c>
      <c r="DV51" s="647" t="s">
        <v>1134</v>
      </c>
      <c r="DW51" s="647" t="s">
        <v>1134</v>
      </c>
      <c r="DX51" s="647" t="s">
        <v>1134</v>
      </c>
      <c r="DY51" s="647" t="s">
        <v>1134</v>
      </c>
      <c r="DZ51" s="647" t="s">
        <v>1134</v>
      </c>
      <c r="EA51" s="647" t="s">
        <v>1042</v>
      </c>
      <c r="EB51" s="647" t="s">
        <v>1135</v>
      </c>
      <c r="EC51" s="647" t="s">
        <v>1134</v>
      </c>
      <c r="ED51" s="647" t="s">
        <v>1136</v>
      </c>
    </row>
    <row r="52" spans="1:134" ht="12.75" customHeight="1" x14ac:dyDescent="0.2">
      <c r="A52" s="749" t="s">
        <v>971</v>
      </c>
      <c r="B52" s="146">
        <v>45</v>
      </c>
      <c r="C52" s="770">
        <v>0</v>
      </c>
      <c r="D52" s="770">
        <v>0</v>
      </c>
      <c r="E52" s="770">
        <v>0</v>
      </c>
      <c r="F52" s="770">
        <v>0</v>
      </c>
      <c r="G52" s="770">
        <v>0</v>
      </c>
      <c r="H52" s="786">
        <f t="shared" si="5"/>
        <v>0</v>
      </c>
      <c r="I52" s="776">
        <v>0</v>
      </c>
      <c r="J52" s="776">
        <v>0</v>
      </c>
      <c r="K52" s="801">
        <v>0</v>
      </c>
      <c r="L52" s="802">
        <v>0</v>
      </c>
      <c r="M52" s="803">
        <v>0</v>
      </c>
      <c r="N52" s="778">
        <v>0</v>
      </c>
      <c r="O52" s="782">
        <v>0</v>
      </c>
      <c r="P52" s="803">
        <v>0</v>
      </c>
      <c r="Q52" s="781">
        <v>0</v>
      </c>
      <c r="R52" s="803">
        <v>0</v>
      </c>
      <c r="S52" s="778">
        <v>0</v>
      </c>
      <c r="T52" s="778">
        <v>0</v>
      </c>
      <c r="U52" s="804">
        <v>0</v>
      </c>
      <c r="V52" s="772">
        <v>0</v>
      </c>
      <c r="W52" s="783">
        <v>0</v>
      </c>
      <c r="X52" s="803">
        <v>0</v>
      </c>
      <c r="Y52" s="778">
        <v>0</v>
      </c>
      <c r="Z52" s="802">
        <v>0</v>
      </c>
      <c r="AA52" s="803">
        <v>0</v>
      </c>
      <c r="AB52" s="803">
        <v>0</v>
      </c>
      <c r="AC52" s="778">
        <v>0</v>
      </c>
      <c r="AD52" s="782">
        <v>0</v>
      </c>
      <c r="AE52" s="803">
        <v>0</v>
      </c>
      <c r="AF52" s="771">
        <f t="shared" si="1"/>
        <v>0</v>
      </c>
      <c r="AG52" s="805">
        <f t="shared" si="2"/>
        <v>0</v>
      </c>
      <c r="AH52" s="1084">
        <f t="shared" si="3"/>
        <v>0</v>
      </c>
      <c r="AI52" s="132" t="str">
        <f t="shared" si="4"/>
        <v xml:space="preserve"> </v>
      </c>
      <c r="AS52" s="139" t="s">
        <v>1044</v>
      </c>
      <c r="AT52" s="139" t="s">
        <v>1045</v>
      </c>
      <c r="DS52" s="304"/>
      <c r="DT52" s="304"/>
      <c r="DU52" s="647" t="s">
        <v>552</v>
      </c>
      <c r="DV52" s="647" t="s">
        <v>1134</v>
      </c>
      <c r="DW52" s="647" t="s">
        <v>1134</v>
      </c>
      <c r="DX52" s="647" t="s">
        <v>1134</v>
      </c>
      <c r="DY52" s="647" t="s">
        <v>1134</v>
      </c>
      <c r="DZ52" s="647" t="s">
        <v>1134</v>
      </c>
      <c r="EA52" s="647" t="s">
        <v>1044</v>
      </c>
      <c r="EB52" s="647" t="s">
        <v>1135</v>
      </c>
      <c r="EC52" s="647" t="s">
        <v>1134</v>
      </c>
      <c r="ED52" s="647" t="s">
        <v>1136</v>
      </c>
    </row>
    <row r="53" spans="1:134" x14ac:dyDescent="0.2">
      <c r="A53" s="749" t="s">
        <v>27</v>
      </c>
      <c r="B53" s="146">
        <v>46</v>
      </c>
      <c r="C53" s="770">
        <v>0</v>
      </c>
      <c r="D53" s="770">
        <v>0</v>
      </c>
      <c r="E53" s="770">
        <v>0</v>
      </c>
      <c r="F53" s="770">
        <v>0</v>
      </c>
      <c r="G53" s="770">
        <v>0</v>
      </c>
      <c r="H53" s="786">
        <f t="shared" si="5"/>
        <v>0</v>
      </c>
      <c r="I53" s="776">
        <v>0</v>
      </c>
      <c r="J53" s="776">
        <v>0</v>
      </c>
      <c r="K53" s="801">
        <v>0</v>
      </c>
      <c r="L53" s="802">
        <v>0</v>
      </c>
      <c r="M53" s="803">
        <v>0</v>
      </c>
      <c r="N53" s="778">
        <v>0</v>
      </c>
      <c r="O53" s="782">
        <v>0</v>
      </c>
      <c r="P53" s="803">
        <v>0</v>
      </c>
      <c r="Q53" s="781">
        <v>0</v>
      </c>
      <c r="R53" s="803">
        <v>0</v>
      </c>
      <c r="S53" s="778">
        <v>0</v>
      </c>
      <c r="T53" s="778">
        <v>0</v>
      </c>
      <c r="U53" s="804">
        <v>0</v>
      </c>
      <c r="V53" s="772">
        <v>0</v>
      </c>
      <c r="W53" s="783">
        <v>0</v>
      </c>
      <c r="X53" s="803">
        <v>0</v>
      </c>
      <c r="Y53" s="778">
        <v>0</v>
      </c>
      <c r="Z53" s="802">
        <v>0</v>
      </c>
      <c r="AA53" s="803">
        <v>0</v>
      </c>
      <c r="AB53" s="803">
        <v>0</v>
      </c>
      <c r="AC53" s="778">
        <v>0</v>
      </c>
      <c r="AD53" s="782">
        <v>0</v>
      </c>
      <c r="AE53" s="803">
        <v>0</v>
      </c>
      <c r="AF53" s="771">
        <f t="shared" si="1"/>
        <v>0</v>
      </c>
      <c r="AG53" s="805">
        <f t="shared" si="2"/>
        <v>0</v>
      </c>
      <c r="AH53" s="1084">
        <f t="shared" si="3"/>
        <v>0</v>
      </c>
      <c r="AI53" s="132" t="str">
        <f t="shared" si="4"/>
        <v xml:space="preserve"> </v>
      </c>
      <c r="AS53" s="139" t="s">
        <v>447</v>
      </c>
      <c r="AT53" s="139" t="s">
        <v>448</v>
      </c>
      <c r="DS53" s="304"/>
      <c r="DT53" s="304"/>
      <c r="DU53" s="647" t="s">
        <v>552</v>
      </c>
      <c r="DV53" s="647" t="s">
        <v>1134</v>
      </c>
      <c r="DW53" s="647" t="s">
        <v>1134</v>
      </c>
      <c r="DX53" s="647" t="s">
        <v>1134</v>
      </c>
      <c r="DY53" s="647" t="s">
        <v>1134</v>
      </c>
      <c r="DZ53" s="647" t="s">
        <v>1134</v>
      </c>
      <c r="EA53" s="647" t="s">
        <v>447</v>
      </c>
      <c r="EB53" s="647" t="s">
        <v>1135</v>
      </c>
      <c r="EC53" s="647" t="s">
        <v>1134</v>
      </c>
      <c r="ED53" s="647" t="s">
        <v>1136</v>
      </c>
    </row>
    <row r="54" spans="1:134" ht="12.75" customHeight="1" x14ac:dyDescent="0.2">
      <c r="A54" s="749" t="s">
        <v>28</v>
      </c>
      <c r="B54" s="146">
        <v>47</v>
      </c>
      <c r="C54" s="770">
        <v>0</v>
      </c>
      <c r="D54" s="770">
        <v>0</v>
      </c>
      <c r="E54" s="770">
        <v>0</v>
      </c>
      <c r="F54" s="770">
        <v>0</v>
      </c>
      <c r="G54" s="770">
        <v>0</v>
      </c>
      <c r="H54" s="786">
        <f t="shared" si="5"/>
        <v>0</v>
      </c>
      <c r="I54" s="776">
        <v>0</v>
      </c>
      <c r="J54" s="776">
        <v>0</v>
      </c>
      <c r="K54" s="801">
        <v>0</v>
      </c>
      <c r="L54" s="802">
        <v>0</v>
      </c>
      <c r="M54" s="803">
        <v>0</v>
      </c>
      <c r="N54" s="778">
        <v>0</v>
      </c>
      <c r="O54" s="782">
        <v>0</v>
      </c>
      <c r="P54" s="803">
        <v>0</v>
      </c>
      <c r="Q54" s="781">
        <v>0</v>
      </c>
      <c r="R54" s="803">
        <v>0</v>
      </c>
      <c r="S54" s="778">
        <v>0</v>
      </c>
      <c r="T54" s="778">
        <v>0</v>
      </c>
      <c r="U54" s="804">
        <v>0</v>
      </c>
      <c r="V54" s="772">
        <v>0</v>
      </c>
      <c r="W54" s="783">
        <v>0</v>
      </c>
      <c r="X54" s="803">
        <v>0</v>
      </c>
      <c r="Y54" s="778">
        <v>0</v>
      </c>
      <c r="Z54" s="802">
        <v>0</v>
      </c>
      <c r="AA54" s="803">
        <v>0</v>
      </c>
      <c r="AB54" s="803">
        <v>0</v>
      </c>
      <c r="AC54" s="778">
        <v>0</v>
      </c>
      <c r="AD54" s="782">
        <v>22.925999999999998</v>
      </c>
      <c r="AE54" s="803">
        <v>0.77300000000000002</v>
      </c>
      <c r="AF54" s="771">
        <f t="shared" si="1"/>
        <v>23.699000000000002</v>
      </c>
      <c r="AG54" s="805">
        <f t="shared" si="2"/>
        <v>23.699000000000002</v>
      </c>
      <c r="AH54" s="1084">
        <f t="shared" si="3"/>
        <v>0</v>
      </c>
      <c r="AI54" s="132" t="str">
        <f t="shared" si="4"/>
        <v xml:space="preserve"> </v>
      </c>
      <c r="AS54" s="139" t="s">
        <v>449</v>
      </c>
      <c r="AT54" s="139" t="s">
        <v>450</v>
      </c>
      <c r="DS54" s="304"/>
      <c r="DT54" s="304"/>
      <c r="DU54" s="647" t="s">
        <v>552</v>
      </c>
      <c r="DV54" s="647" t="s">
        <v>1134</v>
      </c>
      <c r="DW54" s="647" t="s">
        <v>1134</v>
      </c>
      <c r="DX54" s="647" t="s">
        <v>1134</v>
      </c>
      <c r="DY54" s="647" t="s">
        <v>1134</v>
      </c>
      <c r="DZ54" s="647" t="s">
        <v>1134</v>
      </c>
      <c r="EA54" s="647" t="s">
        <v>449</v>
      </c>
      <c r="EB54" s="647" t="s">
        <v>1135</v>
      </c>
      <c r="EC54" s="647" t="s">
        <v>1134</v>
      </c>
      <c r="ED54" s="647" t="s">
        <v>1136</v>
      </c>
    </row>
    <row r="55" spans="1:134" x14ac:dyDescent="0.2">
      <c r="A55" s="749" t="s">
        <v>676</v>
      </c>
      <c r="B55" s="146">
        <v>48</v>
      </c>
      <c r="C55" s="770">
        <v>0</v>
      </c>
      <c r="D55" s="770">
        <v>0</v>
      </c>
      <c r="E55" s="770">
        <v>0</v>
      </c>
      <c r="F55" s="770">
        <v>0</v>
      </c>
      <c r="G55" s="770">
        <v>0</v>
      </c>
      <c r="H55" s="786">
        <f t="shared" si="5"/>
        <v>0</v>
      </c>
      <c r="I55" s="776">
        <v>0</v>
      </c>
      <c r="J55" s="776">
        <v>0</v>
      </c>
      <c r="K55" s="801">
        <v>0</v>
      </c>
      <c r="L55" s="802">
        <v>0</v>
      </c>
      <c r="M55" s="803">
        <v>0</v>
      </c>
      <c r="N55" s="778">
        <v>0</v>
      </c>
      <c r="O55" s="782">
        <v>0</v>
      </c>
      <c r="P55" s="803">
        <v>0</v>
      </c>
      <c r="Q55" s="781">
        <v>0</v>
      </c>
      <c r="R55" s="803">
        <v>0</v>
      </c>
      <c r="S55" s="778">
        <v>0</v>
      </c>
      <c r="T55" s="778">
        <v>0</v>
      </c>
      <c r="U55" s="804">
        <v>0</v>
      </c>
      <c r="V55" s="772">
        <v>0</v>
      </c>
      <c r="W55" s="783">
        <v>0</v>
      </c>
      <c r="X55" s="803">
        <v>0</v>
      </c>
      <c r="Y55" s="778">
        <v>0</v>
      </c>
      <c r="Z55" s="802">
        <v>0</v>
      </c>
      <c r="AA55" s="803">
        <v>0</v>
      </c>
      <c r="AB55" s="803">
        <v>0</v>
      </c>
      <c r="AC55" s="778">
        <v>0</v>
      </c>
      <c r="AD55" s="782">
        <v>0</v>
      </c>
      <c r="AE55" s="803">
        <v>0</v>
      </c>
      <c r="AF55" s="771">
        <f t="shared" si="1"/>
        <v>0</v>
      </c>
      <c r="AG55" s="805">
        <f t="shared" si="2"/>
        <v>0</v>
      </c>
      <c r="AH55" s="1084">
        <f t="shared" si="3"/>
        <v>0</v>
      </c>
      <c r="AI55" s="132" t="str">
        <f t="shared" si="4"/>
        <v xml:space="preserve"> </v>
      </c>
      <c r="AS55" s="139" t="s">
        <v>881</v>
      </c>
      <c r="AT55" s="1086" t="s">
        <v>1399</v>
      </c>
      <c r="DS55" s="304"/>
      <c r="DT55" s="304"/>
      <c r="DU55" s="647" t="s">
        <v>552</v>
      </c>
      <c r="DV55" s="647" t="s">
        <v>1134</v>
      </c>
      <c r="DW55" s="647" t="s">
        <v>1134</v>
      </c>
      <c r="DX55" s="647" t="s">
        <v>1134</v>
      </c>
      <c r="DY55" s="647" t="s">
        <v>1134</v>
      </c>
      <c r="DZ55" s="647" t="s">
        <v>1134</v>
      </c>
      <c r="EA55" s="647" t="s">
        <v>881</v>
      </c>
      <c r="EB55" s="647" t="s">
        <v>1135</v>
      </c>
      <c r="EC55" s="647" t="s">
        <v>1134</v>
      </c>
      <c r="ED55" s="647" t="s">
        <v>1136</v>
      </c>
    </row>
    <row r="56" spans="1:134" ht="12.75" customHeight="1" x14ac:dyDescent="0.2">
      <c r="A56" s="749" t="s">
        <v>972</v>
      </c>
      <c r="B56" s="146">
        <v>49</v>
      </c>
      <c r="C56" s="770">
        <v>0</v>
      </c>
      <c r="D56" s="770">
        <v>0</v>
      </c>
      <c r="E56" s="770">
        <v>0</v>
      </c>
      <c r="F56" s="770">
        <v>0</v>
      </c>
      <c r="G56" s="770">
        <v>0</v>
      </c>
      <c r="H56" s="786">
        <f t="shared" si="5"/>
        <v>0</v>
      </c>
      <c r="I56" s="776">
        <v>0</v>
      </c>
      <c r="J56" s="776">
        <v>0</v>
      </c>
      <c r="K56" s="801">
        <v>0</v>
      </c>
      <c r="L56" s="802">
        <v>0</v>
      </c>
      <c r="M56" s="803">
        <v>0</v>
      </c>
      <c r="N56" s="778">
        <v>0</v>
      </c>
      <c r="O56" s="782">
        <v>0</v>
      </c>
      <c r="P56" s="803">
        <v>0</v>
      </c>
      <c r="Q56" s="781">
        <v>0</v>
      </c>
      <c r="R56" s="803">
        <v>0</v>
      </c>
      <c r="S56" s="778">
        <v>0</v>
      </c>
      <c r="T56" s="778">
        <v>0</v>
      </c>
      <c r="U56" s="804">
        <v>0</v>
      </c>
      <c r="V56" s="772">
        <v>0</v>
      </c>
      <c r="W56" s="783">
        <v>0</v>
      </c>
      <c r="X56" s="803">
        <v>0</v>
      </c>
      <c r="Y56" s="778">
        <v>0</v>
      </c>
      <c r="Z56" s="802">
        <v>0</v>
      </c>
      <c r="AA56" s="803">
        <v>0</v>
      </c>
      <c r="AB56" s="803">
        <v>0</v>
      </c>
      <c r="AC56" s="778">
        <v>0</v>
      </c>
      <c r="AD56" s="782">
        <v>0</v>
      </c>
      <c r="AE56" s="803">
        <v>0</v>
      </c>
      <c r="AF56" s="771">
        <f t="shared" si="1"/>
        <v>0</v>
      </c>
      <c r="AG56" s="805">
        <f t="shared" si="2"/>
        <v>0</v>
      </c>
      <c r="AH56" s="1084">
        <f t="shared" si="3"/>
        <v>0</v>
      </c>
      <c r="AI56" s="132" t="str">
        <f t="shared" si="4"/>
        <v xml:space="preserve"> </v>
      </c>
      <c r="AS56" s="139" t="s">
        <v>1046</v>
      </c>
      <c r="AT56" s="139" t="s">
        <v>1047</v>
      </c>
      <c r="DS56" s="304"/>
      <c r="DT56" s="304"/>
      <c r="DU56" s="647" t="s">
        <v>552</v>
      </c>
      <c r="DV56" s="647" t="s">
        <v>1134</v>
      </c>
      <c r="DW56" s="647" t="s">
        <v>1134</v>
      </c>
      <c r="DX56" s="647" t="s">
        <v>1134</v>
      </c>
      <c r="DY56" s="647" t="s">
        <v>1134</v>
      </c>
      <c r="DZ56" s="647" t="s">
        <v>1134</v>
      </c>
      <c r="EA56" s="647" t="s">
        <v>1046</v>
      </c>
      <c r="EB56" s="647" t="s">
        <v>1135</v>
      </c>
      <c r="EC56" s="647" t="s">
        <v>1134</v>
      </c>
      <c r="ED56" s="647" t="s">
        <v>1136</v>
      </c>
    </row>
    <row r="57" spans="1:134" x14ac:dyDescent="0.2">
      <c r="A57" s="749" t="s">
        <v>557</v>
      </c>
      <c r="B57" s="146">
        <v>50</v>
      </c>
      <c r="C57" s="770">
        <v>0</v>
      </c>
      <c r="D57" s="770">
        <v>0</v>
      </c>
      <c r="E57" s="770">
        <v>0</v>
      </c>
      <c r="F57" s="770">
        <v>2.0329999999999999</v>
      </c>
      <c r="G57" s="770">
        <v>0</v>
      </c>
      <c r="H57" s="786">
        <f t="shared" si="5"/>
        <v>2.0329999999999999</v>
      </c>
      <c r="I57" s="776">
        <v>0</v>
      </c>
      <c r="J57" s="776">
        <v>0</v>
      </c>
      <c r="K57" s="801">
        <v>39.145000000000003</v>
      </c>
      <c r="L57" s="802">
        <v>11.048999999999999</v>
      </c>
      <c r="M57" s="803">
        <v>0</v>
      </c>
      <c r="N57" s="778">
        <v>11.048999999999999</v>
      </c>
      <c r="O57" s="782">
        <v>0</v>
      </c>
      <c r="P57" s="803">
        <v>0</v>
      </c>
      <c r="Q57" s="781">
        <v>0</v>
      </c>
      <c r="R57" s="803">
        <v>0</v>
      </c>
      <c r="S57" s="778">
        <v>0</v>
      </c>
      <c r="T57" s="778">
        <v>0</v>
      </c>
      <c r="U57" s="804">
        <v>0</v>
      </c>
      <c r="V57" s="772">
        <v>0</v>
      </c>
      <c r="W57" s="783">
        <v>0</v>
      </c>
      <c r="X57" s="803">
        <v>0</v>
      </c>
      <c r="Y57" s="778">
        <v>0</v>
      </c>
      <c r="Z57" s="802">
        <v>130.798</v>
      </c>
      <c r="AA57" s="803">
        <v>55.701999999999998</v>
      </c>
      <c r="AB57" s="803">
        <v>0</v>
      </c>
      <c r="AC57" s="778">
        <v>75.094999999999999</v>
      </c>
      <c r="AD57" s="782">
        <v>0</v>
      </c>
      <c r="AE57" s="803">
        <v>8.6790000000000003</v>
      </c>
      <c r="AF57" s="771">
        <f t="shared" si="1"/>
        <v>189.67099999999999</v>
      </c>
      <c r="AG57" s="805">
        <f t="shared" si="2"/>
        <v>191.70400000000001</v>
      </c>
      <c r="AH57" s="1084">
        <f t="shared" si="3"/>
        <v>0</v>
      </c>
      <c r="AI57" s="132" t="str">
        <f t="shared" si="4"/>
        <v xml:space="preserve"> </v>
      </c>
      <c r="AS57" s="139" t="s">
        <v>507</v>
      </c>
      <c r="AT57" s="139" t="s">
        <v>508</v>
      </c>
      <c r="DS57" s="304"/>
      <c r="DT57" s="304"/>
      <c r="DU57" s="647" t="s">
        <v>552</v>
      </c>
      <c r="DV57" s="647" t="s">
        <v>1134</v>
      </c>
      <c r="DW57" s="647" t="s">
        <v>1134</v>
      </c>
      <c r="DX57" s="647" t="s">
        <v>1134</v>
      </c>
      <c r="DY57" s="647" t="s">
        <v>1134</v>
      </c>
      <c r="DZ57" s="647" t="s">
        <v>1134</v>
      </c>
      <c r="EA57" s="647" t="s">
        <v>507</v>
      </c>
      <c r="EB57" s="647" t="s">
        <v>1135</v>
      </c>
      <c r="EC57" s="647" t="s">
        <v>1134</v>
      </c>
      <c r="ED57" s="647" t="s">
        <v>1136</v>
      </c>
    </row>
    <row r="58" spans="1:134" ht="12.75" customHeight="1" x14ac:dyDescent="0.2">
      <c r="A58" s="749" t="s">
        <v>973</v>
      </c>
      <c r="B58" s="146">
        <v>51</v>
      </c>
      <c r="C58" s="770">
        <v>0</v>
      </c>
      <c r="D58" s="770">
        <v>0</v>
      </c>
      <c r="E58" s="770">
        <v>0</v>
      </c>
      <c r="F58" s="770">
        <v>0</v>
      </c>
      <c r="G58" s="770">
        <v>0</v>
      </c>
      <c r="H58" s="786">
        <f t="shared" si="5"/>
        <v>0</v>
      </c>
      <c r="I58" s="776">
        <v>0</v>
      </c>
      <c r="J58" s="776">
        <v>0</v>
      </c>
      <c r="K58" s="801">
        <v>0</v>
      </c>
      <c r="L58" s="802">
        <v>0</v>
      </c>
      <c r="M58" s="803">
        <v>0</v>
      </c>
      <c r="N58" s="778">
        <v>0</v>
      </c>
      <c r="O58" s="782">
        <v>0</v>
      </c>
      <c r="P58" s="803">
        <v>0</v>
      </c>
      <c r="Q58" s="781">
        <v>0</v>
      </c>
      <c r="R58" s="803">
        <v>0</v>
      </c>
      <c r="S58" s="778">
        <v>0</v>
      </c>
      <c r="T58" s="778">
        <v>0</v>
      </c>
      <c r="U58" s="804">
        <v>0</v>
      </c>
      <c r="V58" s="772">
        <v>0</v>
      </c>
      <c r="W58" s="783">
        <v>0</v>
      </c>
      <c r="X58" s="803">
        <v>0</v>
      </c>
      <c r="Y58" s="778">
        <v>0</v>
      </c>
      <c r="Z58" s="802">
        <v>0</v>
      </c>
      <c r="AA58" s="803">
        <v>0</v>
      </c>
      <c r="AB58" s="803">
        <v>0</v>
      </c>
      <c r="AC58" s="778">
        <v>0</v>
      </c>
      <c r="AD58" s="782">
        <v>0</v>
      </c>
      <c r="AE58" s="803">
        <v>0</v>
      </c>
      <c r="AF58" s="771">
        <f t="shared" si="1"/>
        <v>0</v>
      </c>
      <c r="AG58" s="805">
        <f t="shared" si="2"/>
        <v>0</v>
      </c>
      <c r="AH58" s="1084">
        <f t="shared" si="3"/>
        <v>0</v>
      </c>
      <c r="AI58" s="132" t="str">
        <f t="shared" si="4"/>
        <v xml:space="preserve"> </v>
      </c>
      <c r="AS58" s="139" t="s">
        <v>1048</v>
      </c>
      <c r="AT58" s="139" t="s">
        <v>1049</v>
      </c>
      <c r="DS58" s="304"/>
      <c r="DT58" s="304"/>
      <c r="DU58" s="647" t="s">
        <v>552</v>
      </c>
      <c r="DV58" s="647" t="s">
        <v>1134</v>
      </c>
      <c r="DW58" s="647" t="s">
        <v>1134</v>
      </c>
      <c r="DX58" s="647" t="s">
        <v>1134</v>
      </c>
      <c r="DY58" s="647" t="s">
        <v>1134</v>
      </c>
      <c r="DZ58" s="647" t="s">
        <v>1134</v>
      </c>
      <c r="EA58" s="647" t="s">
        <v>1048</v>
      </c>
      <c r="EB58" s="647" t="s">
        <v>1135</v>
      </c>
      <c r="EC58" s="647" t="s">
        <v>1134</v>
      </c>
      <c r="ED58" s="647" t="s">
        <v>1136</v>
      </c>
    </row>
    <row r="59" spans="1:134" x14ac:dyDescent="0.2">
      <c r="A59" s="749" t="s">
        <v>29</v>
      </c>
      <c r="B59" s="146">
        <v>52</v>
      </c>
      <c r="C59" s="770">
        <v>0</v>
      </c>
      <c r="D59" s="770">
        <v>0</v>
      </c>
      <c r="E59" s="770">
        <v>0</v>
      </c>
      <c r="F59" s="770">
        <v>3.6429999999999998</v>
      </c>
      <c r="G59" s="770">
        <v>0</v>
      </c>
      <c r="H59" s="786">
        <f t="shared" si="5"/>
        <v>3.6429999999999998</v>
      </c>
      <c r="I59" s="776">
        <v>0</v>
      </c>
      <c r="J59" s="776">
        <v>0</v>
      </c>
      <c r="K59" s="801">
        <v>145.62299999999999</v>
      </c>
      <c r="L59" s="802">
        <v>41.104999999999997</v>
      </c>
      <c r="M59" s="803">
        <v>0</v>
      </c>
      <c r="N59" s="778">
        <v>41.104999999999997</v>
      </c>
      <c r="O59" s="782">
        <v>0</v>
      </c>
      <c r="P59" s="803">
        <v>0</v>
      </c>
      <c r="Q59" s="781">
        <v>0</v>
      </c>
      <c r="R59" s="803">
        <v>0</v>
      </c>
      <c r="S59" s="778">
        <v>0</v>
      </c>
      <c r="T59" s="778">
        <v>0</v>
      </c>
      <c r="U59" s="804">
        <v>4.726</v>
      </c>
      <c r="V59" s="772">
        <v>5.5439999999999996</v>
      </c>
      <c r="W59" s="783">
        <v>10.27</v>
      </c>
      <c r="X59" s="803">
        <v>0</v>
      </c>
      <c r="Y59" s="778">
        <v>10.27</v>
      </c>
      <c r="Z59" s="802">
        <v>87.628</v>
      </c>
      <c r="AA59" s="803">
        <v>37.317999999999998</v>
      </c>
      <c r="AB59" s="803">
        <v>0</v>
      </c>
      <c r="AC59" s="778">
        <v>50.311</v>
      </c>
      <c r="AD59" s="782">
        <v>0</v>
      </c>
      <c r="AE59" s="803">
        <v>12.802</v>
      </c>
      <c r="AF59" s="771">
        <f t="shared" si="1"/>
        <v>297.428</v>
      </c>
      <c r="AG59" s="805">
        <f t="shared" si="2"/>
        <v>301.07100000000003</v>
      </c>
      <c r="AH59" s="1084">
        <f t="shared" si="3"/>
        <v>0</v>
      </c>
      <c r="AI59" s="132" t="str">
        <f t="shared" si="4"/>
        <v xml:space="preserve"> </v>
      </c>
      <c r="AS59" s="139" t="s">
        <v>244</v>
      </c>
      <c r="AT59" s="139" t="s">
        <v>243</v>
      </c>
      <c r="DS59" s="304"/>
      <c r="DT59" s="304"/>
      <c r="DU59" s="647" t="s">
        <v>552</v>
      </c>
      <c r="DV59" s="647" t="s">
        <v>1134</v>
      </c>
      <c r="DW59" s="647" t="s">
        <v>1134</v>
      </c>
      <c r="DX59" s="647" t="s">
        <v>1134</v>
      </c>
      <c r="DY59" s="647" t="s">
        <v>1134</v>
      </c>
      <c r="DZ59" s="647" t="s">
        <v>1134</v>
      </c>
      <c r="EA59" s="647" t="s">
        <v>244</v>
      </c>
      <c r="EB59" s="647" t="s">
        <v>1135</v>
      </c>
      <c r="EC59" s="647" t="s">
        <v>1134</v>
      </c>
      <c r="ED59" s="647" t="s">
        <v>1136</v>
      </c>
    </row>
    <row r="60" spans="1:134" x14ac:dyDescent="0.2">
      <c r="A60" s="749" t="s">
        <v>30</v>
      </c>
      <c r="B60" s="146">
        <v>53</v>
      </c>
      <c r="C60" s="770">
        <v>0</v>
      </c>
      <c r="D60" s="770">
        <v>0</v>
      </c>
      <c r="E60" s="770">
        <v>0</v>
      </c>
      <c r="F60" s="770">
        <v>1.704</v>
      </c>
      <c r="G60" s="770">
        <v>0</v>
      </c>
      <c r="H60" s="786">
        <f t="shared" si="5"/>
        <v>1.704</v>
      </c>
      <c r="I60" s="776">
        <v>0</v>
      </c>
      <c r="J60" s="776">
        <v>0.252</v>
      </c>
      <c r="K60" s="801">
        <v>76.870999999999995</v>
      </c>
      <c r="L60" s="802">
        <v>21.698</v>
      </c>
      <c r="M60" s="803">
        <v>0</v>
      </c>
      <c r="N60" s="778">
        <v>21.698</v>
      </c>
      <c r="O60" s="782">
        <v>0</v>
      </c>
      <c r="P60" s="803">
        <v>0</v>
      </c>
      <c r="Q60" s="781">
        <v>0</v>
      </c>
      <c r="R60" s="803">
        <v>0</v>
      </c>
      <c r="S60" s="778">
        <v>0</v>
      </c>
      <c r="T60" s="778">
        <v>0</v>
      </c>
      <c r="U60" s="804">
        <v>4.0000000000000001E-3</v>
      </c>
      <c r="V60" s="772">
        <v>6.0000000000000001E-3</v>
      </c>
      <c r="W60" s="783">
        <v>0.01</v>
      </c>
      <c r="X60" s="803">
        <v>0</v>
      </c>
      <c r="Y60" s="778">
        <v>0.01</v>
      </c>
      <c r="Z60" s="802">
        <v>0.62</v>
      </c>
      <c r="AA60" s="803">
        <v>0.26400000000000001</v>
      </c>
      <c r="AB60" s="803">
        <v>0</v>
      </c>
      <c r="AC60" s="778">
        <v>0.35599999999999998</v>
      </c>
      <c r="AD60" s="782">
        <v>0</v>
      </c>
      <c r="AE60" s="803">
        <v>18.834</v>
      </c>
      <c r="AF60" s="771">
        <f t="shared" si="1"/>
        <v>118.285</v>
      </c>
      <c r="AG60" s="805">
        <f t="shared" si="2"/>
        <v>119.989</v>
      </c>
      <c r="AH60" s="1084">
        <f t="shared" si="3"/>
        <v>0</v>
      </c>
      <c r="AI60" s="132" t="str">
        <f t="shared" si="4"/>
        <v xml:space="preserve"> </v>
      </c>
      <c r="AS60" s="139" t="s">
        <v>246</v>
      </c>
      <c r="AT60" s="139" t="s">
        <v>245</v>
      </c>
      <c r="DS60" s="304"/>
      <c r="DT60" s="304"/>
      <c r="DU60" s="647" t="s">
        <v>552</v>
      </c>
      <c r="DV60" s="647" t="s">
        <v>1134</v>
      </c>
      <c r="DW60" s="647" t="s">
        <v>1134</v>
      </c>
      <c r="DX60" s="647" t="s">
        <v>1134</v>
      </c>
      <c r="DY60" s="647" t="s">
        <v>1134</v>
      </c>
      <c r="DZ60" s="647" t="s">
        <v>1134</v>
      </c>
      <c r="EA60" s="647" t="s">
        <v>246</v>
      </c>
      <c r="EB60" s="647" t="s">
        <v>1135</v>
      </c>
      <c r="EC60" s="647" t="s">
        <v>1134</v>
      </c>
      <c r="ED60" s="647" t="s">
        <v>1136</v>
      </c>
    </row>
    <row r="61" spans="1:134" ht="12.75" customHeight="1" x14ac:dyDescent="0.2">
      <c r="A61" s="749" t="s">
        <v>31</v>
      </c>
      <c r="B61" s="146">
        <v>54</v>
      </c>
      <c r="C61" s="770">
        <v>0</v>
      </c>
      <c r="D61" s="770">
        <v>0</v>
      </c>
      <c r="E61" s="770">
        <v>0</v>
      </c>
      <c r="F61" s="770">
        <v>0</v>
      </c>
      <c r="G61" s="770">
        <v>0</v>
      </c>
      <c r="H61" s="786">
        <f t="shared" si="5"/>
        <v>0</v>
      </c>
      <c r="I61" s="776">
        <v>0</v>
      </c>
      <c r="J61" s="776">
        <v>0</v>
      </c>
      <c r="K61" s="801">
        <v>0</v>
      </c>
      <c r="L61" s="802">
        <v>0</v>
      </c>
      <c r="M61" s="803">
        <v>0</v>
      </c>
      <c r="N61" s="778">
        <v>0</v>
      </c>
      <c r="O61" s="782">
        <v>0</v>
      </c>
      <c r="P61" s="803">
        <v>0</v>
      </c>
      <c r="Q61" s="781">
        <v>0</v>
      </c>
      <c r="R61" s="803">
        <v>0</v>
      </c>
      <c r="S61" s="778">
        <v>0</v>
      </c>
      <c r="T61" s="778">
        <v>0</v>
      </c>
      <c r="U61" s="804">
        <v>0</v>
      </c>
      <c r="V61" s="772">
        <v>0</v>
      </c>
      <c r="W61" s="783">
        <v>0</v>
      </c>
      <c r="X61" s="803">
        <v>0</v>
      </c>
      <c r="Y61" s="778">
        <v>0</v>
      </c>
      <c r="Z61" s="802">
        <v>0</v>
      </c>
      <c r="AA61" s="803">
        <v>0</v>
      </c>
      <c r="AB61" s="803">
        <v>0</v>
      </c>
      <c r="AC61" s="778">
        <v>0</v>
      </c>
      <c r="AD61" s="782">
        <v>0</v>
      </c>
      <c r="AE61" s="803">
        <v>0</v>
      </c>
      <c r="AF61" s="771">
        <f t="shared" si="1"/>
        <v>0</v>
      </c>
      <c r="AG61" s="805">
        <f t="shared" si="2"/>
        <v>0</v>
      </c>
      <c r="AH61" s="1084">
        <f t="shared" si="3"/>
        <v>0</v>
      </c>
      <c r="AI61" s="132" t="str">
        <f t="shared" si="4"/>
        <v xml:space="preserve"> </v>
      </c>
      <c r="AS61" s="139" t="s">
        <v>451</v>
      </c>
      <c r="AT61" s="139" t="s">
        <v>452</v>
      </c>
      <c r="DS61" s="304"/>
      <c r="DT61" s="304"/>
      <c r="DU61" s="647" t="s">
        <v>552</v>
      </c>
      <c r="DV61" s="647" t="s">
        <v>1134</v>
      </c>
      <c r="DW61" s="647" t="s">
        <v>1134</v>
      </c>
      <c r="DX61" s="647" t="s">
        <v>1134</v>
      </c>
      <c r="DY61" s="647" t="s">
        <v>1134</v>
      </c>
      <c r="DZ61" s="647" t="s">
        <v>1134</v>
      </c>
      <c r="EA61" s="647" t="s">
        <v>451</v>
      </c>
      <c r="EB61" s="647" t="s">
        <v>1135</v>
      </c>
      <c r="EC61" s="647" t="s">
        <v>1134</v>
      </c>
      <c r="ED61" s="647" t="s">
        <v>1136</v>
      </c>
    </row>
    <row r="62" spans="1:134" x14ac:dyDescent="0.2">
      <c r="A62" s="749" t="s">
        <v>558</v>
      </c>
      <c r="B62" s="146">
        <v>55</v>
      </c>
      <c r="C62" s="770">
        <v>0</v>
      </c>
      <c r="D62" s="770">
        <v>0</v>
      </c>
      <c r="E62" s="770">
        <v>0</v>
      </c>
      <c r="F62" s="770">
        <v>0</v>
      </c>
      <c r="G62" s="770">
        <v>0</v>
      </c>
      <c r="H62" s="786">
        <f t="shared" si="5"/>
        <v>0</v>
      </c>
      <c r="I62" s="776">
        <v>0</v>
      </c>
      <c r="J62" s="776">
        <v>0</v>
      </c>
      <c r="K62" s="801">
        <v>0</v>
      </c>
      <c r="L62" s="802">
        <v>0</v>
      </c>
      <c r="M62" s="803">
        <v>0</v>
      </c>
      <c r="N62" s="778">
        <v>0</v>
      </c>
      <c r="O62" s="782">
        <v>0</v>
      </c>
      <c r="P62" s="803">
        <v>0</v>
      </c>
      <c r="Q62" s="781">
        <v>0</v>
      </c>
      <c r="R62" s="803">
        <v>0</v>
      </c>
      <c r="S62" s="778">
        <v>0</v>
      </c>
      <c r="T62" s="778">
        <v>0</v>
      </c>
      <c r="U62" s="804">
        <v>0</v>
      </c>
      <c r="V62" s="772">
        <v>0</v>
      </c>
      <c r="W62" s="783">
        <v>0</v>
      </c>
      <c r="X62" s="803">
        <v>0</v>
      </c>
      <c r="Y62" s="778">
        <v>0</v>
      </c>
      <c r="Z62" s="802">
        <v>0</v>
      </c>
      <c r="AA62" s="803">
        <v>0</v>
      </c>
      <c r="AB62" s="803">
        <v>0</v>
      </c>
      <c r="AC62" s="778">
        <v>0</v>
      </c>
      <c r="AD62" s="782">
        <v>0</v>
      </c>
      <c r="AE62" s="803">
        <v>0.39500000000000002</v>
      </c>
      <c r="AF62" s="771">
        <f t="shared" si="1"/>
        <v>0.39500000000000002</v>
      </c>
      <c r="AG62" s="805">
        <f t="shared" si="2"/>
        <v>0.39500000000000002</v>
      </c>
      <c r="AH62" s="1084">
        <f t="shared" si="3"/>
        <v>0</v>
      </c>
      <c r="AI62" s="132" t="str">
        <f t="shared" si="4"/>
        <v xml:space="preserve"> </v>
      </c>
      <c r="AS62" s="139" t="s">
        <v>509</v>
      </c>
      <c r="AT62" s="139" t="s">
        <v>510</v>
      </c>
      <c r="DS62" s="304"/>
      <c r="DT62" s="304"/>
      <c r="DU62" s="647" t="s">
        <v>552</v>
      </c>
      <c r="DV62" s="647" t="s">
        <v>1134</v>
      </c>
      <c r="DW62" s="647" t="s">
        <v>1134</v>
      </c>
      <c r="DX62" s="647" t="s">
        <v>1134</v>
      </c>
      <c r="DY62" s="647" t="s">
        <v>1134</v>
      </c>
      <c r="DZ62" s="647" t="s">
        <v>1134</v>
      </c>
      <c r="EA62" s="647" t="s">
        <v>509</v>
      </c>
      <c r="EB62" s="647" t="s">
        <v>1135</v>
      </c>
      <c r="EC62" s="647" t="s">
        <v>1134</v>
      </c>
      <c r="ED62" s="647" t="s">
        <v>1136</v>
      </c>
    </row>
    <row r="63" spans="1:134" ht="12.75" customHeight="1" x14ac:dyDescent="0.2">
      <c r="A63" s="749" t="s">
        <v>32</v>
      </c>
      <c r="B63" s="146">
        <v>56</v>
      </c>
      <c r="C63" s="770">
        <v>1.2999999999999999E-2</v>
      </c>
      <c r="D63" s="770">
        <v>32.698</v>
      </c>
      <c r="E63" s="770">
        <v>0</v>
      </c>
      <c r="F63" s="770">
        <v>6.6130000000000004</v>
      </c>
      <c r="G63" s="770">
        <v>0</v>
      </c>
      <c r="H63" s="786">
        <f t="shared" si="5"/>
        <v>39.323999999999998</v>
      </c>
      <c r="I63" s="776">
        <v>0</v>
      </c>
      <c r="J63" s="776">
        <v>1.5109999999999999</v>
      </c>
      <c r="K63" s="801">
        <v>236.267</v>
      </c>
      <c r="L63" s="802">
        <v>66.69</v>
      </c>
      <c r="M63" s="803">
        <v>0</v>
      </c>
      <c r="N63" s="778">
        <v>66.69</v>
      </c>
      <c r="O63" s="782">
        <v>0.26200000000000001</v>
      </c>
      <c r="P63" s="803">
        <v>0</v>
      </c>
      <c r="Q63" s="781">
        <v>20.135000000000002</v>
      </c>
      <c r="R63" s="803">
        <v>0</v>
      </c>
      <c r="S63" s="778">
        <v>20.135000000000002</v>
      </c>
      <c r="T63" s="778">
        <v>2.1320000000000001</v>
      </c>
      <c r="U63" s="804">
        <v>21.273</v>
      </c>
      <c r="V63" s="772">
        <v>24.952000000000002</v>
      </c>
      <c r="W63" s="783">
        <v>46.225000000000001</v>
      </c>
      <c r="X63" s="803">
        <v>0</v>
      </c>
      <c r="Y63" s="778">
        <v>46.225000000000001</v>
      </c>
      <c r="Z63" s="802">
        <v>175.61500000000001</v>
      </c>
      <c r="AA63" s="803">
        <v>74.789000000000001</v>
      </c>
      <c r="AB63" s="803">
        <v>0</v>
      </c>
      <c r="AC63" s="778">
        <v>100.82599999999999</v>
      </c>
      <c r="AD63" s="782">
        <v>49.015000000000001</v>
      </c>
      <c r="AE63" s="803">
        <v>66.956999999999994</v>
      </c>
      <c r="AF63" s="771">
        <f t="shared" si="1"/>
        <v>664.80899999999997</v>
      </c>
      <c r="AG63" s="805">
        <f t="shared" si="2"/>
        <v>704.13300000000004</v>
      </c>
      <c r="AH63" s="1084">
        <f t="shared" si="3"/>
        <v>0</v>
      </c>
      <c r="AI63" s="132" t="str">
        <f t="shared" si="4"/>
        <v xml:space="preserve"> </v>
      </c>
      <c r="AS63" s="139" t="s">
        <v>248</v>
      </c>
      <c r="AT63" s="139" t="s">
        <v>247</v>
      </c>
      <c r="DS63" s="304"/>
      <c r="DT63" s="304"/>
      <c r="DU63" s="647" t="s">
        <v>552</v>
      </c>
      <c r="DV63" s="647" t="s">
        <v>1134</v>
      </c>
      <c r="DW63" s="647" t="s">
        <v>1134</v>
      </c>
      <c r="DX63" s="647" t="s">
        <v>1134</v>
      </c>
      <c r="DY63" s="647" t="s">
        <v>1134</v>
      </c>
      <c r="DZ63" s="647" t="s">
        <v>1134</v>
      </c>
      <c r="EA63" s="647" t="s">
        <v>248</v>
      </c>
      <c r="EB63" s="647" t="s">
        <v>1135</v>
      </c>
      <c r="EC63" s="647" t="s">
        <v>1134</v>
      </c>
      <c r="ED63" s="647" t="s">
        <v>1136</v>
      </c>
    </row>
    <row r="64" spans="1:134" x14ac:dyDescent="0.2">
      <c r="A64" s="749" t="s">
        <v>974</v>
      </c>
      <c r="B64" s="146">
        <v>57</v>
      </c>
      <c r="C64" s="770">
        <v>0</v>
      </c>
      <c r="D64" s="770">
        <v>0</v>
      </c>
      <c r="E64" s="770">
        <v>0</v>
      </c>
      <c r="F64" s="770">
        <v>0</v>
      </c>
      <c r="G64" s="770">
        <v>0</v>
      </c>
      <c r="H64" s="786">
        <f t="shared" si="5"/>
        <v>0</v>
      </c>
      <c r="I64" s="776">
        <v>0</v>
      </c>
      <c r="J64" s="776">
        <v>0</v>
      </c>
      <c r="K64" s="801">
        <v>0</v>
      </c>
      <c r="L64" s="802">
        <v>0</v>
      </c>
      <c r="M64" s="803">
        <v>0</v>
      </c>
      <c r="N64" s="778">
        <v>0</v>
      </c>
      <c r="O64" s="782">
        <v>0</v>
      </c>
      <c r="P64" s="803">
        <v>0</v>
      </c>
      <c r="Q64" s="781">
        <v>0</v>
      </c>
      <c r="R64" s="803">
        <v>0</v>
      </c>
      <c r="S64" s="778">
        <v>0</v>
      </c>
      <c r="T64" s="778">
        <v>0</v>
      </c>
      <c r="U64" s="804">
        <v>0</v>
      </c>
      <c r="V64" s="772">
        <v>0</v>
      </c>
      <c r="W64" s="783">
        <v>0</v>
      </c>
      <c r="X64" s="803">
        <v>0</v>
      </c>
      <c r="Y64" s="778">
        <v>0</v>
      </c>
      <c r="Z64" s="802">
        <v>0</v>
      </c>
      <c r="AA64" s="803">
        <v>0</v>
      </c>
      <c r="AB64" s="803">
        <v>0</v>
      </c>
      <c r="AC64" s="778">
        <v>0</v>
      </c>
      <c r="AD64" s="782">
        <v>0</v>
      </c>
      <c r="AE64" s="803">
        <v>0</v>
      </c>
      <c r="AF64" s="771">
        <f t="shared" si="1"/>
        <v>0</v>
      </c>
      <c r="AG64" s="805">
        <f t="shared" si="2"/>
        <v>0</v>
      </c>
      <c r="AH64" s="1084">
        <f t="shared" si="3"/>
        <v>0</v>
      </c>
      <c r="AI64" s="132" t="str">
        <f t="shared" si="4"/>
        <v xml:space="preserve"> </v>
      </c>
      <c r="AS64" s="139" t="s">
        <v>1050</v>
      </c>
      <c r="AT64" s="139" t="s">
        <v>1051</v>
      </c>
      <c r="DS64" s="304"/>
      <c r="DT64" s="304"/>
      <c r="DU64" s="647" t="s">
        <v>552</v>
      </c>
      <c r="DV64" s="647" t="s">
        <v>1134</v>
      </c>
      <c r="DW64" s="647" t="s">
        <v>1134</v>
      </c>
      <c r="DX64" s="647" t="s">
        <v>1134</v>
      </c>
      <c r="DY64" s="647" t="s">
        <v>1134</v>
      </c>
      <c r="DZ64" s="647" t="s">
        <v>1134</v>
      </c>
      <c r="EA64" s="647" t="s">
        <v>1050</v>
      </c>
      <c r="EB64" s="647" t="s">
        <v>1135</v>
      </c>
      <c r="EC64" s="647" t="s">
        <v>1134</v>
      </c>
      <c r="ED64" s="647" t="s">
        <v>1136</v>
      </c>
    </row>
    <row r="65" spans="1:134" ht="12.75" customHeight="1" x14ac:dyDescent="0.2">
      <c r="A65" s="749" t="s">
        <v>946</v>
      </c>
      <c r="B65" s="146">
        <v>58</v>
      </c>
      <c r="C65" s="770">
        <v>0</v>
      </c>
      <c r="D65" s="770">
        <v>0</v>
      </c>
      <c r="E65" s="770">
        <v>0</v>
      </c>
      <c r="F65" s="770">
        <v>0</v>
      </c>
      <c r="G65" s="770">
        <v>0</v>
      </c>
      <c r="H65" s="786">
        <f t="shared" si="5"/>
        <v>0</v>
      </c>
      <c r="I65" s="776">
        <v>0</v>
      </c>
      <c r="J65" s="776">
        <v>0</v>
      </c>
      <c r="K65" s="801">
        <v>0</v>
      </c>
      <c r="L65" s="802">
        <v>0</v>
      </c>
      <c r="M65" s="803">
        <v>0</v>
      </c>
      <c r="N65" s="778">
        <v>0</v>
      </c>
      <c r="O65" s="782">
        <v>0</v>
      </c>
      <c r="P65" s="803">
        <v>0</v>
      </c>
      <c r="Q65" s="781">
        <v>0</v>
      </c>
      <c r="R65" s="803">
        <v>0</v>
      </c>
      <c r="S65" s="778">
        <v>0</v>
      </c>
      <c r="T65" s="778">
        <v>0</v>
      </c>
      <c r="U65" s="804">
        <v>0</v>
      </c>
      <c r="V65" s="772">
        <v>0</v>
      </c>
      <c r="W65" s="783">
        <v>0</v>
      </c>
      <c r="X65" s="803">
        <v>0</v>
      </c>
      <c r="Y65" s="778">
        <v>0</v>
      </c>
      <c r="Z65" s="802">
        <v>0</v>
      </c>
      <c r="AA65" s="803">
        <v>0</v>
      </c>
      <c r="AB65" s="803">
        <v>0</v>
      </c>
      <c r="AC65" s="778">
        <v>0</v>
      </c>
      <c r="AD65" s="782">
        <v>0</v>
      </c>
      <c r="AE65" s="803">
        <v>0</v>
      </c>
      <c r="AF65" s="771">
        <f t="shared" si="1"/>
        <v>0</v>
      </c>
      <c r="AG65" s="805">
        <f t="shared" si="2"/>
        <v>0</v>
      </c>
      <c r="AH65" s="1084">
        <f t="shared" si="3"/>
        <v>0</v>
      </c>
      <c r="AI65" s="132" t="str">
        <f t="shared" si="4"/>
        <v xml:space="preserve"> </v>
      </c>
      <c r="AS65" s="139" t="s">
        <v>947</v>
      </c>
      <c r="AT65" s="139" t="s">
        <v>948</v>
      </c>
      <c r="DS65" s="304"/>
      <c r="DT65" s="304"/>
      <c r="DU65" s="647" t="s">
        <v>552</v>
      </c>
      <c r="DV65" s="647" t="s">
        <v>1134</v>
      </c>
      <c r="DW65" s="647" t="s">
        <v>1134</v>
      </c>
      <c r="DX65" s="647" t="s">
        <v>1134</v>
      </c>
      <c r="DY65" s="647" t="s">
        <v>1134</v>
      </c>
      <c r="DZ65" s="647" t="s">
        <v>1134</v>
      </c>
      <c r="EA65" s="647" t="s">
        <v>947</v>
      </c>
      <c r="EB65" s="647" t="s">
        <v>1135</v>
      </c>
      <c r="EC65" s="647" t="s">
        <v>1134</v>
      </c>
      <c r="ED65" s="647" t="s">
        <v>1136</v>
      </c>
    </row>
    <row r="66" spans="1:134" x14ac:dyDescent="0.2">
      <c r="A66" s="750" t="s">
        <v>33</v>
      </c>
      <c r="B66" s="146">
        <v>59</v>
      </c>
      <c r="C66" s="770">
        <v>0</v>
      </c>
      <c r="D66" s="770">
        <v>0</v>
      </c>
      <c r="E66" s="770">
        <v>0</v>
      </c>
      <c r="F66" s="770">
        <v>0</v>
      </c>
      <c r="G66" s="770">
        <v>0</v>
      </c>
      <c r="H66" s="786">
        <f t="shared" si="5"/>
        <v>0</v>
      </c>
      <c r="I66" s="776">
        <v>0</v>
      </c>
      <c r="J66" s="776">
        <v>1.6E-2</v>
      </c>
      <c r="K66" s="801">
        <v>0</v>
      </c>
      <c r="L66" s="802">
        <v>0</v>
      </c>
      <c r="M66" s="803">
        <v>0</v>
      </c>
      <c r="N66" s="778">
        <v>0</v>
      </c>
      <c r="O66" s="782">
        <v>0</v>
      </c>
      <c r="P66" s="803">
        <v>0</v>
      </c>
      <c r="Q66" s="781">
        <v>0</v>
      </c>
      <c r="R66" s="803">
        <v>0</v>
      </c>
      <c r="S66" s="778">
        <v>0</v>
      </c>
      <c r="T66" s="778">
        <v>0</v>
      </c>
      <c r="U66" s="804">
        <v>0</v>
      </c>
      <c r="V66" s="772">
        <v>0</v>
      </c>
      <c r="W66" s="783">
        <v>0</v>
      </c>
      <c r="X66" s="803">
        <v>0</v>
      </c>
      <c r="Y66" s="778">
        <v>0</v>
      </c>
      <c r="Z66" s="802">
        <v>0</v>
      </c>
      <c r="AA66" s="803">
        <v>0</v>
      </c>
      <c r="AB66" s="803">
        <v>0</v>
      </c>
      <c r="AC66" s="778">
        <v>0</v>
      </c>
      <c r="AD66" s="782">
        <v>0</v>
      </c>
      <c r="AE66" s="803">
        <v>5.444</v>
      </c>
      <c r="AF66" s="771">
        <f t="shared" si="1"/>
        <v>5.46</v>
      </c>
      <c r="AG66" s="805">
        <f t="shared" si="2"/>
        <v>5.46</v>
      </c>
      <c r="AH66" s="1084">
        <f t="shared" si="3"/>
        <v>0</v>
      </c>
      <c r="AI66" s="132" t="str">
        <f t="shared" si="4"/>
        <v xml:space="preserve"> </v>
      </c>
      <c r="AS66" s="139" t="s">
        <v>250</v>
      </c>
      <c r="AT66" s="139" t="s">
        <v>249</v>
      </c>
      <c r="DS66" s="304"/>
      <c r="DT66" s="304"/>
      <c r="DU66" s="647" t="s">
        <v>552</v>
      </c>
      <c r="DV66" s="647" t="s">
        <v>1134</v>
      </c>
      <c r="DW66" s="647" t="s">
        <v>1134</v>
      </c>
      <c r="DX66" s="647" t="s">
        <v>1134</v>
      </c>
      <c r="DY66" s="647" t="s">
        <v>1134</v>
      </c>
      <c r="DZ66" s="647" t="s">
        <v>1134</v>
      </c>
      <c r="EA66" s="647" t="s">
        <v>250</v>
      </c>
      <c r="EB66" s="647" t="s">
        <v>1135</v>
      </c>
      <c r="EC66" s="647" t="s">
        <v>1134</v>
      </c>
      <c r="ED66" s="647" t="s">
        <v>1136</v>
      </c>
    </row>
    <row r="67" spans="1:134" ht="12.75" customHeight="1" x14ac:dyDescent="0.2">
      <c r="A67" s="749" t="s">
        <v>975</v>
      </c>
      <c r="B67" s="146">
        <v>60</v>
      </c>
      <c r="C67" s="770">
        <v>0</v>
      </c>
      <c r="D67" s="770">
        <v>0</v>
      </c>
      <c r="E67" s="770">
        <v>0</v>
      </c>
      <c r="F67" s="770">
        <v>0</v>
      </c>
      <c r="G67" s="770">
        <v>0</v>
      </c>
      <c r="H67" s="786">
        <f t="shared" si="5"/>
        <v>0</v>
      </c>
      <c r="I67" s="776">
        <v>0</v>
      </c>
      <c r="J67" s="776">
        <v>0</v>
      </c>
      <c r="K67" s="801">
        <v>0</v>
      </c>
      <c r="L67" s="802">
        <v>0</v>
      </c>
      <c r="M67" s="803">
        <v>0</v>
      </c>
      <c r="N67" s="778">
        <v>0</v>
      </c>
      <c r="O67" s="782">
        <v>0</v>
      </c>
      <c r="P67" s="803">
        <v>0</v>
      </c>
      <c r="Q67" s="781">
        <v>0</v>
      </c>
      <c r="R67" s="803">
        <v>0</v>
      </c>
      <c r="S67" s="778">
        <v>0</v>
      </c>
      <c r="T67" s="778">
        <v>0</v>
      </c>
      <c r="U67" s="804">
        <v>0</v>
      </c>
      <c r="V67" s="772">
        <v>0</v>
      </c>
      <c r="W67" s="783">
        <v>0</v>
      </c>
      <c r="X67" s="803">
        <v>0</v>
      </c>
      <c r="Y67" s="778">
        <v>0</v>
      </c>
      <c r="Z67" s="802">
        <v>0</v>
      </c>
      <c r="AA67" s="803">
        <v>0</v>
      </c>
      <c r="AB67" s="803">
        <v>0</v>
      </c>
      <c r="AC67" s="778">
        <v>0</v>
      </c>
      <c r="AD67" s="782">
        <v>0</v>
      </c>
      <c r="AE67" s="803">
        <v>0</v>
      </c>
      <c r="AF67" s="771">
        <f t="shared" si="1"/>
        <v>0</v>
      </c>
      <c r="AG67" s="805">
        <f t="shared" si="2"/>
        <v>0</v>
      </c>
      <c r="AH67" s="1084">
        <f t="shared" si="3"/>
        <v>0</v>
      </c>
      <c r="AI67" s="132" t="str">
        <f t="shared" si="4"/>
        <v xml:space="preserve"> </v>
      </c>
      <c r="AS67" s="139" t="s">
        <v>1052</v>
      </c>
      <c r="AT67" s="139" t="s">
        <v>1053</v>
      </c>
      <c r="DS67" s="304"/>
      <c r="DT67" s="304"/>
      <c r="DU67" s="647" t="s">
        <v>552</v>
      </c>
      <c r="DV67" s="647" t="s">
        <v>1134</v>
      </c>
      <c r="DW67" s="647" t="s">
        <v>1134</v>
      </c>
      <c r="DX67" s="647" t="s">
        <v>1134</v>
      </c>
      <c r="DY67" s="647" t="s">
        <v>1134</v>
      </c>
      <c r="DZ67" s="647" t="s">
        <v>1134</v>
      </c>
      <c r="EA67" s="647" t="s">
        <v>1052</v>
      </c>
      <c r="EB67" s="647" t="s">
        <v>1135</v>
      </c>
      <c r="EC67" s="647" t="s">
        <v>1134</v>
      </c>
      <c r="ED67" s="647" t="s">
        <v>1136</v>
      </c>
    </row>
    <row r="68" spans="1:134" x14ac:dyDescent="0.2">
      <c r="A68" s="749" t="s">
        <v>976</v>
      </c>
      <c r="B68" s="146">
        <v>61</v>
      </c>
      <c r="C68" s="770">
        <v>0</v>
      </c>
      <c r="D68" s="770">
        <v>0</v>
      </c>
      <c r="E68" s="770">
        <v>0</v>
      </c>
      <c r="F68" s="770">
        <v>0</v>
      </c>
      <c r="G68" s="770">
        <v>0</v>
      </c>
      <c r="H68" s="786">
        <f t="shared" si="5"/>
        <v>0</v>
      </c>
      <c r="I68" s="776">
        <v>0</v>
      </c>
      <c r="J68" s="776">
        <v>0</v>
      </c>
      <c r="K68" s="801">
        <v>0</v>
      </c>
      <c r="L68" s="802">
        <v>0</v>
      </c>
      <c r="M68" s="803">
        <v>0</v>
      </c>
      <c r="N68" s="778">
        <v>0</v>
      </c>
      <c r="O68" s="782">
        <v>0</v>
      </c>
      <c r="P68" s="803">
        <v>0</v>
      </c>
      <c r="Q68" s="781">
        <v>0</v>
      </c>
      <c r="R68" s="803">
        <v>0</v>
      </c>
      <c r="S68" s="778">
        <v>0</v>
      </c>
      <c r="T68" s="778">
        <v>0</v>
      </c>
      <c r="U68" s="804">
        <v>0</v>
      </c>
      <c r="V68" s="772">
        <v>0</v>
      </c>
      <c r="W68" s="783">
        <v>0</v>
      </c>
      <c r="X68" s="803">
        <v>0</v>
      </c>
      <c r="Y68" s="778">
        <v>0</v>
      </c>
      <c r="Z68" s="802">
        <v>0</v>
      </c>
      <c r="AA68" s="803">
        <v>0</v>
      </c>
      <c r="AB68" s="803">
        <v>0</v>
      </c>
      <c r="AC68" s="778">
        <v>0</v>
      </c>
      <c r="AD68" s="782">
        <v>0</v>
      </c>
      <c r="AE68" s="803">
        <v>0</v>
      </c>
      <c r="AF68" s="771">
        <f t="shared" si="1"/>
        <v>0</v>
      </c>
      <c r="AG68" s="805">
        <f t="shared" si="2"/>
        <v>0</v>
      </c>
      <c r="AH68" s="1084">
        <f t="shared" si="3"/>
        <v>0</v>
      </c>
      <c r="AI68" s="132" t="str">
        <f t="shared" si="4"/>
        <v xml:space="preserve"> </v>
      </c>
      <c r="AS68" s="139" t="s">
        <v>1054</v>
      </c>
      <c r="AT68" s="139" t="s">
        <v>1055</v>
      </c>
      <c r="DS68" s="304"/>
      <c r="DT68" s="304"/>
      <c r="DU68" s="647" t="s">
        <v>552</v>
      </c>
      <c r="DV68" s="647" t="s">
        <v>1134</v>
      </c>
      <c r="DW68" s="647" t="s">
        <v>1134</v>
      </c>
      <c r="DX68" s="647" t="s">
        <v>1134</v>
      </c>
      <c r="DY68" s="647" t="s">
        <v>1134</v>
      </c>
      <c r="DZ68" s="647" t="s">
        <v>1134</v>
      </c>
      <c r="EA68" s="647" t="s">
        <v>1054</v>
      </c>
      <c r="EB68" s="647" t="s">
        <v>1135</v>
      </c>
      <c r="EC68" s="647" t="s">
        <v>1134</v>
      </c>
      <c r="ED68" s="647" t="s">
        <v>1136</v>
      </c>
    </row>
    <row r="69" spans="1:134" x14ac:dyDescent="0.2">
      <c r="A69" s="749" t="s">
        <v>1425</v>
      </c>
      <c r="B69" s="146">
        <v>62</v>
      </c>
      <c r="C69" s="770">
        <v>0</v>
      </c>
      <c r="D69" s="770">
        <v>0</v>
      </c>
      <c r="E69" s="770">
        <v>0</v>
      </c>
      <c r="F69" s="770">
        <v>0</v>
      </c>
      <c r="G69" s="770">
        <v>0</v>
      </c>
      <c r="H69" s="786">
        <f t="shared" si="5"/>
        <v>0</v>
      </c>
      <c r="I69" s="776">
        <v>0</v>
      </c>
      <c r="J69" s="776">
        <v>0</v>
      </c>
      <c r="K69" s="801">
        <v>0</v>
      </c>
      <c r="L69" s="802">
        <v>0</v>
      </c>
      <c r="M69" s="803">
        <v>0</v>
      </c>
      <c r="N69" s="778">
        <v>0</v>
      </c>
      <c r="O69" s="782">
        <v>0</v>
      </c>
      <c r="P69" s="803">
        <v>0</v>
      </c>
      <c r="Q69" s="781">
        <v>0</v>
      </c>
      <c r="R69" s="803">
        <v>0</v>
      </c>
      <c r="S69" s="778">
        <v>0</v>
      </c>
      <c r="T69" s="778">
        <v>0</v>
      </c>
      <c r="U69" s="804">
        <v>0</v>
      </c>
      <c r="V69" s="772">
        <v>0</v>
      </c>
      <c r="W69" s="783">
        <v>0</v>
      </c>
      <c r="X69" s="803">
        <v>0</v>
      </c>
      <c r="Y69" s="778">
        <v>0</v>
      </c>
      <c r="Z69" s="802">
        <v>0</v>
      </c>
      <c r="AA69" s="803">
        <v>0</v>
      </c>
      <c r="AB69" s="803">
        <v>0</v>
      </c>
      <c r="AC69" s="778">
        <v>0</v>
      </c>
      <c r="AD69" s="782">
        <v>0</v>
      </c>
      <c r="AE69" s="803">
        <v>0</v>
      </c>
      <c r="AF69" s="771">
        <f t="shared" si="1"/>
        <v>0</v>
      </c>
      <c r="AG69" s="805">
        <f t="shared" si="2"/>
        <v>0</v>
      </c>
      <c r="AH69" s="1084"/>
      <c r="AI69" s="132"/>
      <c r="AS69" s="1097" t="s">
        <v>1426</v>
      </c>
      <c r="AT69" s="1097" t="s">
        <v>1427</v>
      </c>
      <c r="DS69" s="304"/>
      <c r="DT69" s="304"/>
      <c r="DU69" s="647" t="s">
        <v>552</v>
      </c>
      <c r="DV69" s="647" t="s">
        <v>1134</v>
      </c>
      <c r="DW69" s="647" t="s">
        <v>1134</v>
      </c>
      <c r="DX69" s="647" t="s">
        <v>1134</v>
      </c>
      <c r="DY69" s="647" t="s">
        <v>1134</v>
      </c>
      <c r="DZ69" s="647" t="s">
        <v>1134</v>
      </c>
      <c r="EA69" s="647" t="s">
        <v>1426</v>
      </c>
      <c r="EB69" s="647" t="s">
        <v>1135</v>
      </c>
      <c r="EC69" s="647" t="s">
        <v>1134</v>
      </c>
      <c r="ED69" s="647" t="s">
        <v>1136</v>
      </c>
    </row>
    <row r="70" spans="1:134" ht="12.75" customHeight="1" x14ac:dyDescent="0.2">
      <c r="A70" s="749" t="s">
        <v>977</v>
      </c>
      <c r="B70" s="146">
        <v>63</v>
      </c>
      <c r="C70" s="770">
        <v>0</v>
      </c>
      <c r="D70" s="770">
        <v>0</v>
      </c>
      <c r="E70" s="770">
        <v>0</v>
      </c>
      <c r="F70" s="770">
        <v>0</v>
      </c>
      <c r="G70" s="770">
        <v>0</v>
      </c>
      <c r="H70" s="786">
        <f t="shared" si="5"/>
        <v>0</v>
      </c>
      <c r="I70" s="776">
        <v>0</v>
      </c>
      <c r="J70" s="776">
        <v>0</v>
      </c>
      <c r="K70" s="801">
        <v>0</v>
      </c>
      <c r="L70" s="802">
        <v>0</v>
      </c>
      <c r="M70" s="803">
        <v>0</v>
      </c>
      <c r="N70" s="778">
        <v>0</v>
      </c>
      <c r="O70" s="782">
        <v>0</v>
      </c>
      <c r="P70" s="803">
        <v>0</v>
      </c>
      <c r="Q70" s="781">
        <v>0</v>
      </c>
      <c r="R70" s="803">
        <v>0</v>
      </c>
      <c r="S70" s="778">
        <v>0</v>
      </c>
      <c r="T70" s="778">
        <v>0</v>
      </c>
      <c r="U70" s="804">
        <v>0</v>
      </c>
      <c r="V70" s="772">
        <v>0</v>
      </c>
      <c r="W70" s="783">
        <v>0</v>
      </c>
      <c r="X70" s="803">
        <v>0</v>
      </c>
      <c r="Y70" s="778">
        <v>0</v>
      </c>
      <c r="Z70" s="802">
        <v>0</v>
      </c>
      <c r="AA70" s="803">
        <v>0</v>
      </c>
      <c r="AB70" s="803">
        <v>0</v>
      </c>
      <c r="AC70" s="778">
        <v>0</v>
      </c>
      <c r="AD70" s="782">
        <v>0</v>
      </c>
      <c r="AE70" s="803">
        <v>0</v>
      </c>
      <c r="AF70" s="771">
        <f t="shared" si="1"/>
        <v>0</v>
      </c>
      <c r="AG70" s="805">
        <f t="shared" si="2"/>
        <v>0</v>
      </c>
      <c r="AH70" s="1084">
        <f t="shared" si="3"/>
        <v>0</v>
      </c>
      <c r="AI70" s="132" t="str">
        <f t="shared" si="4"/>
        <v xml:space="preserve"> </v>
      </c>
      <c r="AS70" s="139" t="s">
        <v>1056</v>
      </c>
      <c r="AT70" s="139" t="s">
        <v>1057</v>
      </c>
      <c r="DS70" s="304"/>
      <c r="DT70" s="304"/>
      <c r="DU70" s="647" t="s">
        <v>552</v>
      </c>
      <c r="DV70" s="647" t="s">
        <v>1134</v>
      </c>
      <c r="DW70" s="647" t="s">
        <v>1134</v>
      </c>
      <c r="DX70" s="647" t="s">
        <v>1134</v>
      </c>
      <c r="DY70" s="647" t="s">
        <v>1134</v>
      </c>
      <c r="DZ70" s="647" t="s">
        <v>1134</v>
      </c>
      <c r="EA70" s="647" t="s">
        <v>1056</v>
      </c>
      <c r="EB70" s="647" t="s">
        <v>1135</v>
      </c>
      <c r="EC70" s="647" t="s">
        <v>1134</v>
      </c>
      <c r="ED70" s="647" t="s">
        <v>1136</v>
      </c>
    </row>
    <row r="71" spans="1:134" x14ac:dyDescent="0.2">
      <c r="A71" s="749" t="s">
        <v>978</v>
      </c>
      <c r="B71" s="146">
        <v>64</v>
      </c>
      <c r="C71" s="770">
        <v>0</v>
      </c>
      <c r="D71" s="770">
        <v>0</v>
      </c>
      <c r="E71" s="770">
        <v>0</v>
      </c>
      <c r="F71" s="770">
        <v>0</v>
      </c>
      <c r="G71" s="770">
        <v>0</v>
      </c>
      <c r="H71" s="786">
        <f t="shared" si="5"/>
        <v>0</v>
      </c>
      <c r="I71" s="776">
        <v>0</v>
      </c>
      <c r="J71" s="776">
        <v>0</v>
      </c>
      <c r="K71" s="801">
        <v>0</v>
      </c>
      <c r="L71" s="802">
        <v>0</v>
      </c>
      <c r="M71" s="803">
        <v>0</v>
      </c>
      <c r="N71" s="778">
        <v>0</v>
      </c>
      <c r="O71" s="782">
        <v>0</v>
      </c>
      <c r="P71" s="803">
        <v>0</v>
      </c>
      <c r="Q71" s="781">
        <v>0</v>
      </c>
      <c r="R71" s="803">
        <v>0</v>
      </c>
      <c r="S71" s="778">
        <v>0</v>
      </c>
      <c r="T71" s="778">
        <v>0</v>
      </c>
      <c r="U71" s="804">
        <v>0</v>
      </c>
      <c r="V71" s="772">
        <v>0</v>
      </c>
      <c r="W71" s="783">
        <v>0</v>
      </c>
      <c r="X71" s="803">
        <v>0</v>
      </c>
      <c r="Y71" s="778">
        <v>0</v>
      </c>
      <c r="Z71" s="802">
        <v>0</v>
      </c>
      <c r="AA71" s="803">
        <v>0</v>
      </c>
      <c r="AB71" s="803">
        <v>0</v>
      </c>
      <c r="AC71" s="778">
        <v>0</v>
      </c>
      <c r="AD71" s="782">
        <v>0</v>
      </c>
      <c r="AE71" s="803">
        <v>6.9000000000000006E-2</v>
      </c>
      <c r="AF71" s="771">
        <f t="shared" si="1"/>
        <v>6.9000000000000006E-2</v>
      </c>
      <c r="AG71" s="805">
        <f t="shared" si="2"/>
        <v>6.9000000000000006E-2</v>
      </c>
      <c r="AH71" s="1084">
        <f t="shared" si="3"/>
        <v>0</v>
      </c>
      <c r="AI71" s="132" t="str">
        <f t="shared" si="4"/>
        <v xml:space="preserve"> </v>
      </c>
      <c r="AS71" s="139" t="s">
        <v>453</v>
      </c>
      <c r="AT71" s="139" t="s">
        <v>454</v>
      </c>
      <c r="DS71" s="304"/>
      <c r="DT71" s="304"/>
      <c r="DU71" s="647" t="s">
        <v>552</v>
      </c>
      <c r="DV71" s="647" t="s">
        <v>1134</v>
      </c>
      <c r="DW71" s="647" t="s">
        <v>1134</v>
      </c>
      <c r="DX71" s="647" t="s">
        <v>1134</v>
      </c>
      <c r="DY71" s="647" t="s">
        <v>1134</v>
      </c>
      <c r="DZ71" s="647" t="s">
        <v>1134</v>
      </c>
      <c r="EA71" s="647" t="s">
        <v>453</v>
      </c>
      <c r="EB71" s="647" t="s">
        <v>1135</v>
      </c>
      <c r="EC71" s="647" t="s">
        <v>1134</v>
      </c>
      <c r="ED71" s="647" t="s">
        <v>1136</v>
      </c>
    </row>
    <row r="72" spans="1:134" ht="12.75" customHeight="1" x14ac:dyDescent="0.2">
      <c r="A72" s="749" t="s">
        <v>34</v>
      </c>
      <c r="B72" s="146">
        <v>65</v>
      </c>
      <c r="C72" s="770">
        <v>0</v>
      </c>
      <c r="D72" s="770">
        <v>0</v>
      </c>
      <c r="E72" s="770">
        <v>0</v>
      </c>
      <c r="F72" s="770">
        <v>1E-3</v>
      </c>
      <c r="G72" s="770">
        <v>0</v>
      </c>
      <c r="H72" s="786">
        <f t="shared" si="5"/>
        <v>1E-3</v>
      </c>
      <c r="I72" s="776">
        <v>0</v>
      </c>
      <c r="J72" s="776">
        <v>0</v>
      </c>
      <c r="K72" s="801">
        <v>0.155</v>
      </c>
      <c r="L72" s="802">
        <v>4.3999999999999997E-2</v>
      </c>
      <c r="M72" s="803">
        <v>0</v>
      </c>
      <c r="N72" s="778">
        <v>4.3999999999999997E-2</v>
      </c>
      <c r="O72" s="782">
        <v>0</v>
      </c>
      <c r="P72" s="803">
        <v>0</v>
      </c>
      <c r="Q72" s="781">
        <v>0</v>
      </c>
      <c r="R72" s="803">
        <v>0</v>
      </c>
      <c r="S72" s="778">
        <v>0</v>
      </c>
      <c r="T72" s="778">
        <v>0</v>
      </c>
      <c r="U72" s="804">
        <v>0</v>
      </c>
      <c r="V72" s="772">
        <v>0</v>
      </c>
      <c r="W72" s="783">
        <v>0</v>
      </c>
      <c r="X72" s="803">
        <v>0</v>
      </c>
      <c r="Y72" s="778">
        <v>0</v>
      </c>
      <c r="Z72" s="802">
        <v>0</v>
      </c>
      <c r="AA72" s="803">
        <v>0</v>
      </c>
      <c r="AB72" s="803">
        <v>0</v>
      </c>
      <c r="AC72" s="778">
        <v>0</v>
      </c>
      <c r="AD72" s="782">
        <v>0</v>
      </c>
      <c r="AE72" s="803">
        <v>0.84699999999999998</v>
      </c>
      <c r="AF72" s="771">
        <f t="shared" ref="AF72:AF135" si="6">ROUND(SUM(I72:L72,O72:Q72,T72,W72,Z72,AD72:AE72),3)</f>
        <v>1.046</v>
      </c>
      <c r="AG72" s="805">
        <f t="shared" ref="AG72:AG135" si="7">ROUND(SUM(H72,AF72),3)</f>
        <v>1.0469999999999999</v>
      </c>
      <c r="AH72" s="1084">
        <f t="shared" si="3"/>
        <v>0</v>
      </c>
      <c r="AI72" s="132" t="str">
        <f t="shared" si="4"/>
        <v xml:space="preserve"> </v>
      </c>
      <c r="AS72" s="139" t="s">
        <v>252</v>
      </c>
      <c r="AT72" s="139" t="s">
        <v>251</v>
      </c>
      <c r="DS72" s="304"/>
      <c r="DT72" s="304"/>
      <c r="DU72" s="647" t="s">
        <v>552</v>
      </c>
      <c r="DV72" s="647" t="s">
        <v>1134</v>
      </c>
      <c r="DW72" s="647" t="s">
        <v>1134</v>
      </c>
      <c r="DX72" s="647" t="s">
        <v>1134</v>
      </c>
      <c r="DY72" s="647" t="s">
        <v>1134</v>
      </c>
      <c r="DZ72" s="647" t="s">
        <v>1134</v>
      </c>
      <c r="EA72" s="647" t="s">
        <v>252</v>
      </c>
      <c r="EB72" s="647" t="s">
        <v>1135</v>
      </c>
      <c r="EC72" s="647" t="s">
        <v>1134</v>
      </c>
      <c r="ED72" s="647" t="s">
        <v>1136</v>
      </c>
    </row>
    <row r="73" spans="1:134" x14ac:dyDescent="0.2">
      <c r="A73" s="749" t="s">
        <v>35</v>
      </c>
      <c r="B73" s="146">
        <v>66</v>
      </c>
      <c r="C73" s="770">
        <v>0</v>
      </c>
      <c r="D73" s="772">
        <v>0</v>
      </c>
      <c r="E73" s="772">
        <v>0</v>
      </c>
      <c r="F73" s="772">
        <v>0</v>
      </c>
      <c r="G73" s="772">
        <v>0</v>
      </c>
      <c r="H73" s="786">
        <f t="shared" si="5"/>
        <v>0</v>
      </c>
      <c r="I73" s="806">
        <v>0</v>
      </c>
      <c r="J73" s="806">
        <v>0</v>
      </c>
      <c r="K73" s="807">
        <v>0</v>
      </c>
      <c r="L73" s="802">
        <v>0</v>
      </c>
      <c r="M73" s="803">
        <v>0</v>
      </c>
      <c r="N73" s="803">
        <v>0</v>
      </c>
      <c r="O73" s="808">
        <v>0</v>
      </c>
      <c r="P73" s="803">
        <v>0</v>
      </c>
      <c r="Q73" s="781">
        <v>0</v>
      </c>
      <c r="R73" s="803">
        <v>0</v>
      </c>
      <c r="S73" s="803">
        <v>0</v>
      </c>
      <c r="T73" s="803">
        <v>0</v>
      </c>
      <c r="U73" s="809">
        <v>0</v>
      </c>
      <c r="V73" s="772">
        <v>0</v>
      </c>
      <c r="W73" s="783">
        <v>0</v>
      </c>
      <c r="X73" s="803">
        <v>0</v>
      </c>
      <c r="Y73" s="803">
        <v>0</v>
      </c>
      <c r="Z73" s="802">
        <v>0</v>
      </c>
      <c r="AA73" s="803">
        <v>0</v>
      </c>
      <c r="AB73" s="803">
        <v>0</v>
      </c>
      <c r="AC73" s="803">
        <v>0</v>
      </c>
      <c r="AD73" s="808">
        <v>1.5940000000000001</v>
      </c>
      <c r="AE73" s="803">
        <v>0.47699999999999998</v>
      </c>
      <c r="AF73" s="771">
        <f t="shared" si="6"/>
        <v>2.0710000000000002</v>
      </c>
      <c r="AG73" s="805">
        <f t="shared" si="7"/>
        <v>2.0710000000000002</v>
      </c>
      <c r="AH73" s="1084">
        <f t="shared" si="3"/>
        <v>0</v>
      </c>
      <c r="AI73" s="132" t="str">
        <f t="shared" si="4"/>
        <v xml:space="preserve"> </v>
      </c>
      <c r="AS73" s="139" t="s">
        <v>254</v>
      </c>
      <c r="AT73" s="139" t="s">
        <v>253</v>
      </c>
      <c r="DS73" s="304"/>
      <c r="DT73" s="304"/>
      <c r="DU73" s="647" t="s">
        <v>552</v>
      </c>
      <c r="DV73" s="647" t="s">
        <v>1134</v>
      </c>
      <c r="DW73" s="647" t="s">
        <v>1134</v>
      </c>
      <c r="DX73" s="647" t="s">
        <v>1134</v>
      </c>
      <c r="DY73" s="647" t="s">
        <v>1134</v>
      </c>
      <c r="DZ73" s="647" t="s">
        <v>1134</v>
      </c>
      <c r="EA73" s="647" t="s">
        <v>254</v>
      </c>
      <c r="EB73" s="647" t="s">
        <v>1135</v>
      </c>
      <c r="EC73" s="647" t="s">
        <v>1134</v>
      </c>
      <c r="ED73" s="647" t="s">
        <v>1136</v>
      </c>
    </row>
    <row r="74" spans="1:134" ht="12.75" customHeight="1" x14ac:dyDescent="0.2">
      <c r="A74" s="749" t="s">
        <v>36</v>
      </c>
      <c r="B74" s="146">
        <v>67</v>
      </c>
      <c r="C74" s="770">
        <v>0</v>
      </c>
      <c r="D74" s="770">
        <v>0</v>
      </c>
      <c r="E74" s="770">
        <v>0</v>
      </c>
      <c r="F74" s="770">
        <v>2.1999999999999999E-2</v>
      </c>
      <c r="G74" s="770">
        <v>0</v>
      </c>
      <c r="H74" s="786">
        <f t="shared" si="5"/>
        <v>2.1999999999999999E-2</v>
      </c>
      <c r="I74" s="776">
        <v>0</v>
      </c>
      <c r="J74" s="776">
        <v>3.0000000000000001E-3</v>
      </c>
      <c r="K74" s="801">
        <v>0.13300000000000001</v>
      </c>
      <c r="L74" s="802">
        <v>3.7999999999999999E-2</v>
      </c>
      <c r="M74" s="803">
        <v>0</v>
      </c>
      <c r="N74" s="778">
        <v>3.7999999999999999E-2</v>
      </c>
      <c r="O74" s="782">
        <v>0</v>
      </c>
      <c r="P74" s="803">
        <v>0</v>
      </c>
      <c r="Q74" s="781">
        <v>0</v>
      </c>
      <c r="R74" s="803">
        <v>0</v>
      </c>
      <c r="S74" s="778">
        <v>0</v>
      </c>
      <c r="T74" s="778">
        <v>0</v>
      </c>
      <c r="U74" s="804">
        <v>0</v>
      </c>
      <c r="V74" s="772">
        <v>0</v>
      </c>
      <c r="W74" s="783">
        <v>0</v>
      </c>
      <c r="X74" s="803">
        <v>0</v>
      </c>
      <c r="Y74" s="778">
        <v>0</v>
      </c>
      <c r="Z74" s="802">
        <v>0</v>
      </c>
      <c r="AA74" s="803">
        <v>0</v>
      </c>
      <c r="AB74" s="803">
        <v>0</v>
      </c>
      <c r="AC74" s="778">
        <v>0</v>
      </c>
      <c r="AD74" s="782">
        <v>0</v>
      </c>
      <c r="AE74" s="803">
        <v>2.1059999999999999</v>
      </c>
      <c r="AF74" s="771">
        <f t="shared" si="6"/>
        <v>2.2799999999999998</v>
      </c>
      <c r="AG74" s="805">
        <f t="shared" si="7"/>
        <v>2.302</v>
      </c>
      <c r="AH74" s="1084">
        <f t="shared" si="3"/>
        <v>0</v>
      </c>
      <c r="AI74" s="132" t="str">
        <f t="shared" si="4"/>
        <v xml:space="preserve"> </v>
      </c>
      <c r="AS74" s="139" t="s">
        <v>455</v>
      </c>
      <c r="AT74" s="139" t="s">
        <v>456</v>
      </c>
      <c r="DS74" s="304"/>
      <c r="DT74" s="304"/>
      <c r="DU74" s="647" t="s">
        <v>552</v>
      </c>
      <c r="DV74" s="647" t="s">
        <v>1134</v>
      </c>
      <c r="DW74" s="647" t="s">
        <v>1134</v>
      </c>
      <c r="DX74" s="647" t="s">
        <v>1134</v>
      </c>
      <c r="DY74" s="647" t="s">
        <v>1134</v>
      </c>
      <c r="DZ74" s="647" t="s">
        <v>1134</v>
      </c>
      <c r="EA74" s="647" t="s">
        <v>455</v>
      </c>
      <c r="EB74" s="647" t="s">
        <v>1135</v>
      </c>
      <c r="EC74" s="647" t="s">
        <v>1134</v>
      </c>
      <c r="ED74" s="647" t="s">
        <v>1136</v>
      </c>
    </row>
    <row r="75" spans="1:134" x14ac:dyDescent="0.2">
      <c r="A75" s="749" t="s">
        <v>37</v>
      </c>
      <c r="B75" s="146">
        <v>68</v>
      </c>
      <c r="C75" s="770">
        <v>0</v>
      </c>
      <c r="D75" s="770">
        <v>0</v>
      </c>
      <c r="E75" s="770">
        <v>0</v>
      </c>
      <c r="F75" s="770">
        <v>0</v>
      </c>
      <c r="G75" s="770">
        <v>0</v>
      </c>
      <c r="H75" s="786">
        <f t="shared" si="5"/>
        <v>0</v>
      </c>
      <c r="I75" s="776">
        <v>0</v>
      </c>
      <c r="J75" s="776">
        <v>0</v>
      </c>
      <c r="K75" s="801">
        <v>0</v>
      </c>
      <c r="L75" s="802">
        <v>0</v>
      </c>
      <c r="M75" s="803">
        <v>0</v>
      </c>
      <c r="N75" s="778">
        <v>0</v>
      </c>
      <c r="O75" s="782">
        <v>0</v>
      </c>
      <c r="P75" s="803">
        <v>0</v>
      </c>
      <c r="Q75" s="781">
        <v>0</v>
      </c>
      <c r="R75" s="803">
        <v>0</v>
      </c>
      <c r="S75" s="778">
        <v>0</v>
      </c>
      <c r="T75" s="778">
        <v>0</v>
      </c>
      <c r="U75" s="804">
        <v>0</v>
      </c>
      <c r="V75" s="772">
        <v>0</v>
      </c>
      <c r="W75" s="783">
        <v>0</v>
      </c>
      <c r="X75" s="803">
        <v>0</v>
      </c>
      <c r="Y75" s="778">
        <v>0</v>
      </c>
      <c r="Z75" s="802">
        <v>0</v>
      </c>
      <c r="AA75" s="803">
        <v>0</v>
      </c>
      <c r="AB75" s="803">
        <v>0</v>
      </c>
      <c r="AC75" s="778">
        <v>0</v>
      </c>
      <c r="AD75" s="782">
        <v>0</v>
      </c>
      <c r="AE75" s="803">
        <v>0.63200000000000001</v>
      </c>
      <c r="AF75" s="771">
        <f t="shared" si="6"/>
        <v>0.63200000000000001</v>
      </c>
      <c r="AG75" s="805">
        <f t="shared" si="7"/>
        <v>0.63200000000000001</v>
      </c>
      <c r="AH75" s="1084">
        <f t="shared" ref="AH75:AH138" si="8">IF(ROUND(H75-SUM(C75:G75),3)=0,0,1)+IF(ROUND(AF75-SUM(I75:L75,O75:Q75,T75,W75,Z75,AD75:AE75),3)=0,0,1)+IF(ROUND(AG75-SUM(AF75,H75),3)=0,0,1)</f>
        <v>0</v>
      </c>
      <c r="AI75" s="132" t="str">
        <f t="shared" ref="AI75:AI138" si="9">IF(AH75=0," ",IF(AH75=1,"A total is not equal to the sum of its components: ",AH75&amp;" totals are not equal to the sum of their components: "))&amp;IF(AH75=0,"",IF(H75-SUM(C75:G75)=0,"","Total (column F). ")&amp;IF(AF75-SUM(I75:L75,O75:Q75,T75,W75,Z75,AD75:AE75)=0,"","Total products. ")&amp;IF(AG75-SUM(AF75,H75)=0,"","Total oil."))</f>
        <v xml:space="preserve"> </v>
      </c>
      <c r="AS75" s="139" t="s">
        <v>457</v>
      </c>
      <c r="AT75" s="139" t="s">
        <v>458</v>
      </c>
      <c r="DS75" s="304"/>
      <c r="DT75" s="304"/>
      <c r="DU75" s="647" t="s">
        <v>552</v>
      </c>
      <c r="DV75" s="647" t="s">
        <v>1134</v>
      </c>
      <c r="DW75" s="647" t="s">
        <v>1134</v>
      </c>
      <c r="DX75" s="647" t="s">
        <v>1134</v>
      </c>
      <c r="DY75" s="647" t="s">
        <v>1134</v>
      </c>
      <c r="DZ75" s="647" t="s">
        <v>1134</v>
      </c>
      <c r="EA75" s="647" t="s">
        <v>457</v>
      </c>
      <c r="EB75" s="647" t="s">
        <v>1135</v>
      </c>
      <c r="EC75" s="647" t="s">
        <v>1134</v>
      </c>
      <c r="ED75" s="647" t="s">
        <v>1136</v>
      </c>
    </row>
    <row r="76" spans="1:134" ht="12.75" customHeight="1" x14ac:dyDescent="0.2">
      <c r="A76" s="749" t="s">
        <v>979</v>
      </c>
      <c r="B76" s="146">
        <v>69</v>
      </c>
      <c r="C76" s="770">
        <v>0</v>
      </c>
      <c r="D76" s="770">
        <v>0</v>
      </c>
      <c r="E76" s="770">
        <v>0</v>
      </c>
      <c r="F76" s="770">
        <v>0</v>
      </c>
      <c r="G76" s="770">
        <v>0</v>
      </c>
      <c r="H76" s="786">
        <f t="shared" si="5"/>
        <v>0</v>
      </c>
      <c r="I76" s="776">
        <v>0</v>
      </c>
      <c r="J76" s="776">
        <v>0</v>
      </c>
      <c r="K76" s="801">
        <v>0</v>
      </c>
      <c r="L76" s="802">
        <v>0</v>
      </c>
      <c r="M76" s="803">
        <v>0</v>
      </c>
      <c r="N76" s="778">
        <v>0</v>
      </c>
      <c r="O76" s="782">
        <v>0</v>
      </c>
      <c r="P76" s="803">
        <v>0</v>
      </c>
      <c r="Q76" s="781">
        <v>0</v>
      </c>
      <c r="R76" s="803">
        <v>0</v>
      </c>
      <c r="S76" s="778">
        <v>0</v>
      </c>
      <c r="T76" s="778">
        <v>0</v>
      </c>
      <c r="U76" s="804">
        <v>0</v>
      </c>
      <c r="V76" s="772">
        <v>0</v>
      </c>
      <c r="W76" s="783">
        <v>0</v>
      </c>
      <c r="X76" s="803">
        <v>0</v>
      </c>
      <c r="Y76" s="778">
        <v>0</v>
      </c>
      <c r="Z76" s="802">
        <v>0</v>
      </c>
      <c r="AA76" s="803">
        <v>0</v>
      </c>
      <c r="AB76" s="803">
        <v>0</v>
      </c>
      <c r="AC76" s="778">
        <v>0</v>
      </c>
      <c r="AD76" s="782">
        <v>0</v>
      </c>
      <c r="AE76" s="803">
        <v>0</v>
      </c>
      <c r="AF76" s="771">
        <f t="shared" si="6"/>
        <v>0</v>
      </c>
      <c r="AG76" s="805">
        <f t="shared" si="7"/>
        <v>0</v>
      </c>
      <c r="AH76" s="1084">
        <f t="shared" si="8"/>
        <v>0</v>
      </c>
      <c r="AI76" s="132" t="str">
        <f t="shared" si="9"/>
        <v xml:space="preserve"> </v>
      </c>
      <c r="AS76" s="139" t="s">
        <v>459</v>
      </c>
      <c r="AT76" s="139" t="s">
        <v>460</v>
      </c>
      <c r="DS76" s="304"/>
      <c r="DT76" s="304"/>
      <c r="DU76" s="647" t="s">
        <v>552</v>
      </c>
      <c r="DV76" s="647" t="s">
        <v>1134</v>
      </c>
      <c r="DW76" s="647" t="s">
        <v>1134</v>
      </c>
      <c r="DX76" s="647" t="s">
        <v>1134</v>
      </c>
      <c r="DY76" s="647" t="s">
        <v>1134</v>
      </c>
      <c r="DZ76" s="647" t="s">
        <v>1134</v>
      </c>
      <c r="EA76" s="647" t="s">
        <v>459</v>
      </c>
      <c r="EB76" s="647" t="s">
        <v>1135</v>
      </c>
      <c r="EC76" s="647" t="s">
        <v>1134</v>
      </c>
      <c r="ED76" s="647" t="s">
        <v>1136</v>
      </c>
    </row>
    <row r="77" spans="1:134" x14ac:dyDescent="0.2">
      <c r="A77" s="749" t="s">
        <v>38</v>
      </c>
      <c r="B77" s="146">
        <v>70</v>
      </c>
      <c r="C77" s="770">
        <v>77.513999999999996</v>
      </c>
      <c r="D77" s="770">
        <v>0</v>
      </c>
      <c r="E77" s="770">
        <v>0</v>
      </c>
      <c r="F77" s="770">
        <v>0</v>
      </c>
      <c r="G77" s="770">
        <v>0</v>
      </c>
      <c r="H77" s="786">
        <f t="shared" si="5"/>
        <v>77.513999999999996</v>
      </c>
      <c r="I77" s="776">
        <v>0</v>
      </c>
      <c r="J77" s="776">
        <v>0</v>
      </c>
      <c r="K77" s="801">
        <v>0</v>
      </c>
      <c r="L77" s="802">
        <v>0</v>
      </c>
      <c r="M77" s="803">
        <v>0</v>
      </c>
      <c r="N77" s="778">
        <v>0</v>
      </c>
      <c r="O77" s="782">
        <v>0</v>
      </c>
      <c r="P77" s="803">
        <v>0</v>
      </c>
      <c r="Q77" s="781">
        <v>0</v>
      </c>
      <c r="R77" s="803">
        <v>0</v>
      </c>
      <c r="S77" s="778">
        <v>0</v>
      </c>
      <c r="T77" s="778">
        <v>0</v>
      </c>
      <c r="U77" s="804">
        <v>0</v>
      </c>
      <c r="V77" s="772">
        <v>0</v>
      </c>
      <c r="W77" s="783">
        <v>0</v>
      </c>
      <c r="X77" s="803">
        <v>0</v>
      </c>
      <c r="Y77" s="778">
        <v>0</v>
      </c>
      <c r="Z77" s="802">
        <v>0</v>
      </c>
      <c r="AA77" s="803">
        <v>0</v>
      </c>
      <c r="AB77" s="803">
        <v>0</v>
      </c>
      <c r="AC77" s="778">
        <v>0</v>
      </c>
      <c r="AD77" s="782">
        <v>0</v>
      </c>
      <c r="AE77" s="803">
        <v>0</v>
      </c>
      <c r="AF77" s="771">
        <f t="shared" si="6"/>
        <v>0</v>
      </c>
      <c r="AG77" s="805">
        <f t="shared" si="7"/>
        <v>77.513999999999996</v>
      </c>
      <c r="AH77" s="1084">
        <f t="shared" si="8"/>
        <v>0</v>
      </c>
      <c r="AI77" s="132" t="str">
        <f t="shared" si="9"/>
        <v xml:space="preserve"> </v>
      </c>
      <c r="AS77" s="139" t="s">
        <v>461</v>
      </c>
      <c r="AT77" s="139" t="s">
        <v>462</v>
      </c>
      <c r="DS77" s="304"/>
      <c r="DT77" s="304"/>
      <c r="DU77" s="647" t="s">
        <v>552</v>
      </c>
      <c r="DV77" s="647" t="s">
        <v>1134</v>
      </c>
      <c r="DW77" s="647" t="s">
        <v>1134</v>
      </c>
      <c r="DX77" s="647" t="s">
        <v>1134</v>
      </c>
      <c r="DY77" s="647" t="s">
        <v>1134</v>
      </c>
      <c r="DZ77" s="647" t="s">
        <v>1134</v>
      </c>
      <c r="EA77" s="647" t="s">
        <v>461</v>
      </c>
      <c r="EB77" s="647" t="s">
        <v>1135</v>
      </c>
      <c r="EC77" s="647" t="s">
        <v>1134</v>
      </c>
      <c r="ED77" s="647" t="s">
        <v>1136</v>
      </c>
    </row>
    <row r="78" spans="1:134" ht="12.75" customHeight="1" x14ac:dyDescent="0.2">
      <c r="A78" s="749" t="s">
        <v>39</v>
      </c>
      <c r="B78" s="146">
        <v>71</v>
      </c>
      <c r="C78" s="770">
        <v>0</v>
      </c>
      <c r="D78" s="770">
        <v>0</v>
      </c>
      <c r="E78" s="770">
        <v>0</v>
      </c>
      <c r="F78" s="770">
        <v>0</v>
      </c>
      <c r="G78" s="770">
        <v>0</v>
      </c>
      <c r="H78" s="786">
        <f t="shared" si="5"/>
        <v>0</v>
      </c>
      <c r="I78" s="776">
        <v>0</v>
      </c>
      <c r="J78" s="776">
        <v>4.0000000000000001E-3</v>
      </c>
      <c r="K78" s="801">
        <v>18.109000000000002</v>
      </c>
      <c r="L78" s="802">
        <v>5.1120000000000001</v>
      </c>
      <c r="M78" s="803">
        <v>0</v>
      </c>
      <c r="N78" s="778">
        <v>5.1120000000000001</v>
      </c>
      <c r="O78" s="782">
        <v>0</v>
      </c>
      <c r="P78" s="803">
        <v>0</v>
      </c>
      <c r="Q78" s="781">
        <v>0</v>
      </c>
      <c r="R78" s="803">
        <v>0</v>
      </c>
      <c r="S78" s="778">
        <v>0</v>
      </c>
      <c r="T78" s="778">
        <v>0</v>
      </c>
      <c r="U78" s="804">
        <v>0</v>
      </c>
      <c r="V78" s="772">
        <v>1E-3</v>
      </c>
      <c r="W78" s="783">
        <v>1E-3</v>
      </c>
      <c r="X78" s="803">
        <v>0</v>
      </c>
      <c r="Y78" s="778">
        <v>1E-3</v>
      </c>
      <c r="Z78" s="802">
        <v>5.3490000000000002</v>
      </c>
      <c r="AA78" s="803">
        <v>2.278</v>
      </c>
      <c r="AB78" s="803">
        <v>0</v>
      </c>
      <c r="AC78" s="778">
        <v>3.0710000000000002</v>
      </c>
      <c r="AD78" s="782">
        <v>0</v>
      </c>
      <c r="AE78" s="803">
        <v>1.49</v>
      </c>
      <c r="AF78" s="771">
        <f t="shared" si="6"/>
        <v>30.065000000000001</v>
      </c>
      <c r="AG78" s="805">
        <f t="shared" si="7"/>
        <v>30.065000000000001</v>
      </c>
      <c r="AH78" s="1084">
        <f t="shared" si="8"/>
        <v>0</v>
      </c>
      <c r="AI78" s="132" t="str">
        <f t="shared" si="9"/>
        <v xml:space="preserve"> </v>
      </c>
      <c r="AS78" s="139" t="s">
        <v>256</v>
      </c>
      <c r="AT78" s="139" t="s">
        <v>255</v>
      </c>
      <c r="DS78" s="304"/>
      <c r="DT78" s="304"/>
      <c r="DU78" s="647" t="s">
        <v>552</v>
      </c>
      <c r="DV78" s="647" t="s">
        <v>1134</v>
      </c>
      <c r="DW78" s="647" t="s">
        <v>1134</v>
      </c>
      <c r="DX78" s="647" t="s">
        <v>1134</v>
      </c>
      <c r="DY78" s="647" t="s">
        <v>1134</v>
      </c>
      <c r="DZ78" s="647" t="s">
        <v>1134</v>
      </c>
      <c r="EA78" s="647" t="s">
        <v>256</v>
      </c>
      <c r="EB78" s="647" t="s">
        <v>1135</v>
      </c>
      <c r="EC78" s="647" t="s">
        <v>1134</v>
      </c>
      <c r="ED78" s="647" t="s">
        <v>1136</v>
      </c>
    </row>
    <row r="79" spans="1:134" x14ac:dyDescent="0.2">
      <c r="A79" s="749" t="s">
        <v>97</v>
      </c>
      <c r="B79" s="146">
        <v>72</v>
      </c>
      <c r="C79" s="770">
        <v>0</v>
      </c>
      <c r="D79" s="770">
        <v>142.27199999999999</v>
      </c>
      <c r="E79" s="770">
        <v>0</v>
      </c>
      <c r="F79" s="770">
        <v>4.7E-2</v>
      </c>
      <c r="G79" s="770">
        <v>0</v>
      </c>
      <c r="H79" s="786">
        <f t="shared" si="5"/>
        <v>142.31899999999999</v>
      </c>
      <c r="I79" s="776">
        <v>0</v>
      </c>
      <c r="J79" s="776">
        <v>0</v>
      </c>
      <c r="K79" s="801">
        <v>0</v>
      </c>
      <c r="L79" s="802">
        <v>0</v>
      </c>
      <c r="M79" s="803">
        <v>0</v>
      </c>
      <c r="N79" s="778">
        <v>0</v>
      </c>
      <c r="O79" s="782">
        <v>0</v>
      </c>
      <c r="P79" s="803">
        <v>0</v>
      </c>
      <c r="Q79" s="781">
        <v>0</v>
      </c>
      <c r="R79" s="803">
        <v>0</v>
      </c>
      <c r="S79" s="778">
        <v>0</v>
      </c>
      <c r="T79" s="778">
        <v>0</v>
      </c>
      <c r="U79" s="804">
        <v>0</v>
      </c>
      <c r="V79" s="772">
        <v>0</v>
      </c>
      <c r="W79" s="783">
        <v>0</v>
      </c>
      <c r="X79" s="803">
        <v>0</v>
      </c>
      <c r="Y79" s="778">
        <v>0</v>
      </c>
      <c r="Z79" s="802">
        <v>0</v>
      </c>
      <c r="AA79" s="803">
        <v>0</v>
      </c>
      <c r="AB79" s="803">
        <v>0</v>
      </c>
      <c r="AC79" s="778">
        <v>0</v>
      </c>
      <c r="AD79" s="782">
        <v>0</v>
      </c>
      <c r="AE79" s="803">
        <v>0.17100000000000001</v>
      </c>
      <c r="AF79" s="771">
        <f t="shared" si="6"/>
        <v>0.17100000000000001</v>
      </c>
      <c r="AG79" s="805">
        <f t="shared" si="7"/>
        <v>142.49</v>
      </c>
      <c r="AH79" s="1084">
        <f t="shared" si="8"/>
        <v>0</v>
      </c>
      <c r="AI79" s="132" t="str">
        <f t="shared" si="9"/>
        <v xml:space="preserve"> </v>
      </c>
      <c r="AS79" s="139" t="s">
        <v>572</v>
      </c>
      <c r="AT79" s="139" t="s">
        <v>573</v>
      </c>
      <c r="DS79" s="304"/>
      <c r="DT79" s="304"/>
      <c r="DU79" s="647" t="s">
        <v>552</v>
      </c>
      <c r="DV79" s="647" t="s">
        <v>1134</v>
      </c>
      <c r="DW79" s="647" t="s">
        <v>1134</v>
      </c>
      <c r="DX79" s="647" t="s">
        <v>1134</v>
      </c>
      <c r="DY79" s="647" t="s">
        <v>1134</v>
      </c>
      <c r="DZ79" s="647" t="s">
        <v>1134</v>
      </c>
      <c r="EA79" s="647" t="s">
        <v>572</v>
      </c>
      <c r="EB79" s="647" t="s">
        <v>1135</v>
      </c>
      <c r="EC79" s="647" t="s">
        <v>1134</v>
      </c>
      <c r="ED79" s="647" t="s">
        <v>1136</v>
      </c>
    </row>
    <row r="80" spans="1:134" ht="12.75" customHeight="1" x14ac:dyDescent="0.2">
      <c r="A80" s="749" t="s">
        <v>40</v>
      </c>
      <c r="B80" s="146">
        <v>73</v>
      </c>
      <c r="C80" s="770">
        <v>0</v>
      </c>
      <c r="D80" s="770">
        <v>0</v>
      </c>
      <c r="E80" s="770">
        <v>0</v>
      </c>
      <c r="F80" s="770">
        <v>0.47899999999999998</v>
      </c>
      <c r="G80" s="770">
        <v>0</v>
      </c>
      <c r="H80" s="786">
        <f t="shared" si="5"/>
        <v>0.47899999999999998</v>
      </c>
      <c r="I80" s="776">
        <v>0</v>
      </c>
      <c r="J80" s="776">
        <v>0</v>
      </c>
      <c r="K80" s="801">
        <v>88.012</v>
      </c>
      <c r="L80" s="802">
        <v>24.843</v>
      </c>
      <c r="M80" s="803">
        <v>0</v>
      </c>
      <c r="N80" s="778">
        <v>24.843</v>
      </c>
      <c r="O80" s="782">
        <v>0</v>
      </c>
      <c r="P80" s="803">
        <v>0</v>
      </c>
      <c r="Q80" s="781">
        <v>0</v>
      </c>
      <c r="R80" s="803">
        <v>0</v>
      </c>
      <c r="S80" s="778">
        <v>0</v>
      </c>
      <c r="T80" s="778">
        <v>0</v>
      </c>
      <c r="U80" s="804">
        <v>0</v>
      </c>
      <c r="V80" s="772">
        <v>0</v>
      </c>
      <c r="W80" s="783">
        <v>0</v>
      </c>
      <c r="X80" s="803">
        <v>0</v>
      </c>
      <c r="Y80" s="778">
        <v>0</v>
      </c>
      <c r="Z80" s="802">
        <v>76.287999999999997</v>
      </c>
      <c r="AA80" s="803">
        <v>32.488</v>
      </c>
      <c r="AB80" s="803">
        <v>0</v>
      </c>
      <c r="AC80" s="778">
        <v>43.8</v>
      </c>
      <c r="AD80" s="782">
        <v>0</v>
      </c>
      <c r="AE80" s="803">
        <v>72.89</v>
      </c>
      <c r="AF80" s="771">
        <f t="shared" si="6"/>
        <v>262.03300000000002</v>
      </c>
      <c r="AG80" s="805">
        <f t="shared" si="7"/>
        <v>262.512</v>
      </c>
      <c r="AH80" s="1084">
        <f t="shared" si="8"/>
        <v>0</v>
      </c>
      <c r="AI80" s="132" t="str">
        <f t="shared" si="9"/>
        <v xml:space="preserve"> </v>
      </c>
      <c r="AS80" s="139" t="s">
        <v>258</v>
      </c>
      <c r="AT80" s="139" t="s">
        <v>257</v>
      </c>
      <c r="DS80" s="304"/>
      <c r="DT80" s="304"/>
      <c r="DU80" s="647" t="s">
        <v>552</v>
      </c>
      <c r="DV80" s="647" t="s">
        <v>1134</v>
      </c>
      <c r="DW80" s="647" t="s">
        <v>1134</v>
      </c>
      <c r="DX80" s="647" t="s">
        <v>1134</v>
      </c>
      <c r="DY80" s="647" t="s">
        <v>1134</v>
      </c>
      <c r="DZ80" s="647" t="s">
        <v>1134</v>
      </c>
      <c r="EA80" s="647" t="s">
        <v>258</v>
      </c>
      <c r="EB80" s="647" t="s">
        <v>1135</v>
      </c>
      <c r="EC80" s="647" t="s">
        <v>1134</v>
      </c>
      <c r="ED80" s="647" t="s">
        <v>1136</v>
      </c>
    </row>
    <row r="81" spans="1:134" x14ac:dyDescent="0.2">
      <c r="A81" s="749" t="s">
        <v>980</v>
      </c>
      <c r="B81" s="146">
        <v>74</v>
      </c>
      <c r="C81" s="770">
        <v>0</v>
      </c>
      <c r="D81" s="770">
        <v>0</v>
      </c>
      <c r="E81" s="770">
        <v>0</v>
      </c>
      <c r="F81" s="770">
        <v>0</v>
      </c>
      <c r="G81" s="770">
        <v>0</v>
      </c>
      <c r="H81" s="786">
        <f t="shared" si="5"/>
        <v>0</v>
      </c>
      <c r="I81" s="776">
        <v>0</v>
      </c>
      <c r="J81" s="776">
        <v>0</v>
      </c>
      <c r="K81" s="801">
        <v>0</v>
      </c>
      <c r="L81" s="802">
        <v>0</v>
      </c>
      <c r="M81" s="803">
        <v>0</v>
      </c>
      <c r="N81" s="778">
        <v>0</v>
      </c>
      <c r="O81" s="782">
        <v>0</v>
      </c>
      <c r="P81" s="803">
        <v>0</v>
      </c>
      <c r="Q81" s="781">
        <v>0</v>
      </c>
      <c r="R81" s="803">
        <v>0</v>
      </c>
      <c r="S81" s="778">
        <v>0</v>
      </c>
      <c r="T81" s="778">
        <v>0</v>
      </c>
      <c r="U81" s="804">
        <v>0</v>
      </c>
      <c r="V81" s="772">
        <v>0</v>
      </c>
      <c r="W81" s="783">
        <v>0</v>
      </c>
      <c r="X81" s="803">
        <v>0</v>
      </c>
      <c r="Y81" s="778">
        <v>0</v>
      </c>
      <c r="Z81" s="802">
        <v>0</v>
      </c>
      <c r="AA81" s="803">
        <v>0</v>
      </c>
      <c r="AB81" s="803">
        <v>0</v>
      </c>
      <c r="AC81" s="778">
        <v>0</v>
      </c>
      <c r="AD81" s="782">
        <v>0</v>
      </c>
      <c r="AE81" s="803">
        <v>0</v>
      </c>
      <c r="AF81" s="771">
        <f t="shared" si="6"/>
        <v>0</v>
      </c>
      <c r="AG81" s="805">
        <f t="shared" si="7"/>
        <v>0</v>
      </c>
      <c r="AH81" s="1084">
        <f t="shared" si="8"/>
        <v>0</v>
      </c>
      <c r="AI81" s="132" t="str">
        <f t="shared" si="9"/>
        <v xml:space="preserve"> </v>
      </c>
      <c r="AS81" s="139" t="s">
        <v>1058</v>
      </c>
      <c r="AT81" s="139" t="s">
        <v>1059</v>
      </c>
      <c r="DS81" s="304"/>
      <c r="DT81" s="304"/>
      <c r="DU81" s="647" t="s">
        <v>552</v>
      </c>
      <c r="DV81" s="647" t="s">
        <v>1134</v>
      </c>
      <c r="DW81" s="647" t="s">
        <v>1134</v>
      </c>
      <c r="DX81" s="647" t="s">
        <v>1134</v>
      </c>
      <c r="DY81" s="647" t="s">
        <v>1134</v>
      </c>
      <c r="DZ81" s="647" t="s">
        <v>1134</v>
      </c>
      <c r="EA81" s="647" t="s">
        <v>1058</v>
      </c>
      <c r="EB81" s="647" t="s">
        <v>1135</v>
      </c>
      <c r="EC81" s="647" t="s">
        <v>1134</v>
      </c>
      <c r="ED81" s="647" t="s">
        <v>1136</v>
      </c>
    </row>
    <row r="82" spans="1:134" ht="12.75" customHeight="1" x14ac:dyDescent="0.2">
      <c r="A82" s="749" t="s">
        <v>41</v>
      </c>
      <c r="B82" s="146">
        <v>75</v>
      </c>
      <c r="C82" s="770">
        <v>0</v>
      </c>
      <c r="D82" s="770">
        <v>0</v>
      </c>
      <c r="E82" s="770">
        <v>0</v>
      </c>
      <c r="F82" s="770">
        <v>5.6000000000000001E-2</v>
      </c>
      <c r="G82" s="770">
        <v>0</v>
      </c>
      <c r="H82" s="786">
        <f t="shared" si="5"/>
        <v>5.6000000000000001E-2</v>
      </c>
      <c r="I82" s="776">
        <v>0</v>
      </c>
      <c r="J82" s="776">
        <v>0</v>
      </c>
      <c r="K82" s="801">
        <v>0</v>
      </c>
      <c r="L82" s="802">
        <v>0</v>
      </c>
      <c r="M82" s="803">
        <v>0</v>
      </c>
      <c r="N82" s="778">
        <v>0</v>
      </c>
      <c r="O82" s="782">
        <v>0</v>
      </c>
      <c r="P82" s="803">
        <v>0</v>
      </c>
      <c r="Q82" s="781">
        <v>3.1E-2</v>
      </c>
      <c r="R82" s="803">
        <v>0</v>
      </c>
      <c r="S82" s="778">
        <v>3.1E-2</v>
      </c>
      <c r="T82" s="778">
        <v>0</v>
      </c>
      <c r="U82" s="804">
        <v>0</v>
      </c>
      <c r="V82" s="772">
        <v>0</v>
      </c>
      <c r="W82" s="783">
        <v>0</v>
      </c>
      <c r="X82" s="803">
        <v>0</v>
      </c>
      <c r="Y82" s="778">
        <v>0</v>
      </c>
      <c r="Z82" s="802">
        <v>0</v>
      </c>
      <c r="AA82" s="803">
        <v>0</v>
      </c>
      <c r="AB82" s="803">
        <v>0</v>
      </c>
      <c r="AC82" s="778">
        <v>0</v>
      </c>
      <c r="AD82" s="782">
        <v>0</v>
      </c>
      <c r="AE82" s="803">
        <v>1.7549999999999999</v>
      </c>
      <c r="AF82" s="771">
        <f t="shared" si="6"/>
        <v>1.786</v>
      </c>
      <c r="AG82" s="805">
        <f t="shared" si="7"/>
        <v>1.8420000000000001</v>
      </c>
      <c r="AH82" s="1084">
        <f t="shared" si="8"/>
        <v>0</v>
      </c>
      <c r="AI82" s="132" t="str">
        <f t="shared" si="9"/>
        <v xml:space="preserve"> </v>
      </c>
      <c r="AS82" s="139" t="s">
        <v>260</v>
      </c>
      <c r="AT82" s="139" t="s">
        <v>259</v>
      </c>
      <c r="DS82" s="304"/>
      <c r="DT82" s="304"/>
      <c r="DU82" s="647" t="s">
        <v>552</v>
      </c>
      <c r="DV82" s="647" t="s">
        <v>1134</v>
      </c>
      <c r="DW82" s="647" t="s">
        <v>1134</v>
      </c>
      <c r="DX82" s="647" t="s">
        <v>1134</v>
      </c>
      <c r="DY82" s="647" t="s">
        <v>1134</v>
      </c>
      <c r="DZ82" s="647" t="s">
        <v>1134</v>
      </c>
      <c r="EA82" s="647" t="s">
        <v>260</v>
      </c>
      <c r="EB82" s="647" t="s">
        <v>1135</v>
      </c>
      <c r="EC82" s="647" t="s">
        <v>1134</v>
      </c>
      <c r="ED82" s="647" t="s">
        <v>1136</v>
      </c>
    </row>
    <row r="83" spans="1:134" x14ac:dyDescent="0.2">
      <c r="A83" s="749" t="s">
        <v>981</v>
      </c>
      <c r="B83" s="146">
        <v>76</v>
      </c>
      <c r="C83" s="770">
        <v>0</v>
      </c>
      <c r="D83" s="770">
        <v>0</v>
      </c>
      <c r="E83" s="770">
        <v>0</v>
      </c>
      <c r="F83" s="770">
        <v>0</v>
      </c>
      <c r="G83" s="770">
        <v>0</v>
      </c>
      <c r="H83" s="786">
        <f t="shared" si="5"/>
        <v>0</v>
      </c>
      <c r="I83" s="776">
        <v>0</v>
      </c>
      <c r="J83" s="776">
        <v>0</v>
      </c>
      <c r="K83" s="801">
        <v>0</v>
      </c>
      <c r="L83" s="802">
        <v>0</v>
      </c>
      <c r="M83" s="803">
        <v>0</v>
      </c>
      <c r="N83" s="778">
        <v>0</v>
      </c>
      <c r="O83" s="782">
        <v>0</v>
      </c>
      <c r="P83" s="803">
        <v>0</v>
      </c>
      <c r="Q83" s="781">
        <v>0</v>
      </c>
      <c r="R83" s="803">
        <v>0</v>
      </c>
      <c r="S83" s="778">
        <v>0</v>
      </c>
      <c r="T83" s="778">
        <v>0</v>
      </c>
      <c r="U83" s="804">
        <v>0</v>
      </c>
      <c r="V83" s="772">
        <v>0</v>
      </c>
      <c r="W83" s="783">
        <v>0</v>
      </c>
      <c r="X83" s="803">
        <v>0</v>
      </c>
      <c r="Y83" s="778">
        <v>0</v>
      </c>
      <c r="Z83" s="802">
        <v>0</v>
      </c>
      <c r="AA83" s="803">
        <v>0</v>
      </c>
      <c r="AB83" s="803">
        <v>0</v>
      </c>
      <c r="AC83" s="778">
        <v>0</v>
      </c>
      <c r="AD83" s="782">
        <v>0</v>
      </c>
      <c r="AE83" s="803">
        <v>0</v>
      </c>
      <c r="AF83" s="771">
        <f t="shared" si="6"/>
        <v>0</v>
      </c>
      <c r="AG83" s="805">
        <f t="shared" si="7"/>
        <v>0</v>
      </c>
      <c r="AH83" s="1084">
        <f t="shared" si="8"/>
        <v>0</v>
      </c>
      <c r="AI83" s="132" t="str">
        <f t="shared" si="9"/>
        <v xml:space="preserve"> </v>
      </c>
      <c r="AS83" s="139" t="s">
        <v>1060</v>
      </c>
      <c r="AT83" s="139" t="s">
        <v>1061</v>
      </c>
      <c r="DS83" s="304"/>
      <c r="DT83" s="304"/>
      <c r="DU83" s="647" t="s">
        <v>552</v>
      </c>
      <c r="DV83" s="647" t="s">
        <v>1134</v>
      </c>
      <c r="DW83" s="647" t="s">
        <v>1134</v>
      </c>
      <c r="DX83" s="647" t="s">
        <v>1134</v>
      </c>
      <c r="DY83" s="647" t="s">
        <v>1134</v>
      </c>
      <c r="DZ83" s="647" t="s">
        <v>1134</v>
      </c>
      <c r="EA83" s="647" t="s">
        <v>1060</v>
      </c>
      <c r="EB83" s="647" t="s">
        <v>1135</v>
      </c>
      <c r="EC83" s="647" t="s">
        <v>1134</v>
      </c>
      <c r="ED83" s="647" t="s">
        <v>1136</v>
      </c>
    </row>
    <row r="84" spans="1:134" ht="12.75" customHeight="1" x14ac:dyDescent="0.2">
      <c r="A84" s="749" t="s">
        <v>559</v>
      </c>
      <c r="B84" s="146">
        <v>77</v>
      </c>
      <c r="C84" s="770">
        <v>306.59300000000002</v>
      </c>
      <c r="D84" s="770">
        <v>0</v>
      </c>
      <c r="E84" s="770">
        <v>0</v>
      </c>
      <c r="F84" s="770">
        <v>0</v>
      </c>
      <c r="G84" s="770">
        <v>0</v>
      </c>
      <c r="H84" s="786">
        <f t="shared" si="5"/>
        <v>306.59300000000002</v>
      </c>
      <c r="I84" s="776">
        <v>0</v>
      </c>
      <c r="J84" s="776">
        <v>0</v>
      </c>
      <c r="K84" s="801">
        <v>0</v>
      </c>
      <c r="L84" s="802">
        <v>0</v>
      </c>
      <c r="M84" s="803">
        <v>0</v>
      </c>
      <c r="N84" s="778">
        <v>0</v>
      </c>
      <c r="O84" s="782">
        <v>0</v>
      </c>
      <c r="P84" s="803">
        <v>0</v>
      </c>
      <c r="Q84" s="781">
        <v>0</v>
      </c>
      <c r="R84" s="803">
        <v>0</v>
      </c>
      <c r="S84" s="778">
        <v>0</v>
      </c>
      <c r="T84" s="778">
        <v>0</v>
      </c>
      <c r="U84" s="804">
        <v>0</v>
      </c>
      <c r="V84" s="772">
        <v>0</v>
      </c>
      <c r="W84" s="783">
        <v>0</v>
      </c>
      <c r="X84" s="803">
        <v>0</v>
      </c>
      <c r="Y84" s="778">
        <v>0</v>
      </c>
      <c r="Z84" s="802">
        <v>0</v>
      </c>
      <c r="AA84" s="803">
        <v>0</v>
      </c>
      <c r="AB84" s="803">
        <v>0</v>
      </c>
      <c r="AC84" s="778">
        <v>0</v>
      </c>
      <c r="AD84" s="782">
        <v>0</v>
      </c>
      <c r="AE84" s="803">
        <v>0</v>
      </c>
      <c r="AF84" s="771">
        <f t="shared" si="6"/>
        <v>0</v>
      </c>
      <c r="AG84" s="805">
        <f t="shared" si="7"/>
        <v>306.59300000000002</v>
      </c>
      <c r="AH84" s="1084">
        <f t="shared" si="8"/>
        <v>0</v>
      </c>
      <c r="AI84" s="132" t="str">
        <f t="shared" si="9"/>
        <v xml:space="preserve"> </v>
      </c>
      <c r="AS84" s="139" t="s">
        <v>511</v>
      </c>
      <c r="AT84" s="139" t="s">
        <v>512</v>
      </c>
      <c r="DS84" s="304"/>
      <c r="DT84" s="304"/>
      <c r="DU84" s="647" t="s">
        <v>552</v>
      </c>
      <c r="DV84" s="647" t="s">
        <v>1134</v>
      </c>
      <c r="DW84" s="647" t="s">
        <v>1134</v>
      </c>
      <c r="DX84" s="647" t="s">
        <v>1134</v>
      </c>
      <c r="DY84" s="647" t="s">
        <v>1134</v>
      </c>
      <c r="DZ84" s="647" t="s">
        <v>1134</v>
      </c>
      <c r="EA84" s="647" t="s">
        <v>511</v>
      </c>
      <c r="EB84" s="647" t="s">
        <v>1135</v>
      </c>
      <c r="EC84" s="647" t="s">
        <v>1134</v>
      </c>
      <c r="ED84" s="647" t="s">
        <v>1136</v>
      </c>
    </row>
    <row r="85" spans="1:134" x14ac:dyDescent="0.2">
      <c r="A85" s="749" t="s">
        <v>982</v>
      </c>
      <c r="B85" s="146">
        <v>78</v>
      </c>
      <c r="C85" s="770">
        <v>0</v>
      </c>
      <c r="D85" s="770">
        <v>0</v>
      </c>
      <c r="E85" s="770">
        <v>0</v>
      </c>
      <c r="F85" s="770">
        <v>0</v>
      </c>
      <c r="G85" s="770">
        <v>0</v>
      </c>
      <c r="H85" s="786">
        <f t="shared" si="5"/>
        <v>0</v>
      </c>
      <c r="I85" s="776">
        <v>0</v>
      </c>
      <c r="J85" s="776">
        <v>0</v>
      </c>
      <c r="K85" s="801">
        <v>0</v>
      </c>
      <c r="L85" s="802">
        <v>0</v>
      </c>
      <c r="M85" s="803">
        <v>0</v>
      </c>
      <c r="N85" s="778">
        <v>0</v>
      </c>
      <c r="O85" s="782">
        <v>0</v>
      </c>
      <c r="P85" s="803">
        <v>0</v>
      </c>
      <c r="Q85" s="781">
        <v>0</v>
      </c>
      <c r="R85" s="803">
        <v>0</v>
      </c>
      <c r="S85" s="778">
        <v>0</v>
      </c>
      <c r="T85" s="778">
        <v>0</v>
      </c>
      <c r="U85" s="804">
        <v>0</v>
      </c>
      <c r="V85" s="772">
        <v>0</v>
      </c>
      <c r="W85" s="783">
        <v>0</v>
      </c>
      <c r="X85" s="803">
        <v>0</v>
      </c>
      <c r="Y85" s="778">
        <v>0</v>
      </c>
      <c r="Z85" s="802">
        <v>0</v>
      </c>
      <c r="AA85" s="803">
        <v>0</v>
      </c>
      <c r="AB85" s="803">
        <v>0</v>
      </c>
      <c r="AC85" s="778">
        <v>0</v>
      </c>
      <c r="AD85" s="782">
        <v>0</v>
      </c>
      <c r="AE85" s="803">
        <v>0</v>
      </c>
      <c r="AF85" s="771">
        <f t="shared" si="6"/>
        <v>0</v>
      </c>
      <c r="AG85" s="805">
        <f t="shared" si="7"/>
        <v>0</v>
      </c>
      <c r="AH85" s="1084">
        <f t="shared" si="8"/>
        <v>0</v>
      </c>
      <c r="AI85" s="132" t="str">
        <f t="shared" si="9"/>
        <v xml:space="preserve"> </v>
      </c>
      <c r="AS85" s="139" t="s">
        <v>1062</v>
      </c>
      <c r="AT85" s="139" t="s">
        <v>1063</v>
      </c>
      <c r="DS85" s="304"/>
      <c r="DT85" s="304"/>
      <c r="DU85" s="647" t="s">
        <v>552</v>
      </c>
      <c r="DV85" s="647" t="s">
        <v>1134</v>
      </c>
      <c r="DW85" s="647" t="s">
        <v>1134</v>
      </c>
      <c r="DX85" s="647" t="s">
        <v>1134</v>
      </c>
      <c r="DY85" s="647" t="s">
        <v>1134</v>
      </c>
      <c r="DZ85" s="647" t="s">
        <v>1134</v>
      </c>
      <c r="EA85" s="647" t="s">
        <v>1062</v>
      </c>
      <c r="EB85" s="647" t="s">
        <v>1135</v>
      </c>
      <c r="EC85" s="647" t="s">
        <v>1134</v>
      </c>
      <c r="ED85" s="647" t="s">
        <v>1136</v>
      </c>
    </row>
    <row r="86" spans="1:134" ht="12.75" customHeight="1" x14ac:dyDescent="0.2">
      <c r="A86" s="749" t="s">
        <v>42</v>
      </c>
      <c r="B86" s="146">
        <v>79</v>
      </c>
      <c r="C86" s="770">
        <v>0</v>
      </c>
      <c r="D86" s="770">
        <v>0</v>
      </c>
      <c r="E86" s="770">
        <v>0</v>
      </c>
      <c r="F86" s="770">
        <v>2E-3</v>
      </c>
      <c r="G86" s="770">
        <v>0</v>
      </c>
      <c r="H86" s="786">
        <f t="shared" si="5"/>
        <v>2E-3</v>
      </c>
      <c r="I86" s="776">
        <v>0</v>
      </c>
      <c r="J86" s="776">
        <v>0.38400000000000001</v>
      </c>
      <c r="K86" s="801">
        <v>0</v>
      </c>
      <c r="L86" s="802">
        <v>0</v>
      </c>
      <c r="M86" s="803">
        <v>0</v>
      </c>
      <c r="N86" s="778">
        <v>0</v>
      </c>
      <c r="O86" s="782">
        <v>0</v>
      </c>
      <c r="P86" s="803">
        <v>0</v>
      </c>
      <c r="Q86" s="781">
        <v>0</v>
      </c>
      <c r="R86" s="803">
        <v>0</v>
      </c>
      <c r="S86" s="778">
        <v>0</v>
      </c>
      <c r="T86" s="778">
        <v>0</v>
      </c>
      <c r="U86" s="804">
        <v>0</v>
      </c>
      <c r="V86" s="772">
        <v>0</v>
      </c>
      <c r="W86" s="783">
        <v>0</v>
      </c>
      <c r="X86" s="803">
        <v>0</v>
      </c>
      <c r="Y86" s="778">
        <v>0</v>
      </c>
      <c r="Z86" s="802">
        <v>0.82199999999999995</v>
      </c>
      <c r="AA86" s="803">
        <v>0.35099999999999998</v>
      </c>
      <c r="AB86" s="803">
        <v>0</v>
      </c>
      <c r="AC86" s="778">
        <v>0.47199999999999998</v>
      </c>
      <c r="AD86" s="782">
        <v>0</v>
      </c>
      <c r="AE86" s="803">
        <v>7.8780000000000001</v>
      </c>
      <c r="AF86" s="771">
        <f t="shared" si="6"/>
        <v>9.0839999999999996</v>
      </c>
      <c r="AG86" s="805">
        <f t="shared" si="7"/>
        <v>9.0860000000000003</v>
      </c>
      <c r="AH86" s="1084">
        <f t="shared" si="8"/>
        <v>0</v>
      </c>
      <c r="AI86" s="132" t="str">
        <f t="shared" si="9"/>
        <v xml:space="preserve"> </v>
      </c>
      <c r="AS86" s="139" t="s">
        <v>262</v>
      </c>
      <c r="AT86" s="139" t="s">
        <v>261</v>
      </c>
      <c r="DS86" s="304"/>
      <c r="DT86" s="304"/>
      <c r="DU86" s="647" t="s">
        <v>552</v>
      </c>
      <c r="DV86" s="647" t="s">
        <v>1134</v>
      </c>
      <c r="DW86" s="647" t="s">
        <v>1134</v>
      </c>
      <c r="DX86" s="647" t="s">
        <v>1134</v>
      </c>
      <c r="DY86" s="647" t="s">
        <v>1134</v>
      </c>
      <c r="DZ86" s="647" t="s">
        <v>1134</v>
      </c>
      <c r="EA86" s="647" t="s">
        <v>262</v>
      </c>
      <c r="EB86" s="647" t="s">
        <v>1135</v>
      </c>
      <c r="EC86" s="647" t="s">
        <v>1134</v>
      </c>
      <c r="ED86" s="647" t="s">
        <v>1136</v>
      </c>
    </row>
    <row r="87" spans="1:134" ht="12.75" customHeight="1" x14ac:dyDescent="0.2">
      <c r="A87" s="749" t="s">
        <v>983</v>
      </c>
      <c r="B87" s="146">
        <v>80</v>
      </c>
      <c r="C87" s="770">
        <v>0</v>
      </c>
      <c r="D87" s="770">
        <v>0</v>
      </c>
      <c r="E87" s="770">
        <v>0</v>
      </c>
      <c r="F87" s="770">
        <v>0</v>
      </c>
      <c r="G87" s="770">
        <v>0</v>
      </c>
      <c r="H87" s="786">
        <f t="shared" si="5"/>
        <v>0</v>
      </c>
      <c r="I87" s="776">
        <v>0</v>
      </c>
      <c r="J87" s="776">
        <v>0</v>
      </c>
      <c r="K87" s="801">
        <v>0</v>
      </c>
      <c r="L87" s="802">
        <v>0</v>
      </c>
      <c r="M87" s="803">
        <v>0</v>
      </c>
      <c r="N87" s="778">
        <v>0</v>
      </c>
      <c r="O87" s="782">
        <v>0</v>
      </c>
      <c r="P87" s="803">
        <v>0</v>
      </c>
      <c r="Q87" s="781">
        <v>0</v>
      </c>
      <c r="R87" s="803">
        <v>0</v>
      </c>
      <c r="S87" s="778">
        <v>0</v>
      </c>
      <c r="T87" s="778">
        <v>0</v>
      </c>
      <c r="U87" s="804">
        <v>0</v>
      </c>
      <c r="V87" s="772">
        <v>0</v>
      </c>
      <c r="W87" s="783">
        <v>0</v>
      </c>
      <c r="X87" s="803">
        <v>0</v>
      </c>
      <c r="Y87" s="778">
        <v>0</v>
      </c>
      <c r="Z87" s="802">
        <v>0</v>
      </c>
      <c r="AA87" s="803">
        <v>0</v>
      </c>
      <c r="AB87" s="803">
        <v>0</v>
      </c>
      <c r="AC87" s="778">
        <v>0</v>
      </c>
      <c r="AD87" s="782">
        <v>0</v>
      </c>
      <c r="AE87" s="803">
        <v>0</v>
      </c>
      <c r="AF87" s="771">
        <f t="shared" si="6"/>
        <v>0</v>
      </c>
      <c r="AG87" s="805">
        <f t="shared" si="7"/>
        <v>0</v>
      </c>
      <c r="AH87" s="1084">
        <f t="shared" si="8"/>
        <v>0</v>
      </c>
      <c r="AI87" s="132" t="str">
        <f t="shared" si="9"/>
        <v xml:space="preserve"> </v>
      </c>
      <c r="AS87" s="139" t="s">
        <v>929</v>
      </c>
      <c r="AT87" s="139" t="s">
        <v>928</v>
      </c>
      <c r="DS87" s="304"/>
      <c r="DT87" s="304"/>
      <c r="DU87" s="647" t="s">
        <v>552</v>
      </c>
      <c r="DV87" s="647" t="s">
        <v>1134</v>
      </c>
      <c r="DW87" s="647" t="s">
        <v>1134</v>
      </c>
      <c r="DX87" s="647" t="s">
        <v>1134</v>
      </c>
      <c r="DY87" s="647" t="s">
        <v>1134</v>
      </c>
      <c r="DZ87" s="647" t="s">
        <v>1134</v>
      </c>
      <c r="EA87" s="647" t="s">
        <v>929</v>
      </c>
      <c r="EB87" s="647" t="s">
        <v>1135</v>
      </c>
      <c r="EC87" s="647" t="s">
        <v>1134</v>
      </c>
      <c r="ED87" s="647" t="s">
        <v>1136</v>
      </c>
    </row>
    <row r="88" spans="1:134" x14ac:dyDescent="0.2">
      <c r="A88" s="749" t="s">
        <v>43</v>
      </c>
      <c r="B88" s="146">
        <v>81</v>
      </c>
      <c r="C88" s="770">
        <v>0</v>
      </c>
      <c r="D88" s="770">
        <v>0</v>
      </c>
      <c r="E88" s="770">
        <v>0</v>
      </c>
      <c r="F88" s="770">
        <v>0</v>
      </c>
      <c r="G88" s="770">
        <v>0</v>
      </c>
      <c r="H88" s="786">
        <f t="shared" si="5"/>
        <v>0</v>
      </c>
      <c r="I88" s="776">
        <v>0</v>
      </c>
      <c r="J88" s="776">
        <v>0</v>
      </c>
      <c r="K88" s="801">
        <v>0</v>
      </c>
      <c r="L88" s="802">
        <v>0</v>
      </c>
      <c r="M88" s="803">
        <v>0</v>
      </c>
      <c r="N88" s="778">
        <v>0</v>
      </c>
      <c r="O88" s="782">
        <v>0</v>
      </c>
      <c r="P88" s="803">
        <v>0</v>
      </c>
      <c r="Q88" s="781">
        <v>0</v>
      </c>
      <c r="R88" s="803">
        <v>0</v>
      </c>
      <c r="S88" s="778">
        <v>0</v>
      </c>
      <c r="T88" s="778">
        <v>0</v>
      </c>
      <c r="U88" s="804">
        <v>40.573999999999998</v>
      </c>
      <c r="V88" s="772">
        <v>47.59</v>
      </c>
      <c r="W88" s="783">
        <v>88.164000000000001</v>
      </c>
      <c r="X88" s="803">
        <v>0</v>
      </c>
      <c r="Y88" s="778">
        <v>88.164000000000001</v>
      </c>
      <c r="Z88" s="802">
        <v>0</v>
      </c>
      <c r="AA88" s="803">
        <v>0</v>
      </c>
      <c r="AB88" s="803">
        <v>0</v>
      </c>
      <c r="AC88" s="778">
        <v>0</v>
      </c>
      <c r="AD88" s="782">
        <v>0</v>
      </c>
      <c r="AE88" s="803">
        <v>0</v>
      </c>
      <c r="AF88" s="771">
        <f t="shared" si="6"/>
        <v>88.164000000000001</v>
      </c>
      <c r="AG88" s="805">
        <f t="shared" si="7"/>
        <v>88.164000000000001</v>
      </c>
      <c r="AH88" s="1084">
        <f t="shared" si="8"/>
        <v>0</v>
      </c>
      <c r="AI88" s="132" t="str">
        <f t="shared" si="9"/>
        <v xml:space="preserve"> </v>
      </c>
      <c r="AS88" s="139" t="s">
        <v>463</v>
      </c>
      <c r="AT88" s="139" t="s">
        <v>464</v>
      </c>
      <c r="DS88" s="304"/>
      <c r="DT88" s="304"/>
      <c r="DU88" s="647" t="s">
        <v>552</v>
      </c>
      <c r="DV88" s="647" t="s">
        <v>1134</v>
      </c>
      <c r="DW88" s="647" t="s">
        <v>1134</v>
      </c>
      <c r="DX88" s="647" t="s">
        <v>1134</v>
      </c>
      <c r="DY88" s="647" t="s">
        <v>1134</v>
      </c>
      <c r="DZ88" s="647" t="s">
        <v>1134</v>
      </c>
      <c r="EA88" s="647" t="s">
        <v>463</v>
      </c>
      <c r="EB88" s="647" t="s">
        <v>1135</v>
      </c>
      <c r="EC88" s="647" t="s">
        <v>1134</v>
      </c>
      <c r="ED88" s="647" t="s">
        <v>1136</v>
      </c>
    </row>
    <row r="89" spans="1:134" ht="12.75" customHeight="1" x14ac:dyDescent="0.2">
      <c r="A89" s="749" t="s">
        <v>560</v>
      </c>
      <c r="B89" s="146">
        <v>82</v>
      </c>
      <c r="C89" s="770">
        <v>0</v>
      </c>
      <c r="D89" s="770">
        <v>0</v>
      </c>
      <c r="E89" s="770">
        <v>0</v>
      </c>
      <c r="F89" s="770">
        <v>0</v>
      </c>
      <c r="G89" s="770">
        <v>0</v>
      </c>
      <c r="H89" s="786">
        <f t="shared" si="5"/>
        <v>0</v>
      </c>
      <c r="I89" s="776">
        <v>0</v>
      </c>
      <c r="J89" s="776">
        <v>0</v>
      </c>
      <c r="K89" s="801">
        <v>0</v>
      </c>
      <c r="L89" s="802">
        <v>0</v>
      </c>
      <c r="M89" s="803">
        <v>0</v>
      </c>
      <c r="N89" s="778">
        <v>0</v>
      </c>
      <c r="O89" s="782">
        <v>0</v>
      </c>
      <c r="P89" s="803">
        <v>0</v>
      </c>
      <c r="Q89" s="781">
        <v>0</v>
      </c>
      <c r="R89" s="803">
        <v>0</v>
      </c>
      <c r="S89" s="778">
        <v>0</v>
      </c>
      <c r="T89" s="778">
        <v>0</v>
      </c>
      <c r="U89" s="804">
        <v>0</v>
      </c>
      <c r="V89" s="772">
        <v>0</v>
      </c>
      <c r="W89" s="783">
        <v>0</v>
      </c>
      <c r="X89" s="803">
        <v>0</v>
      </c>
      <c r="Y89" s="778">
        <v>0</v>
      </c>
      <c r="Z89" s="802">
        <v>0</v>
      </c>
      <c r="AA89" s="803">
        <v>0</v>
      </c>
      <c r="AB89" s="803">
        <v>0</v>
      </c>
      <c r="AC89" s="778">
        <v>0</v>
      </c>
      <c r="AD89" s="782">
        <v>0</v>
      </c>
      <c r="AE89" s="803">
        <v>0</v>
      </c>
      <c r="AF89" s="771">
        <f t="shared" si="6"/>
        <v>0</v>
      </c>
      <c r="AG89" s="805">
        <f t="shared" si="7"/>
        <v>0</v>
      </c>
      <c r="AH89" s="1084">
        <f t="shared" si="8"/>
        <v>0</v>
      </c>
      <c r="AI89" s="132" t="str">
        <f t="shared" si="9"/>
        <v xml:space="preserve"> </v>
      </c>
      <c r="AS89" s="139" t="s">
        <v>513</v>
      </c>
      <c r="AT89" s="139" t="s">
        <v>514</v>
      </c>
      <c r="DS89" s="304"/>
      <c r="DT89" s="304"/>
      <c r="DU89" s="647" t="s">
        <v>552</v>
      </c>
      <c r="DV89" s="647" t="s">
        <v>1134</v>
      </c>
      <c r="DW89" s="647" t="s">
        <v>1134</v>
      </c>
      <c r="DX89" s="647" t="s">
        <v>1134</v>
      </c>
      <c r="DY89" s="647" t="s">
        <v>1134</v>
      </c>
      <c r="DZ89" s="647" t="s">
        <v>1134</v>
      </c>
      <c r="EA89" s="647" t="s">
        <v>513</v>
      </c>
      <c r="EB89" s="647" t="s">
        <v>1135</v>
      </c>
      <c r="EC89" s="647" t="s">
        <v>1134</v>
      </c>
      <c r="ED89" s="647" t="s">
        <v>1136</v>
      </c>
    </row>
    <row r="90" spans="1:134" x14ac:dyDescent="0.2">
      <c r="A90" s="749" t="s">
        <v>984</v>
      </c>
      <c r="B90" s="146">
        <v>83</v>
      </c>
      <c r="C90" s="770">
        <v>0</v>
      </c>
      <c r="D90" s="770">
        <v>0</v>
      </c>
      <c r="E90" s="770">
        <v>0</v>
      </c>
      <c r="F90" s="770">
        <v>0</v>
      </c>
      <c r="G90" s="770">
        <v>0</v>
      </c>
      <c r="H90" s="786">
        <f t="shared" si="5"/>
        <v>0</v>
      </c>
      <c r="I90" s="776">
        <v>0</v>
      </c>
      <c r="J90" s="776">
        <v>0</v>
      </c>
      <c r="K90" s="801">
        <v>0</v>
      </c>
      <c r="L90" s="802">
        <v>0</v>
      </c>
      <c r="M90" s="803">
        <v>0</v>
      </c>
      <c r="N90" s="778">
        <v>0</v>
      </c>
      <c r="O90" s="782">
        <v>0</v>
      </c>
      <c r="P90" s="803">
        <v>0</v>
      </c>
      <c r="Q90" s="781">
        <v>0</v>
      </c>
      <c r="R90" s="803">
        <v>0</v>
      </c>
      <c r="S90" s="778">
        <v>0</v>
      </c>
      <c r="T90" s="778">
        <v>0</v>
      </c>
      <c r="U90" s="804">
        <v>0</v>
      </c>
      <c r="V90" s="772">
        <v>0</v>
      </c>
      <c r="W90" s="783">
        <v>0</v>
      </c>
      <c r="X90" s="803">
        <v>0</v>
      </c>
      <c r="Y90" s="778">
        <v>0</v>
      </c>
      <c r="Z90" s="802">
        <v>0</v>
      </c>
      <c r="AA90" s="803">
        <v>0</v>
      </c>
      <c r="AB90" s="803">
        <v>0</v>
      </c>
      <c r="AC90" s="778">
        <v>0</v>
      </c>
      <c r="AD90" s="782">
        <v>0</v>
      </c>
      <c r="AE90" s="803">
        <v>0</v>
      </c>
      <c r="AF90" s="771">
        <f t="shared" si="6"/>
        <v>0</v>
      </c>
      <c r="AG90" s="805">
        <f t="shared" si="7"/>
        <v>0</v>
      </c>
      <c r="AH90" s="1084">
        <f t="shared" si="8"/>
        <v>0</v>
      </c>
      <c r="AI90" s="132" t="str">
        <f t="shared" si="9"/>
        <v xml:space="preserve"> </v>
      </c>
      <c r="AS90" s="139" t="s">
        <v>1064</v>
      </c>
      <c r="AT90" s="1086" t="s">
        <v>1400</v>
      </c>
      <c r="DS90" s="304"/>
      <c r="DT90" s="304"/>
      <c r="DU90" s="647" t="s">
        <v>552</v>
      </c>
      <c r="DV90" s="647" t="s">
        <v>1134</v>
      </c>
      <c r="DW90" s="647" t="s">
        <v>1134</v>
      </c>
      <c r="DX90" s="647" t="s">
        <v>1134</v>
      </c>
      <c r="DY90" s="647" t="s">
        <v>1134</v>
      </c>
      <c r="DZ90" s="647" t="s">
        <v>1134</v>
      </c>
      <c r="EA90" s="647" t="s">
        <v>1064</v>
      </c>
      <c r="EB90" s="647" t="s">
        <v>1135</v>
      </c>
      <c r="EC90" s="647" t="s">
        <v>1134</v>
      </c>
      <c r="ED90" s="647" t="s">
        <v>1136</v>
      </c>
    </row>
    <row r="91" spans="1:134" x14ac:dyDescent="0.2">
      <c r="A91" s="749" t="s">
        <v>561</v>
      </c>
      <c r="B91" s="146">
        <v>84</v>
      </c>
      <c r="C91" s="770">
        <v>0</v>
      </c>
      <c r="D91" s="770">
        <v>0</v>
      </c>
      <c r="E91" s="770">
        <v>0</v>
      </c>
      <c r="F91" s="770">
        <v>3.238</v>
      </c>
      <c r="G91" s="770">
        <v>0</v>
      </c>
      <c r="H91" s="786">
        <f t="shared" si="5"/>
        <v>3.238</v>
      </c>
      <c r="I91" s="776">
        <v>0</v>
      </c>
      <c r="J91" s="776">
        <v>0</v>
      </c>
      <c r="K91" s="801">
        <v>7.9630000000000001</v>
      </c>
      <c r="L91" s="802">
        <v>2.2480000000000002</v>
      </c>
      <c r="M91" s="803">
        <v>0</v>
      </c>
      <c r="N91" s="778">
        <v>2.2480000000000002</v>
      </c>
      <c r="O91" s="782">
        <v>0</v>
      </c>
      <c r="P91" s="803">
        <v>0</v>
      </c>
      <c r="Q91" s="781">
        <v>0</v>
      </c>
      <c r="R91" s="803">
        <v>0</v>
      </c>
      <c r="S91" s="778">
        <v>0</v>
      </c>
      <c r="T91" s="778">
        <v>0</v>
      </c>
      <c r="U91" s="804">
        <v>0</v>
      </c>
      <c r="V91" s="772">
        <v>0</v>
      </c>
      <c r="W91" s="783">
        <v>0</v>
      </c>
      <c r="X91" s="803">
        <v>0</v>
      </c>
      <c r="Y91" s="778">
        <v>0</v>
      </c>
      <c r="Z91" s="802">
        <v>0</v>
      </c>
      <c r="AA91" s="803">
        <v>0</v>
      </c>
      <c r="AB91" s="803">
        <v>0</v>
      </c>
      <c r="AC91" s="778">
        <v>0</v>
      </c>
      <c r="AD91" s="782">
        <v>0</v>
      </c>
      <c r="AE91" s="803">
        <v>5.0000000000000001E-3</v>
      </c>
      <c r="AF91" s="771">
        <f t="shared" si="6"/>
        <v>10.215999999999999</v>
      </c>
      <c r="AG91" s="805">
        <f t="shared" si="7"/>
        <v>13.454000000000001</v>
      </c>
      <c r="AH91" s="1084">
        <f t="shared" si="8"/>
        <v>0</v>
      </c>
      <c r="AI91" s="132" t="str">
        <f t="shared" si="9"/>
        <v xml:space="preserve"> </v>
      </c>
      <c r="AS91" s="139" t="s">
        <v>515</v>
      </c>
      <c r="AT91" s="139" t="s">
        <v>516</v>
      </c>
      <c r="DS91" s="304"/>
      <c r="DT91" s="304"/>
      <c r="DU91" s="647" t="s">
        <v>552</v>
      </c>
      <c r="DV91" s="647" t="s">
        <v>1134</v>
      </c>
      <c r="DW91" s="647" t="s">
        <v>1134</v>
      </c>
      <c r="DX91" s="647" t="s">
        <v>1134</v>
      </c>
      <c r="DY91" s="647" t="s">
        <v>1134</v>
      </c>
      <c r="DZ91" s="647" t="s">
        <v>1134</v>
      </c>
      <c r="EA91" s="647" t="s">
        <v>515</v>
      </c>
      <c r="EB91" s="647" t="s">
        <v>1135</v>
      </c>
      <c r="EC91" s="647" t="s">
        <v>1134</v>
      </c>
      <c r="ED91" s="647" t="s">
        <v>1136</v>
      </c>
    </row>
    <row r="92" spans="1:134" ht="12.75" customHeight="1" x14ac:dyDescent="0.2">
      <c r="A92" s="749" t="s">
        <v>70</v>
      </c>
      <c r="B92" s="146">
        <v>85</v>
      </c>
      <c r="C92" s="770">
        <v>0</v>
      </c>
      <c r="D92" s="770">
        <v>0</v>
      </c>
      <c r="E92" s="770">
        <v>0</v>
      </c>
      <c r="F92" s="770">
        <v>0</v>
      </c>
      <c r="G92" s="770">
        <v>0</v>
      </c>
      <c r="H92" s="786">
        <f t="shared" si="5"/>
        <v>0</v>
      </c>
      <c r="I92" s="776">
        <v>0</v>
      </c>
      <c r="J92" s="776">
        <v>0</v>
      </c>
      <c r="K92" s="801">
        <v>0</v>
      </c>
      <c r="L92" s="802">
        <v>0</v>
      </c>
      <c r="M92" s="803">
        <v>0</v>
      </c>
      <c r="N92" s="778">
        <v>0</v>
      </c>
      <c r="O92" s="782">
        <v>0</v>
      </c>
      <c r="P92" s="803">
        <v>0</v>
      </c>
      <c r="Q92" s="781">
        <v>0</v>
      </c>
      <c r="R92" s="803">
        <v>0</v>
      </c>
      <c r="S92" s="778">
        <v>0</v>
      </c>
      <c r="T92" s="778">
        <v>0</v>
      </c>
      <c r="U92" s="804">
        <v>0</v>
      </c>
      <c r="V92" s="772">
        <v>0</v>
      </c>
      <c r="W92" s="783">
        <v>0</v>
      </c>
      <c r="X92" s="803">
        <v>0</v>
      </c>
      <c r="Y92" s="778">
        <v>0</v>
      </c>
      <c r="Z92" s="802">
        <v>0</v>
      </c>
      <c r="AA92" s="803">
        <v>0</v>
      </c>
      <c r="AB92" s="803">
        <v>0</v>
      </c>
      <c r="AC92" s="778">
        <v>0</v>
      </c>
      <c r="AD92" s="782">
        <v>0</v>
      </c>
      <c r="AE92" s="803">
        <v>0</v>
      </c>
      <c r="AF92" s="771">
        <f t="shared" si="6"/>
        <v>0</v>
      </c>
      <c r="AG92" s="805">
        <f t="shared" si="7"/>
        <v>0</v>
      </c>
      <c r="AH92" s="1084">
        <f t="shared" si="8"/>
        <v>0</v>
      </c>
      <c r="AI92" s="132" t="str">
        <f t="shared" si="9"/>
        <v xml:space="preserve"> </v>
      </c>
      <c r="AS92" s="139" t="s">
        <v>574</v>
      </c>
      <c r="AT92" s="139" t="s">
        <v>575</v>
      </c>
      <c r="DS92" s="304"/>
      <c r="DT92" s="304"/>
      <c r="DU92" s="647" t="s">
        <v>552</v>
      </c>
      <c r="DV92" s="647" t="s">
        <v>1134</v>
      </c>
      <c r="DW92" s="647" t="s">
        <v>1134</v>
      </c>
      <c r="DX92" s="647" t="s">
        <v>1134</v>
      </c>
      <c r="DY92" s="647" t="s">
        <v>1134</v>
      </c>
      <c r="DZ92" s="647" t="s">
        <v>1134</v>
      </c>
      <c r="EA92" s="647" t="s">
        <v>574</v>
      </c>
      <c r="EB92" s="647" t="s">
        <v>1135</v>
      </c>
      <c r="EC92" s="647" t="s">
        <v>1134</v>
      </c>
      <c r="ED92" s="647" t="s">
        <v>1136</v>
      </c>
    </row>
    <row r="93" spans="1:134" x14ac:dyDescent="0.2">
      <c r="A93" s="749" t="s">
        <v>985</v>
      </c>
      <c r="B93" s="146">
        <v>86</v>
      </c>
      <c r="C93" s="770">
        <v>0</v>
      </c>
      <c r="D93" s="770">
        <v>0</v>
      </c>
      <c r="E93" s="770">
        <v>0</v>
      </c>
      <c r="F93" s="770">
        <v>0</v>
      </c>
      <c r="G93" s="770">
        <v>0</v>
      </c>
      <c r="H93" s="786">
        <f t="shared" si="5"/>
        <v>0</v>
      </c>
      <c r="I93" s="776">
        <v>0</v>
      </c>
      <c r="J93" s="776">
        <v>0</v>
      </c>
      <c r="K93" s="801">
        <v>0</v>
      </c>
      <c r="L93" s="802">
        <v>0</v>
      </c>
      <c r="M93" s="803">
        <v>0</v>
      </c>
      <c r="N93" s="778">
        <v>0</v>
      </c>
      <c r="O93" s="782">
        <v>0</v>
      </c>
      <c r="P93" s="803">
        <v>0</v>
      </c>
      <c r="Q93" s="781">
        <v>0</v>
      </c>
      <c r="R93" s="803">
        <v>0</v>
      </c>
      <c r="S93" s="778">
        <v>0</v>
      </c>
      <c r="T93" s="778">
        <v>0</v>
      </c>
      <c r="U93" s="804">
        <v>0</v>
      </c>
      <c r="V93" s="772">
        <v>0</v>
      </c>
      <c r="W93" s="783">
        <v>0</v>
      </c>
      <c r="X93" s="803">
        <v>0</v>
      </c>
      <c r="Y93" s="778">
        <v>0</v>
      </c>
      <c r="Z93" s="802">
        <v>0</v>
      </c>
      <c r="AA93" s="803">
        <v>0</v>
      </c>
      <c r="AB93" s="803">
        <v>0</v>
      </c>
      <c r="AC93" s="778">
        <v>0</v>
      </c>
      <c r="AD93" s="782">
        <v>0</v>
      </c>
      <c r="AE93" s="803">
        <v>0</v>
      </c>
      <c r="AF93" s="771">
        <f t="shared" si="6"/>
        <v>0</v>
      </c>
      <c r="AG93" s="805">
        <f t="shared" si="7"/>
        <v>0</v>
      </c>
      <c r="AH93" s="1084">
        <f t="shared" si="8"/>
        <v>0</v>
      </c>
      <c r="AI93" s="132" t="str">
        <f t="shared" si="9"/>
        <v xml:space="preserve"> </v>
      </c>
      <c r="AS93" s="139" t="s">
        <v>1065</v>
      </c>
      <c r="AT93" s="139" t="s">
        <v>1066</v>
      </c>
      <c r="DS93" s="304"/>
      <c r="DT93" s="304"/>
      <c r="DU93" s="647" t="s">
        <v>552</v>
      </c>
      <c r="DV93" s="647" t="s">
        <v>1134</v>
      </c>
      <c r="DW93" s="647" t="s">
        <v>1134</v>
      </c>
      <c r="DX93" s="647" t="s">
        <v>1134</v>
      </c>
      <c r="DY93" s="647" t="s">
        <v>1134</v>
      </c>
      <c r="DZ93" s="647" t="s">
        <v>1134</v>
      </c>
      <c r="EA93" s="647" t="s">
        <v>1065</v>
      </c>
      <c r="EB93" s="647" t="s">
        <v>1135</v>
      </c>
      <c r="EC93" s="647" t="s">
        <v>1134</v>
      </c>
      <c r="ED93" s="647" t="s">
        <v>1136</v>
      </c>
    </row>
    <row r="94" spans="1:134" ht="12.75" customHeight="1" x14ac:dyDescent="0.2">
      <c r="A94" s="749" t="s">
        <v>921</v>
      </c>
      <c r="B94" s="146">
        <v>87</v>
      </c>
      <c r="C94" s="770">
        <v>14.489000000000001</v>
      </c>
      <c r="D94" s="770">
        <v>49.697000000000003</v>
      </c>
      <c r="E94" s="770">
        <v>0</v>
      </c>
      <c r="F94" s="770">
        <v>0</v>
      </c>
      <c r="G94" s="770">
        <v>0</v>
      </c>
      <c r="H94" s="786">
        <f t="shared" si="5"/>
        <v>64.186000000000007</v>
      </c>
      <c r="I94" s="776">
        <v>0</v>
      </c>
      <c r="J94" s="776">
        <v>0</v>
      </c>
      <c r="K94" s="801">
        <v>0</v>
      </c>
      <c r="L94" s="802">
        <v>0</v>
      </c>
      <c r="M94" s="803">
        <v>0</v>
      </c>
      <c r="N94" s="778">
        <v>0</v>
      </c>
      <c r="O94" s="782">
        <v>0</v>
      </c>
      <c r="P94" s="803">
        <v>0</v>
      </c>
      <c r="Q94" s="781">
        <v>0</v>
      </c>
      <c r="R94" s="803">
        <v>0</v>
      </c>
      <c r="S94" s="778">
        <v>0</v>
      </c>
      <c r="T94" s="778">
        <v>0</v>
      </c>
      <c r="U94" s="804">
        <v>0</v>
      </c>
      <c r="V94" s="772">
        <v>0</v>
      </c>
      <c r="W94" s="783">
        <v>0</v>
      </c>
      <c r="X94" s="803">
        <v>0</v>
      </c>
      <c r="Y94" s="778">
        <v>0</v>
      </c>
      <c r="Z94" s="802">
        <v>41.838999999999999</v>
      </c>
      <c r="AA94" s="803">
        <v>17.818000000000001</v>
      </c>
      <c r="AB94" s="803">
        <v>0</v>
      </c>
      <c r="AC94" s="778">
        <v>24.021000000000001</v>
      </c>
      <c r="AD94" s="782">
        <v>0</v>
      </c>
      <c r="AE94" s="803">
        <v>2.7749999999999999</v>
      </c>
      <c r="AF94" s="771">
        <f t="shared" si="6"/>
        <v>44.613999999999997</v>
      </c>
      <c r="AG94" s="805">
        <f t="shared" si="7"/>
        <v>108.8</v>
      </c>
      <c r="AH94" s="1084">
        <f t="shared" si="8"/>
        <v>0</v>
      </c>
      <c r="AI94" s="132" t="str">
        <f t="shared" si="9"/>
        <v xml:space="preserve"> </v>
      </c>
      <c r="AS94" s="139" t="s">
        <v>465</v>
      </c>
      <c r="AT94" s="139" t="s">
        <v>466</v>
      </c>
      <c r="DS94" s="304"/>
      <c r="DT94" s="304"/>
      <c r="DU94" s="647" t="s">
        <v>552</v>
      </c>
      <c r="DV94" s="647" t="s">
        <v>1134</v>
      </c>
      <c r="DW94" s="647" t="s">
        <v>1134</v>
      </c>
      <c r="DX94" s="647" t="s">
        <v>1134</v>
      </c>
      <c r="DY94" s="647" t="s">
        <v>1134</v>
      </c>
      <c r="DZ94" s="647" t="s">
        <v>1134</v>
      </c>
      <c r="EA94" s="647" t="s">
        <v>465</v>
      </c>
      <c r="EB94" s="647" t="s">
        <v>1135</v>
      </c>
      <c r="EC94" s="647" t="s">
        <v>1134</v>
      </c>
      <c r="ED94" s="647" t="s">
        <v>1136</v>
      </c>
    </row>
    <row r="95" spans="1:134" x14ac:dyDescent="0.2">
      <c r="A95" s="749" t="s">
        <v>935</v>
      </c>
      <c r="B95" s="146">
        <v>88</v>
      </c>
      <c r="C95" s="770">
        <v>0</v>
      </c>
      <c r="D95" s="770">
        <v>0</v>
      </c>
      <c r="E95" s="770">
        <v>0</v>
      </c>
      <c r="F95" s="770">
        <v>0</v>
      </c>
      <c r="G95" s="770">
        <v>0</v>
      </c>
      <c r="H95" s="786">
        <f t="shared" si="5"/>
        <v>0</v>
      </c>
      <c r="I95" s="776">
        <v>0</v>
      </c>
      <c r="J95" s="776">
        <v>0</v>
      </c>
      <c r="K95" s="801">
        <v>0</v>
      </c>
      <c r="L95" s="802">
        <v>0</v>
      </c>
      <c r="M95" s="803">
        <v>0</v>
      </c>
      <c r="N95" s="778">
        <v>0</v>
      </c>
      <c r="O95" s="782">
        <v>0</v>
      </c>
      <c r="P95" s="803">
        <v>0</v>
      </c>
      <c r="Q95" s="781">
        <v>0</v>
      </c>
      <c r="R95" s="803">
        <v>0</v>
      </c>
      <c r="S95" s="778">
        <v>0</v>
      </c>
      <c r="T95" s="778">
        <v>0</v>
      </c>
      <c r="U95" s="804">
        <v>0</v>
      </c>
      <c r="V95" s="772">
        <v>0</v>
      </c>
      <c r="W95" s="783">
        <v>0</v>
      </c>
      <c r="X95" s="803">
        <v>0</v>
      </c>
      <c r="Y95" s="778">
        <v>0</v>
      </c>
      <c r="Z95" s="802">
        <v>0</v>
      </c>
      <c r="AA95" s="803">
        <v>0</v>
      </c>
      <c r="AB95" s="803">
        <v>0</v>
      </c>
      <c r="AC95" s="778">
        <v>0</v>
      </c>
      <c r="AD95" s="782">
        <v>0</v>
      </c>
      <c r="AE95" s="803">
        <v>0</v>
      </c>
      <c r="AF95" s="771">
        <f t="shared" si="6"/>
        <v>0</v>
      </c>
      <c r="AG95" s="805">
        <f t="shared" si="7"/>
        <v>0</v>
      </c>
      <c r="AH95" s="1084">
        <f t="shared" si="8"/>
        <v>0</v>
      </c>
      <c r="AI95" s="132" t="str">
        <f t="shared" si="9"/>
        <v xml:space="preserve"> </v>
      </c>
      <c r="AS95" s="139" t="s">
        <v>934</v>
      </c>
      <c r="AT95" s="139" t="s">
        <v>1067</v>
      </c>
      <c r="DS95" s="304"/>
      <c r="DT95" s="304"/>
      <c r="DU95" s="647" t="s">
        <v>552</v>
      </c>
      <c r="DV95" s="647" t="s">
        <v>1134</v>
      </c>
      <c r="DW95" s="647" t="s">
        <v>1134</v>
      </c>
      <c r="DX95" s="647" t="s">
        <v>1134</v>
      </c>
      <c r="DY95" s="647" t="s">
        <v>1134</v>
      </c>
      <c r="DZ95" s="647" t="s">
        <v>1134</v>
      </c>
      <c r="EA95" s="647" t="s">
        <v>934</v>
      </c>
      <c r="EB95" s="647" t="s">
        <v>1135</v>
      </c>
      <c r="EC95" s="647" t="s">
        <v>1134</v>
      </c>
      <c r="ED95" s="647" t="s">
        <v>1136</v>
      </c>
    </row>
    <row r="96" spans="1:134" ht="12.75" customHeight="1" x14ac:dyDescent="0.2">
      <c r="A96" s="749" t="s">
        <v>562</v>
      </c>
      <c r="B96" s="146">
        <v>89</v>
      </c>
      <c r="C96" s="770">
        <v>0</v>
      </c>
      <c r="D96" s="770">
        <v>0</v>
      </c>
      <c r="E96" s="770">
        <v>0</v>
      </c>
      <c r="F96" s="770">
        <v>4.2000000000000003E-2</v>
      </c>
      <c r="G96" s="770">
        <v>0</v>
      </c>
      <c r="H96" s="786">
        <f t="shared" si="5"/>
        <v>4.2000000000000003E-2</v>
      </c>
      <c r="I96" s="776">
        <v>0</v>
      </c>
      <c r="J96" s="776">
        <v>0</v>
      </c>
      <c r="K96" s="801">
        <v>16.885999999999999</v>
      </c>
      <c r="L96" s="802">
        <v>4.766</v>
      </c>
      <c r="M96" s="803">
        <v>0</v>
      </c>
      <c r="N96" s="778">
        <v>4.766</v>
      </c>
      <c r="O96" s="782">
        <v>0</v>
      </c>
      <c r="P96" s="803">
        <v>0</v>
      </c>
      <c r="Q96" s="781">
        <v>0</v>
      </c>
      <c r="R96" s="803">
        <v>0</v>
      </c>
      <c r="S96" s="778">
        <v>0</v>
      </c>
      <c r="T96" s="778">
        <v>0</v>
      </c>
      <c r="U96" s="804">
        <v>0</v>
      </c>
      <c r="V96" s="772">
        <v>0</v>
      </c>
      <c r="W96" s="783">
        <v>0</v>
      </c>
      <c r="X96" s="803">
        <v>0</v>
      </c>
      <c r="Y96" s="778">
        <v>0</v>
      </c>
      <c r="Z96" s="802">
        <v>440.64100000000002</v>
      </c>
      <c r="AA96" s="803">
        <v>187.655</v>
      </c>
      <c r="AB96" s="803">
        <v>0</v>
      </c>
      <c r="AC96" s="778">
        <v>252.98599999999999</v>
      </c>
      <c r="AD96" s="782">
        <v>0</v>
      </c>
      <c r="AE96" s="803">
        <v>29.343</v>
      </c>
      <c r="AF96" s="771">
        <f t="shared" si="6"/>
        <v>491.63600000000002</v>
      </c>
      <c r="AG96" s="805">
        <f t="shared" si="7"/>
        <v>491.678</v>
      </c>
      <c r="AH96" s="1084">
        <f t="shared" si="8"/>
        <v>0</v>
      </c>
      <c r="AI96" s="132" t="str">
        <f t="shared" si="9"/>
        <v xml:space="preserve"> </v>
      </c>
      <c r="AS96" s="139" t="s">
        <v>517</v>
      </c>
      <c r="AT96" s="139" t="s">
        <v>518</v>
      </c>
      <c r="DS96" s="304"/>
      <c r="DT96" s="304"/>
      <c r="DU96" s="647" t="s">
        <v>552</v>
      </c>
      <c r="DV96" s="647" t="s">
        <v>1134</v>
      </c>
      <c r="DW96" s="647" t="s">
        <v>1134</v>
      </c>
      <c r="DX96" s="647" t="s">
        <v>1134</v>
      </c>
      <c r="DY96" s="647" t="s">
        <v>1134</v>
      </c>
      <c r="DZ96" s="647" t="s">
        <v>1134</v>
      </c>
      <c r="EA96" s="647" t="s">
        <v>517</v>
      </c>
      <c r="EB96" s="647" t="s">
        <v>1135</v>
      </c>
      <c r="EC96" s="647" t="s">
        <v>1134</v>
      </c>
      <c r="ED96" s="647" t="s">
        <v>1136</v>
      </c>
    </row>
    <row r="97" spans="1:134" x14ac:dyDescent="0.2">
      <c r="A97" s="749" t="s">
        <v>44</v>
      </c>
      <c r="B97" s="146">
        <v>90</v>
      </c>
      <c r="C97" s="770">
        <v>0</v>
      </c>
      <c r="D97" s="770">
        <v>0</v>
      </c>
      <c r="E97" s="770">
        <v>0</v>
      </c>
      <c r="F97" s="770">
        <v>0</v>
      </c>
      <c r="G97" s="770">
        <v>0</v>
      </c>
      <c r="H97" s="786">
        <f t="shared" si="5"/>
        <v>0</v>
      </c>
      <c r="I97" s="776">
        <v>0</v>
      </c>
      <c r="J97" s="776">
        <v>0</v>
      </c>
      <c r="K97" s="801">
        <v>0</v>
      </c>
      <c r="L97" s="802">
        <v>0</v>
      </c>
      <c r="M97" s="803">
        <v>0</v>
      </c>
      <c r="N97" s="778">
        <v>0</v>
      </c>
      <c r="O97" s="782">
        <v>0</v>
      </c>
      <c r="P97" s="803">
        <v>0</v>
      </c>
      <c r="Q97" s="781">
        <v>0</v>
      </c>
      <c r="R97" s="803">
        <v>0</v>
      </c>
      <c r="S97" s="778">
        <v>0</v>
      </c>
      <c r="T97" s="778">
        <v>0</v>
      </c>
      <c r="U97" s="804">
        <v>0</v>
      </c>
      <c r="V97" s="772">
        <v>0</v>
      </c>
      <c r="W97" s="783">
        <v>0</v>
      </c>
      <c r="X97" s="803">
        <v>0</v>
      </c>
      <c r="Y97" s="778">
        <v>0</v>
      </c>
      <c r="Z97" s="802">
        <v>4.0000000000000001E-3</v>
      </c>
      <c r="AA97" s="803">
        <v>1E-3</v>
      </c>
      <c r="AB97" s="803">
        <v>0</v>
      </c>
      <c r="AC97" s="778">
        <v>2E-3</v>
      </c>
      <c r="AD97" s="782">
        <v>0</v>
      </c>
      <c r="AE97" s="803">
        <v>2.4E-2</v>
      </c>
      <c r="AF97" s="771">
        <f t="shared" si="6"/>
        <v>2.8000000000000001E-2</v>
      </c>
      <c r="AG97" s="805">
        <f t="shared" si="7"/>
        <v>2.8000000000000001E-2</v>
      </c>
      <c r="AH97" s="1084">
        <f t="shared" si="8"/>
        <v>0</v>
      </c>
      <c r="AI97" s="132" t="str">
        <f t="shared" si="9"/>
        <v xml:space="preserve"> </v>
      </c>
      <c r="AS97" s="139" t="s">
        <v>264</v>
      </c>
      <c r="AT97" s="139" t="s">
        <v>263</v>
      </c>
      <c r="DS97" s="304"/>
      <c r="DT97" s="304"/>
      <c r="DU97" s="647" t="s">
        <v>552</v>
      </c>
      <c r="DV97" s="647" t="s">
        <v>1134</v>
      </c>
      <c r="DW97" s="647" t="s">
        <v>1134</v>
      </c>
      <c r="DX97" s="647" t="s">
        <v>1134</v>
      </c>
      <c r="DY97" s="647" t="s">
        <v>1134</v>
      </c>
      <c r="DZ97" s="647" t="s">
        <v>1134</v>
      </c>
      <c r="EA97" s="647" t="s">
        <v>264</v>
      </c>
      <c r="EB97" s="647" t="s">
        <v>1135</v>
      </c>
      <c r="EC97" s="647" t="s">
        <v>1134</v>
      </c>
      <c r="ED97" s="647" t="s">
        <v>1136</v>
      </c>
    </row>
    <row r="98" spans="1:134" ht="12.75" customHeight="1" x14ac:dyDescent="0.2">
      <c r="A98" s="749" t="s">
        <v>986</v>
      </c>
      <c r="B98" s="146">
        <v>91</v>
      </c>
      <c r="C98" s="770">
        <v>0</v>
      </c>
      <c r="D98" s="770">
        <v>0</v>
      </c>
      <c r="E98" s="770">
        <v>0</v>
      </c>
      <c r="F98" s="770">
        <v>0</v>
      </c>
      <c r="G98" s="770">
        <v>0</v>
      </c>
      <c r="H98" s="786">
        <f t="shared" si="5"/>
        <v>0</v>
      </c>
      <c r="I98" s="776">
        <v>0</v>
      </c>
      <c r="J98" s="776">
        <v>0</v>
      </c>
      <c r="K98" s="801">
        <v>0</v>
      </c>
      <c r="L98" s="802">
        <v>0</v>
      </c>
      <c r="M98" s="803">
        <v>0</v>
      </c>
      <c r="N98" s="778">
        <v>0</v>
      </c>
      <c r="O98" s="782">
        <v>0</v>
      </c>
      <c r="P98" s="803">
        <v>0</v>
      </c>
      <c r="Q98" s="781">
        <v>0</v>
      </c>
      <c r="R98" s="803">
        <v>0</v>
      </c>
      <c r="S98" s="778">
        <v>0</v>
      </c>
      <c r="T98" s="778">
        <v>0</v>
      </c>
      <c r="U98" s="804">
        <v>0</v>
      </c>
      <c r="V98" s="772">
        <v>0</v>
      </c>
      <c r="W98" s="783">
        <v>0</v>
      </c>
      <c r="X98" s="803">
        <v>0</v>
      </c>
      <c r="Y98" s="778">
        <v>0</v>
      </c>
      <c r="Z98" s="802">
        <v>0</v>
      </c>
      <c r="AA98" s="803">
        <v>0</v>
      </c>
      <c r="AB98" s="803">
        <v>0</v>
      </c>
      <c r="AC98" s="778">
        <v>0</v>
      </c>
      <c r="AD98" s="782">
        <v>0</v>
      </c>
      <c r="AE98" s="803">
        <v>0</v>
      </c>
      <c r="AF98" s="771">
        <f t="shared" si="6"/>
        <v>0</v>
      </c>
      <c r="AG98" s="805">
        <f t="shared" si="7"/>
        <v>0</v>
      </c>
      <c r="AH98" s="1084">
        <f t="shared" si="8"/>
        <v>0</v>
      </c>
      <c r="AI98" s="132" t="str">
        <f t="shared" si="9"/>
        <v xml:space="preserve"> </v>
      </c>
      <c r="AS98" s="139" t="s">
        <v>1068</v>
      </c>
      <c r="AT98" s="139" t="s">
        <v>1069</v>
      </c>
      <c r="DS98" s="304"/>
      <c r="DT98" s="304"/>
      <c r="DU98" s="647" t="s">
        <v>552</v>
      </c>
      <c r="DV98" s="647" t="s">
        <v>1134</v>
      </c>
      <c r="DW98" s="647" t="s">
        <v>1134</v>
      </c>
      <c r="DX98" s="647" t="s">
        <v>1134</v>
      </c>
      <c r="DY98" s="647" t="s">
        <v>1134</v>
      </c>
      <c r="DZ98" s="647" t="s">
        <v>1134</v>
      </c>
      <c r="EA98" s="647" t="s">
        <v>1068</v>
      </c>
      <c r="EB98" s="647" t="s">
        <v>1135</v>
      </c>
      <c r="EC98" s="647" t="s">
        <v>1134</v>
      </c>
      <c r="ED98" s="647" t="s">
        <v>1136</v>
      </c>
    </row>
    <row r="99" spans="1:134" x14ac:dyDescent="0.2">
      <c r="A99" s="749" t="s">
        <v>45</v>
      </c>
      <c r="B99" s="146">
        <v>92</v>
      </c>
      <c r="C99" s="770">
        <v>0</v>
      </c>
      <c r="D99" s="770">
        <v>0</v>
      </c>
      <c r="E99" s="770">
        <v>0</v>
      </c>
      <c r="F99" s="770">
        <v>0</v>
      </c>
      <c r="G99" s="770">
        <v>0</v>
      </c>
      <c r="H99" s="786">
        <f t="shared" si="5"/>
        <v>0</v>
      </c>
      <c r="I99" s="776">
        <v>0</v>
      </c>
      <c r="J99" s="776">
        <v>0</v>
      </c>
      <c r="K99" s="801">
        <v>0</v>
      </c>
      <c r="L99" s="802">
        <v>0</v>
      </c>
      <c r="M99" s="803">
        <v>0</v>
      </c>
      <c r="N99" s="778">
        <v>0</v>
      </c>
      <c r="O99" s="782">
        <v>0</v>
      </c>
      <c r="P99" s="803">
        <v>0</v>
      </c>
      <c r="Q99" s="781">
        <v>0</v>
      </c>
      <c r="R99" s="803">
        <v>0</v>
      </c>
      <c r="S99" s="778">
        <v>0</v>
      </c>
      <c r="T99" s="778">
        <v>0</v>
      </c>
      <c r="U99" s="804">
        <v>9.4770000000000003</v>
      </c>
      <c r="V99" s="772">
        <v>11.116</v>
      </c>
      <c r="W99" s="783">
        <v>20.593</v>
      </c>
      <c r="X99" s="803">
        <v>0</v>
      </c>
      <c r="Y99" s="778">
        <v>20.593</v>
      </c>
      <c r="Z99" s="802">
        <v>1.137</v>
      </c>
      <c r="AA99" s="803">
        <v>0.48399999999999999</v>
      </c>
      <c r="AB99" s="803">
        <v>0</v>
      </c>
      <c r="AC99" s="778">
        <v>0.65300000000000002</v>
      </c>
      <c r="AD99" s="782">
        <v>0</v>
      </c>
      <c r="AE99" s="803">
        <v>1.7370000000000001</v>
      </c>
      <c r="AF99" s="771">
        <f t="shared" si="6"/>
        <v>23.466999999999999</v>
      </c>
      <c r="AG99" s="805">
        <f t="shared" si="7"/>
        <v>23.466999999999999</v>
      </c>
      <c r="AH99" s="1084">
        <f t="shared" si="8"/>
        <v>0</v>
      </c>
      <c r="AI99" s="132" t="str">
        <f t="shared" si="9"/>
        <v xml:space="preserve"> </v>
      </c>
      <c r="AS99" s="139" t="s">
        <v>467</v>
      </c>
      <c r="AT99" s="139" t="s">
        <v>468</v>
      </c>
      <c r="DS99" s="304"/>
      <c r="DT99" s="304"/>
      <c r="DU99" s="647" t="s">
        <v>552</v>
      </c>
      <c r="DV99" s="647" t="s">
        <v>1134</v>
      </c>
      <c r="DW99" s="647" t="s">
        <v>1134</v>
      </c>
      <c r="DX99" s="647" t="s">
        <v>1134</v>
      </c>
      <c r="DY99" s="647" t="s">
        <v>1134</v>
      </c>
      <c r="DZ99" s="647" t="s">
        <v>1134</v>
      </c>
      <c r="EA99" s="647" t="s">
        <v>467</v>
      </c>
      <c r="EB99" s="647" t="s">
        <v>1135</v>
      </c>
      <c r="EC99" s="647" t="s">
        <v>1134</v>
      </c>
      <c r="ED99" s="647" t="s">
        <v>1136</v>
      </c>
    </row>
    <row r="100" spans="1:134" ht="12.75" customHeight="1" x14ac:dyDescent="0.2">
      <c r="A100" s="749" t="s">
        <v>151</v>
      </c>
      <c r="B100" s="146">
        <v>93</v>
      </c>
      <c r="C100" s="770">
        <v>0</v>
      </c>
      <c r="D100" s="770">
        <v>0</v>
      </c>
      <c r="E100" s="770">
        <v>0</v>
      </c>
      <c r="F100" s="770">
        <v>0</v>
      </c>
      <c r="G100" s="770">
        <v>0</v>
      </c>
      <c r="H100" s="786">
        <f t="shared" si="5"/>
        <v>0</v>
      </c>
      <c r="I100" s="776">
        <v>0</v>
      </c>
      <c r="J100" s="776">
        <v>0</v>
      </c>
      <c r="K100" s="801">
        <v>0</v>
      </c>
      <c r="L100" s="802">
        <v>0</v>
      </c>
      <c r="M100" s="803">
        <v>0</v>
      </c>
      <c r="N100" s="778">
        <v>0</v>
      </c>
      <c r="O100" s="782">
        <v>0</v>
      </c>
      <c r="P100" s="803">
        <v>0</v>
      </c>
      <c r="Q100" s="781">
        <v>0</v>
      </c>
      <c r="R100" s="803">
        <v>0</v>
      </c>
      <c r="S100" s="778">
        <v>0</v>
      </c>
      <c r="T100" s="778">
        <v>0</v>
      </c>
      <c r="U100" s="804">
        <v>0</v>
      </c>
      <c r="V100" s="772">
        <v>0</v>
      </c>
      <c r="W100" s="783">
        <v>0</v>
      </c>
      <c r="X100" s="803">
        <v>0</v>
      </c>
      <c r="Y100" s="778">
        <v>0</v>
      </c>
      <c r="Z100" s="802">
        <v>0</v>
      </c>
      <c r="AA100" s="803">
        <v>0</v>
      </c>
      <c r="AB100" s="803">
        <v>0</v>
      </c>
      <c r="AC100" s="778">
        <v>0</v>
      </c>
      <c r="AD100" s="782">
        <v>0</v>
      </c>
      <c r="AE100" s="803">
        <v>0</v>
      </c>
      <c r="AF100" s="771">
        <f t="shared" si="6"/>
        <v>0</v>
      </c>
      <c r="AG100" s="805">
        <f t="shared" si="7"/>
        <v>0</v>
      </c>
      <c r="AH100" s="1084">
        <f t="shared" si="8"/>
        <v>0</v>
      </c>
      <c r="AI100" s="132" t="str">
        <f t="shared" si="9"/>
        <v xml:space="preserve"> </v>
      </c>
      <c r="AS100" s="139" t="s">
        <v>469</v>
      </c>
      <c r="AT100" s="139" t="s">
        <v>470</v>
      </c>
      <c r="DS100" s="304"/>
      <c r="DT100" s="304"/>
      <c r="DU100" s="647" t="s">
        <v>552</v>
      </c>
      <c r="DV100" s="647" t="s">
        <v>1134</v>
      </c>
      <c r="DW100" s="647" t="s">
        <v>1134</v>
      </c>
      <c r="DX100" s="647" t="s">
        <v>1134</v>
      </c>
      <c r="DY100" s="647" t="s">
        <v>1134</v>
      </c>
      <c r="DZ100" s="647" t="s">
        <v>1134</v>
      </c>
      <c r="EA100" s="647" t="s">
        <v>469</v>
      </c>
      <c r="EB100" s="647" t="s">
        <v>1135</v>
      </c>
      <c r="EC100" s="647" t="s">
        <v>1134</v>
      </c>
      <c r="ED100" s="647" t="s">
        <v>1136</v>
      </c>
    </row>
    <row r="101" spans="1:134" x14ac:dyDescent="0.2">
      <c r="A101" s="749" t="s">
        <v>987</v>
      </c>
      <c r="B101" s="146">
        <v>94</v>
      </c>
      <c r="C101" s="770">
        <v>0</v>
      </c>
      <c r="D101" s="770">
        <v>0</v>
      </c>
      <c r="E101" s="770">
        <v>0</v>
      </c>
      <c r="F101" s="770">
        <v>0</v>
      </c>
      <c r="G101" s="770">
        <v>0</v>
      </c>
      <c r="H101" s="786">
        <f t="shared" si="5"/>
        <v>0</v>
      </c>
      <c r="I101" s="776">
        <v>0</v>
      </c>
      <c r="J101" s="776">
        <v>0</v>
      </c>
      <c r="K101" s="801">
        <v>0</v>
      </c>
      <c r="L101" s="802">
        <v>0</v>
      </c>
      <c r="M101" s="803">
        <v>0</v>
      </c>
      <c r="N101" s="778">
        <v>0</v>
      </c>
      <c r="O101" s="782">
        <v>0</v>
      </c>
      <c r="P101" s="803">
        <v>0</v>
      </c>
      <c r="Q101" s="781">
        <v>0</v>
      </c>
      <c r="R101" s="803">
        <v>0</v>
      </c>
      <c r="S101" s="778">
        <v>0</v>
      </c>
      <c r="T101" s="778">
        <v>0</v>
      </c>
      <c r="U101" s="804">
        <v>0</v>
      </c>
      <c r="V101" s="772">
        <v>0</v>
      </c>
      <c r="W101" s="783">
        <v>0</v>
      </c>
      <c r="X101" s="803">
        <v>0</v>
      </c>
      <c r="Y101" s="778">
        <v>0</v>
      </c>
      <c r="Z101" s="802">
        <v>0</v>
      </c>
      <c r="AA101" s="803">
        <v>0</v>
      </c>
      <c r="AB101" s="803">
        <v>0</v>
      </c>
      <c r="AC101" s="778">
        <v>0</v>
      </c>
      <c r="AD101" s="782">
        <v>0</v>
      </c>
      <c r="AE101" s="803">
        <v>0</v>
      </c>
      <c r="AF101" s="771">
        <f t="shared" si="6"/>
        <v>0</v>
      </c>
      <c r="AG101" s="805">
        <f t="shared" si="7"/>
        <v>0</v>
      </c>
      <c r="AH101" s="1084">
        <f t="shared" si="8"/>
        <v>0</v>
      </c>
      <c r="AI101" s="132" t="str">
        <f t="shared" si="9"/>
        <v xml:space="preserve"> </v>
      </c>
      <c r="AS101" s="139" t="s">
        <v>1070</v>
      </c>
      <c r="AT101" s="139" t="s">
        <v>1071</v>
      </c>
      <c r="DS101" s="304"/>
      <c r="DT101" s="304"/>
      <c r="DU101" s="647" t="s">
        <v>552</v>
      </c>
      <c r="DV101" s="647" t="s">
        <v>1134</v>
      </c>
      <c r="DW101" s="647" t="s">
        <v>1134</v>
      </c>
      <c r="DX101" s="647" t="s">
        <v>1134</v>
      </c>
      <c r="DY101" s="647" t="s">
        <v>1134</v>
      </c>
      <c r="DZ101" s="647" t="s">
        <v>1134</v>
      </c>
      <c r="EA101" s="647" t="s">
        <v>1070</v>
      </c>
      <c r="EB101" s="647" t="s">
        <v>1135</v>
      </c>
      <c r="EC101" s="647" t="s">
        <v>1134</v>
      </c>
      <c r="ED101" s="647" t="s">
        <v>1136</v>
      </c>
    </row>
    <row r="102" spans="1:134" ht="12.75" customHeight="1" x14ac:dyDescent="0.2">
      <c r="A102" s="749" t="s">
        <v>988</v>
      </c>
      <c r="B102" s="146">
        <v>95</v>
      </c>
      <c r="C102" s="770">
        <v>0</v>
      </c>
      <c r="D102" s="770">
        <v>0</v>
      </c>
      <c r="E102" s="770">
        <v>0</v>
      </c>
      <c r="F102" s="770">
        <v>0</v>
      </c>
      <c r="G102" s="770">
        <v>0</v>
      </c>
      <c r="H102" s="786">
        <f t="shared" si="5"/>
        <v>0</v>
      </c>
      <c r="I102" s="776">
        <v>0</v>
      </c>
      <c r="J102" s="776">
        <v>0</v>
      </c>
      <c r="K102" s="801">
        <v>0</v>
      </c>
      <c r="L102" s="802">
        <v>0</v>
      </c>
      <c r="M102" s="803">
        <v>0</v>
      </c>
      <c r="N102" s="778">
        <v>0</v>
      </c>
      <c r="O102" s="782">
        <v>0</v>
      </c>
      <c r="P102" s="803">
        <v>0</v>
      </c>
      <c r="Q102" s="781">
        <v>0</v>
      </c>
      <c r="R102" s="803">
        <v>0</v>
      </c>
      <c r="S102" s="778">
        <v>0</v>
      </c>
      <c r="T102" s="778">
        <v>0</v>
      </c>
      <c r="U102" s="804">
        <v>0</v>
      </c>
      <c r="V102" s="772">
        <v>0</v>
      </c>
      <c r="W102" s="783">
        <v>0</v>
      </c>
      <c r="X102" s="803">
        <v>0</v>
      </c>
      <c r="Y102" s="778">
        <v>0</v>
      </c>
      <c r="Z102" s="802">
        <v>0</v>
      </c>
      <c r="AA102" s="803">
        <v>0</v>
      </c>
      <c r="AB102" s="803">
        <v>0</v>
      </c>
      <c r="AC102" s="778">
        <v>0</v>
      </c>
      <c r="AD102" s="782">
        <v>0</v>
      </c>
      <c r="AE102" s="803">
        <v>0</v>
      </c>
      <c r="AF102" s="771">
        <f t="shared" si="6"/>
        <v>0</v>
      </c>
      <c r="AG102" s="805">
        <f t="shared" si="7"/>
        <v>0</v>
      </c>
      <c r="AH102" s="1084">
        <f t="shared" si="8"/>
        <v>0</v>
      </c>
      <c r="AI102" s="132" t="str">
        <f t="shared" si="9"/>
        <v xml:space="preserve"> </v>
      </c>
      <c r="AS102" s="139" t="s">
        <v>1072</v>
      </c>
      <c r="AT102" s="139" t="s">
        <v>1073</v>
      </c>
      <c r="DS102" s="304"/>
      <c r="DT102" s="304"/>
      <c r="DU102" s="647" t="s">
        <v>552</v>
      </c>
      <c r="DV102" s="647" t="s">
        <v>1134</v>
      </c>
      <c r="DW102" s="647" t="s">
        <v>1134</v>
      </c>
      <c r="DX102" s="647" t="s">
        <v>1134</v>
      </c>
      <c r="DY102" s="647" t="s">
        <v>1134</v>
      </c>
      <c r="DZ102" s="647" t="s">
        <v>1134</v>
      </c>
      <c r="EA102" s="647" t="s">
        <v>1072</v>
      </c>
      <c r="EB102" s="647" t="s">
        <v>1135</v>
      </c>
      <c r="EC102" s="647" t="s">
        <v>1134</v>
      </c>
      <c r="ED102" s="647" t="s">
        <v>1136</v>
      </c>
    </row>
    <row r="103" spans="1:134" x14ac:dyDescent="0.2">
      <c r="A103" s="749" t="s">
        <v>989</v>
      </c>
      <c r="B103" s="146">
        <v>96</v>
      </c>
      <c r="C103" s="770">
        <v>0</v>
      </c>
      <c r="D103" s="770">
        <v>0</v>
      </c>
      <c r="E103" s="770">
        <v>0</v>
      </c>
      <c r="F103" s="770">
        <v>0</v>
      </c>
      <c r="G103" s="770">
        <v>0</v>
      </c>
      <c r="H103" s="786">
        <f t="shared" si="5"/>
        <v>0</v>
      </c>
      <c r="I103" s="776">
        <v>0</v>
      </c>
      <c r="J103" s="776">
        <v>0</v>
      </c>
      <c r="K103" s="801">
        <v>0</v>
      </c>
      <c r="L103" s="802">
        <v>0</v>
      </c>
      <c r="M103" s="803">
        <v>0</v>
      </c>
      <c r="N103" s="778">
        <v>0</v>
      </c>
      <c r="O103" s="782">
        <v>0</v>
      </c>
      <c r="P103" s="803">
        <v>0</v>
      </c>
      <c r="Q103" s="781">
        <v>0</v>
      </c>
      <c r="R103" s="803">
        <v>0</v>
      </c>
      <c r="S103" s="778">
        <v>0</v>
      </c>
      <c r="T103" s="778">
        <v>0</v>
      </c>
      <c r="U103" s="804">
        <v>0</v>
      </c>
      <c r="V103" s="772">
        <v>0</v>
      </c>
      <c r="W103" s="783">
        <v>0</v>
      </c>
      <c r="X103" s="803">
        <v>0</v>
      </c>
      <c r="Y103" s="778">
        <v>0</v>
      </c>
      <c r="Z103" s="802">
        <v>0</v>
      </c>
      <c r="AA103" s="803">
        <v>0</v>
      </c>
      <c r="AB103" s="803">
        <v>0</v>
      </c>
      <c r="AC103" s="778">
        <v>0</v>
      </c>
      <c r="AD103" s="782">
        <v>0</v>
      </c>
      <c r="AE103" s="803">
        <v>0</v>
      </c>
      <c r="AF103" s="771">
        <f t="shared" si="6"/>
        <v>0</v>
      </c>
      <c r="AG103" s="805">
        <f t="shared" si="7"/>
        <v>0</v>
      </c>
      <c r="AH103" s="1084">
        <f t="shared" si="8"/>
        <v>0</v>
      </c>
      <c r="AI103" s="132" t="str">
        <f t="shared" si="9"/>
        <v xml:space="preserve"> </v>
      </c>
      <c r="AS103" s="139" t="s">
        <v>1074</v>
      </c>
      <c r="AT103" s="139" t="s">
        <v>1075</v>
      </c>
      <c r="DS103" s="304"/>
      <c r="DT103" s="304"/>
      <c r="DU103" s="647" t="s">
        <v>552</v>
      </c>
      <c r="DV103" s="647" t="s">
        <v>1134</v>
      </c>
      <c r="DW103" s="647" t="s">
        <v>1134</v>
      </c>
      <c r="DX103" s="647" t="s">
        <v>1134</v>
      </c>
      <c r="DY103" s="647" t="s">
        <v>1134</v>
      </c>
      <c r="DZ103" s="647" t="s">
        <v>1134</v>
      </c>
      <c r="EA103" s="647" t="s">
        <v>1074</v>
      </c>
      <c r="EB103" s="647" t="s">
        <v>1135</v>
      </c>
      <c r="EC103" s="647" t="s">
        <v>1134</v>
      </c>
      <c r="ED103" s="647" t="s">
        <v>1136</v>
      </c>
    </row>
    <row r="104" spans="1:134" ht="12.75" customHeight="1" x14ac:dyDescent="0.2">
      <c r="A104" s="749" t="s">
        <v>46</v>
      </c>
      <c r="B104" s="146">
        <v>97</v>
      </c>
      <c r="C104" s="770">
        <v>0</v>
      </c>
      <c r="D104" s="770">
        <v>0</v>
      </c>
      <c r="E104" s="770">
        <v>0</v>
      </c>
      <c r="F104" s="770">
        <v>0</v>
      </c>
      <c r="G104" s="770">
        <v>0</v>
      </c>
      <c r="H104" s="786">
        <f t="shared" si="5"/>
        <v>0</v>
      </c>
      <c r="I104" s="776">
        <v>0</v>
      </c>
      <c r="J104" s="776">
        <v>0</v>
      </c>
      <c r="K104" s="801">
        <v>0</v>
      </c>
      <c r="L104" s="802">
        <v>0</v>
      </c>
      <c r="M104" s="803">
        <v>0</v>
      </c>
      <c r="N104" s="778">
        <v>0</v>
      </c>
      <c r="O104" s="782">
        <v>0</v>
      </c>
      <c r="P104" s="803">
        <v>0</v>
      </c>
      <c r="Q104" s="781">
        <v>0</v>
      </c>
      <c r="R104" s="803">
        <v>0</v>
      </c>
      <c r="S104" s="778">
        <v>0</v>
      </c>
      <c r="T104" s="778">
        <v>0</v>
      </c>
      <c r="U104" s="804">
        <v>0</v>
      </c>
      <c r="V104" s="772">
        <v>0</v>
      </c>
      <c r="W104" s="783">
        <v>0</v>
      </c>
      <c r="X104" s="803">
        <v>0</v>
      </c>
      <c r="Y104" s="778">
        <v>0</v>
      </c>
      <c r="Z104" s="802">
        <v>0</v>
      </c>
      <c r="AA104" s="803">
        <v>0</v>
      </c>
      <c r="AB104" s="803">
        <v>0</v>
      </c>
      <c r="AC104" s="778">
        <v>0</v>
      </c>
      <c r="AD104" s="782">
        <v>0</v>
      </c>
      <c r="AE104" s="803">
        <v>0</v>
      </c>
      <c r="AF104" s="771">
        <f t="shared" si="6"/>
        <v>0</v>
      </c>
      <c r="AG104" s="805">
        <f t="shared" si="7"/>
        <v>0</v>
      </c>
      <c r="AH104" s="1084">
        <f t="shared" si="8"/>
        <v>0</v>
      </c>
      <c r="AI104" s="132" t="str">
        <f t="shared" si="9"/>
        <v xml:space="preserve"> </v>
      </c>
      <c r="AS104" s="139" t="s">
        <v>266</v>
      </c>
      <c r="AT104" s="139" t="s">
        <v>265</v>
      </c>
      <c r="DS104" s="304"/>
      <c r="DT104" s="304"/>
      <c r="DU104" s="647" t="s">
        <v>552</v>
      </c>
      <c r="DV104" s="647" t="s">
        <v>1134</v>
      </c>
      <c r="DW104" s="647" t="s">
        <v>1134</v>
      </c>
      <c r="DX104" s="647" t="s">
        <v>1134</v>
      </c>
      <c r="DY104" s="647" t="s">
        <v>1134</v>
      </c>
      <c r="DZ104" s="647" t="s">
        <v>1134</v>
      </c>
      <c r="EA104" s="647" t="s">
        <v>266</v>
      </c>
      <c r="EB104" s="647" t="s">
        <v>1135</v>
      </c>
      <c r="EC104" s="647" t="s">
        <v>1134</v>
      </c>
      <c r="ED104" s="647" t="s">
        <v>1136</v>
      </c>
    </row>
    <row r="105" spans="1:134" x14ac:dyDescent="0.2">
      <c r="A105" s="749" t="s">
        <v>990</v>
      </c>
      <c r="B105" s="146">
        <v>98</v>
      </c>
      <c r="C105" s="770">
        <v>0</v>
      </c>
      <c r="D105" s="770">
        <v>0</v>
      </c>
      <c r="E105" s="770">
        <v>0</v>
      </c>
      <c r="F105" s="770">
        <v>0</v>
      </c>
      <c r="G105" s="770">
        <v>0</v>
      </c>
      <c r="H105" s="786">
        <f t="shared" ref="H105:H168" si="10">ROUND(SUM(C105:G105),3)</f>
        <v>0</v>
      </c>
      <c r="I105" s="776">
        <v>0</v>
      </c>
      <c r="J105" s="776">
        <v>0</v>
      </c>
      <c r="K105" s="801">
        <v>0</v>
      </c>
      <c r="L105" s="802">
        <v>0</v>
      </c>
      <c r="M105" s="803">
        <v>0</v>
      </c>
      <c r="N105" s="778">
        <v>0</v>
      </c>
      <c r="O105" s="782">
        <v>0</v>
      </c>
      <c r="P105" s="803">
        <v>0</v>
      </c>
      <c r="Q105" s="781">
        <v>0</v>
      </c>
      <c r="R105" s="803">
        <v>0</v>
      </c>
      <c r="S105" s="778">
        <v>0</v>
      </c>
      <c r="T105" s="778">
        <v>0</v>
      </c>
      <c r="U105" s="804">
        <v>0</v>
      </c>
      <c r="V105" s="772">
        <v>0</v>
      </c>
      <c r="W105" s="783">
        <v>0</v>
      </c>
      <c r="X105" s="803">
        <v>0</v>
      </c>
      <c r="Y105" s="778">
        <v>0</v>
      </c>
      <c r="Z105" s="802">
        <v>0</v>
      </c>
      <c r="AA105" s="803">
        <v>0</v>
      </c>
      <c r="AB105" s="803">
        <v>0</v>
      </c>
      <c r="AC105" s="778">
        <v>0</v>
      </c>
      <c r="AD105" s="782">
        <v>0</v>
      </c>
      <c r="AE105" s="803">
        <v>0</v>
      </c>
      <c r="AF105" s="771">
        <f t="shared" si="6"/>
        <v>0</v>
      </c>
      <c r="AG105" s="805">
        <f t="shared" si="7"/>
        <v>0</v>
      </c>
      <c r="AH105" s="1084">
        <f t="shared" si="8"/>
        <v>0</v>
      </c>
      <c r="AI105" s="132" t="str">
        <f t="shared" si="9"/>
        <v xml:space="preserve"> </v>
      </c>
      <c r="AS105" s="139" t="s">
        <v>519</v>
      </c>
      <c r="AT105" s="139" t="s">
        <v>520</v>
      </c>
      <c r="DS105" s="304"/>
      <c r="DT105" s="304"/>
      <c r="DU105" s="647" t="s">
        <v>552</v>
      </c>
      <c r="DV105" s="647" t="s">
        <v>1134</v>
      </c>
      <c r="DW105" s="647" t="s">
        <v>1134</v>
      </c>
      <c r="DX105" s="647" t="s">
        <v>1134</v>
      </c>
      <c r="DY105" s="647" t="s">
        <v>1134</v>
      </c>
      <c r="DZ105" s="647" t="s">
        <v>1134</v>
      </c>
      <c r="EA105" s="647" t="s">
        <v>519</v>
      </c>
      <c r="EB105" s="647" t="s">
        <v>1135</v>
      </c>
      <c r="EC105" s="647" t="s">
        <v>1134</v>
      </c>
      <c r="ED105" s="647" t="s">
        <v>1136</v>
      </c>
    </row>
    <row r="106" spans="1:134" x14ac:dyDescent="0.2">
      <c r="A106" s="749" t="s">
        <v>991</v>
      </c>
      <c r="B106" s="146">
        <v>99</v>
      </c>
      <c r="C106" s="770">
        <v>0</v>
      </c>
      <c r="D106" s="770">
        <v>0</v>
      </c>
      <c r="E106" s="770">
        <v>0</v>
      </c>
      <c r="F106" s="770">
        <v>0</v>
      </c>
      <c r="G106" s="770">
        <v>0</v>
      </c>
      <c r="H106" s="786">
        <f t="shared" si="10"/>
        <v>0</v>
      </c>
      <c r="I106" s="776">
        <v>0</v>
      </c>
      <c r="J106" s="776">
        <v>0</v>
      </c>
      <c r="K106" s="801">
        <v>0</v>
      </c>
      <c r="L106" s="802">
        <v>0</v>
      </c>
      <c r="M106" s="803">
        <v>0</v>
      </c>
      <c r="N106" s="778">
        <v>0</v>
      </c>
      <c r="O106" s="782">
        <v>0</v>
      </c>
      <c r="P106" s="803">
        <v>0</v>
      </c>
      <c r="Q106" s="781">
        <v>0</v>
      </c>
      <c r="R106" s="803">
        <v>0</v>
      </c>
      <c r="S106" s="778">
        <v>0</v>
      </c>
      <c r="T106" s="778">
        <v>0</v>
      </c>
      <c r="U106" s="804">
        <v>0</v>
      </c>
      <c r="V106" s="772">
        <v>0</v>
      </c>
      <c r="W106" s="783">
        <v>0</v>
      </c>
      <c r="X106" s="803">
        <v>0</v>
      </c>
      <c r="Y106" s="778">
        <v>0</v>
      </c>
      <c r="Z106" s="802">
        <v>0</v>
      </c>
      <c r="AA106" s="803">
        <v>0</v>
      </c>
      <c r="AB106" s="803">
        <v>0</v>
      </c>
      <c r="AC106" s="778">
        <v>0</v>
      </c>
      <c r="AD106" s="782">
        <v>0</v>
      </c>
      <c r="AE106" s="803">
        <v>0</v>
      </c>
      <c r="AF106" s="771">
        <f t="shared" si="6"/>
        <v>0</v>
      </c>
      <c r="AG106" s="805">
        <f t="shared" si="7"/>
        <v>0</v>
      </c>
      <c r="AH106" s="1084">
        <f t="shared" si="8"/>
        <v>0</v>
      </c>
      <c r="AI106" s="132" t="str">
        <f t="shared" si="9"/>
        <v xml:space="preserve"> </v>
      </c>
      <c r="AS106" s="139" t="s">
        <v>1076</v>
      </c>
      <c r="AT106" s="139" t="s">
        <v>1077</v>
      </c>
      <c r="DS106" s="304"/>
      <c r="DT106" s="304"/>
      <c r="DU106" s="647" t="s">
        <v>552</v>
      </c>
      <c r="DV106" s="647" t="s">
        <v>1134</v>
      </c>
      <c r="DW106" s="647" t="s">
        <v>1134</v>
      </c>
      <c r="DX106" s="647" t="s">
        <v>1134</v>
      </c>
      <c r="DY106" s="647" t="s">
        <v>1134</v>
      </c>
      <c r="DZ106" s="647" t="s">
        <v>1134</v>
      </c>
      <c r="EA106" s="647" t="s">
        <v>1076</v>
      </c>
      <c r="EB106" s="647" t="s">
        <v>1135</v>
      </c>
      <c r="EC106" s="647" t="s">
        <v>1134</v>
      </c>
      <c r="ED106" s="647" t="s">
        <v>1136</v>
      </c>
    </row>
    <row r="107" spans="1:134" ht="12.75" customHeight="1" x14ac:dyDescent="0.2">
      <c r="A107" s="749" t="s">
        <v>568</v>
      </c>
      <c r="B107" s="146">
        <v>100</v>
      </c>
      <c r="C107" s="770">
        <v>0</v>
      </c>
      <c r="D107" s="770">
        <v>0</v>
      </c>
      <c r="E107" s="770">
        <v>0</v>
      </c>
      <c r="F107" s="770">
        <v>0</v>
      </c>
      <c r="G107" s="770">
        <v>0</v>
      </c>
      <c r="H107" s="786">
        <f t="shared" si="10"/>
        <v>0</v>
      </c>
      <c r="I107" s="776">
        <v>0</v>
      </c>
      <c r="J107" s="776">
        <v>0</v>
      </c>
      <c r="K107" s="801">
        <v>0</v>
      </c>
      <c r="L107" s="802">
        <v>0</v>
      </c>
      <c r="M107" s="803">
        <v>0</v>
      </c>
      <c r="N107" s="778">
        <v>0</v>
      </c>
      <c r="O107" s="782">
        <v>0</v>
      </c>
      <c r="P107" s="803">
        <v>0</v>
      </c>
      <c r="Q107" s="781">
        <v>0</v>
      </c>
      <c r="R107" s="803">
        <v>0</v>
      </c>
      <c r="S107" s="778">
        <v>0</v>
      </c>
      <c r="T107" s="778">
        <v>0</v>
      </c>
      <c r="U107" s="804">
        <v>0</v>
      </c>
      <c r="V107" s="772">
        <v>0</v>
      </c>
      <c r="W107" s="783">
        <v>0</v>
      </c>
      <c r="X107" s="803">
        <v>0</v>
      </c>
      <c r="Y107" s="778">
        <v>0</v>
      </c>
      <c r="Z107" s="802">
        <v>0</v>
      </c>
      <c r="AA107" s="803">
        <v>0</v>
      </c>
      <c r="AB107" s="803">
        <v>0</v>
      </c>
      <c r="AC107" s="778">
        <v>0</v>
      </c>
      <c r="AD107" s="782">
        <v>0</v>
      </c>
      <c r="AE107" s="803">
        <v>0</v>
      </c>
      <c r="AF107" s="771">
        <f t="shared" si="6"/>
        <v>0</v>
      </c>
      <c r="AG107" s="805">
        <f t="shared" si="7"/>
        <v>0</v>
      </c>
      <c r="AH107" s="1084">
        <f t="shared" si="8"/>
        <v>0</v>
      </c>
      <c r="AI107" s="132" t="str">
        <f t="shared" si="9"/>
        <v xml:space="preserve"> </v>
      </c>
      <c r="AS107" s="139" t="s">
        <v>542</v>
      </c>
      <c r="AT107" s="139" t="s">
        <v>543</v>
      </c>
      <c r="DS107" s="304"/>
      <c r="DT107" s="304"/>
      <c r="DU107" s="647" t="s">
        <v>552</v>
      </c>
      <c r="DV107" s="647" t="s">
        <v>1134</v>
      </c>
      <c r="DW107" s="647" t="s">
        <v>1134</v>
      </c>
      <c r="DX107" s="647" t="s">
        <v>1134</v>
      </c>
      <c r="DY107" s="647" t="s">
        <v>1134</v>
      </c>
      <c r="DZ107" s="647" t="s">
        <v>1134</v>
      </c>
      <c r="EA107" s="647" t="s">
        <v>542</v>
      </c>
      <c r="EB107" s="647" t="s">
        <v>1135</v>
      </c>
      <c r="EC107" s="647" t="s">
        <v>1134</v>
      </c>
      <c r="ED107" s="647" t="s">
        <v>1136</v>
      </c>
    </row>
    <row r="108" spans="1:134" ht="12.75" customHeight="1" x14ac:dyDescent="0.2">
      <c r="A108" s="749" t="s">
        <v>677</v>
      </c>
      <c r="B108" s="146">
        <v>101</v>
      </c>
      <c r="C108" s="770">
        <v>0</v>
      </c>
      <c r="D108" s="770">
        <v>0</v>
      </c>
      <c r="E108" s="770">
        <v>0</v>
      </c>
      <c r="F108" s="770">
        <v>0</v>
      </c>
      <c r="G108" s="770">
        <v>0</v>
      </c>
      <c r="H108" s="786">
        <f t="shared" si="10"/>
        <v>0</v>
      </c>
      <c r="I108" s="776">
        <v>0</v>
      </c>
      <c r="J108" s="776">
        <v>0</v>
      </c>
      <c r="K108" s="801">
        <v>0</v>
      </c>
      <c r="L108" s="802">
        <v>0</v>
      </c>
      <c r="M108" s="803">
        <v>0</v>
      </c>
      <c r="N108" s="778">
        <v>0</v>
      </c>
      <c r="O108" s="782">
        <v>0</v>
      </c>
      <c r="P108" s="803">
        <v>0</v>
      </c>
      <c r="Q108" s="781">
        <v>0</v>
      </c>
      <c r="R108" s="803">
        <v>0</v>
      </c>
      <c r="S108" s="778">
        <v>0</v>
      </c>
      <c r="T108" s="778">
        <v>0</v>
      </c>
      <c r="U108" s="804">
        <v>0</v>
      </c>
      <c r="V108" s="772">
        <v>0</v>
      </c>
      <c r="W108" s="783">
        <v>0</v>
      </c>
      <c r="X108" s="803">
        <v>0</v>
      </c>
      <c r="Y108" s="778">
        <v>0</v>
      </c>
      <c r="Z108" s="802">
        <v>0</v>
      </c>
      <c r="AA108" s="803">
        <v>0</v>
      </c>
      <c r="AB108" s="803">
        <v>0</v>
      </c>
      <c r="AC108" s="778">
        <v>0</v>
      </c>
      <c r="AD108" s="782">
        <v>0</v>
      </c>
      <c r="AE108" s="803">
        <v>2E-3</v>
      </c>
      <c r="AF108" s="771">
        <f t="shared" si="6"/>
        <v>2E-3</v>
      </c>
      <c r="AG108" s="805">
        <f t="shared" si="7"/>
        <v>2E-3</v>
      </c>
      <c r="AH108" s="1084">
        <f t="shared" si="8"/>
        <v>0</v>
      </c>
      <c r="AI108" s="132" t="str">
        <f t="shared" si="9"/>
        <v xml:space="preserve"> </v>
      </c>
      <c r="AS108" s="139" t="s">
        <v>882</v>
      </c>
      <c r="AT108" s="139" t="s">
        <v>883</v>
      </c>
      <c r="DS108" s="304"/>
      <c r="DT108" s="304"/>
      <c r="DU108" s="647" t="s">
        <v>552</v>
      </c>
      <c r="DV108" s="647" t="s">
        <v>1134</v>
      </c>
      <c r="DW108" s="647" t="s">
        <v>1134</v>
      </c>
      <c r="DX108" s="647" t="s">
        <v>1134</v>
      </c>
      <c r="DY108" s="647" t="s">
        <v>1134</v>
      </c>
      <c r="DZ108" s="647" t="s">
        <v>1134</v>
      </c>
      <c r="EA108" s="647" t="s">
        <v>882</v>
      </c>
      <c r="EB108" s="647" t="s">
        <v>1135</v>
      </c>
      <c r="EC108" s="647" t="s">
        <v>1134</v>
      </c>
      <c r="ED108" s="647" t="s">
        <v>1136</v>
      </c>
    </row>
    <row r="109" spans="1:134" x14ac:dyDescent="0.2">
      <c r="A109" s="749" t="s">
        <v>992</v>
      </c>
      <c r="B109" s="146">
        <v>102</v>
      </c>
      <c r="C109" s="770">
        <v>0</v>
      </c>
      <c r="D109" s="770">
        <v>0</v>
      </c>
      <c r="E109" s="770">
        <v>0</v>
      </c>
      <c r="F109" s="770">
        <v>0</v>
      </c>
      <c r="G109" s="770">
        <v>0</v>
      </c>
      <c r="H109" s="786">
        <f t="shared" si="10"/>
        <v>0</v>
      </c>
      <c r="I109" s="776">
        <v>0</v>
      </c>
      <c r="J109" s="776">
        <v>0</v>
      </c>
      <c r="K109" s="801">
        <v>0</v>
      </c>
      <c r="L109" s="802">
        <v>0</v>
      </c>
      <c r="M109" s="803">
        <v>0</v>
      </c>
      <c r="N109" s="778">
        <v>0</v>
      </c>
      <c r="O109" s="782">
        <v>0</v>
      </c>
      <c r="P109" s="803">
        <v>0</v>
      </c>
      <c r="Q109" s="781">
        <v>0</v>
      </c>
      <c r="R109" s="803">
        <v>0</v>
      </c>
      <c r="S109" s="778">
        <v>0</v>
      </c>
      <c r="T109" s="778">
        <v>0</v>
      </c>
      <c r="U109" s="804">
        <v>0</v>
      </c>
      <c r="V109" s="772">
        <v>0</v>
      </c>
      <c r="W109" s="783">
        <v>0</v>
      </c>
      <c r="X109" s="803">
        <v>0</v>
      </c>
      <c r="Y109" s="778">
        <v>0</v>
      </c>
      <c r="Z109" s="802">
        <v>0</v>
      </c>
      <c r="AA109" s="803">
        <v>0</v>
      </c>
      <c r="AB109" s="803">
        <v>0</v>
      </c>
      <c r="AC109" s="778">
        <v>0</v>
      </c>
      <c r="AD109" s="782">
        <v>0</v>
      </c>
      <c r="AE109" s="803">
        <v>0</v>
      </c>
      <c r="AF109" s="771">
        <f t="shared" si="6"/>
        <v>0</v>
      </c>
      <c r="AG109" s="805">
        <f t="shared" si="7"/>
        <v>0</v>
      </c>
      <c r="AH109" s="1084">
        <f t="shared" si="8"/>
        <v>0</v>
      </c>
      <c r="AI109" s="132" t="str">
        <f t="shared" si="9"/>
        <v xml:space="preserve"> </v>
      </c>
      <c r="AS109" s="130" t="s">
        <v>1078</v>
      </c>
      <c r="AT109" s="130" t="s">
        <v>1079</v>
      </c>
      <c r="DS109" s="304"/>
      <c r="DT109" s="304"/>
      <c r="DU109" s="647" t="s">
        <v>552</v>
      </c>
      <c r="DV109" s="647" t="s">
        <v>1134</v>
      </c>
      <c r="DW109" s="647" t="s">
        <v>1134</v>
      </c>
      <c r="DX109" s="647" t="s">
        <v>1134</v>
      </c>
      <c r="DY109" s="647" t="s">
        <v>1134</v>
      </c>
      <c r="DZ109" s="647" t="s">
        <v>1134</v>
      </c>
      <c r="EA109" s="647" t="s">
        <v>1078</v>
      </c>
      <c r="EB109" s="647" t="s">
        <v>1135</v>
      </c>
      <c r="EC109" s="647" t="s">
        <v>1134</v>
      </c>
      <c r="ED109" s="647" t="s">
        <v>1136</v>
      </c>
    </row>
    <row r="110" spans="1:134" ht="12.75" customHeight="1" x14ac:dyDescent="0.2">
      <c r="A110" s="749" t="s">
        <v>993</v>
      </c>
      <c r="B110" s="146">
        <v>103</v>
      </c>
      <c r="C110" s="770">
        <v>0</v>
      </c>
      <c r="D110" s="770">
        <v>0</v>
      </c>
      <c r="E110" s="770">
        <v>0</v>
      </c>
      <c r="F110" s="770">
        <v>0</v>
      </c>
      <c r="G110" s="770">
        <v>0</v>
      </c>
      <c r="H110" s="786">
        <f t="shared" si="10"/>
        <v>0</v>
      </c>
      <c r="I110" s="776">
        <v>0</v>
      </c>
      <c r="J110" s="776">
        <v>0</v>
      </c>
      <c r="K110" s="801">
        <v>0</v>
      </c>
      <c r="L110" s="802">
        <v>0</v>
      </c>
      <c r="M110" s="803">
        <v>0</v>
      </c>
      <c r="N110" s="778">
        <v>0</v>
      </c>
      <c r="O110" s="782">
        <v>0</v>
      </c>
      <c r="P110" s="803">
        <v>0</v>
      </c>
      <c r="Q110" s="781">
        <v>0</v>
      </c>
      <c r="R110" s="803">
        <v>0</v>
      </c>
      <c r="S110" s="778">
        <v>0</v>
      </c>
      <c r="T110" s="778">
        <v>0</v>
      </c>
      <c r="U110" s="804">
        <v>0</v>
      </c>
      <c r="V110" s="772">
        <v>0</v>
      </c>
      <c r="W110" s="783">
        <v>0</v>
      </c>
      <c r="X110" s="803">
        <v>0</v>
      </c>
      <c r="Y110" s="778">
        <v>0</v>
      </c>
      <c r="Z110" s="802">
        <v>0</v>
      </c>
      <c r="AA110" s="803">
        <v>0</v>
      </c>
      <c r="AB110" s="803">
        <v>0</v>
      </c>
      <c r="AC110" s="778">
        <v>0</v>
      </c>
      <c r="AD110" s="782">
        <v>0</v>
      </c>
      <c r="AE110" s="803">
        <v>0</v>
      </c>
      <c r="AF110" s="771">
        <f t="shared" si="6"/>
        <v>0</v>
      </c>
      <c r="AG110" s="805">
        <f t="shared" si="7"/>
        <v>0</v>
      </c>
      <c r="AH110" s="1084">
        <f t="shared" si="8"/>
        <v>0</v>
      </c>
      <c r="AI110" s="132" t="str">
        <f t="shared" si="9"/>
        <v xml:space="preserve"> </v>
      </c>
      <c r="AS110" s="139" t="s">
        <v>1080</v>
      </c>
      <c r="AT110" s="139" t="s">
        <v>1081</v>
      </c>
      <c r="DS110" s="304"/>
      <c r="DT110" s="304"/>
      <c r="DU110" s="647" t="s">
        <v>552</v>
      </c>
      <c r="DV110" s="647" t="s">
        <v>1134</v>
      </c>
      <c r="DW110" s="647" t="s">
        <v>1134</v>
      </c>
      <c r="DX110" s="647" t="s">
        <v>1134</v>
      </c>
      <c r="DY110" s="647" t="s">
        <v>1134</v>
      </c>
      <c r="DZ110" s="647" t="s">
        <v>1134</v>
      </c>
      <c r="EA110" s="647" t="s">
        <v>1080</v>
      </c>
      <c r="EB110" s="647" t="s">
        <v>1135</v>
      </c>
      <c r="EC110" s="647" t="s">
        <v>1134</v>
      </c>
      <c r="ED110" s="647" t="s">
        <v>1136</v>
      </c>
    </row>
    <row r="111" spans="1:134" x14ac:dyDescent="0.2">
      <c r="A111" s="749" t="s">
        <v>994</v>
      </c>
      <c r="B111" s="146">
        <v>104</v>
      </c>
      <c r="C111" s="770">
        <v>0</v>
      </c>
      <c r="D111" s="770">
        <v>0</v>
      </c>
      <c r="E111" s="770">
        <v>0</v>
      </c>
      <c r="F111" s="770">
        <v>0</v>
      </c>
      <c r="G111" s="770">
        <v>0</v>
      </c>
      <c r="H111" s="786">
        <f t="shared" si="10"/>
        <v>0</v>
      </c>
      <c r="I111" s="776">
        <v>0</v>
      </c>
      <c r="J111" s="776">
        <v>0</v>
      </c>
      <c r="K111" s="801">
        <v>0</v>
      </c>
      <c r="L111" s="802">
        <v>0</v>
      </c>
      <c r="M111" s="803">
        <v>0</v>
      </c>
      <c r="N111" s="778">
        <v>0</v>
      </c>
      <c r="O111" s="782">
        <v>0</v>
      </c>
      <c r="P111" s="803">
        <v>0</v>
      </c>
      <c r="Q111" s="781">
        <v>0</v>
      </c>
      <c r="R111" s="803">
        <v>0</v>
      </c>
      <c r="S111" s="778">
        <v>0</v>
      </c>
      <c r="T111" s="778">
        <v>0</v>
      </c>
      <c r="U111" s="804">
        <v>0</v>
      </c>
      <c r="V111" s="772">
        <v>0</v>
      </c>
      <c r="W111" s="783">
        <v>0</v>
      </c>
      <c r="X111" s="803">
        <v>0</v>
      </c>
      <c r="Y111" s="778">
        <v>0</v>
      </c>
      <c r="Z111" s="802">
        <v>0</v>
      </c>
      <c r="AA111" s="803">
        <v>0</v>
      </c>
      <c r="AB111" s="803">
        <v>0</v>
      </c>
      <c r="AC111" s="778">
        <v>0</v>
      </c>
      <c r="AD111" s="782">
        <v>0</v>
      </c>
      <c r="AE111" s="803">
        <v>0</v>
      </c>
      <c r="AF111" s="771">
        <f t="shared" si="6"/>
        <v>0</v>
      </c>
      <c r="AG111" s="805">
        <f t="shared" si="7"/>
        <v>0</v>
      </c>
      <c r="AH111" s="1084">
        <f t="shared" si="8"/>
        <v>0</v>
      </c>
      <c r="AI111" s="132" t="str">
        <f t="shared" si="9"/>
        <v xml:space="preserve"> </v>
      </c>
      <c r="AS111" s="139" t="s">
        <v>1082</v>
      </c>
      <c r="AT111" s="139" t="s">
        <v>1083</v>
      </c>
      <c r="DS111" s="304"/>
      <c r="DT111" s="304"/>
      <c r="DU111" s="647" t="s">
        <v>552</v>
      </c>
      <c r="DV111" s="647" t="s">
        <v>1134</v>
      </c>
      <c r="DW111" s="647" t="s">
        <v>1134</v>
      </c>
      <c r="DX111" s="647" t="s">
        <v>1134</v>
      </c>
      <c r="DY111" s="647" t="s">
        <v>1134</v>
      </c>
      <c r="DZ111" s="647" t="s">
        <v>1134</v>
      </c>
      <c r="EA111" s="647" t="s">
        <v>1082</v>
      </c>
      <c r="EB111" s="647" t="s">
        <v>1135</v>
      </c>
      <c r="EC111" s="647" t="s">
        <v>1134</v>
      </c>
      <c r="ED111" s="647" t="s">
        <v>1136</v>
      </c>
    </row>
    <row r="112" spans="1:134" ht="12.75" customHeight="1" x14ac:dyDescent="0.2">
      <c r="A112" s="749" t="s">
        <v>995</v>
      </c>
      <c r="B112" s="146">
        <v>105</v>
      </c>
      <c r="C112" s="770">
        <v>0</v>
      </c>
      <c r="D112" s="770">
        <v>0</v>
      </c>
      <c r="E112" s="770">
        <v>0</v>
      </c>
      <c r="F112" s="770">
        <v>0</v>
      </c>
      <c r="G112" s="770">
        <v>0</v>
      </c>
      <c r="H112" s="786">
        <f t="shared" si="10"/>
        <v>0</v>
      </c>
      <c r="I112" s="776">
        <v>0</v>
      </c>
      <c r="J112" s="776">
        <v>0</v>
      </c>
      <c r="K112" s="801">
        <v>0</v>
      </c>
      <c r="L112" s="802">
        <v>0</v>
      </c>
      <c r="M112" s="803">
        <v>0</v>
      </c>
      <c r="N112" s="778">
        <v>0</v>
      </c>
      <c r="O112" s="782">
        <v>0</v>
      </c>
      <c r="P112" s="803">
        <v>0</v>
      </c>
      <c r="Q112" s="781">
        <v>0</v>
      </c>
      <c r="R112" s="803">
        <v>0</v>
      </c>
      <c r="S112" s="778">
        <v>0</v>
      </c>
      <c r="T112" s="778">
        <v>0</v>
      </c>
      <c r="U112" s="804">
        <v>0</v>
      </c>
      <c r="V112" s="772">
        <v>0</v>
      </c>
      <c r="W112" s="783">
        <v>0</v>
      </c>
      <c r="X112" s="803">
        <v>0</v>
      </c>
      <c r="Y112" s="778">
        <v>0</v>
      </c>
      <c r="Z112" s="802">
        <v>0</v>
      </c>
      <c r="AA112" s="803">
        <v>0</v>
      </c>
      <c r="AB112" s="803">
        <v>0</v>
      </c>
      <c r="AC112" s="778">
        <v>0</v>
      </c>
      <c r="AD112" s="782">
        <v>0</v>
      </c>
      <c r="AE112" s="803">
        <v>0</v>
      </c>
      <c r="AF112" s="771">
        <f t="shared" si="6"/>
        <v>0</v>
      </c>
      <c r="AG112" s="805">
        <f t="shared" si="7"/>
        <v>0</v>
      </c>
      <c r="AH112" s="1084">
        <f t="shared" si="8"/>
        <v>0</v>
      </c>
      <c r="AI112" s="132" t="str">
        <f t="shared" si="9"/>
        <v xml:space="preserve"> </v>
      </c>
      <c r="AS112" s="139" t="s">
        <v>1084</v>
      </c>
      <c r="AT112" s="139" t="s">
        <v>1085</v>
      </c>
      <c r="DS112" s="304"/>
      <c r="DT112" s="304"/>
      <c r="DU112" s="647" t="s">
        <v>552</v>
      </c>
      <c r="DV112" s="647" t="s">
        <v>1134</v>
      </c>
      <c r="DW112" s="647" t="s">
        <v>1134</v>
      </c>
      <c r="DX112" s="647" t="s">
        <v>1134</v>
      </c>
      <c r="DY112" s="647" t="s">
        <v>1134</v>
      </c>
      <c r="DZ112" s="647" t="s">
        <v>1134</v>
      </c>
      <c r="EA112" s="647" t="s">
        <v>1084</v>
      </c>
      <c r="EB112" s="647" t="s">
        <v>1135</v>
      </c>
      <c r="EC112" s="647" t="s">
        <v>1134</v>
      </c>
      <c r="ED112" s="647" t="s">
        <v>1136</v>
      </c>
    </row>
    <row r="113" spans="1:134" x14ac:dyDescent="0.2">
      <c r="A113" s="749" t="s">
        <v>47</v>
      </c>
      <c r="B113" s="146">
        <v>106</v>
      </c>
      <c r="C113" s="770">
        <v>0</v>
      </c>
      <c r="D113" s="770">
        <v>0</v>
      </c>
      <c r="E113" s="770">
        <v>0</v>
      </c>
      <c r="F113" s="770">
        <v>0</v>
      </c>
      <c r="G113" s="770">
        <v>0</v>
      </c>
      <c r="H113" s="786">
        <f t="shared" si="10"/>
        <v>0</v>
      </c>
      <c r="I113" s="776">
        <v>0</v>
      </c>
      <c r="J113" s="776">
        <v>0</v>
      </c>
      <c r="K113" s="801">
        <v>0</v>
      </c>
      <c r="L113" s="802">
        <v>0</v>
      </c>
      <c r="M113" s="803">
        <v>0</v>
      </c>
      <c r="N113" s="778">
        <v>0</v>
      </c>
      <c r="O113" s="782">
        <v>0</v>
      </c>
      <c r="P113" s="803">
        <v>0</v>
      </c>
      <c r="Q113" s="781">
        <v>0</v>
      </c>
      <c r="R113" s="803">
        <v>0</v>
      </c>
      <c r="S113" s="778">
        <v>0</v>
      </c>
      <c r="T113" s="778">
        <v>0</v>
      </c>
      <c r="U113" s="804">
        <v>0</v>
      </c>
      <c r="V113" s="772">
        <v>0</v>
      </c>
      <c r="W113" s="783">
        <v>0</v>
      </c>
      <c r="X113" s="803">
        <v>0</v>
      </c>
      <c r="Y113" s="778">
        <v>0</v>
      </c>
      <c r="Z113" s="802">
        <v>0</v>
      </c>
      <c r="AA113" s="803">
        <v>0</v>
      </c>
      <c r="AB113" s="803">
        <v>0</v>
      </c>
      <c r="AC113" s="778">
        <v>0</v>
      </c>
      <c r="AD113" s="782">
        <v>0</v>
      </c>
      <c r="AE113" s="803">
        <v>0</v>
      </c>
      <c r="AF113" s="771">
        <f t="shared" si="6"/>
        <v>0</v>
      </c>
      <c r="AG113" s="805">
        <f t="shared" si="7"/>
        <v>0</v>
      </c>
      <c r="AH113" s="1084">
        <f t="shared" si="8"/>
        <v>0</v>
      </c>
      <c r="AI113" s="132" t="str">
        <f t="shared" si="9"/>
        <v xml:space="preserve"> </v>
      </c>
      <c r="AS113" s="139" t="s">
        <v>268</v>
      </c>
      <c r="AT113" s="139" t="s">
        <v>267</v>
      </c>
      <c r="DS113" s="304"/>
      <c r="DT113" s="304"/>
      <c r="DU113" s="647" t="s">
        <v>552</v>
      </c>
      <c r="DV113" s="647" t="s">
        <v>1134</v>
      </c>
      <c r="DW113" s="647" t="s">
        <v>1134</v>
      </c>
      <c r="DX113" s="647" t="s">
        <v>1134</v>
      </c>
      <c r="DY113" s="647" t="s">
        <v>1134</v>
      </c>
      <c r="DZ113" s="647" t="s">
        <v>1134</v>
      </c>
      <c r="EA113" s="647" t="s">
        <v>268</v>
      </c>
      <c r="EB113" s="647" t="s">
        <v>1135</v>
      </c>
      <c r="EC113" s="647" t="s">
        <v>1134</v>
      </c>
      <c r="ED113" s="647" t="s">
        <v>1136</v>
      </c>
    </row>
    <row r="114" spans="1:134" x14ac:dyDescent="0.2">
      <c r="A114" s="749" t="s">
        <v>996</v>
      </c>
      <c r="B114" s="146">
        <v>107</v>
      </c>
      <c r="C114" s="770">
        <v>0</v>
      </c>
      <c r="D114" s="770">
        <v>0</v>
      </c>
      <c r="E114" s="770">
        <v>0</v>
      </c>
      <c r="F114" s="770">
        <v>0</v>
      </c>
      <c r="G114" s="770">
        <v>0</v>
      </c>
      <c r="H114" s="786">
        <f t="shared" si="10"/>
        <v>0</v>
      </c>
      <c r="I114" s="776">
        <v>0</v>
      </c>
      <c r="J114" s="776">
        <v>0</v>
      </c>
      <c r="K114" s="801">
        <v>0</v>
      </c>
      <c r="L114" s="802">
        <v>0</v>
      </c>
      <c r="M114" s="803">
        <v>0</v>
      </c>
      <c r="N114" s="778">
        <v>0</v>
      </c>
      <c r="O114" s="782">
        <v>0</v>
      </c>
      <c r="P114" s="803">
        <v>0</v>
      </c>
      <c r="Q114" s="781">
        <v>0</v>
      </c>
      <c r="R114" s="803">
        <v>0</v>
      </c>
      <c r="S114" s="778">
        <v>0</v>
      </c>
      <c r="T114" s="778">
        <v>0</v>
      </c>
      <c r="U114" s="804">
        <v>0</v>
      </c>
      <c r="V114" s="772">
        <v>0</v>
      </c>
      <c r="W114" s="783">
        <v>0</v>
      </c>
      <c r="X114" s="803">
        <v>0</v>
      </c>
      <c r="Y114" s="778">
        <v>0</v>
      </c>
      <c r="Z114" s="802">
        <v>0</v>
      </c>
      <c r="AA114" s="803">
        <v>0</v>
      </c>
      <c r="AB114" s="803">
        <v>0</v>
      </c>
      <c r="AC114" s="778">
        <v>0</v>
      </c>
      <c r="AD114" s="782">
        <v>0</v>
      </c>
      <c r="AE114" s="803">
        <v>0</v>
      </c>
      <c r="AF114" s="771">
        <f t="shared" si="6"/>
        <v>0</v>
      </c>
      <c r="AG114" s="805">
        <f t="shared" si="7"/>
        <v>0</v>
      </c>
      <c r="AH114" s="1084">
        <f t="shared" si="8"/>
        <v>0</v>
      </c>
      <c r="AI114" s="132" t="str">
        <f t="shared" si="9"/>
        <v xml:space="preserve"> </v>
      </c>
      <c r="AS114" s="139" t="s">
        <v>1086</v>
      </c>
      <c r="AT114" s="139" t="s">
        <v>1087</v>
      </c>
      <c r="DS114" s="304"/>
      <c r="DT114" s="304"/>
      <c r="DU114" s="647" t="s">
        <v>552</v>
      </c>
      <c r="DV114" s="647" t="s">
        <v>1134</v>
      </c>
      <c r="DW114" s="647" t="s">
        <v>1134</v>
      </c>
      <c r="DX114" s="647" t="s">
        <v>1134</v>
      </c>
      <c r="DY114" s="647" t="s">
        <v>1134</v>
      </c>
      <c r="DZ114" s="647" t="s">
        <v>1134</v>
      </c>
      <c r="EA114" s="647" t="s">
        <v>1086</v>
      </c>
      <c r="EB114" s="647" t="s">
        <v>1135</v>
      </c>
      <c r="EC114" s="647" t="s">
        <v>1134</v>
      </c>
      <c r="ED114" s="647" t="s">
        <v>1136</v>
      </c>
    </row>
    <row r="115" spans="1:134" ht="12.75" customHeight="1" x14ac:dyDescent="0.2">
      <c r="A115" s="749" t="s">
        <v>48</v>
      </c>
      <c r="B115" s="146">
        <v>108</v>
      </c>
      <c r="C115" s="770">
        <v>0</v>
      </c>
      <c r="D115" s="770">
        <v>0</v>
      </c>
      <c r="E115" s="770">
        <v>0</v>
      </c>
      <c r="F115" s="770">
        <v>0</v>
      </c>
      <c r="G115" s="770">
        <v>0</v>
      </c>
      <c r="H115" s="786">
        <f t="shared" si="10"/>
        <v>0</v>
      </c>
      <c r="I115" s="776">
        <v>0</v>
      </c>
      <c r="J115" s="776">
        <v>0</v>
      </c>
      <c r="K115" s="801">
        <v>0</v>
      </c>
      <c r="L115" s="802">
        <v>0</v>
      </c>
      <c r="M115" s="803">
        <v>0</v>
      </c>
      <c r="N115" s="778">
        <v>0</v>
      </c>
      <c r="O115" s="782">
        <v>0</v>
      </c>
      <c r="P115" s="803">
        <v>0</v>
      </c>
      <c r="Q115" s="781">
        <v>0</v>
      </c>
      <c r="R115" s="803">
        <v>0</v>
      </c>
      <c r="S115" s="778">
        <v>0</v>
      </c>
      <c r="T115" s="778">
        <v>0</v>
      </c>
      <c r="U115" s="804">
        <v>0</v>
      </c>
      <c r="V115" s="772">
        <v>0</v>
      </c>
      <c r="W115" s="783">
        <v>0</v>
      </c>
      <c r="X115" s="803">
        <v>0</v>
      </c>
      <c r="Y115" s="778">
        <v>0</v>
      </c>
      <c r="Z115" s="802">
        <v>0</v>
      </c>
      <c r="AA115" s="803">
        <v>0</v>
      </c>
      <c r="AB115" s="803">
        <v>0</v>
      </c>
      <c r="AC115" s="778">
        <v>0</v>
      </c>
      <c r="AD115" s="782">
        <v>0</v>
      </c>
      <c r="AE115" s="803">
        <v>0</v>
      </c>
      <c r="AF115" s="771">
        <f t="shared" si="6"/>
        <v>0</v>
      </c>
      <c r="AG115" s="805">
        <f t="shared" si="7"/>
        <v>0</v>
      </c>
      <c r="AH115" s="1084">
        <f t="shared" si="8"/>
        <v>0</v>
      </c>
      <c r="AI115" s="132" t="str">
        <f t="shared" si="9"/>
        <v xml:space="preserve"> </v>
      </c>
      <c r="AS115" s="139" t="s">
        <v>269</v>
      </c>
      <c r="AT115" s="139" t="s">
        <v>269</v>
      </c>
      <c r="DS115" s="304"/>
      <c r="DT115" s="304"/>
      <c r="DU115" s="647" t="s">
        <v>552</v>
      </c>
      <c r="DV115" s="647" t="s">
        <v>1134</v>
      </c>
      <c r="DW115" s="647" t="s">
        <v>1134</v>
      </c>
      <c r="DX115" s="647" t="s">
        <v>1134</v>
      </c>
      <c r="DY115" s="647" t="s">
        <v>1134</v>
      </c>
      <c r="DZ115" s="647" t="s">
        <v>1134</v>
      </c>
      <c r="EA115" s="647" t="s">
        <v>269</v>
      </c>
      <c r="EB115" s="647" t="s">
        <v>1135</v>
      </c>
      <c r="EC115" s="647" t="s">
        <v>1134</v>
      </c>
      <c r="ED115" s="647" t="s">
        <v>1136</v>
      </c>
    </row>
    <row r="116" spans="1:134" ht="12.75" customHeight="1" x14ac:dyDescent="0.2">
      <c r="A116" s="749" t="s">
        <v>1362</v>
      </c>
      <c r="B116" s="146">
        <v>109</v>
      </c>
      <c r="C116" s="770">
        <v>150.84100000000001</v>
      </c>
      <c r="D116" s="770">
        <v>0</v>
      </c>
      <c r="E116" s="770">
        <v>0</v>
      </c>
      <c r="F116" s="770">
        <v>0</v>
      </c>
      <c r="G116" s="770">
        <v>0</v>
      </c>
      <c r="H116" s="786">
        <f t="shared" si="10"/>
        <v>150.84100000000001</v>
      </c>
      <c r="I116" s="776">
        <v>0</v>
      </c>
      <c r="J116" s="776">
        <v>0</v>
      </c>
      <c r="K116" s="801">
        <v>0</v>
      </c>
      <c r="L116" s="802">
        <v>0</v>
      </c>
      <c r="M116" s="803">
        <v>0</v>
      </c>
      <c r="N116" s="778">
        <v>0</v>
      </c>
      <c r="O116" s="782">
        <v>0</v>
      </c>
      <c r="P116" s="803">
        <v>0</v>
      </c>
      <c r="Q116" s="781">
        <v>0</v>
      </c>
      <c r="R116" s="803">
        <v>0</v>
      </c>
      <c r="S116" s="778">
        <v>0</v>
      </c>
      <c r="T116" s="778">
        <v>0</v>
      </c>
      <c r="U116" s="804">
        <v>0</v>
      </c>
      <c r="V116" s="772">
        <v>0</v>
      </c>
      <c r="W116" s="783">
        <v>0</v>
      </c>
      <c r="X116" s="803">
        <v>0</v>
      </c>
      <c r="Y116" s="778">
        <v>0</v>
      </c>
      <c r="Z116" s="802">
        <v>0</v>
      </c>
      <c r="AA116" s="803">
        <v>0</v>
      </c>
      <c r="AB116" s="803">
        <v>0</v>
      </c>
      <c r="AC116" s="778">
        <v>0</v>
      </c>
      <c r="AD116" s="782">
        <v>0</v>
      </c>
      <c r="AE116" s="803">
        <v>0</v>
      </c>
      <c r="AF116" s="771">
        <f t="shared" si="6"/>
        <v>0</v>
      </c>
      <c r="AG116" s="805">
        <f t="shared" si="7"/>
        <v>150.84100000000001</v>
      </c>
      <c r="AH116" s="1084">
        <f t="shared" si="8"/>
        <v>0</v>
      </c>
      <c r="AI116" s="132" t="str">
        <f t="shared" si="9"/>
        <v xml:space="preserve"> </v>
      </c>
      <c r="AS116" s="130" t="s">
        <v>1363</v>
      </c>
      <c r="AT116" s="130" t="s">
        <v>1364</v>
      </c>
      <c r="DS116" s="304"/>
      <c r="DT116" s="304"/>
      <c r="DU116" s="647" t="s">
        <v>552</v>
      </c>
      <c r="DV116" s="647" t="s">
        <v>1134</v>
      </c>
      <c r="DW116" s="647" t="s">
        <v>1134</v>
      </c>
      <c r="DX116" s="647" t="s">
        <v>1134</v>
      </c>
      <c r="DY116" s="647" t="s">
        <v>1134</v>
      </c>
      <c r="DZ116" s="647" t="s">
        <v>1134</v>
      </c>
      <c r="EA116" s="647" t="s">
        <v>1363</v>
      </c>
      <c r="EB116" s="647" t="s">
        <v>1135</v>
      </c>
      <c r="EC116" s="647" t="s">
        <v>1134</v>
      </c>
      <c r="ED116" s="647" t="s">
        <v>1136</v>
      </c>
    </row>
    <row r="117" spans="1:134" x14ac:dyDescent="0.2">
      <c r="A117" s="749" t="s">
        <v>49</v>
      </c>
      <c r="B117" s="146">
        <v>110</v>
      </c>
      <c r="C117" s="770">
        <v>197.71899999999999</v>
      </c>
      <c r="D117" s="770">
        <v>76.158000000000001</v>
      </c>
      <c r="E117" s="770">
        <v>0</v>
      </c>
      <c r="F117" s="770">
        <v>0</v>
      </c>
      <c r="G117" s="770">
        <v>0</v>
      </c>
      <c r="H117" s="786">
        <f t="shared" si="10"/>
        <v>273.87700000000001</v>
      </c>
      <c r="I117" s="776">
        <v>0</v>
      </c>
      <c r="J117" s="776">
        <v>0</v>
      </c>
      <c r="K117" s="801">
        <v>6.2279999999999998</v>
      </c>
      <c r="L117" s="802">
        <v>1.758</v>
      </c>
      <c r="M117" s="803">
        <v>0</v>
      </c>
      <c r="N117" s="778">
        <v>1.758</v>
      </c>
      <c r="O117" s="782">
        <v>0</v>
      </c>
      <c r="P117" s="803">
        <v>0</v>
      </c>
      <c r="Q117" s="781">
        <v>161.88900000000001</v>
      </c>
      <c r="R117" s="803">
        <v>0</v>
      </c>
      <c r="S117" s="778">
        <v>161.88900000000001</v>
      </c>
      <c r="T117" s="778">
        <v>17.138000000000002</v>
      </c>
      <c r="U117" s="804">
        <v>0</v>
      </c>
      <c r="V117" s="772">
        <v>0</v>
      </c>
      <c r="W117" s="783">
        <v>0</v>
      </c>
      <c r="X117" s="803">
        <v>0</v>
      </c>
      <c r="Y117" s="778">
        <v>0</v>
      </c>
      <c r="Z117" s="802">
        <v>0</v>
      </c>
      <c r="AA117" s="803">
        <v>0</v>
      </c>
      <c r="AB117" s="803">
        <v>0</v>
      </c>
      <c r="AC117" s="778">
        <v>0</v>
      </c>
      <c r="AD117" s="782">
        <v>0</v>
      </c>
      <c r="AE117" s="803">
        <v>0</v>
      </c>
      <c r="AF117" s="771">
        <f t="shared" si="6"/>
        <v>187.01300000000001</v>
      </c>
      <c r="AG117" s="805">
        <f t="shared" si="7"/>
        <v>460.89</v>
      </c>
      <c r="AH117" s="1084">
        <f t="shared" si="8"/>
        <v>0</v>
      </c>
      <c r="AI117" s="132" t="str">
        <f t="shared" si="9"/>
        <v xml:space="preserve"> </v>
      </c>
      <c r="AS117" s="139" t="s">
        <v>471</v>
      </c>
      <c r="AT117" s="139" t="s">
        <v>472</v>
      </c>
      <c r="DS117" s="304"/>
      <c r="DT117" s="304"/>
      <c r="DU117" s="647" t="s">
        <v>552</v>
      </c>
      <c r="DV117" s="647" t="s">
        <v>1134</v>
      </c>
      <c r="DW117" s="647" t="s">
        <v>1134</v>
      </c>
      <c r="DX117" s="647" t="s">
        <v>1134</v>
      </c>
      <c r="DY117" s="647" t="s">
        <v>1134</v>
      </c>
      <c r="DZ117" s="647" t="s">
        <v>1134</v>
      </c>
      <c r="EA117" s="647" t="s">
        <v>471</v>
      </c>
      <c r="EB117" s="647" t="s">
        <v>1135</v>
      </c>
      <c r="EC117" s="647" t="s">
        <v>1134</v>
      </c>
      <c r="ED117" s="647" t="s">
        <v>1136</v>
      </c>
    </row>
    <row r="118" spans="1:134" ht="12.75" customHeight="1" x14ac:dyDescent="0.2">
      <c r="A118" s="749" t="s">
        <v>1365</v>
      </c>
      <c r="B118" s="146">
        <v>111</v>
      </c>
      <c r="C118" s="770">
        <v>0</v>
      </c>
      <c r="D118" s="770">
        <v>0</v>
      </c>
      <c r="E118" s="770">
        <v>0</v>
      </c>
      <c r="F118" s="770">
        <v>0</v>
      </c>
      <c r="G118" s="770">
        <v>0</v>
      </c>
      <c r="H118" s="786">
        <f t="shared" si="10"/>
        <v>0</v>
      </c>
      <c r="I118" s="776">
        <v>0</v>
      </c>
      <c r="J118" s="776">
        <v>0</v>
      </c>
      <c r="K118" s="801">
        <v>0</v>
      </c>
      <c r="L118" s="802">
        <v>0</v>
      </c>
      <c r="M118" s="803">
        <v>0</v>
      </c>
      <c r="N118" s="778">
        <v>0</v>
      </c>
      <c r="O118" s="782">
        <v>0</v>
      </c>
      <c r="P118" s="803">
        <v>0</v>
      </c>
      <c r="Q118" s="781">
        <v>0</v>
      </c>
      <c r="R118" s="803">
        <v>0</v>
      </c>
      <c r="S118" s="778">
        <v>0</v>
      </c>
      <c r="T118" s="778">
        <v>0</v>
      </c>
      <c r="U118" s="804">
        <v>0</v>
      </c>
      <c r="V118" s="772">
        <v>0</v>
      </c>
      <c r="W118" s="783">
        <v>0</v>
      </c>
      <c r="X118" s="803">
        <v>0</v>
      </c>
      <c r="Y118" s="778">
        <v>0</v>
      </c>
      <c r="Z118" s="802">
        <v>0</v>
      </c>
      <c r="AA118" s="803">
        <v>0</v>
      </c>
      <c r="AB118" s="803">
        <v>0</v>
      </c>
      <c r="AC118" s="778">
        <v>0</v>
      </c>
      <c r="AD118" s="782">
        <v>0</v>
      </c>
      <c r="AE118" s="803">
        <v>0</v>
      </c>
      <c r="AF118" s="771">
        <f t="shared" si="6"/>
        <v>0</v>
      </c>
      <c r="AG118" s="805">
        <f t="shared" si="7"/>
        <v>0</v>
      </c>
      <c r="AH118" s="1084">
        <f t="shared" si="8"/>
        <v>0</v>
      </c>
      <c r="AI118" s="132" t="str">
        <f t="shared" si="9"/>
        <v xml:space="preserve"> </v>
      </c>
      <c r="AS118" s="139" t="s">
        <v>541</v>
      </c>
      <c r="AT118" s="1086" t="s">
        <v>1402</v>
      </c>
      <c r="DS118" s="304"/>
      <c r="DT118" s="304"/>
      <c r="DU118" s="647" t="s">
        <v>552</v>
      </c>
      <c r="DV118" s="647" t="s">
        <v>1134</v>
      </c>
      <c r="DW118" s="647" t="s">
        <v>1134</v>
      </c>
      <c r="DX118" s="647" t="s">
        <v>1134</v>
      </c>
      <c r="DY118" s="647" t="s">
        <v>1134</v>
      </c>
      <c r="DZ118" s="647" t="s">
        <v>1134</v>
      </c>
      <c r="EA118" s="647" t="s">
        <v>541</v>
      </c>
      <c r="EB118" s="647" t="s">
        <v>1135</v>
      </c>
      <c r="EC118" s="647" t="s">
        <v>1134</v>
      </c>
      <c r="ED118" s="647" t="s">
        <v>1136</v>
      </c>
    </row>
    <row r="119" spans="1:134" ht="12.75" customHeight="1" x14ac:dyDescent="0.2">
      <c r="A119" s="749" t="s">
        <v>50</v>
      </c>
      <c r="B119" s="146">
        <v>112</v>
      </c>
      <c r="C119" s="770">
        <v>779.88099999999997</v>
      </c>
      <c r="D119" s="770">
        <v>44.777000000000001</v>
      </c>
      <c r="E119" s="770">
        <v>0</v>
      </c>
      <c r="F119" s="770">
        <v>3.0219999999999998</v>
      </c>
      <c r="G119" s="770">
        <v>0</v>
      </c>
      <c r="H119" s="786">
        <f t="shared" si="10"/>
        <v>827.68</v>
      </c>
      <c r="I119" s="776">
        <v>0</v>
      </c>
      <c r="J119" s="776">
        <v>86.977999999999994</v>
      </c>
      <c r="K119" s="801">
        <v>0.433</v>
      </c>
      <c r="L119" s="802">
        <v>0.123</v>
      </c>
      <c r="M119" s="803">
        <v>0</v>
      </c>
      <c r="N119" s="778">
        <v>0.123</v>
      </c>
      <c r="O119" s="782">
        <v>0</v>
      </c>
      <c r="P119" s="803">
        <v>0</v>
      </c>
      <c r="Q119" s="781">
        <v>0</v>
      </c>
      <c r="R119" s="803">
        <v>0</v>
      </c>
      <c r="S119" s="778">
        <v>0</v>
      </c>
      <c r="T119" s="778">
        <v>0</v>
      </c>
      <c r="U119" s="804">
        <v>0.871</v>
      </c>
      <c r="V119" s="772">
        <v>1.022</v>
      </c>
      <c r="W119" s="783">
        <v>1.893</v>
      </c>
      <c r="X119" s="803">
        <v>0</v>
      </c>
      <c r="Y119" s="778">
        <v>1.893</v>
      </c>
      <c r="Z119" s="802">
        <v>16.38</v>
      </c>
      <c r="AA119" s="803">
        <v>6.9749999999999996</v>
      </c>
      <c r="AB119" s="803">
        <v>0</v>
      </c>
      <c r="AC119" s="778">
        <v>9.4039999999999999</v>
      </c>
      <c r="AD119" s="782">
        <v>5.3659999999999997</v>
      </c>
      <c r="AE119" s="803">
        <v>1.387</v>
      </c>
      <c r="AF119" s="771">
        <f t="shared" si="6"/>
        <v>112.56</v>
      </c>
      <c r="AG119" s="805">
        <f t="shared" si="7"/>
        <v>940.24</v>
      </c>
      <c r="AH119" s="1084">
        <f t="shared" si="8"/>
        <v>0</v>
      </c>
      <c r="AI119" s="132" t="str">
        <f t="shared" si="9"/>
        <v xml:space="preserve"> </v>
      </c>
      <c r="AS119" s="139" t="s">
        <v>271</v>
      </c>
      <c r="AT119" s="139" t="s">
        <v>270</v>
      </c>
      <c r="DS119" s="304"/>
      <c r="DT119" s="304"/>
      <c r="DU119" s="647" t="s">
        <v>552</v>
      </c>
      <c r="DV119" s="647" t="s">
        <v>1134</v>
      </c>
      <c r="DW119" s="647" t="s">
        <v>1134</v>
      </c>
      <c r="DX119" s="647" t="s">
        <v>1134</v>
      </c>
      <c r="DY119" s="647" t="s">
        <v>1134</v>
      </c>
      <c r="DZ119" s="647" t="s">
        <v>1134</v>
      </c>
      <c r="EA119" s="647" t="s">
        <v>271</v>
      </c>
      <c r="EB119" s="647" t="s">
        <v>1135</v>
      </c>
      <c r="EC119" s="647" t="s">
        <v>1134</v>
      </c>
      <c r="ED119" s="647" t="s">
        <v>1136</v>
      </c>
    </row>
    <row r="120" spans="1:134" x14ac:dyDescent="0.2">
      <c r="A120" s="749" t="s">
        <v>51</v>
      </c>
      <c r="B120" s="146">
        <v>113</v>
      </c>
      <c r="C120" s="770">
        <v>63.308</v>
      </c>
      <c r="D120" s="770">
        <v>0</v>
      </c>
      <c r="E120" s="770">
        <v>0</v>
      </c>
      <c r="F120" s="770">
        <v>0</v>
      </c>
      <c r="G120" s="770">
        <v>0</v>
      </c>
      <c r="H120" s="786">
        <f t="shared" si="10"/>
        <v>63.308</v>
      </c>
      <c r="I120" s="776">
        <v>0</v>
      </c>
      <c r="J120" s="776">
        <v>0</v>
      </c>
      <c r="K120" s="801">
        <v>0</v>
      </c>
      <c r="L120" s="802">
        <v>0</v>
      </c>
      <c r="M120" s="803">
        <v>0</v>
      </c>
      <c r="N120" s="778">
        <v>0</v>
      </c>
      <c r="O120" s="782">
        <v>0</v>
      </c>
      <c r="P120" s="803">
        <v>0</v>
      </c>
      <c r="Q120" s="781">
        <v>0</v>
      </c>
      <c r="R120" s="803">
        <v>0</v>
      </c>
      <c r="S120" s="778">
        <v>0</v>
      </c>
      <c r="T120" s="778">
        <v>0</v>
      </c>
      <c r="U120" s="804">
        <v>0</v>
      </c>
      <c r="V120" s="772">
        <v>0</v>
      </c>
      <c r="W120" s="783">
        <v>0</v>
      </c>
      <c r="X120" s="803">
        <v>0</v>
      </c>
      <c r="Y120" s="778">
        <v>0</v>
      </c>
      <c r="Z120" s="802">
        <v>0</v>
      </c>
      <c r="AA120" s="803">
        <v>0</v>
      </c>
      <c r="AB120" s="803">
        <v>0</v>
      </c>
      <c r="AC120" s="778">
        <v>0</v>
      </c>
      <c r="AD120" s="782">
        <v>0</v>
      </c>
      <c r="AE120" s="803">
        <v>0</v>
      </c>
      <c r="AF120" s="771">
        <f t="shared" si="6"/>
        <v>0</v>
      </c>
      <c r="AG120" s="805">
        <f t="shared" si="7"/>
        <v>63.308</v>
      </c>
      <c r="AH120" s="1084">
        <f t="shared" si="8"/>
        <v>0</v>
      </c>
      <c r="AI120" s="132" t="str">
        <f t="shared" si="9"/>
        <v xml:space="preserve"> </v>
      </c>
      <c r="AS120" s="139" t="s">
        <v>473</v>
      </c>
      <c r="AT120" s="139" t="s">
        <v>474</v>
      </c>
      <c r="DS120" s="304"/>
      <c r="DT120" s="304"/>
      <c r="DU120" s="647" t="s">
        <v>552</v>
      </c>
      <c r="DV120" s="647" t="s">
        <v>1134</v>
      </c>
      <c r="DW120" s="647" t="s">
        <v>1134</v>
      </c>
      <c r="DX120" s="647" t="s">
        <v>1134</v>
      </c>
      <c r="DY120" s="647" t="s">
        <v>1134</v>
      </c>
      <c r="DZ120" s="647" t="s">
        <v>1134</v>
      </c>
      <c r="EA120" s="647" t="s">
        <v>473</v>
      </c>
      <c r="EB120" s="647" t="s">
        <v>1135</v>
      </c>
      <c r="EC120" s="647" t="s">
        <v>1134</v>
      </c>
      <c r="ED120" s="647" t="s">
        <v>1136</v>
      </c>
    </row>
    <row r="121" spans="1:134" ht="12.75" customHeight="1" x14ac:dyDescent="0.2">
      <c r="A121" s="749" t="s">
        <v>52</v>
      </c>
      <c r="B121" s="146">
        <v>114</v>
      </c>
      <c r="C121" s="770">
        <v>143.98099999999999</v>
      </c>
      <c r="D121" s="770">
        <v>0</v>
      </c>
      <c r="E121" s="770">
        <v>0</v>
      </c>
      <c r="F121" s="770">
        <v>0</v>
      </c>
      <c r="G121" s="770">
        <v>0</v>
      </c>
      <c r="H121" s="786">
        <f t="shared" si="10"/>
        <v>143.98099999999999</v>
      </c>
      <c r="I121" s="776">
        <v>0</v>
      </c>
      <c r="J121" s="776">
        <v>0</v>
      </c>
      <c r="K121" s="801">
        <v>0</v>
      </c>
      <c r="L121" s="802">
        <v>0</v>
      </c>
      <c r="M121" s="803">
        <v>0</v>
      </c>
      <c r="N121" s="778">
        <v>0</v>
      </c>
      <c r="O121" s="782">
        <v>0</v>
      </c>
      <c r="P121" s="803">
        <v>0</v>
      </c>
      <c r="Q121" s="781">
        <v>0</v>
      </c>
      <c r="R121" s="803">
        <v>0</v>
      </c>
      <c r="S121" s="778">
        <v>0</v>
      </c>
      <c r="T121" s="778">
        <v>0</v>
      </c>
      <c r="U121" s="804">
        <v>0</v>
      </c>
      <c r="V121" s="772">
        <v>0</v>
      </c>
      <c r="W121" s="783">
        <v>0</v>
      </c>
      <c r="X121" s="803">
        <v>0</v>
      </c>
      <c r="Y121" s="778">
        <v>0</v>
      </c>
      <c r="Z121" s="802">
        <v>0</v>
      </c>
      <c r="AA121" s="803">
        <v>0</v>
      </c>
      <c r="AB121" s="803">
        <v>0</v>
      </c>
      <c r="AC121" s="778">
        <v>0</v>
      </c>
      <c r="AD121" s="782">
        <v>0</v>
      </c>
      <c r="AE121" s="803">
        <v>0</v>
      </c>
      <c r="AF121" s="771">
        <f t="shared" si="6"/>
        <v>0</v>
      </c>
      <c r="AG121" s="805">
        <f t="shared" si="7"/>
        <v>143.98099999999999</v>
      </c>
      <c r="AH121" s="1084">
        <f t="shared" si="8"/>
        <v>0</v>
      </c>
      <c r="AI121" s="132" t="str">
        <f t="shared" si="9"/>
        <v xml:space="preserve"> </v>
      </c>
      <c r="AS121" s="143" t="s">
        <v>475</v>
      </c>
      <c r="AT121" s="143" t="s">
        <v>476</v>
      </c>
      <c r="DS121" s="304"/>
      <c r="DT121" s="304"/>
      <c r="DU121" s="647" t="s">
        <v>552</v>
      </c>
      <c r="DV121" s="647" t="s">
        <v>1134</v>
      </c>
      <c r="DW121" s="647" t="s">
        <v>1134</v>
      </c>
      <c r="DX121" s="647" t="s">
        <v>1134</v>
      </c>
      <c r="DY121" s="647" t="s">
        <v>1134</v>
      </c>
      <c r="DZ121" s="647" t="s">
        <v>1134</v>
      </c>
      <c r="EA121" s="647" t="s">
        <v>1179</v>
      </c>
      <c r="EB121" s="647" t="s">
        <v>1135</v>
      </c>
      <c r="EC121" s="647" t="s">
        <v>1134</v>
      </c>
      <c r="ED121" s="647" t="s">
        <v>1136</v>
      </c>
    </row>
    <row r="122" spans="1:134" x14ac:dyDescent="0.2">
      <c r="A122" s="749" t="s">
        <v>997</v>
      </c>
      <c r="B122" s="146">
        <v>115</v>
      </c>
      <c r="C122" s="770">
        <v>0</v>
      </c>
      <c r="D122" s="770">
        <v>0</v>
      </c>
      <c r="E122" s="770">
        <v>0</v>
      </c>
      <c r="F122" s="770">
        <v>0</v>
      </c>
      <c r="G122" s="770">
        <v>0</v>
      </c>
      <c r="H122" s="786">
        <f t="shared" si="10"/>
        <v>0</v>
      </c>
      <c r="I122" s="776">
        <v>0</v>
      </c>
      <c r="J122" s="776">
        <v>0</v>
      </c>
      <c r="K122" s="801">
        <v>0</v>
      </c>
      <c r="L122" s="802">
        <v>0</v>
      </c>
      <c r="M122" s="803">
        <v>0</v>
      </c>
      <c r="N122" s="778">
        <v>0</v>
      </c>
      <c r="O122" s="782">
        <v>0</v>
      </c>
      <c r="P122" s="803">
        <v>0</v>
      </c>
      <c r="Q122" s="781">
        <v>0</v>
      </c>
      <c r="R122" s="803">
        <v>0</v>
      </c>
      <c r="S122" s="778">
        <v>0</v>
      </c>
      <c r="T122" s="778">
        <v>0</v>
      </c>
      <c r="U122" s="804">
        <v>0</v>
      </c>
      <c r="V122" s="772">
        <v>0</v>
      </c>
      <c r="W122" s="783">
        <v>0</v>
      </c>
      <c r="X122" s="803">
        <v>0</v>
      </c>
      <c r="Y122" s="778">
        <v>0</v>
      </c>
      <c r="Z122" s="802">
        <v>0</v>
      </c>
      <c r="AA122" s="803">
        <v>0</v>
      </c>
      <c r="AB122" s="803">
        <v>0</v>
      </c>
      <c r="AC122" s="778">
        <v>0</v>
      </c>
      <c r="AD122" s="782">
        <v>0</v>
      </c>
      <c r="AE122" s="803">
        <v>0</v>
      </c>
      <c r="AF122" s="771">
        <f t="shared" si="6"/>
        <v>0</v>
      </c>
      <c r="AG122" s="805">
        <f t="shared" si="7"/>
        <v>0</v>
      </c>
      <c r="AH122" s="1084">
        <f t="shared" si="8"/>
        <v>0</v>
      </c>
      <c r="AI122" s="132" t="str">
        <f t="shared" si="9"/>
        <v xml:space="preserve"> </v>
      </c>
      <c r="AS122" s="143" t="s">
        <v>603</v>
      </c>
      <c r="AT122" s="143" t="s">
        <v>478</v>
      </c>
      <c r="DS122" s="304"/>
      <c r="DT122" s="304"/>
      <c r="DU122" s="647" t="s">
        <v>552</v>
      </c>
      <c r="DV122" s="647" t="s">
        <v>1134</v>
      </c>
      <c r="DW122" s="647" t="s">
        <v>1134</v>
      </c>
      <c r="DX122" s="647" t="s">
        <v>1134</v>
      </c>
      <c r="DY122" s="647" t="s">
        <v>1134</v>
      </c>
      <c r="DZ122" s="647" t="s">
        <v>1134</v>
      </c>
      <c r="EA122" s="647" t="s">
        <v>1180</v>
      </c>
      <c r="EB122" s="647" t="s">
        <v>1135</v>
      </c>
      <c r="EC122" s="647" t="s">
        <v>1134</v>
      </c>
      <c r="ED122" s="647" t="s">
        <v>1136</v>
      </c>
    </row>
    <row r="123" spans="1:134" ht="12.75" customHeight="1" x14ac:dyDescent="0.2">
      <c r="A123" s="749" t="s">
        <v>53</v>
      </c>
      <c r="B123" s="146">
        <v>116</v>
      </c>
      <c r="C123" s="770">
        <v>0</v>
      </c>
      <c r="D123" s="770">
        <v>0</v>
      </c>
      <c r="E123" s="770">
        <v>0</v>
      </c>
      <c r="F123" s="770">
        <v>0</v>
      </c>
      <c r="G123" s="770">
        <v>0</v>
      </c>
      <c r="H123" s="786">
        <f t="shared" si="10"/>
        <v>0</v>
      </c>
      <c r="I123" s="776">
        <v>0</v>
      </c>
      <c r="J123" s="776">
        <v>0</v>
      </c>
      <c r="K123" s="801">
        <v>0</v>
      </c>
      <c r="L123" s="802">
        <v>0</v>
      </c>
      <c r="M123" s="803">
        <v>0</v>
      </c>
      <c r="N123" s="778">
        <v>0</v>
      </c>
      <c r="O123" s="782">
        <v>0</v>
      </c>
      <c r="P123" s="803">
        <v>0</v>
      </c>
      <c r="Q123" s="781">
        <v>0</v>
      </c>
      <c r="R123" s="803">
        <v>0</v>
      </c>
      <c r="S123" s="778">
        <v>0</v>
      </c>
      <c r="T123" s="778">
        <v>0</v>
      </c>
      <c r="U123" s="804">
        <v>0</v>
      </c>
      <c r="V123" s="772">
        <v>0</v>
      </c>
      <c r="W123" s="783">
        <v>0</v>
      </c>
      <c r="X123" s="803">
        <v>0</v>
      </c>
      <c r="Y123" s="778">
        <v>0</v>
      </c>
      <c r="Z123" s="802">
        <v>0</v>
      </c>
      <c r="AA123" s="803">
        <v>0</v>
      </c>
      <c r="AB123" s="803">
        <v>0</v>
      </c>
      <c r="AC123" s="778">
        <v>0</v>
      </c>
      <c r="AD123" s="782">
        <v>0</v>
      </c>
      <c r="AE123" s="803">
        <v>0</v>
      </c>
      <c r="AF123" s="771">
        <f t="shared" si="6"/>
        <v>0</v>
      </c>
      <c r="AG123" s="805">
        <f t="shared" si="7"/>
        <v>0</v>
      </c>
      <c r="AH123" s="1084">
        <f t="shared" si="8"/>
        <v>0</v>
      </c>
      <c r="AI123" s="132" t="str">
        <f t="shared" si="9"/>
        <v xml:space="preserve"> </v>
      </c>
      <c r="AS123" s="143" t="s">
        <v>480</v>
      </c>
      <c r="AT123" s="144" t="s">
        <v>477</v>
      </c>
      <c r="DS123" s="304"/>
      <c r="DT123" s="304"/>
      <c r="DU123" s="647" t="s">
        <v>552</v>
      </c>
      <c r="DV123" s="647" t="s">
        <v>1134</v>
      </c>
      <c r="DW123" s="647" t="s">
        <v>1134</v>
      </c>
      <c r="DX123" s="647" t="s">
        <v>1134</v>
      </c>
      <c r="DY123" s="647" t="s">
        <v>1134</v>
      </c>
      <c r="DZ123" s="647" t="s">
        <v>1134</v>
      </c>
      <c r="EA123" s="647" t="s">
        <v>1181</v>
      </c>
      <c r="EB123" s="647" t="s">
        <v>1135</v>
      </c>
      <c r="EC123" s="647" t="s">
        <v>1134</v>
      </c>
      <c r="ED123" s="647" t="s">
        <v>1136</v>
      </c>
    </row>
    <row r="124" spans="1:134" x14ac:dyDescent="0.2">
      <c r="A124" s="749" t="s">
        <v>614</v>
      </c>
      <c r="B124" s="146">
        <v>117</v>
      </c>
      <c r="C124" s="770">
        <v>0</v>
      </c>
      <c r="D124" s="770">
        <v>0</v>
      </c>
      <c r="E124" s="770">
        <v>0</v>
      </c>
      <c r="F124" s="770">
        <v>0</v>
      </c>
      <c r="G124" s="770">
        <v>0</v>
      </c>
      <c r="H124" s="786">
        <f t="shared" si="10"/>
        <v>0</v>
      </c>
      <c r="I124" s="776">
        <v>0</v>
      </c>
      <c r="J124" s="776">
        <v>0</v>
      </c>
      <c r="K124" s="801">
        <v>0</v>
      </c>
      <c r="L124" s="802">
        <v>0</v>
      </c>
      <c r="M124" s="803">
        <v>0</v>
      </c>
      <c r="N124" s="778">
        <v>0</v>
      </c>
      <c r="O124" s="782">
        <v>0</v>
      </c>
      <c r="P124" s="803">
        <v>0</v>
      </c>
      <c r="Q124" s="781">
        <v>0</v>
      </c>
      <c r="R124" s="803">
        <v>0</v>
      </c>
      <c r="S124" s="778">
        <v>0</v>
      </c>
      <c r="T124" s="778">
        <v>0</v>
      </c>
      <c r="U124" s="804">
        <v>0</v>
      </c>
      <c r="V124" s="772">
        <v>0</v>
      </c>
      <c r="W124" s="783">
        <v>0</v>
      </c>
      <c r="X124" s="803">
        <v>0</v>
      </c>
      <c r="Y124" s="778">
        <v>0</v>
      </c>
      <c r="Z124" s="802">
        <v>0</v>
      </c>
      <c r="AA124" s="803">
        <v>0</v>
      </c>
      <c r="AB124" s="803">
        <v>0</v>
      </c>
      <c r="AC124" s="778">
        <v>0</v>
      </c>
      <c r="AD124" s="782">
        <v>0</v>
      </c>
      <c r="AE124" s="803">
        <v>0</v>
      </c>
      <c r="AF124" s="771">
        <f t="shared" si="6"/>
        <v>0</v>
      </c>
      <c r="AG124" s="805">
        <f t="shared" si="7"/>
        <v>0</v>
      </c>
      <c r="AH124" s="1084">
        <f t="shared" si="8"/>
        <v>0</v>
      </c>
      <c r="AI124" s="132" t="str">
        <f t="shared" si="9"/>
        <v xml:space="preserve"> </v>
      </c>
      <c r="AS124" s="144" t="s">
        <v>1382</v>
      </c>
      <c r="AT124" s="1086" t="s">
        <v>1401</v>
      </c>
      <c r="DS124" s="304"/>
      <c r="DT124" s="304"/>
      <c r="DU124" s="647" t="s">
        <v>552</v>
      </c>
      <c r="DV124" s="647" t="s">
        <v>1134</v>
      </c>
      <c r="DW124" s="647" t="s">
        <v>1134</v>
      </c>
      <c r="DX124" s="647" t="s">
        <v>1134</v>
      </c>
      <c r="DY124" s="647" t="s">
        <v>1134</v>
      </c>
      <c r="DZ124" s="647" t="s">
        <v>1134</v>
      </c>
      <c r="EA124" s="647" t="s">
        <v>1182</v>
      </c>
      <c r="EB124" s="647" t="s">
        <v>1135</v>
      </c>
      <c r="EC124" s="647" t="s">
        <v>1134</v>
      </c>
      <c r="ED124" s="647" t="s">
        <v>1136</v>
      </c>
    </row>
    <row r="125" spans="1:134" ht="12.75" customHeight="1" x14ac:dyDescent="0.2">
      <c r="A125" s="749" t="s">
        <v>601</v>
      </c>
      <c r="B125" s="146">
        <v>118</v>
      </c>
      <c r="C125" s="770">
        <v>0</v>
      </c>
      <c r="D125" s="770">
        <v>0</v>
      </c>
      <c r="E125" s="770">
        <v>0</v>
      </c>
      <c r="F125" s="770">
        <v>0</v>
      </c>
      <c r="G125" s="770">
        <v>0</v>
      </c>
      <c r="H125" s="786">
        <f t="shared" si="10"/>
        <v>0</v>
      </c>
      <c r="I125" s="776">
        <v>0</v>
      </c>
      <c r="J125" s="776">
        <v>0</v>
      </c>
      <c r="K125" s="801">
        <v>0</v>
      </c>
      <c r="L125" s="802">
        <v>0</v>
      </c>
      <c r="M125" s="803">
        <v>0</v>
      </c>
      <c r="N125" s="778">
        <v>0</v>
      </c>
      <c r="O125" s="782">
        <v>0</v>
      </c>
      <c r="P125" s="803">
        <v>0</v>
      </c>
      <c r="Q125" s="781">
        <v>0</v>
      </c>
      <c r="R125" s="803">
        <v>0</v>
      </c>
      <c r="S125" s="778">
        <v>0</v>
      </c>
      <c r="T125" s="778">
        <v>0</v>
      </c>
      <c r="U125" s="804">
        <v>0</v>
      </c>
      <c r="V125" s="772">
        <v>0</v>
      </c>
      <c r="W125" s="783">
        <v>0</v>
      </c>
      <c r="X125" s="803">
        <v>0</v>
      </c>
      <c r="Y125" s="778">
        <v>0</v>
      </c>
      <c r="Z125" s="802">
        <v>0</v>
      </c>
      <c r="AA125" s="803">
        <v>0</v>
      </c>
      <c r="AB125" s="803">
        <v>0</v>
      </c>
      <c r="AC125" s="778">
        <v>0</v>
      </c>
      <c r="AD125" s="782">
        <v>0</v>
      </c>
      <c r="AE125" s="803">
        <v>0</v>
      </c>
      <c r="AF125" s="771">
        <f t="shared" si="6"/>
        <v>0</v>
      </c>
      <c r="AG125" s="805">
        <f t="shared" si="7"/>
        <v>0</v>
      </c>
      <c r="AH125" s="1084">
        <f t="shared" si="8"/>
        <v>0</v>
      </c>
      <c r="AI125" s="132" t="str">
        <f t="shared" si="9"/>
        <v xml:space="preserve"> </v>
      </c>
      <c r="AS125" s="143" t="s">
        <v>605</v>
      </c>
      <c r="AT125" s="143" t="s">
        <v>479</v>
      </c>
      <c r="DS125" s="304"/>
      <c r="DT125" s="304"/>
      <c r="DU125" s="647" t="s">
        <v>552</v>
      </c>
      <c r="DV125" s="647" t="s">
        <v>1134</v>
      </c>
      <c r="DW125" s="647" t="s">
        <v>1134</v>
      </c>
      <c r="DX125" s="647" t="s">
        <v>1134</v>
      </c>
      <c r="DY125" s="647" t="s">
        <v>1134</v>
      </c>
      <c r="DZ125" s="647" t="s">
        <v>1134</v>
      </c>
      <c r="EA125" s="647" t="s">
        <v>1183</v>
      </c>
      <c r="EB125" s="647" t="s">
        <v>1135</v>
      </c>
      <c r="EC125" s="647" t="s">
        <v>1134</v>
      </c>
      <c r="ED125" s="647" t="s">
        <v>1136</v>
      </c>
    </row>
    <row r="126" spans="1:134" x14ac:dyDescent="0.2">
      <c r="A126" s="749" t="s">
        <v>998</v>
      </c>
      <c r="B126" s="146">
        <v>119</v>
      </c>
      <c r="C126" s="770">
        <v>301.00599999999997</v>
      </c>
      <c r="D126" s="770">
        <v>0</v>
      </c>
      <c r="E126" s="770">
        <v>0</v>
      </c>
      <c r="F126" s="770">
        <v>0</v>
      </c>
      <c r="G126" s="770">
        <v>0</v>
      </c>
      <c r="H126" s="786">
        <f t="shared" si="10"/>
        <v>301.00599999999997</v>
      </c>
      <c r="I126" s="776">
        <v>0</v>
      </c>
      <c r="J126" s="776">
        <v>0</v>
      </c>
      <c r="K126" s="801">
        <v>0</v>
      </c>
      <c r="L126" s="802">
        <v>0</v>
      </c>
      <c r="M126" s="803">
        <v>0</v>
      </c>
      <c r="N126" s="778">
        <v>0</v>
      </c>
      <c r="O126" s="782">
        <v>0</v>
      </c>
      <c r="P126" s="803">
        <v>0</v>
      </c>
      <c r="Q126" s="781">
        <v>0</v>
      </c>
      <c r="R126" s="803">
        <v>0</v>
      </c>
      <c r="S126" s="778">
        <v>0</v>
      </c>
      <c r="T126" s="778">
        <v>0</v>
      </c>
      <c r="U126" s="804">
        <v>0</v>
      </c>
      <c r="V126" s="772">
        <v>0</v>
      </c>
      <c r="W126" s="783">
        <v>0</v>
      </c>
      <c r="X126" s="803">
        <v>0</v>
      </c>
      <c r="Y126" s="778">
        <v>0</v>
      </c>
      <c r="Z126" s="802">
        <v>0</v>
      </c>
      <c r="AA126" s="803">
        <v>0</v>
      </c>
      <c r="AB126" s="803">
        <v>0</v>
      </c>
      <c r="AC126" s="778">
        <v>0</v>
      </c>
      <c r="AD126" s="782">
        <v>0</v>
      </c>
      <c r="AE126" s="803">
        <v>0</v>
      </c>
      <c r="AF126" s="771">
        <f t="shared" si="6"/>
        <v>0</v>
      </c>
      <c r="AG126" s="805">
        <f t="shared" si="7"/>
        <v>301.00599999999997</v>
      </c>
      <c r="AH126" s="1084">
        <f t="shared" si="8"/>
        <v>0</v>
      </c>
      <c r="AI126" s="132" t="str">
        <f t="shared" si="9"/>
        <v xml:space="preserve"> </v>
      </c>
      <c r="AS126" s="143" t="s">
        <v>604</v>
      </c>
      <c r="AT126" s="143" t="s">
        <v>602</v>
      </c>
      <c r="DS126" s="304"/>
      <c r="DT126" s="304"/>
      <c r="DU126" s="647" t="s">
        <v>552</v>
      </c>
      <c r="DV126" s="647" t="s">
        <v>1134</v>
      </c>
      <c r="DW126" s="647" t="s">
        <v>1134</v>
      </c>
      <c r="DX126" s="647" t="s">
        <v>1134</v>
      </c>
      <c r="DY126" s="647" t="s">
        <v>1134</v>
      </c>
      <c r="DZ126" s="647" t="s">
        <v>1134</v>
      </c>
      <c r="EA126" s="647" t="s">
        <v>1184</v>
      </c>
      <c r="EB126" s="647" t="s">
        <v>1135</v>
      </c>
      <c r="EC126" s="647" t="s">
        <v>1134</v>
      </c>
      <c r="ED126" s="647" t="s">
        <v>1136</v>
      </c>
    </row>
    <row r="127" spans="1:134" ht="12.75" customHeight="1" x14ac:dyDescent="0.2">
      <c r="A127" s="749" t="s">
        <v>71</v>
      </c>
      <c r="B127" s="146">
        <v>120</v>
      </c>
      <c r="C127" s="770">
        <v>0</v>
      </c>
      <c r="D127" s="770">
        <v>0</v>
      </c>
      <c r="E127" s="770">
        <v>0</v>
      </c>
      <c r="F127" s="770">
        <v>0</v>
      </c>
      <c r="G127" s="770">
        <v>0</v>
      </c>
      <c r="H127" s="786">
        <f t="shared" si="10"/>
        <v>0</v>
      </c>
      <c r="I127" s="776">
        <v>0</v>
      </c>
      <c r="J127" s="776">
        <v>0</v>
      </c>
      <c r="K127" s="801">
        <v>0</v>
      </c>
      <c r="L127" s="802">
        <v>0</v>
      </c>
      <c r="M127" s="803">
        <v>0</v>
      </c>
      <c r="N127" s="778">
        <v>0</v>
      </c>
      <c r="O127" s="782">
        <v>0</v>
      </c>
      <c r="P127" s="803">
        <v>0</v>
      </c>
      <c r="Q127" s="781">
        <v>0</v>
      </c>
      <c r="R127" s="803">
        <v>0</v>
      </c>
      <c r="S127" s="778">
        <v>0</v>
      </c>
      <c r="T127" s="778">
        <v>0</v>
      </c>
      <c r="U127" s="804">
        <v>0</v>
      </c>
      <c r="V127" s="772">
        <v>0</v>
      </c>
      <c r="W127" s="783">
        <v>0</v>
      </c>
      <c r="X127" s="803">
        <v>0</v>
      </c>
      <c r="Y127" s="778">
        <v>0</v>
      </c>
      <c r="Z127" s="802">
        <v>0</v>
      </c>
      <c r="AA127" s="803">
        <v>0</v>
      </c>
      <c r="AB127" s="803">
        <v>0</v>
      </c>
      <c r="AC127" s="778">
        <v>0</v>
      </c>
      <c r="AD127" s="782">
        <v>0</v>
      </c>
      <c r="AE127" s="803">
        <v>0</v>
      </c>
      <c r="AF127" s="771">
        <f t="shared" si="6"/>
        <v>0</v>
      </c>
      <c r="AG127" s="805">
        <f t="shared" si="7"/>
        <v>0</v>
      </c>
      <c r="AH127" s="1084">
        <f t="shared" si="8"/>
        <v>0</v>
      </c>
      <c r="AI127" s="132" t="str">
        <f t="shared" si="9"/>
        <v xml:space="preserve"> </v>
      </c>
      <c r="AS127" s="139" t="s">
        <v>576</v>
      </c>
      <c r="AT127" s="139" t="s">
        <v>577</v>
      </c>
      <c r="DS127" s="304"/>
      <c r="DT127" s="304"/>
      <c r="DU127" s="647" t="s">
        <v>552</v>
      </c>
      <c r="DV127" s="647" t="s">
        <v>1134</v>
      </c>
      <c r="DW127" s="647" t="s">
        <v>1134</v>
      </c>
      <c r="DX127" s="647" t="s">
        <v>1134</v>
      </c>
      <c r="DY127" s="647" t="s">
        <v>1134</v>
      </c>
      <c r="DZ127" s="647" t="s">
        <v>1134</v>
      </c>
      <c r="EA127" s="647" t="s">
        <v>576</v>
      </c>
      <c r="EB127" s="647" t="s">
        <v>1135</v>
      </c>
      <c r="EC127" s="647" t="s">
        <v>1134</v>
      </c>
      <c r="ED127" s="647" t="s">
        <v>1136</v>
      </c>
    </row>
    <row r="128" spans="1:134" x14ac:dyDescent="0.2">
      <c r="A128" s="749" t="s">
        <v>999</v>
      </c>
      <c r="B128" s="146">
        <v>121</v>
      </c>
      <c r="C128" s="770">
        <v>0</v>
      </c>
      <c r="D128" s="770">
        <v>0</v>
      </c>
      <c r="E128" s="770">
        <v>0</v>
      </c>
      <c r="F128" s="770">
        <v>0</v>
      </c>
      <c r="G128" s="770">
        <v>0</v>
      </c>
      <c r="H128" s="786">
        <f t="shared" si="10"/>
        <v>0</v>
      </c>
      <c r="I128" s="776">
        <v>0</v>
      </c>
      <c r="J128" s="776">
        <v>0</v>
      </c>
      <c r="K128" s="801">
        <v>0</v>
      </c>
      <c r="L128" s="802">
        <v>0</v>
      </c>
      <c r="M128" s="803">
        <v>0</v>
      </c>
      <c r="N128" s="778">
        <v>0</v>
      </c>
      <c r="O128" s="782">
        <v>0</v>
      </c>
      <c r="P128" s="803">
        <v>0</v>
      </c>
      <c r="Q128" s="781">
        <v>0</v>
      </c>
      <c r="R128" s="803">
        <v>0</v>
      </c>
      <c r="S128" s="778">
        <v>0</v>
      </c>
      <c r="T128" s="778">
        <v>0</v>
      </c>
      <c r="U128" s="804">
        <v>0</v>
      </c>
      <c r="V128" s="772">
        <v>0</v>
      </c>
      <c r="W128" s="783">
        <v>0</v>
      </c>
      <c r="X128" s="803">
        <v>0</v>
      </c>
      <c r="Y128" s="778">
        <v>0</v>
      </c>
      <c r="Z128" s="802">
        <v>0</v>
      </c>
      <c r="AA128" s="803">
        <v>0</v>
      </c>
      <c r="AB128" s="803">
        <v>0</v>
      </c>
      <c r="AC128" s="778">
        <v>0</v>
      </c>
      <c r="AD128" s="782">
        <v>0</v>
      </c>
      <c r="AE128" s="803">
        <v>0</v>
      </c>
      <c r="AF128" s="771">
        <f t="shared" si="6"/>
        <v>0</v>
      </c>
      <c r="AG128" s="805">
        <f t="shared" si="7"/>
        <v>0</v>
      </c>
      <c r="AH128" s="1084">
        <f t="shared" si="8"/>
        <v>0</v>
      </c>
      <c r="AI128" s="132" t="str">
        <f t="shared" si="9"/>
        <v xml:space="preserve"> </v>
      </c>
      <c r="AS128" s="139" t="s">
        <v>1088</v>
      </c>
      <c r="AT128" s="139" t="s">
        <v>1089</v>
      </c>
      <c r="DS128" s="304"/>
      <c r="DT128" s="304"/>
      <c r="DU128" s="647" t="s">
        <v>552</v>
      </c>
      <c r="DV128" s="647" t="s">
        <v>1134</v>
      </c>
      <c r="DW128" s="647" t="s">
        <v>1134</v>
      </c>
      <c r="DX128" s="647" t="s">
        <v>1134</v>
      </c>
      <c r="DY128" s="647" t="s">
        <v>1134</v>
      </c>
      <c r="DZ128" s="647" t="s">
        <v>1134</v>
      </c>
      <c r="EA128" s="647" t="s">
        <v>1088</v>
      </c>
      <c r="EB128" s="647" t="s">
        <v>1135</v>
      </c>
      <c r="EC128" s="647" t="s">
        <v>1134</v>
      </c>
      <c r="ED128" s="647" t="s">
        <v>1136</v>
      </c>
    </row>
    <row r="129" spans="1:134" ht="12.75" customHeight="1" x14ac:dyDescent="0.2">
      <c r="A129" s="749" t="s">
        <v>54</v>
      </c>
      <c r="B129" s="146">
        <v>122</v>
      </c>
      <c r="C129" s="770">
        <v>0</v>
      </c>
      <c r="D129" s="770">
        <v>0</v>
      </c>
      <c r="E129" s="770">
        <v>0</v>
      </c>
      <c r="F129" s="770">
        <v>0</v>
      </c>
      <c r="G129" s="770">
        <v>0</v>
      </c>
      <c r="H129" s="786">
        <f t="shared" si="10"/>
        <v>0</v>
      </c>
      <c r="I129" s="776">
        <v>0</v>
      </c>
      <c r="J129" s="776">
        <v>0</v>
      </c>
      <c r="K129" s="801">
        <v>0</v>
      </c>
      <c r="L129" s="802">
        <v>0</v>
      </c>
      <c r="M129" s="803">
        <v>0</v>
      </c>
      <c r="N129" s="778">
        <v>0</v>
      </c>
      <c r="O129" s="782">
        <v>0</v>
      </c>
      <c r="P129" s="803">
        <v>0</v>
      </c>
      <c r="Q129" s="781">
        <v>0</v>
      </c>
      <c r="R129" s="803">
        <v>0</v>
      </c>
      <c r="S129" s="778">
        <v>0</v>
      </c>
      <c r="T129" s="778">
        <v>0</v>
      </c>
      <c r="U129" s="804">
        <v>0</v>
      </c>
      <c r="V129" s="772">
        <v>0</v>
      </c>
      <c r="W129" s="783">
        <v>0</v>
      </c>
      <c r="X129" s="803">
        <v>0</v>
      </c>
      <c r="Y129" s="778">
        <v>0</v>
      </c>
      <c r="Z129" s="802">
        <v>0</v>
      </c>
      <c r="AA129" s="803">
        <v>0</v>
      </c>
      <c r="AB129" s="803">
        <v>0</v>
      </c>
      <c r="AC129" s="778">
        <v>0</v>
      </c>
      <c r="AD129" s="782">
        <v>0</v>
      </c>
      <c r="AE129" s="803">
        <v>0</v>
      </c>
      <c r="AF129" s="771">
        <f t="shared" si="6"/>
        <v>0</v>
      </c>
      <c r="AG129" s="805">
        <f t="shared" si="7"/>
        <v>0</v>
      </c>
      <c r="AH129" s="1084">
        <f t="shared" si="8"/>
        <v>0</v>
      </c>
      <c r="AI129" s="132" t="str">
        <f t="shared" si="9"/>
        <v xml:space="preserve"> </v>
      </c>
      <c r="AS129" s="139" t="s">
        <v>481</v>
      </c>
      <c r="AT129" s="139" t="s">
        <v>482</v>
      </c>
      <c r="DS129" s="304"/>
      <c r="DT129" s="304"/>
      <c r="DU129" s="647" t="s">
        <v>552</v>
      </c>
      <c r="DV129" s="647" t="s">
        <v>1134</v>
      </c>
      <c r="DW129" s="647" t="s">
        <v>1134</v>
      </c>
      <c r="DX129" s="647" t="s">
        <v>1134</v>
      </c>
      <c r="DY129" s="647" t="s">
        <v>1134</v>
      </c>
      <c r="DZ129" s="647" t="s">
        <v>1134</v>
      </c>
      <c r="EA129" s="647" t="s">
        <v>481</v>
      </c>
      <c r="EB129" s="647" t="s">
        <v>1135</v>
      </c>
      <c r="EC129" s="647" t="s">
        <v>1134</v>
      </c>
      <c r="ED129" s="647" t="s">
        <v>1136</v>
      </c>
    </row>
    <row r="130" spans="1:134" x14ac:dyDescent="0.2">
      <c r="A130" s="749" t="s">
        <v>55</v>
      </c>
      <c r="B130" s="146">
        <v>123</v>
      </c>
      <c r="C130" s="770">
        <v>0</v>
      </c>
      <c r="D130" s="770">
        <v>0</v>
      </c>
      <c r="E130" s="770">
        <v>0</v>
      </c>
      <c r="F130" s="770">
        <v>0</v>
      </c>
      <c r="G130" s="770">
        <v>0</v>
      </c>
      <c r="H130" s="786">
        <f t="shared" si="10"/>
        <v>0</v>
      </c>
      <c r="I130" s="776">
        <v>0</v>
      </c>
      <c r="J130" s="776">
        <v>0</v>
      </c>
      <c r="K130" s="801">
        <v>0</v>
      </c>
      <c r="L130" s="802">
        <v>0</v>
      </c>
      <c r="M130" s="803">
        <v>0</v>
      </c>
      <c r="N130" s="778">
        <v>0</v>
      </c>
      <c r="O130" s="782">
        <v>0</v>
      </c>
      <c r="P130" s="803">
        <v>0</v>
      </c>
      <c r="Q130" s="781">
        <v>0</v>
      </c>
      <c r="R130" s="803">
        <v>0</v>
      </c>
      <c r="S130" s="778">
        <v>0</v>
      </c>
      <c r="T130" s="778">
        <v>0</v>
      </c>
      <c r="U130" s="804">
        <v>0</v>
      </c>
      <c r="V130" s="772">
        <v>0</v>
      </c>
      <c r="W130" s="783">
        <v>0</v>
      </c>
      <c r="X130" s="803">
        <v>0</v>
      </c>
      <c r="Y130" s="778">
        <v>0</v>
      </c>
      <c r="Z130" s="802">
        <v>0</v>
      </c>
      <c r="AA130" s="803">
        <v>0</v>
      </c>
      <c r="AB130" s="803">
        <v>0</v>
      </c>
      <c r="AC130" s="778">
        <v>0</v>
      </c>
      <c r="AD130" s="782">
        <v>0</v>
      </c>
      <c r="AE130" s="803">
        <v>0</v>
      </c>
      <c r="AF130" s="771">
        <f t="shared" si="6"/>
        <v>0</v>
      </c>
      <c r="AG130" s="805">
        <f t="shared" si="7"/>
        <v>0</v>
      </c>
      <c r="AH130" s="1084">
        <f t="shared" si="8"/>
        <v>0</v>
      </c>
      <c r="AI130" s="132" t="str">
        <f t="shared" si="9"/>
        <v xml:space="preserve"> </v>
      </c>
      <c r="AS130" s="139" t="s">
        <v>483</v>
      </c>
      <c r="AT130" s="139" t="s">
        <v>484</v>
      </c>
      <c r="DS130" s="304"/>
      <c r="DT130" s="304"/>
      <c r="DU130" s="647" t="s">
        <v>552</v>
      </c>
      <c r="DV130" s="647" t="s">
        <v>1134</v>
      </c>
      <c r="DW130" s="647" t="s">
        <v>1134</v>
      </c>
      <c r="DX130" s="647" t="s">
        <v>1134</v>
      </c>
      <c r="DY130" s="647" t="s">
        <v>1134</v>
      </c>
      <c r="DZ130" s="647" t="s">
        <v>1134</v>
      </c>
      <c r="EA130" s="647" t="s">
        <v>483</v>
      </c>
      <c r="EB130" s="647" t="s">
        <v>1135</v>
      </c>
      <c r="EC130" s="647" t="s">
        <v>1134</v>
      </c>
      <c r="ED130" s="647" t="s">
        <v>1136</v>
      </c>
    </row>
    <row r="131" spans="1:134" ht="12.75" customHeight="1" x14ac:dyDescent="0.2">
      <c r="A131" s="749" t="s">
        <v>98</v>
      </c>
      <c r="B131" s="146">
        <v>124</v>
      </c>
      <c r="C131" s="770">
        <v>0</v>
      </c>
      <c r="D131" s="770">
        <v>0</v>
      </c>
      <c r="E131" s="770">
        <v>0</v>
      </c>
      <c r="F131" s="770">
        <v>0</v>
      </c>
      <c r="G131" s="770">
        <v>0</v>
      </c>
      <c r="H131" s="786">
        <f t="shared" si="10"/>
        <v>0</v>
      </c>
      <c r="I131" s="776">
        <v>0</v>
      </c>
      <c r="J131" s="776">
        <v>0</v>
      </c>
      <c r="K131" s="801">
        <v>0</v>
      </c>
      <c r="L131" s="802">
        <v>0</v>
      </c>
      <c r="M131" s="803">
        <v>0</v>
      </c>
      <c r="N131" s="778">
        <v>0</v>
      </c>
      <c r="O131" s="782">
        <v>0</v>
      </c>
      <c r="P131" s="803">
        <v>0</v>
      </c>
      <c r="Q131" s="781">
        <v>0</v>
      </c>
      <c r="R131" s="803">
        <v>0</v>
      </c>
      <c r="S131" s="778">
        <v>0</v>
      </c>
      <c r="T131" s="778">
        <v>0</v>
      </c>
      <c r="U131" s="804">
        <v>0</v>
      </c>
      <c r="V131" s="772">
        <v>0</v>
      </c>
      <c r="W131" s="783">
        <v>0</v>
      </c>
      <c r="X131" s="803">
        <v>0</v>
      </c>
      <c r="Y131" s="778">
        <v>0</v>
      </c>
      <c r="Z131" s="802">
        <v>0</v>
      </c>
      <c r="AA131" s="803">
        <v>0</v>
      </c>
      <c r="AB131" s="803">
        <v>0</v>
      </c>
      <c r="AC131" s="778">
        <v>0</v>
      </c>
      <c r="AD131" s="782">
        <v>0</v>
      </c>
      <c r="AE131" s="803">
        <v>0</v>
      </c>
      <c r="AF131" s="771">
        <f t="shared" si="6"/>
        <v>0</v>
      </c>
      <c r="AG131" s="805">
        <f t="shared" si="7"/>
        <v>0</v>
      </c>
      <c r="AH131" s="1084">
        <f t="shared" si="8"/>
        <v>0</v>
      </c>
      <c r="AI131" s="132" t="str">
        <f t="shared" si="9"/>
        <v xml:space="preserve"> </v>
      </c>
      <c r="AS131" s="139" t="s">
        <v>578</v>
      </c>
      <c r="AT131" s="139" t="s">
        <v>619</v>
      </c>
      <c r="DS131" s="304"/>
      <c r="DT131" s="304"/>
      <c r="DU131" s="647" t="s">
        <v>552</v>
      </c>
      <c r="DV131" s="647" t="s">
        <v>1134</v>
      </c>
      <c r="DW131" s="647" t="s">
        <v>1134</v>
      </c>
      <c r="DX131" s="647" t="s">
        <v>1134</v>
      </c>
      <c r="DY131" s="647" t="s">
        <v>1134</v>
      </c>
      <c r="DZ131" s="647" t="s">
        <v>1134</v>
      </c>
      <c r="EA131" s="647" t="s">
        <v>578</v>
      </c>
      <c r="EB131" s="647" t="s">
        <v>1135</v>
      </c>
      <c r="EC131" s="647" t="s">
        <v>1134</v>
      </c>
      <c r="ED131" s="647" t="s">
        <v>1136</v>
      </c>
    </row>
    <row r="132" spans="1:134" x14ac:dyDescent="0.2">
      <c r="A132" s="749" t="s">
        <v>56</v>
      </c>
      <c r="B132" s="146">
        <v>125</v>
      </c>
      <c r="C132" s="770">
        <v>0</v>
      </c>
      <c r="D132" s="770">
        <v>0</v>
      </c>
      <c r="E132" s="770">
        <v>0</v>
      </c>
      <c r="F132" s="770">
        <v>2E-3</v>
      </c>
      <c r="G132" s="770">
        <v>0</v>
      </c>
      <c r="H132" s="786">
        <f t="shared" si="10"/>
        <v>2E-3</v>
      </c>
      <c r="I132" s="776">
        <v>0</v>
      </c>
      <c r="J132" s="776">
        <v>0</v>
      </c>
      <c r="K132" s="801">
        <v>3.1669999999999998</v>
      </c>
      <c r="L132" s="802">
        <v>0.89400000000000002</v>
      </c>
      <c r="M132" s="803">
        <v>0</v>
      </c>
      <c r="N132" s="778">
        <v>0.89400000000000002</v>
      </c>
      <c r="O132" s="782">
        <v>0</v>
      </c>
      <c r="P132" s="803">
        <v>0</v>
      </c>
      <c r="Q132" s="781">
        <v>0</v>
      </c>
      <c r="R132" s="803">
        <v>0</v>
      </c>
      <c r="S132" s="778">
        <v>0</v>
      </c>
      <c r="T132" s="778">
        <v>0</v>
      </c>
      <c r="U132" s="804">
        <v>0</v>
      </c>
      <c r="V132" s="772">
        <v>0</v>
      </c>
      <c r="W132" s="783">
        <v>0</v>
      </c>
      <c r="X132" s="803">
        <v>0</v>
      </c>
      <c r="Y132" s="778">
        <v>0</v>
      </c>
      <c r="Z132" s="802">
        <v>0.52800000000000002</v>
      </c>
      <c r="AA132" s="803">
        <v>0.22500000000000001</v>
      </c>
      <c r="AB132" s="803">
        <v>0</v>
      </c>
      <c r="AC132" s="778">
        <v>0.30299999999999999</v>
      </c>
      <c r="AD132" s="782">
        <v>0</v>
      </c>
      <c r="AE132" s="803">
        <v>8.4459999999999997</v>
      </c>
      <c r="AF132" s="771">
        <f t="shared" si="6"/>
        <v>13.035</v>
      </c>
      <c r="AG132" s="805">
        <f t="shared" si="7"/>
        <v>13.037000000000001</v>
      </c>
      <c r="AH132" s="1084">
        <f t="shared" si="8"/>
        <v>0</v>
      </c>
      <c r="AI132" s="132" t="str">
        <f t="shared" si="9"/>
        <v xml:space="preserve"> </v>
      </c>
      <c r="AS132" s="139" t="s">
        <v>273</v>
      </c>
      <c r="AT132" s="139" t="s">
        <v>272</v>
      </c>
      <c r="DS132" s="304"/>
      <c r="DT132" s="304"/>
      <c r="DU132" s="647" t="s">
        <v>552</v>
      </c>
      <c r="DV132" s="647" t="s">
        <v>1134</v>
      </c>
      <c r="DW132" s="647" t="s">
        <v>1134</v>
      </c>
      <c r="DX132" s="647" t="s">
        <v>1134</v>
      </c>
      <c r="DY132" s="647" t="s">
        <v>1134</v>
      </c>
      <c r="DZ132" s="647" t="s">
        <v>1134</v>
      </c>
      <c r="EA132" s="647" t="s">
        <v>273</v>
      </c>
      <c r="EB132" s="647" t="s">
        <v>1135</v>
      </c>
      <c r="EC132" s="647" t="s">
        <v>1134</v>
      </c>
      <c r="ED132" s="647" t="s">
        <v>1136</v>
      </c>
    </row>
    <row r="133" spans="1:134" ht="12.75" customHeight="1" x14ac:dyDescent="0.2">
      <c r="A133" s="749" t="s">
        <v>57</v>
      </c>
      <c r="B133" s="146">
        <v>126</v>
      </c>
      <c r="C133" s="770">
        <v>0</v>
      </c>
      <c r="D133" s="770">
        <v>0</v>
      </c>
      <c r="E133" s="770">
        <v>0</v>
      </c>
      <c r="F133" s="770">
        <v>0</v>
      </c>
      <c r="G133" s="770">
        <v>0</v>
      </c>
      <c r="H133" s="786">
        <f t="shared" si="10"/>
        <v>0</v>
      </c>
      <c r="I133" s="776">
        <v>0</v>
      </c>
      <c r="J133" s="776">
        <v>0</v>
      </c>
      <c r="K133" s="801">
        <v>92.067999999999998</v>
      </c>
      <c r="L133" s="802">
        <v>25.988</v>
      </c>
      <c r="M133" s="803">
        <v>0</v>
      </c>
      <c r="N133" s="778">
        <v>25.988</v>
      </c>
      <c r="O133" s="782">
        <v>0</v>
      </c>
      <c r="P133" s="803">
        <v>0</v>
      </c>
      <c r="Q133" s="781">
        <v>0</v>
      </c>
      <c r="R133" s="803">
        <v>0</v>
      </c>
      <c r="S133" s="778">
        <v>0</v>
      </c>
      <c r="T133" s="778">
        <v>0</v>
      </c>
      <c r="U133" s="804">
        <v>5.8140000000000001</v>
      </c>
      <c r="V133" s="772">
        <v>6.819</v>
      </c>
      <c r="W133" s="783">
        <v>12.632999999999999</v>
      </c>
      <c r="X133" s="803">
        <v>0</v>
      </c>
      <c r="Y133" s="778">
        <v>12.632999999999999</v>
      </c>
      <c r="Z133" s="802">
        <v>0</v>
      </c>
      <c r="AA133" s="803">
        <v>0</v>
      </c>
      <c r="AB133" s="803">
        <v>0</v>
      </c>
      <c r="AC133" s="778">
        <v>0</v>
      </c>
      <c r="AD133" s="782">
        <v>0</v>
      </c>
      <c r="AE133" s="803">
        <v>0.42799999999999999</v>
      </c>
      <c r="AF133" s="771">
        <f t="shared" si="6"/>
        <v>131.11699999999999</v>
      </c>
      <c r="AG133" s="805">
        <f t="shared" si="7"/>
        <v>131.11699999999999</v>
      </c>
      <c r="AH133" s="1084">
        <f t="shared" si="8"/>
        <v>0</v>
      </c>
      <c r="AI133" s="132" t="str">
        <f t="shared" si="9"/>
        <v xml:space="preserve"> </v>
      </c>
      <c r="AS133" s="139" t="s">
        <v>275</v>
      </c>
      <c r="AT133" s="139" t="s">
        <v>274</v>
      </c>
      <c r="DS133" s="304"/>
      <c r="DT133" s="304"/>
      <c r="DU133" s="647" t="s">
        <v>552</v>
      </c>
      <c r="DV133" s="647" t="s">
        <v>1134</v>
      </c>
      <c r="DW133" s="647" t="s">
        <v>1134</v>
      </c>
      <c r="DX133" s="647" t="s">
        <v>1134</v>
      </c>
      <c r="DY133" s="647" t="s">
        <v>1134</v>
      </c>
      <c r="DZ133" s="647" t="s">
        <v>1134</v>
      </c>
      <c r="EA133" s="647" t="s">
        <v>275</v>
      </c>
      <c r="EB133" s="647" t="s">
        <v>1135</v>
      </c>
      <c r="EC133" s="647" t="s">
        <v>1134</v>
      </c>
      <c r="ED133" s="647" t="s">
        <v>1136</v>
      </c>
    </row>
    <row r="134" spans="1:134" x14ac:dyDescent="0.2">
      <c r="A134" s="749" t="s">
        <v>58</v>
      </c>
      <c r="B134" s="146">
        <v>127</v>
      </c>
      <c r="C134" s="770">
        <v>0</v>
      </c>
      <c r="D134" s="770">
        <v>0</v>
      </c>
      <c r="E134" s="770">
        <v>0</v>
      </c>
      <c r="F134" s="770">
        <v>0</v>
      </c>
      <c r="G134" s="770">
        <v>0</v>
      </c>
      <c r="H134" s="786">
        <f t="shared" si="10"/>
        <v>0</v>
      </c>
      <c r="I134" s="776">
        <v>0</v>
      </c>
      <c r="J134" s="776">
        <v>0</v>
      </c>
      <c r="K134" s="801">
        <v>0</v>
      </c>
      <c r="L134" s="802">
        <v>0</v>
      </c>
      <c r="M134" s="803">
        <v>0</v>
      </c>
      <c r="N134" s="778">
        <v>0</v>
      </c>
      <c r="O134" s="782">
        <v>0</v>
      </c>
      <c r="P134" s="803">
        <v>0</v>
      </c>
      <c r="Q134" s="781">
        <v>0</v>
      </c>
      <c r="R134" s="803">
        <v>0</v>
      </c>
      <c r="S134" s="778">
        <v>0</v>
      </c>
      <c r="T134" s="778">
        <v>0</v>
      </c>
      <c r="U134" s="804">
        <v>0</v>
      </c>
      <c r="V134" s="772">
        <v>0</v>
      </c>
      <c r="W134" s="783">
        <v>0</v>
      </c>
      <c r="X134" s="803">
        <v>0</v>
      </c>
      <c r="Y134" s="778">
        <v>0</v>
      </c>
      <c r="Z134" s="802">
        <v>0</v>
      </c>
      <c r="AA134" s="803">
        <v>0</v>
      </c>
      <c r="AB134" s="803">
        <v>0</v>
      </c>
      <c r="AC134" s="778">
        <v>0</v>
      </c>
      <c r="AD134" s="782">
        <v>0</v>
      </c>
      <c r="AE134" s="803">
        <v>0.158</v>
      </c>
      <c r="AF134" s="771">
        <f t="shared" si="6"/>
        <v>0.158</v>
      </c>
      <c r="AG134" s="805">
        <f t="shared" si="7"/>
        <v>0.158</v>
      </c>
      <c r="AH134" s="1084">
        <f t="shared" si="8"/>
        <v>0</v>
      </c>
      <c r="AI134" s="132" t="str">
        <f t="shared" si="9"/>
        <v xml:space="preserve"> </v>
      </c>
      <c r="AS134" s="139" t="s">
        <v>485</v>
      </c>
      <c r="AT134" s="139" t="s">
        <v>486</v>
      </c>
      <c r="DS134" s="304"/>
      <c r="DT134" s="304"/>
      <c r="DU134" s="647" t="s">
        <v>552</v>
      </c>
      <c r="DV134" s="647" t="s">
        <v>1134</v>
      </c>
      <c r="DW134" s="647" t="s">
        <v>1134</v>
      </c>
      <c r="DX134" s="647" t="s">
        <v>1134</v>
      </c>
      <c r="DY134" s="647" t="s">
        <v>1134</v>
      </c>
      <c r="DZ134" s="647" t="s">
        <v>1134</v>
      </c>
      <c r="EA134" s="647" t="s">
        <v>485</v>
      </c>
      <c r="EB134" s="647" t="s">
        <v>1135</v>
      </c>
      <c r="EC134" s="647" t="s">
        <v>1134</v>
      </c>
      <c r="ED134" s="647" t="s">
        <v>1136</v>
      </c>
    </row>
    <row r="135" spans="1:134" ht="12.75" customHeight="1" x14ac:dyDescent="0.2">
      <c r="A135" s="749" t="s">
        <v>59</v>
      </c>
      <c r="B135" s="146">
        <v>128</v>
      </c>
      <c r="C135" s="770">
        <v>0</v>
      </c>
      <c r="D135" s="770">
        <v>0</v>
      </c>
      <c r="E135" s="770">
        <v>0</v>
      </c>
      <c r="F135" s="770">
        <v>0</v>
      </c>
      <c r="G135" s="770">
        <v>0</v>
      </c>
      <c r="H135" s="786">
        <f t="shared" si="10"/>
        <v>0</v>
      </c>
      <c r="I135" s="776">
        <v>0</v>
      </c>
      <c r="J135" s="776">
        <v>0</v>
      </c>
      <c r="K135" s="801">
        <v>0</v>
      </c>
      <c r="L135" s="802">
        <v>0</v>
      </c>
      <c r="M135" s="803">
        <v>0</v>
      </c>
      <c r="N135" s="778">
        <v>0</v>
      </c>
      <c r="O135" s="782">
        <v>0</v>
      </c>
      <c r="P135" s="803">
        <v>0</v>
      </c>
      <c r="Q135" s="781">
        <v>0</v>
      </c>
      <c r="R135" s="803">
        <v>0</v>
      </c>
      <c r="S135" s="778">
        <v>0</v>
      </c>
      <c r="T135" s="778">
        <v>0</v>
      </c>
      <c r="U135" s="804">
        <v>0</v>
      </c>
      <c r="V135" s="772">
        <v>0</v>
      </c>
      <c r="W135" s="783">
        <v>0</v>
      </c>
      <c r="X135" s="803">
        <v>0</v>
      </c>
      <c r="Y135" s="778">
        <v>0</v>
      </c>
      <c r="Z135" s="802">
        <v>4.8000000000000001E-2</v>
      </c>
      <c r="AA135" s="803">
        <v>2.1000000000000001E-2</v>
      </c>
      <c r="AB135" s="803">
        <v>0</v>
      </c>
      <c r="AC135" s="778">
        <v>2.7E-2</v>
      </c>
      <c r="AD135" s="782">
        <v>0</v>
      </c>
      <c r="AE135" s="803">
        <v>1.2999999999999999E-2</v>
      </c>
      <c r="AF135" s="771">
        <f t="shared" si="6"/>
        <v>6.0999999999999999E-2</v>
      </c>
      <c r="AG135" s="805">
        <f t="shared" si="7"/>
        <v>6.0999999999999999E-2</v>
      </c>
      <c r="AH135" s="1084">
        <f t="shared" si="8"/>
        <v>0</v>
      </c>
      <c r="AI135" s="132" t="str">
        <f t="shared" si="9"/>
        <v xml:space="preserve"> </v>
      </c>
      <c r="AS135" s="139" t="s">
        <v>487</v>
      </c>
      <c r="AT135" s="139" t="s">
        <v>488</v>
      </c>
      <c r="DS135" s="304"/>
      <c r="DT135" s="304"/>
      <c r="DU135" s="647" t="s">
        <v>552</v>
      </c>
      <c r="DV135" s="647" t="s">
        <v>1134</v>
      </c>
      <c r="DW135" s="647" t="s">
        <v>1134</v>
      </c>
      <c r="DX135" s="647" t="s">
        <v>1134</v>
      </c>
      <c r="DY135" s="647" t="s">
        <v>1134</v>
      </c>
      <c r="DZ135" s="647" t="s">
        <v>1134</v>
      </c>
      <c r="EA135" s="647" t="s">
        <v>487</v>
      </c>
      <c r="EB135" s="647" t="s">
        <v>1135</v>
      </c>
      <c r="EC135" s="647" t="s">
        <v>1134</v>
      </c>
      <c r="ED135" s="647" t="s">
        <v>1136</v>
      </c>
    </row>
    <row r="136" spans="1:134" x14ac:dyDescent="0.2">
      <c r="A136" s="749" t="s">
        <v>621</v>
      </c>
      <c r="B136" s="146">
        <v>129</v>
      </c>
      <c r="C136" s="770">
        <v>0</v>
      </c>
      <c r="D136" s="770">
        <v>75.412000000000006</v>
      </c>
      <c r="E136" s="770">
        <v>0</v>
      </c>
      <c r="F136" s="770">
        <v>0</v>
      </c>
      <c r="G136" s="770">
        <v>0</v>
      </c>
      <c r="H136" s="786">
        <f t="shared" si="10"/>
        <v>75.412000000000006</v>
      </c>
      <c r="I136" s="776">
        <v>0</v>
      </c>
      <c r="J136" s="776">
        <v>0</v>
      </c>
      <c r="K136" s="801">
        <v>0</v>
      </c>
      <c r="L136" s="802">
        <v>0</v>
      </c>
      <c r="M136" s="803">
        <v>0</v>
      </c>
      <c r="N136" s="778">
        <v>0</v>
      </c>
      <c r="O136" s="782">
        <v>0</v>
      </c>
      <c r="P136" s="803">
        <v>0</v>
      </c>
      <c r="Q136" s="781">
        <v>0</v>
      </c>
      <c r="R136" s="803">
        <v>0</v>
      </c>
      <c r="S136" s="778">
        <v>0</v>
      </c>
      <c r="T136" s="778">
        <v>0</v>
      </c>
      <c r="U136" s="804">
        <v>0</v>
      </c>
      <c r="V136" s="772">
        <v>0</v>
      </c>
      <c r="W136" s="783">
        <v>0</v>
      </c>
      <c r="X136" s="803">
        <v>0</v>
      </c>
      <c r="Y136" s="778">
        <v>0</v>
      </c>
      <c r="Z136" s="802">
        <v>0</v>
      </c>
      <c r="AA136" s="803">
        <v>0</v>
      </c>
      <c r="AB136" s="803">
        <v>0</v>
      </c>
      <c r="AC136" s="778">
        <v>0</v>
      </c>
      <c r="AD136" s="782">
        <v>0</v>
      </c>
      <c r="AE136" s="803">
        <v>0</v>
      </c>
      <c r="AF136" s="771">
        <f t="shared" ref="AF136:AF173" si="11">ROUND(SUM(I136:L136,O136:Q136,T136,W136,Z136,AD136:AE136),3)</f>
        <v>0</v>
      </c>
      <c r="AG136" s="805">
        <f t="shared" ref="AG136:AG173" si="12">ROUND(SUM(H136,AF136),3)</f>
        <v>75.412000000000006</v>
      </c>
      <c r="AH136" s="1084">
        <f t="shared" si="8"/>
        <v>0</v>
      </c>
      <c r="AI136" s="132" t="str">
        <f t="shared" si="9"/>
        <v xml:space="preserve"> </v>
      </c>
      <c r="AS136" s="139" t="s">
        <v>521</v>
      </c>
      <c r="AT136" s="139" t="s">
        <v>522</v>
      </c>
      <c r="DS136" s="304"/>
      <c r="DT136" s="304"/>
      <c r="DU136" s="647" t="s">
        <v>552</v>
      </c>
      <c r="DV136" s="647" t="s">
        <v>1134</v>
      </c>
      <c r="DW136" s="647" t="s">
        <v>1134</v>
      </c>
      <c r="DX136" s="647" t="s">
        <v>1134</v>
      </c>
      <c r="DY136" s="647" t="s">
        <v>1134</v>
      </c>
      <c r="DZ136" s="647" t="s">
        <v>1134</v>
      </c>
      <c r="EA136" s="647" t="s">
        <v>521</v>
      </c>
      <c r="EB136" s="647" t="s">
        <v>1135</v>
      </c>
      <c r="EC136" s="647" t="s">
        <v>1134</v>
      </c>
      <c r="ED136" s="647" t="s">
        <v>1136</v>
      </c>
    </row>
    <row r="137" spans="1:134" ht="12.75" customHeight="1" x14ac:dyDescent="0.2">
      <c r="A137" s="749" t="s">
        <v>1000</v>
      </c>
      <c r="B137" s="146">
        <v>130</v>
      </c>
      <c r="C137" s="770">
        <v>0</v>
      </c>
      <c r="D137" s="770">
        <v>0</v>
      </c>
      <c r="E137" s="770">
        <v>0</v>
      </c>
      <c r="F137" s="770">
        <v>0</v>
      </c>
      <c r="G137" s="770">
        <v>0</v>
      </c>
      <c r="H137" s="786">
        <f t="shared" si="10"/>
        <v>0</v>
      </c>
      <c r="I137" s="776">
        <v>0</v>
      </c>
      <c r="J137" s="776">
        <v>0</v>
      </c>
      <c r="K137" s="801">
        <v>0</v>
      </c>
      <c r="L137" s="802">
        <v>0</v>
      </c>
      <c r="M137" s="803">
        <v>0</v>
      </c>
      <c r="N137" s="778">
        <v>0</v>
      </c>
      <c r="O137" s="782">
        <v>0</v>
      </c>
      <c r="P137" s="803">
        <v>0</v>
      </c>
      <c r="Q137" s="781">
        <v>0</v>
      </c>
      <c r="R137" s="803">
        <v>0</v>
      </c>
      <c r="S137" s="778">
        <v>0</v>
      </c>
      <c r="T137" s="778">
        <v>0</v>
      </c>
      <c r="U137" s="804">
        <v>0</v>
      </c>
      <c r="V137" s="772">
        <v>0</v>
      </c>
      <c r="W137" s="783">
        <v>0</v>
      </c>
      <c r="X137" s="803">
        <v>0</v>
      </c>
      <c r="Y137" s="778">
        <v>0</v>
      </c>
      <c r="Z137" s="802">
        <v>0</v>
      </c>
      <c r="AA137" s="803">
        <v>0</v>
      </c>
      <c r="AB137" s="803">
        <v>0</v>
      </c>
      <c r="AC137" s="778">
        <v>0</v>
      </c>
      <c r="AD137" s="782">
        <v>0</v>
      </c>
      <c r="AE137" s="803">
        <v>0</v>
      </c>
      <c r="AF137" s="771">
        <f t="shared" si="11"/>
        <v>0</v>
      </c>
      <c r="AG137" s="805">
        <f t="shared" si="12"/>
        <v>0</v>
      </c>
      <c r="AH137" s="1084">
        <f t="shared" si="8"/>
        <v>0</v>
      </c>
      <c r="AI137" s="132" t="str">
        <f t="shared" si="9"/>
        <v xml:space="preserve"> </v>
      </c>
      <c r="AS137" s="139" t="s">
        <v>1090</v>
      </c>
      <c r="AT137" s="139" t="s">
        <v>1091</v>
      </c>
      <c r="DS137" s="304"/>
      <c r="DT137" s="304"/>
      <c r="DU137" s="647" t="s">
        <v>552</v>
      </c>
      <c r="DV137" s="647" t="s">
        <v>1134</v>
      </c>
      <c r="DW137" s="647" t="s">
        <v>1134</v>
      </c>
      <c r="DX137" s="647" t="s">
        <v>1134</v>
      </c>
      <c r="DY137" s="647" t="s">
        <v>1134</v>
      </c>
      <c r="DZ137" s="647" t="s">
        <v>1134</v>
      </c>
      <c r="EA137" s="647" t="s">
        <v>1090</v>
      </c>
      <c r="EB137" s="647" t="s">
        <v>1135</v>
      </c>
      <c r="EC137" s="647" t="s">
        <v>1134</v>
      </c>
      <c r="ED137" s="647" t="s">
        <v>1136</v>
      </c>
    </row>
    <row r="138" spans="1:134" x14ac:dyDescent="0.2">
      <c r="A138" s="749" t="s">
        <v>60</v>
      </c>
      <c r="B138" s="146">
        <v>131</v>
      </c>
      <c r="C138" s="770">
        <v>0</v>
      </c>
      <c r="D138" s="770">
        <v>0</v>
      </c>
      <c r="E138" s="770">
        <v>0</v>
      </c>
      <c r="F138" s="770">
        <v>0</v>
      </c>
      <c r="G138" s="770">
        <v>0</v>
      </c>
      <c r="H138" s="786">
        <f t="shared" si="10"/>
        <v>0</v>
      </c>
      <c r="I138" s="776">
        <v>0</v>
      </c>
      <c r="J138" s="776">
        <v>0</v>
      </c>
      <c r="K138" s="801">
        <v>31.553999999999998</v>
      </c>
      <c r="L138" s="802">
        <v>8.907</v>
      </c>
      <c r="M138" s="803">
        <v>0</v>
      </c>
      <c r="N138" s="778">
        <v>8.907</v>
      </c>
      <c r="O138" s="782">
        <v>0</v>
      </c>
      <c r="P138" s="803">
        <v>0</v>
      </c>
      <c r="Q138" s="781">
        <v>0</v>
      </c>
      <c r="R138" s="803">
        <v>0</v>
      </c>
      <c r="S138" s="778">
        <v>0</v>
      </c>
      <c r="T138" s="778">
        <v>0</v>
      </c>
      <c r="U138" s="804">
        <v>0</v>
      </c>
      <c r="V138" s="772">
        <v>0</v>
      </c>
      <c r="W138" s="783">
        <v>0</v>
      </c>
      <c r="X138" s="803">
        <v>0</v>
      </c>
      <c r="Y138" s="778">
        <v>0</v>
      </c>
      <c r="Z138" s="802">
        <v>0</v>
      </c>
      <c r="AA138" s="803">
        <v>0</v>
      </c>
      <c r="AB138" s="803">
        <v>0</v>
      </c>
      <c r="AC138" s="778">
        <v>0</v>
      </c>
      <c r="AD138" s="782">
        <v>0</v>
      </c>
      <c r="AE138" s="803">
        <v>0.621</v>
      </c>
      <c r="AF138" s="771">
        <f t="shared" si="11"/>
        <v>41.082000000000001</v>
      </c>
      <c r="AG138" s="805">
        <f t="shared" si="12"/>
        <v>41.082000000000001</v>
      </c>
      <c r="AH138" s="1084">
        <f t="shared" si="8"/>
        <v>0</v>
      </c>
      <c r="AI138" s="132" t="str">
        <f t="shared" si="9"/>
        <v xml:space="preserve"> </v>
      </c>
      <c r="AS138" s="139" t="s">
        <v>489</v>
      </c>
      <c r="AT138" s="139" t="s">
        <v>490</v>
      </c>
      <c r="DS138" s="304"/>
      <c r="DT138" s="304"/>
      <c r="DU138" s="647" t="s">
        <v>552</v>
      </c>
      <c r="DV138" s="647" t="s">
        <v>1134</v>
      </c>
      <c r="DW138" s="647" t="s">
        <v>1134</v>
      </c>
      <c r="DX138" s="647" t="s">
        <v>1134</v>
      </c>
      <c r="DY138" s="647" t="s">
        <v>1134</v>
      </c>
      <c r="DZ138" s="647" t="s">
        <v>1134</v>
      </c>
      <c r="EA138" s="647" t="s">
        <v>489</v>
      </c>
      <c r="EB138" s="647" t="s">
        <v>1135</v>
      </c>
      <c r="EC138" s="647" t="s">
        <v>1134</v>
      </c>
      <c r="ED138" s="647" t="s">
        <v>1136</v>
      </c>
    </row>
    <row r="139" spans="1:134" ht="12.75" customHeight="1" x14ac:dyDescent="0.2">
      <c r="A139" s="749" t="s">
        <v>1001</v>
      </c>
      <c r="B139" s="146">
        <v>132</v>
      </c>
      <c r="C139" s="770">
        <v>145.404</v>
      </c>
      <c r="D139" s="770">
        <v>0</v>
      </c>
      <c r="E139" s="770">
        <v>0</v>
      </c>
      <c r="F139" s="770">
        <v>0</v>
      </c>
      <c r="G139" s="770">
        <v>0</v>
      </c>
      <c r="H139" s="786">
        <f t="shared" si="10"/>
        <v>145.404</v>
      </c>
      <c r="I139" s="776">
        <v>0</v>
      </c>
      <c r="J139" s="776">
        <v>0</v>
      </c>
      <c r="K139" s="801">
        <v>0</v>
      </c>
      <c r="L139" s="802">
        <v>0</v>
      </c>
      <c r="M139" s="803">
        <v>0</v>
      </c>
      <c r="N139" s="778">
        <v>0</v>
      </c>
      <c r="O139" s="782">
        <v>0</v>
      </c>
      <c r="P139" s="803">
        <v>0</v>
      </c>
      <c r="Q139" s="781">
        <v>0</v>
      </c>
      <c r="R139" s="803">
        <v>0</v>
      </c>
      <c r="S139" s="778">
        <v>0</v>
      </c>
      <c r="T139" s="778">
        <v>0</v>
      </c>
      <c r="U139" s="804">
        <v>0</v>
      </c>
      <c r="V139" s="772">
        <v>0</v>
      </c>
      <c r="W139" s="783">
        <v>0</v>
      </c>
      <c r="X139" s="803">
        <v>0</v>
      </c>
      <c r="Y139" s="778">
        <v>0</v>
      </c>
      <c r="Z139" s="802">
        <v>0</v>
      </c>
      <c r="AA139" s="803">
        <v>0</v>
      </c>
      <c r="AB139" s="803">
        <v>0</v>
      </c>
      <c r="AC139" s="778">
        <v>0</v>
      </c>
      <c r="AD139" s="782">
        <v>0</v>
      </c>
      <c r="AE139" s="803">
        <v>0</v>
      </c>
      <c r="AF139" s="771">
        <f t="shared" si="11"/>
        <v>0</v>
      </c>
      <c r="AG139" s="805">
        <f t="shared" si="12"/>
        <v>145.404</v>
      </c>
      <c r="AH139" s="1084">
        <f t="shared" ref="AH139:AH173" si="13">IF(ROUND(H139-SUM(C139:G139),3)=0,0,1)+IF(ROUND(AF139-SUM(I139:L139,O139:Q139,T139,W139,Z139,AD139:AE139),3)=0,0,1)+IF(ROUND(AG139-SUM(AF139,H139),3)=0,0,1)</f>
        <v>0</v>
      </c>
      <c r="AI139" s="132" t="str">
        <f t="shared" ref="AI139:AI173" si="14">IF(AH139=0," ",IF(AH139=1,"A total is not equal to the sum of its components: ",AH139&amp;" totals are not equal to the sum of their components: "))&amp;IF(AH139=0,"",IF(H139-SUM(C139:G139)=0,"","Total (column F). ")&amp;IF(AF139-SUM(I139:L139,O139:Q139,T139,W139,Z139,AD139:AE139)=0,"","Total products. ")&amp;IF(AG139-SUM(AF139,H139)=0,"","Total oil."))</f>
        <v xml:space="preserve"> </v>
      </c>
      <c r="AS139" s="139" t="s">
        <v>1092</v>
      </c>
      <c r="AT139" s="139" t="s">
        <v>1093</v>
      </c>
      <c r="DS139" s="304"/>
      <c r="DT139" s="304"/>
      <c r="DU139" s="647" t="s">
        <v>552</v>
      </c>
      <c r="DV139" s="647" t="s">
        <v>1134</v>
      </c>
      <c r="DW139" s="647" t="s">
        <v>1134</v>
      </c>
      <c r="DX139" s="647" t="s">
        <v>1134</v>
      </c>
      <c r="DY139" s="647" t="s">
        <v>1134</v>
      </c>
      <c r="DZ139" s="647" t="s">
        <v>1134</v>
      </c>
      <c r="EA139" s="647" t="s">
        <v>1092</v>
      </c>
      <c r="EB139" s="647" t="s">
        <v>1135</v>
      </c>
      <c r="EC139" s="647" t="s">
        <v>1134</v>
      </c>
      <c r="ED139" s="647" t="s">
        <v>1136</v>
      </c>
    </row>
    <row r="140" spans="1:134" x14ac:dyDescent="0.2">
      <c r="A140" s="749" t="s">
        <v>569</v>
      </c>
      <c r="B140" s="146">
        <v>133</v>
      </c>
      <c r="C140" s="770">
        <v>0</v>
      </c>
      <c r="D140" s="770">
        <v>0</v>
      </c>
      <c r="E140" s="770">
        <v>0</v>
      </c>
      <c r="F140" s="770">
        <v>0</v>
      </c>
      <c r="G140" s="770">
        <v>0</v>
      </c>
      <c r="H140" s="786">
        <f t="shared" si="10"/>
        <v>0</v>
      </c>
      <c r="I140" s="776">
        <v>0</v>
      </c>
      <c r="J140" s="776">
        <v>0</v>
      </c>
      <c r="K140" s="801">
        <v>0.27900000000000003</v>
      </c>
      <c r="L140" s="802">
        <v>7.9000000000000001E-2</v>
      </c>
      <c r="M140" s="803">
        <v>0</v>
      </c>
      <c r="N140" s="778">
        <v>7.9000000000000001E-2</v>
      </c>
      <c r="O140" s="782">
        <v>0</v>
      </c>
      <c r="P140" s="803">
        <v>0</v>
      </c>
      <c r="Q140" s="781">
        <v>0</v>
      </c>
      <c r="R140" s="803">
        <v>0</v>
      </c>
      <c r="S140" s="778">
        <v>0</v>
      </c>
      <c r="T140" s="778">
        <v>0</v>
      </c>
      <c r="U140" s="804">
        <v>0</v>
      </c>
      <c r="V140" s="772">
        <v>0</v>
      </c>
      <c r="W140" s="783">
        <v>0</v>
      </c>
      <c r="X140" s="803">
        <v>0</v>
      </c>
      <c r="Y140" s="778">
        <v>0</v>
      </c>
      <c r="Z140" s="802">
        <v>0</v>
      </c>
      <c r="AA140" s="803">
        <v>0</v>
      </c>
      <c r="AB140" s="803">
        <v>0</v>
      </c>
      <c r="AC140" s="778">
        <v>0</v>
      </c>
      <c r="AD140" s="782">
        <v>0</v>
      </c>
      <c r="AE140" s="803">
        <v>1.3680000000000001</v>
      </c>
      <c r="AF140" s="771">
        <f t="shared" si="11"/>
        <v>1.726</v>
      </c>
      <c r="AG140" s="805">
        <f t="shared" si="12"/>
        <v>1.726</v>
      </c>
      <c r="AH140" s="1084">
        <f t="shared" si="13"/>
        <v>0</v>
      </c>
      <c r="AI140" s="132" t="str">
        <f t="shared" si="14"/>
        <v xml:space="preserve"> </v>
      </c>
      <c r="AS140" s="139" t="s">
        <v>544</v>
      </c>
      <c r="AT140" s="139" t="s">
        <v>545</v>
      </c>
      <c r="DS140" s="304"/>
      <c r="DT140" s="304"/>
      <c r="DU140" s="647" t="s">
        <v>552</v>
      </c>
      <c r="DV140" s="647" t="s">
        <v>1134</v>
      </c>
      <c r="DW140" s="647" t="s">
        <v>1134</v>
      </c>
      <c r="DX140" s="647" t="s">
        <v>1134</v>
      </c>
      <c r="DY140" s="647" t="s">
        <v>1134</v>
      </c>
      <c r="DZ140" s="647" t="s">
        <v>1134</v>
      </c>
      <c r="EA140" s="647" t="s">
        <v>544</v>
      </c>
      <c r="EB140" s="647" t="s">
        <v>1135</v>
      </c>
      <c r="EC140" s="647" t="s">
        <v>1134</v>
      </c>
      <c r="ED140" s="647" t="s">
        <v>1136</v>
      </c>
    </row>
    <row r="141" spans="1:134" ht="12.75" customHeight="1" x14ac:dyDescent="0.2">
      <c r="A141" s="749" t="s">
        <v>1002</v>
      </c>
      <c r="B141" s="146">
        <v>134</v>
      </c>
      <c r="C141" s="770">
        <v>0</v>
      </c>
      <c r="D141" s="770">
        <v>0</v>
      </c>
      <c r="E141" s="770">
        <v>0</v>
      </c>
      <c r="F141" s="770">
        <v>0</v>
      </c>
      <c r="G141" s="770">
        <v>0</v>
      </c>
      <c r="H141" s="786">
        <f t="shared" si="10"/>
        <v>0</v>
      </c>
      <c r="I141" s="776">
        <v>0</v>
      </c>
      <c r="J141" s="776">
        <v>0</v>
      </c>
      <c r="K141" s="801">
        <v>0</v>
      </c>
      <c r="L141" s="802">
        <v>0</v>
      </c>
      <c r="M141" s="803">
        <v>0</v>
      </c>
      <c r="N141" s="778">
        <v>0</v>
      </c>
      <c r="O141" s="782">
        <v>0</v>
      </c>
      <c r="P141" s="803">
        <v>0</v>
      </c>
      <c r="Q141" s="781">
        <v>0</v>
      </c>
      <c r="R141" s="803">
        <v>0</v>
      </c>
      <c r="S141" s="778">
        <v>0</v>
      </c>
      <c r="T141" s="778">
        <v>0</v>
      </c>
      <c r="U141" s="804">
        <v>0</v>
      </c>
      <c r="V141" s="772">
        <v>0</v>
      </c>
      <c r="W141" s="783">
        <v>0</v>
      </c>
      <c r="X141" s="803">
        <v>0</v>
      </c>
      <c r="Y141" s="778">
        <v>0</v>
      </c>
      <c r="Z141" s="802">
        <v>0</v>
      </c>
      <c r="AA141" s="803">
        <v>0</v>
      </c>
      <c r="AB141" s="803">
        <v>0</v>
      </c>
      <c r="AC141" s="778">
        <v>0</v>
      </c>
      <c r="AD141" s="782">
        <v>0</v>
      </c>
      <c r="AE141" s="803">
        <v>0</v>
      </c>
      <c r="AF141" s="771">
        <f t="shared" si="11"/>
        <v>0</v>
      </c>
      <c r="AG141" s="805">
        <f t="shared" si="12"/>
        <v>0</v>
      </c>
      <c r="AH141" s="1084">
        <f t="shared" si="13"/>
        <v>0</v>
      </c>
      <c r="AI141" s="132" t="str">
        <f t="shared" si="14"/>
        <v xml:space="preserve"> </v>
      </c>
      <c r="AS141" s="139" t="s">
        <v>1094</v>
      </c>
      <c r="AT141" s="139" t="s">
        <v>1095</v>
      </c>
      <c r="DS141" s="304"/>
      <c r="DT141" s="304"/>
      <c r="DU141" s="647" t="s">
        <v>552</v>
      </c>
      <c r="DV141" s="647" t="s">
        <v>1134</v>
      </c>
      <c r="DW141" s="647" t="s">
        <v>1134</v>
      </c>
      <c r="DX141" s="647" t="s">
        <v>1134</v>
      </c>
      <c r="DY141" s="647" t="s">
        <v>1134</v>
      </c>
      <c r="DZ141" s="647" t="s">
        <v>1134</v>
      </c>
      <c r="EA141" s="647" t="s">
        <v>1094</v>
      </c>
      <c r="EB141" s="647" t="s">
        <v>1135</v>
      </c>
      <c r="EC141" s="647" t="s">
        <v>1134</v>
      </c>
      <c r="ED141" s="647" t="s">
        <v>1136</v>
      </c>
    </row>
    <row r="142" spans="1:134" x14ac:dyDescent="0.2">
      <c r="A142" s="749" t="s">
        <v>61</v>
      </c>
      <c r="B142" s="146">
        <v>135</v>
      </c>
      <c r="C142" s="770">
        <v>0</v>
      </c>
      <c r="D142" s="770">
        <v>0</v>
      </c>
      <c r="E142" s="770">
        <v>0</v>
      </c>
      <c r="F142" s="770">
        <v>0.123</v>
      </c>
      <c r="G142" s="770">
        <v>0</v>
      </c>
      <c r="H142" s="786">
        <f t="shared" si="10"/>
        <v>0.123</v>
      </c>
      <c r="I142" s="776">
        <v>0</v>
      </c>
      <c r="J142" s="776">
        <v>0</v>
      </c>
      <c r="K142" s="801">
        <v>3.181</v>
      </c>
      <c r="L142" s="802">
        <v>0.89800000000000002</v>
      </c>
      <c r="M142" s="803">
        <v>0</v>
      </c>
      <c r="N142" s="778">
        <v>0.89800000000000002</v>
      </c>
      <c r="O142" s="782">
        <v>0</v>
      </c>
      <c r="P142" s="803">
        <v>0</v>
      </c>
      <c r="Q142" s="781">
        <v>0.18099999999999999</v>
      </c>
      <c r="R142" s="803">
        <v>0</v>
      </c>
      <c r="S142" s="778">
        <v>0.18099999999999999</v>
      </c>
      <c r="T142" s="778">
        <v>1.7000000000000001E-2</v>
      </c>
      <c r="U142" s="804">
        <v>31.623000000000001</v>
      </c>
      <c r="V142" s="772">
        <v>37.091999999999999</v>
      </c>
      <c r="W142" s="783">
        <v>68.715000000000003</v>
      </c>
      <c r="X142" s="803">
        <v>0</v>
      </c>
      <c r="Y142" s="778">
        <v>68.715000000000003</v>
      </c>
      <c r="Z142" s="802">
        <v>6.6459999999999999</v>
      </c>
      <c r="AA142" s="803">
        <v>2.831</v>
      </c>
      <c r="AB142" s="803">
        <v>0</v>
      </c>
      <c r="AC142" s="778">
        <v>3.8159999999999998</v>
      </c>
      <c r="AD142" s="782">
        <v>0</v>
      </c>
      <c r="AE142" s="803">
        <v>1.0049999999999999</v>
      </c>
      <c r="AF142" s="771">
        <f t="shared" si="11"/>
        <v>80.643000000000001</v>
      </c>
      <c r="AG142" s="805">
        <f t="shared" si="12"/>
        <v>80.766000000000005</v>
      </c>
      <c r="AH142" s="1084">
        <f t="shared" si="13"/>
        <v>0</v>
      </c>
      <c r="AI142" s="132" t="str">
        <f t="shared" si="14"/>
        <v xml:space="preserve"> </v>
      </c>
      <c r="AS142" s="139" t="s">
        <v>491</v>
      </c>
      <c r="AT142" s="139" t="s">
        <v>492</v>
      </c>
      <c r="DS142" s="304"/>
      <c r="DT142" s="304"/>
      <c r="DU142" s="647" t="s">
        <v>552</v>
      </c>
      <c r="DV142" s="647" t="s">
        <v>1134</v>
      </c>
      <c r="DW142" s="647" t="s">
        <v>1134</v>
      </c>
      <c r="DX142" s="647" t="s">
        <v>1134</v>
      </c>
      <c r="DY142" s="647" t="s">
        <v>1134</v>
      </c>
      <c r="DZ142" s="647" t="s">
        <v>1134</v>
      </c>
      <c r="EA142" s="647" t="s">
        <v>491</v>
      </c>
      <c r="EB142" s="647" t="s">
        <v>1135</v>
      </c>
      <c r="EC142" s="647" t="s">
        <v>1134</v>
      </c>
      <c r="ED142" s="647" t="s">
        <v>1136</v>
      </c>
    </row>
    <row r="143" spans="1:134" ht="12.75" customHeight="1" x14ac:dyDescent="0.2">
      <c r="A143" s="749" t="s">
        <v>99</v>
      </c>
      <c r="B143" s="146">
        <v>136</v>
      </c>
      <c r="C143" s="770">
        <v>0</v>
      </c>
      <c r="D143" s="770">
        <v>0</v>
      </c>
      <c r="E143" s="770">
        <v>0</v>
      </c>
      <c r="F143" s="770">
        <v>1E-3</v>
      </c>
      <c r="G143" s="770">
        <v>0</v>
      </c>
      <c r="H143" s="786">
        <f t="shared" si="10"/>
        <v>1E-3</v>
      </c>
      <c r="I143" s="776">
        <v>0</v>
      </c>
      <c r="J143" s="776">
        <v>0</v>
      </c>
      <c r="K143" s="801">
        <v>0.48099999999999998</v>
      </c>
      <c r="L143" s="802">
        <v>0.13500000000000001</v>
      </c>
      <c r="M143" s="803">
        <v>0</v>
      </c>
      <c r="N143" s="778">
        <v>0.13500000000000001</v>
      </c>
      <c r="O143" s="782">
        <v>0</v>
      </c>
      <c r="P143" s="803">
        <v>0</v>
      </c>
      <c r="Q143" s="781">
        <v>0</v>
      </c>
      <c r="R143" s="803">
        <v>0</v>
      </c>
      <c r="S143" s="778">
        <v>0</v>
      </c>
      <c r="T143" s="778">
        <v>0</v>
      </c>
      <c r="U143" s="804">
        <v>0</v>
      </c>
      <c r="V143" s="772">
        <v>0</v>
      </c>
      <c r="W143" s="783">
        <v>0</v>
      </c>
      <c r="X143" s="803">
        <v>0</v>
      </c>
      <c r="Y143" s="778">
        <v>0</v>
      </c>
      <c r="Z143" s="802">
        <v>0</v>
      </c>
      <c r="AA143" s="803">
        <v>0</v>
      </c>
      <c r="AB143" s="803">
        <v>0</v>
      </c>
      <c r="AC143" s="778">
        <v>0</v>
      </c>
      <c r="AD143" s="782">
        <v>0</v>
      </c>
      <c r="AE143" s="803">
        <v>2.5999999999999999E-2</v>
      </c>
      <c r="AF143" s="771">
        <f t="shared" si="11"/>
        <v>0.64200000000000002</v>
      </c>
      <c r="AG143" s="805">
        <f t="shared" si="12"/>
        <v>0.64300000000000002</v>
      </c>
      <c r="AH143" s="1084">
        <f t="shared" si="13"/>
        <v>0</v>
      </c>
      <c r="AI143" s="132" t="str">
        <f t="shared" si="14"/>
        <v xml:space="preserve"> </v>
      </c>
      <c r="AS143" s="139" t="s">
        <v>277</v>
      </c>
      <c r="AT143" s="139" t="s">
        <v>276</v>
      </c>
      <c r="DS143" s="304"/>
      <c r="DT143" s="304"/>
      <c r="DU143" s="647" t="s">
        <v>552</v>
      </c>
      <c r="DV143" s="647" t="s">
        <v>1134</v>
      </c>
      <c r="DW143" s="647" t="s">
        <v>1134</v>
      </c>
      <c r="DX143" s="647" t="s">
        <v>1134</v>
      </c>
      <c r="DY143" s="647" t="s">
        <v>1134</v>
      </c>
      <c r="DZ143" s="647" t="s">
        <v>1134</v>
      </c>
      <c r="EA143" s="647" t="s">
        <v>277</v>
      </c>
      <c r="EB143" s="647" t="s">
        <v>1135</v>
      </c>
      <c r="EC143" s="647" t="s">
        <v>1134</v>
      </c>
      <c r="ED143" s="647" t="s">
        <v>1136</v>
      </c>
    </row>
    <row r="144" spans="1:134" x14ac:dyDescent="0.2">
      <c r="A144" s="749" t="s">
        <v>570</v>
      </c>
      <c r="B144" s="146">
        <v>137</v>
      </c>
      <c r="C144" s="770">
        <v>0</v>
      </c>
      <c r="D144" s="770">
        <v>0</v>
      </c>
      <c r="E144" s="770">
        <v>0</v>
      </c>
      <c r="F144" s="770">
        <v>0</v>
      </c>
      <c r="G144" s="770">
        <v>0</v>
      </c>
      <c r="H144" s="786">
        <f t="shared" si="10"/>
        <v>0</v>
      </c>
      <c r="I144" s="776">
        <v>0</v>
      </c>
      <c r="J144" s="776">
        <v>0</v>
      </c>
      <c r="K144" s="801">
        <v>0</v>
      </c>
      <c r="L144" s="802">
        <v>0</v>
      </c>
      <c r="M144" s="803">
        <v>0</v>
      </c>
      <c r="N144" s="778">
        <v>0</v>
      </c>
      <c r="O144" s="782">
        <v>0</v>
      </c>
      <c r="P144" s="803">
        <v>0</v>
      </c>
      <c r="Q144" s="781">
        <v>0</v>
      </c>
      <c r="R144" s="803">
        <v>0</v>
      </c>
      <c r="S144" s="778">
        <v>0</v>
      </c>
      <c r="T144" s="778">
        <v>0</v>
      </c>
      <c r="U144" s="804">
        <v>0</v>
      </c>
      <c r="V144" s="772">
        <v>0</v>
      </c>
      <c r="W144" s="783">
        <v>0</v>
      </c>
      <c r="X144" s="803">
        <v>0</v>
      </c>
      <c r="Y144" s="778">
        <v>0</v>
      </c>
      <c r="Z144" s="802">
        <v>0</v>
      </c>
      <c r="AA144" s="803">
        <v>0</v>
      </c>
      <c r="AB144" s="803">
        <v>0</v>
      </c>
      <c r="AC144" s="778">
        <v>0</v>
      </c>
      <c r="AD144" s="782">
        <v>0</v>
      </c>
      <c r="AE144" s="803">
        <v>8.9999999999999993E-3</v>
      </c>
      <c r="AF144" s="771">
        <f t="shared" si="11"/>
        <v>8.9999999999999993E-3</v>
      </c>
      <c r="AG144" s="805">
        <f t="shared" si="12"/>
        <v>8.9999999999999993E-3</v>
      </c>
      <c r="AH144" s="1084">
        <f t="shared" si="13"/>
        <v>0</v>
      </c>
      <c r="AI144" s="132" t="str">
        <f t="shared" si="14"/>
        <v xml:space="preserve"> </v>
      </c>
      <c r="AS144" s="139" t="s">
        <v>546</v>
      </c>
      <c r="AT144" s="139" t="s">
        <v>547</v>
      </c>
      <c r="DS144" s="304"/>
      <c r="DT144" s="304"/>
      <c r="DU144" s="647" t="s">
        <v>552</v>
      </c>
      <c r="DV144" s="647" t="s">
        <v>1134</v>
      </c>
      <c r="DW144" s="647" t="s">
        <v>1134</v>
      </c>
      <c r="DX144" s="647" t="s">
        <v>1134</v>
      </c>
      <c r="DY144" s="647" t="s">
        <v>1134</v>
      </c>
      <c r="DZ144" s="647" t="s">
        <v>1134</v>
      </c>
      <c r="EA144" s="647" t="s">
        <v>546</v>
      </c>
      <c r="EB144" s="647" t="s">
        <v>1135</v>
      </c>
      <c r="EC144" s="647" t="s">
        <v>1134</v>
      </c>
      <c r="ED144" s="647" t="s">
        <v>1136</v>
      </c>
    </row>
    <row r="145" spans="1:134" ht="12.75" customHeight="1" x14ac:dyDescent="0.2">
      <c r="A145" s="749" t="s">
        <v>72</v>
      </c>
      <c r="B145" s="146">
        <v>138</v>
      </c>
      <c r="C145" s="770">
        <v>0</v>
      </c>
      <c r="D145" s="770">
        <v>0</v>
      </c>
      <c r="E145" s="770">
        <v>0</v>
      </c>
      <c r="F145" s="770">
        <v>0</v>
      </c>
      <c r="G145" s="770">
        <v>0</v>
      </c>
      <c r="H145" s="786">
        <f t="shared" si="10"/>
        <v>0</v>
      </c>
      <c r="I145" s="776">
        <v>0</v>
      </c>
      <c r="J145" s="776">
        <v>0</v>
      </c>
      <c r="K145" s="801">
        <v>0</v>
      </c>
      <c r="L145" s="802">
        <v>0</v>
      </c>
      <c r="M145" s="803">
        <v>0</v>
      </c>
      <c r="N145" s="778">
        <v>0</v>
      </c>
      <c r="O145" s="782">
        <v>0</v>
      </c>
      <c r="P145" s="803">
        <v>0</v>
      </c>
      <c r="Q145" s="781">
        <v>0</v>
      </c>
      <c r="R145" s="803">
        <v>0</v>
      </c>
      <c r="S145" s="778">
        <v>0</v>
      </c>
      <c r="T145" s="778">
        <v>0</v>
      </c>
      <c r="U145" s="804">
        <v>0</v>
      </c>
      <c r="V145" s="772">
        <v>0</v>
      </c>
      <c r="W145" s="783">
        <v>0</v>
      </c>
      <c r="X145" s="803">
        <v>0</v>
      </c>
      <c r="Y145" s="778">
        <v>0</v>
      </c>
      <c r="Z145" s="802">
        <v>0</v>
      </c>
      <c r="AA145" s="803">
        <v>0</v>
      </c>
      <c r="AB145" s="803">
        <v>0</v>
      </c>
      <c r="AC145" s="778">
        <v>0</v>
      </c>
      <c r="AD145" s="782">
        <v>0</v>
      </c>
      <c r="AE145" s="803">
        <v>0.08</v>
      </c>
      <c r="AF145" s="771">
        <f t="shared" si="11"/>
        <v>0.08</v>
      </c>
      <c r="AG145" s="805">
        <f t="shared" si="12"/>
        <v>0.08</v>
      </c>
      <c r="AH145" s="1084">
        <f t="shared" si="13"/>
        <v>0</v>
      </c>
      <c r="AI145" s="132" t="str">
        <f t="shared" si="14"/>
        <v xml:space="preserve"> </v>
      </c>
      <c r="AS145" s="139" t="s">
        <v>579</v>
      </c>
      <c r="AT145" s="139" t="s">
        <v>580</v>
      </c>
      <c r="DS145" s="304"/>
      <c r="DT145" s="304"/>
      <c r="DU145" s="647" t="s">
        <v>552</v>
      </c>
      <c r="DV145" s="647" t="s">
        <v>1134</v>
      </c>
      <c r="DW145" s="647" t="s">
        <v>1134</v>
      </c>
      <c r="DX145" s="647" t="s">
        <v>1134</v>
      </c>
      <c r="DY145" s="647" t="s">
        <v>1134</v>
      </c>
      <c r="DZ145" s="647" t="s">
        <v>1134</v>
      </c>
      <c r="EA145" s="647" t="s">
        <v>579</v>
      </c>
      <c r="EB145" s="647" t="s">
        <v>1135</v>
      </c>
      <c r="EC145" s="647" t="s">
        <v>1134</v>
      </c>
      <c r="ED145" s="647" t="s">
        <v>1136</v>
      </c>
    </row>
    <row r="146" spans="1:134" x14ac:dyDescent="0.2">
      <c r="A146" s="749" t="s">
        <v>1003</v>
      </c>
      <c r="B146" s="146">
        <v>139</v>
      </c>
      <c r="C146" s="770">
        <v>0</v>
      </c>
      <c r="D146" s="770">
        <v>0</v>
      </c>
      <c r="E146" s="770">
        <v>0</v>
      </c>
      <c r="F146" s="770">
        <v>0</v>
      </c>
      <c r="G146" s="770">
        <v>0</v>
      </c>
      <c r="H146" s="786">
        <f t="shared" si="10"/>
        <v>0</v>
      </c>
      <c r="I146" s="776">
        <v>0</v>
      </c>
      <c r="J146" s="776">
        <v>0</v>
      </c>
      <c r="K146" s="801">
        <v>0</v>
      </c>
      <c r="L146" s="802">
        <v>0</v>
      </c>
      <c r="M146" s="803">
        <v>0</v>
      </c>
      <c r="N146" s="778">
        <v>0</v>
      </c>
      <c r="O146" s="782">
        <v>0</v>
      </c>
      <c r="P146" s="803">
        <v>0</v>
      </c>
      <c r="Q146" s="781">
        <v>0</v>
      </c>
      <c r="R146" s="803">
        <v>0</v>
      </c>
      <c r="S146" s="778">
        <v>0</v>
      </c>
      <c r="T146" s="778">
        <v>0</v>
      </c>
      <c r="U146" s="804">
        <v>0</v>
      </c>
      <c r="V146" s="772">
        <v>0</v>
      </c>
      <c r="W146" s="783">
        <v>0</v>
      </c>
      <c r="X146" s="803">
        <v>0</v>
      </c>
      <c r="Y146" s="778">
        <v>0</v>
      </c>
      <c r="Z146" s="802">
        <v>0</v>
      </c>
      <c r="AA146" s="803">
        <v>0</v>
      </c>
      <c r="AB146" s="803">
        <v>0</v>
      </c>
      <c r="AC146" s="778">
        <v>0</v>
      </c>
      <c r="AD146" s="782">
        <v>0</v>
      </c>
      <c r="AE146" s="803">
        <v>0</v>
      </c>
      <c r="AF146" s="771">
        <f t="shared" si="11"/>
        <v>0</v>
      </c>
      <c r="AG146" s="805">
        <f t="shared" si="12"/>
        <v>0</v>
      </c>
      <c r="AH146" s="1084">
        <f t="shared" si="13"/>
        <v>0</v>
      </c>
      <c r="AI146" s="132" t="str">
        <f t="shared" si="14"/>
        <v xml:space="preserve"> </v>
      </c>
      <c r="AS146" s="139" t="s">
        <v>1096</v>
      </c>
      <c r="AT146" s="139" t="s">
        <v>1097</v>
      </c>
      <c r="DS146" s="304"/>
      <c r="DT146" s="304"/>
      <c r="DU146" s="647" t="s">
        <v>552</v>
      </c>
      <c r="DV146" s="647" t="s">
        <v>1134</v>
      </c>
      <c r="DW146" s="647" t="s">
        <v>1134</v>
      </c>
      <c r="DX146" s="647" t="s">
        <v>1134</v>
      </c>
      <c r="DY146" s="647" t="s">
        <v>1134</v>
      </c>
      <c r="DZ146" s="647" t="s">
        <v>1134</v>
      </c>
      <c r="EA146" s="647" t="s">
        <v>1096</v>
      </c>
      <c r="EB146" s="647" t="s">
        <v>1135</v>
      </c>
      <c r="EC146" s="647" t="s">
        <v>1134</v>
      </c>
      <c r="ED146" s="647" t="s">
        <v>1136</v>
      </c>
    </row>
    <row r="147" spans="1:134" ht="12.75" customHeight="1" x14ac:dyDescent="0.2">
      <c r="A147" s="749" t="s">
        <v>62</v>
      </c>
      <c r="B147" s="146">
        <v>140</v>
      </c>
      <c r="C147" s="770">
        <v>0</v>
      </c>
      <c r="D147" s="770">
        <v>0</v>
      </c>
      <c r="E147" s="770">
        <v>0</v>
      </c>
      <c r="F147" s="770">
        <v>2.4E-2</v>
      </c>
      <c r="G147" s="770">
        <v>0</v>
      </c>
      <c r="H147" s="786">
        <f t="shared" si="10"/>
        <v>2.4E-2</v>
      </c>
      <c r="I147" s="776">
        <v>0</v>
      </c>
      <c r="J147" s="776">
        <v>1E-3</v>
      </c>
      <c r="K147" s="801">
        <v>129.56</v>
      </c>
      <c r="L147" s="802">
        <v>36.57</v>
      </c>
      <c r="M147" s="803">
        <v>0</v>
      </c>
      <c r="N147" s="778">
        <v>36.57</v>
      </c>
      <c r="O147" s="782">
        <v>0</v>
      </c>
      <c r="P147" s="803">
        <v>0</v>
      </c>
      <c r="Q147" s="781">
        <v>0</v>
      </c>
      <c r="R147" s="803">
        <v>0</v>
      </c>
      <c r="S147" s="778">
        <v>0</v>
      </c>
      <c r="T147" s="778">
        <v>0</v>
      </c>
      <c r="U147" s="804">
        <v>0.27300000000000002</v>
      </c>
      <c r="V147" s="772">
        <v>0.32100000000000001</v>
      </c>
      <c r="W147" s="783">
        <v>0.59399999999999997</v>
      </c>
      <c r="X147" s="803">
        <v>0</v>
      </c>
      <c r="Y147" s="778">
        <v>0.59399999999999997</v>
      </c>
      <c r="Z147" s="802">
        <v>1.6879999999999999</v>
      </c>
      <c r="AA147" s="803">
        <v>0.71799999999999997</v>
      </c>
      <c r="AB147" s="803">
        <v>0</v>
      </c>
      <c r="AC147" s="778">
        <v>0.97</v>
      </c>
      <c r="AD147" s="782">
        <v>0</v>
      </c>
      <c r="AE147" s="803">
        <v>50.790999999999997</v>
      </c>
      <c r="AF147" s="771">
        <f t="shared" si="11"/>
        <v>219.20400000000001</v>
      </c>
      <c r="AG147" s="805">
        <f t="shared" si="12"/>
        <v>219.22800000000001</v>
      </c>
      <c r="AH147" s="1084">
        <f t="shared" si="13"/>
        <v>0</v>
      </c>
      <c r="AI147" s="132" t="str">
        <f t="shared" si="14"/>
        <v xml:space="preserve"> </v>
      </c>
      <c r="AS147" s="139" t="s">
        <v>279</v>
      </c>
      <c r="AT147" s="139" t="s">
        <v>278</v>
      </c>
      <c r="DS147" s="304"/>
      <c r="DT147" s="304"/>
      <c r="DU147" s="647" t="s">
        <v>552</v>
      </c>
      <c r="DV147" s="647" t="s">
        <v>1134</v>
      </c>
      <c r="DW147" s="647" t="s">
        <v>1134</v>
      </c>
      <c r="DX147" s="647" t="s">
        <v>1134</v>
      </c>
      <c r="DY147" s="647" t="s">
        <v>1134</v>
      </c>
      <c r="DZ147" s="647" t="s">
        <v>1134</v>
      </c>
      <c r="EA147" s="647" t="s">
        <v>279</v>
      </c>
      <c r="EB147" s="647" t="s">
        <v>1135</v>
      </c>
      <c r="EC147" s="647" t="s">
        <v>1134</v>
      </c>
      <c r="ED147" s="647" t="s">
        <v>1136</v>
      </c>
    </row>
    <row r="148" spans="1:134" x14ac:dyDescent="0.2">
      <c r="A148" s="749" t="s">
        <v>1004</v>
      </c>
      <c r="B148" s="146">
        <v>141</v>
      </c>
      <c r="C148" s="770">
        <v>0</v>
      </c>
      <c r="D148" s="770">
        <v>0</v>
      </c>
      <c r="E148" s="770">
        <v>0</v>
      </c>
      <c r="F148" s="770">
        <v>0</v>
      </c>
      <c r="G148" s="770">
        <v>0</v>
      </c>
      <c r="H148" s="786">
        <f t="shared" si="10"/>
        <v>0</v>
      </c>
      <c r="I148" s="776">
        <v>0</v>
      </c>
      <c r="J148" s="776">
        <v>0</v>
      </c>
      <c r="K148" s="801">
        <v>0</v>
      </c>
      <c r="L148" s="802">
        <v>0</v>
      </c>
      <c r="M148" s="803">
        <v>0</v>
      </c>
      <c r="N148" s="778">
        <v>0</v>
      </c>
      <c r="O148" s="782">
        <v>0</v>
      </c>
      <c r="P148" s="803">
        <v>0</v>
      </c>
      <c r="Q148" s="781">
        <v>0</v>
      </c>
      <c r="R148" s="803">
        <v>0</v>
      </c>
      <c r="S148" s="778">
        <v>0</v>
      </c>
      <c r="T148" s="778">
        <v>0</v>
      </c>
      <c r="U148" s="804">
        <v>0</v>
      </c>
      <c r="V148" s="772">
        <v>0</v>
      </c>
      <c r="W148" s="783">
        <v>0</v>
      </c>
      <c r="X148" s="803">
        <v>0</v>
      </c>
      <c r="Y148" s="778">
        <v>0</v>
      </c>
      <c r="Z148" s="802">
        <v>0</v>
      </c>
      <c r="AA148" s="803">
        <v>0</v>
      </c>
      <c r="AB148" s="803">
        <v>0</v>
      </c>
      <c r="AC148" s="778">
        <v>0</v>
      </c>
      <c r="AD148" s="782">
        <v>0</v>
      </c>
      <c r="AE148" s="803">
        <v>0</v>
      </c>
      <c r="AF148" s="771">
        <f t="shared" si="11"/>
        <v>0</v>
      </c>
      <c r="AG148" s="805">
        <f t="shared" si="12"/>
        <v>0</v>
      </c>
      <c r="AH148" s="1084">
        <f t="shared" si="13"/>
        <v>0</v>
      </c>
      <c r="AI148" s="132" t="str">
        <f t="shared" si="14"/>
        <v xml:space="preserve"> </v>
      </c>
      <c r="AS148" s="139" t="s">
        <v>1098</v>
      </c>
      <c r="AT148" s="139" t="s">
        <v>1099</v>
      </c>
      <c r="DS148" s="304"/>
      <c r="DT148" s="304"/>
      <c r="DU148" s="647" t="s">
        <v>552</v>
      </c>
      <c r="DV148" s="647" t="s">
        <v>1134</v>
      </c>
      <c r="DW148" s="647" t="s">
        <v>1134</v>
      </c>
      <c r="DX148" s="647" t="s">
        <v>1134</v>
      </c>
      <c r="DY148" s="647" t="s">
        <v>1134</v>
      </c>
      <c r="DZ148" s="647" t="s">
        <v>1134</v>
      </c>
      <c r="EA148" s="647" t="s">
        <v>1098</v>
      </c>
      <c r="EB148" s="647" t="s">
        <v>1135</v>
      </c>
      <c r="EC148" s="647" t="s">
        <v>1134</v>
      </c>
      <c r="ED148" s="647" t="s">
        <v>1136</v>
      </c>
    </row>
    <row r="149" spans="1:134" ht="12.75" customHeight="1" x14ac:dyDescent="0.2">
      <c r="A149" s="749" t="s">
        <v>1005</v>
      </c>
      <c r="B149" s="146">
        <v>142</v>
      </c>
      <c r="C149" s="770">
        <v>0</v>
      </c>
      <c r="D149" s="770">
        <v>0</v>
      </c>
      <c r="E149" s="770">
        <v>0</v>
      </c>
      <c r="F149" s="770">
        <v>0</v>
      </c>
      <c r="G149" s="770">
        <v>0</v>
      </c>
      <c r="H149" s="786">
        <f t="shared" si="10"/>
        <v>0</v>
      </c>
      <c r="I149" s="776">
        <v>0</v>
      </c>
      <c r="J149" s="776">
        <v>0</v>
      </c>
      <c r="K149" s="801">
        <v>0</v>
      </c>
      <c r="L149" s="802">
        <v>0</v>
      </c>
      <c r="M149" s="803">
        <v>0</v>
      </c>
      <c r="N149" s="778">
        <v>0</v>
      </c>
      <c r="O149" s="782">
        <v>0</v>
      </c>
      <c r="P149" s="803">
        <v>0</v>
      </c>
      <c r="Q149" s="781">
        <v>0</v>
      </c>
      <c r="R149" s="803">
        <v>0</v>
      </c>
      <c r="S149" s="778">
        <v>0</v>
      </c>
      <c r="T149" s="778">
        <v>0</v>
      </c>
      <c r="U149" s="804">
        <v>0</v>
      </c>
      <c r="V149" s="772">
        <v>0</v>
      </c>
      <c r="W149" s="783">
        <v>0</v>
      </c>
      <c r="X149" s="803">
        <v>0</v>
      </c>
      <c r="Y149" s="778">
        <v>0</v>
      </c>
      <c r="Z149" s="802">
        <v>0</v>
      </c>
      <c r="AA149" s="803">
        <v>0</v>
      </c>
      <c r="AB149" s="803">
        <v>0</v>
      </c>
      <c r="AC149" s="778">
        <v>0</v>
      </c>
      <c r="AD149" s="782">
        <v>0</v>
      </c>
      <c r="AE149" s="803">
        <v>0</v>
      </c>
      <c r="AF149" s="771">
        <f t="shared" si="11"/>
        <v>0</v>
      </c>
      <c r="AG149" s="805">
        <f t="shared" si="12"/>
        <v>0</v>
      </c>
      <c r="AH149" s="1084">
        <f t="shared" si="13"/>
        <v>0</v>
      </c>
      <c r="AI149" s="132" t="str">
        <f t="shared" si="14"/>
        <v xml:space="preserve"> </v>
      </c>
      <c r="AS149" s="139" t="s">
        <v>1100</v>
      </c>
      <c r="AT149" s="139" t="s">
        <v>1101</v>
      </c>
      <c r="DS149" s="304"/>
      <c r="DT149" s="304"/>
      <c r="DU149" s="647" t="s">
        <v>552</v>
      </c>
      <c r="DV149" s="647" t="s">
        <v>1134</v>
      </c>
      <c r="DW149" s="647" t="s">
        <v>1134</v>
      </c>
      <c r="DX149" s="647" t="s">
        <v>1134</v>
      </c>
      <c r="DY149" s="647" t="s">
        <v>1134</v>
      </c>
      <c r="DZ149" s="647" t="s">
        <v>1134</v>
      </c>
      <c r="EA149" s="647" t="s">
        <v>1100</v>
      </c>
      <c r="EB149" s="647" t="s">
        <v>1135</v>
      </c>
      <c r="EC149" s="647" t="s">
        <v>1134</v>
      </c>
      <c r="ED149" s="647" t="s">
        <v>1136</v>
      </c>
    </row>
    <row r="150" spans="1:134" x14ac:dyDescent="0.2">
      <c r="A150" s="749" t="s">
        <v>63</v>
      </c>
      <c r="B150" s="146">
        <v>143</v>
      </c>
      <c r="C150" s="770">
        <v>0</v>
      </c>
      <c r="D150" s="770">
        <v>0</v>
      </c>
      <c r="E150" s="770">
        <v>0</v>
      </c>
      <c r="F150" s="770">
        <v>2.101</v>
      </c>
      <c r="G150" s="770">
        <v>0</v>
      </c>
      <c r="H150" s="786">
        <f t="shared" si="10"/>
        <v>2.101</v>
      </c>
      <c r="I150" s="776">
        <v>0</v>
      </c>
      <c r="J150" s="776">
        <v>8.0009999999999994</v>
      </c>
      <c r="K150" s="801">
        <v>102.706</v>
      </c>
      <c r="L150" s="802">
        <v>28.991</v>
      </c>
      <c r="M150" s="803">
        <v>0</v>
      </c>
      <c r="N150" s="778">
        <v>28.991</v>
      </c>
      <c r="O150" s="782">
        <v>0</v>
      </c>
      <c r="P150" s="803">
        <v>0</v>
      </c>
      <c r="Q150" s="781">
        <v>31.658000000000001</v>
      </c>
      <c r="R150" s="803">
        <v>0</v>
      </c>
      <c r="S150" s="778">
        <v>31.658000000000001</v>
      </c>
      <c r="T150" s="778">
        <v>3.3519999999999999</v>
      </c>
      <c r="U150" s="804">
        <v>34.061</v>
      </c>
      <c r="V150" s="772">
        <v>39.951999999999998</v>
      </c>
      <c r="W150" s="783">
        <v>74.013000000000005</v>
      </c>
      <c r="X150" s="803">
        <v>0</v>
      </c>
      <c r="Y150" s="778">
        <v>74.013000000000005</v>
      </c>
      <c r="Z150" s="802">
        <v>107.714</v>
      </c>
      <c r="AA150" s="803">
        <v>45.871000000000002</v>
      </c>
      <c r="AB150" s="803">
        <v>0</v>
      </c>
      <c r="AC150" s="778">
        <v>61.843000000000004</v>
      </c>
      <c r="AD150" s="782">
        <v>0</v>
      </c>
      <c r="AE150" s="803">
        <v>12.191000000000001</v>
      </c>
      <c r="AF150" s="771">
        <f t="shared" si="11"/>
        <v>368.62599999999998</v>
      </c>
      <c r="AG150" s="805">
        <f t="shared" si="12"/>
        <v>370.72699999999998</v>
      </c>
      <c r="AH150" s="1084">
        <f t="shared" si="13"/>
        <v>0</v>
      </c>
      <c r="AI150" s="132" t="str">
        <f t="shared" si="14"/>
        <v xml:space="preserve"> </v>
      </c>
      <c r="AS150" s="139" t="s">
        <v>281</v>
      </c>
      <c r="AT150" s="139" t="s">
        <v>280</v>
      </c>
      <c r="DS150" s="304"/>
      <c r="DT150" s="304"/>
      <c r="DU150" s="647" t="s">
        <v>552</v>
      </c>
      <c r="DV150" s="647" t="s">
        <v>1134</v>
      </c>
      <c r="DW150" s="647" t="s">
        <v>1134</v>
      </c>
      <c r="DX150" s="647" t="s">
        <v>1134</v>
      </c>
      <c r="DY150" s="647" t="s">
        <v>1134</v>
      </c>
      <c r="DZ150" s="647" t="s">
        <v>1134</v>
      </c>
      <c r="EA150" s="647" t="s">
        <v>281</v>
      </c>
      <c r="EB150" s="647" t="s">
        <v>1135</v>
      </c>
      <c r="EC150" s="647" t="s">
        <v>1134</v>
      </c>
      <c r="ED150" s="647" t="s">
        <v>1136</v>
      </c>
    </row>
    <row r="151" spans="1:134" ht="12.75" customHeight="1" x14ac:dyDescent="0.2">
      <c r="A151" s="749" t="s">
        <v>64</v>
      </c>
      <c r="B151" s="146">
        <v>144</v>
      </c>
      <c r="C151" s="770">
        <v>0</v>
      </c>
      <c r="D151" s="770">
        <v>0</v>
      </c>
      <c r="E151" s="770">
        <v>0</v>
      </c>
      <c r="F151" s="770">
        <v>0</v>
      </c>
      <c r="G151" s="770">
        <v>0</v>
      </c>
      <c r="H151" s="786">
        <f t="shared" si="10"/>
        <v>0</v>
      </c>
      <c r="I151" s="776">
        <v>0</v>
      </c>
      <c r="J151" s="776">
        <v>0</v>
      </c>
      <c r="K151" s="801">
        <v>0.71</v>
      </c>
      <c r="L151" s="802">
        <v>0.20100000000000001</v>
      </c>
      <c r="M151" s="803">
        <v>0</v>
      </c>
      <c r="N151" s="778">
        <v>0.20100000000000001</v>
      </c>
      <c r="O151" s="782">
        <v>0</v>
      </c>
      <c r="P151" s="803">
        <v>0</v>
      </c>
      <c r="Q151" s="781">
        <v>0.156</v>
      </c>
      <c r="R151" s="803">
        <v>0</v>
      </c>
      <c r="S151" s="778">
        <v>0.156</v>
      </c>
      <c r="T151" s="778">
        <v>1.7000000000000001E-2</v>
      </c>
      <c r="U151" s="804">
        <v>0.48299999999999998</v>
      </c>
      <c r="V151" s="772">
        <v>0.56699999999999995</v>
      </c>
      <c r="W151" s="783">
        <v>1.05</v>
      </c>
      <c r="X151" s="803">
        <v>0</v>
      </c>
      <c r="Y151" s="778">
        <v>1.05</v>
      </c>
      <c r="Z151" s="802">
        <v>0</v>
      </c>
      <c r="AA151" s="803">
        <v>0</v>
      </c>
      <c r="AB151" s="803">
        <v>0</v>
      </c>
      <c r="AC151" s="778">
        <v>0</v>
      </c>
      <c r="AD151" s="782">
        <v>0</v>
      </c>
      <c r="AE151" s="803">
        <v>9.1999999999999998E-2</v>
      </c>
      <c r="AF151" s="771">
        <f t="shared" si="11"/>
        <v>2.226</v>
      </c>
      <c r="AG151" s="805">
        <f t="shared" si="12"/>
        <v>2.226</v>
      </c>
      <c r="AH151" s="1084">
        <f t="shared" si="13"/>
        <v>0</v>
      </c>
      <c r="AI151" s="132" t="str">
        <f t="shared" si="14"/>
        <v xml:space="preserve"> </v>
      </c>
      <c r="AS151" s="139" t="s">
        <v>283</v>
      </c>
      <c r="AT151" s="139" t="s">
        <v>282</v>
      </c>
      <c r="DS151" s="304"/>
      <c r="DT151" s="304"/>
      <c r="DU151" s="647" t="s">
        <v>552</v>
      </c>
      <c r="DV151" s="647" t="s">
        <v>1134</v>
      </c>
      <c r="DW151" s="647" t="s">
        <v>1134</v>
      </c>
      <c r="DX151" s="647" t="s">
        <v>1134</v>
      </c>
      <c r="DY151" s="647" t="s">
        <v>1134</v>
      </c>
      <c r="DZ151" s="647" t="s">
        <v>1134</v>
      </c>
      <c r="EA151" s="647" t="s">
        <v>283</v>
      </c>
      <c r="EB151" s="647" t="s">
        <v>1135</v>
      </c>
      <c r="EC151" s="647" t="s">
        <v>1134</v>
      </c>
      <c r="ED151" s="647" t="s">
        <v>1136</v>
      </c>
    </row>
    <row r="152" spans="1:134" ht="12.75" customHeight="1" x14ac:dyDescent="0.2">
      <c r="A152" s="749" t="s">
        <v>622</v>
      </c>
      <c r="B152" s="146">
        <v>145</v>
      </c>
      <c r="C152" s="770">
        <v>0</v>
      </c>
      <c r="D152" s="770">
        <v>0</v>
      </c>
      <c r="E152" s="770">
        <v>0</v>
      </c>
      <c r="F152" s="770">
        <v>0</v>
      </c>
      <c r="G152" s="770">
        <v>0</v>
      </c>
      <c r="H152" s="786">
        <f t="shared" si="10"/>
        <v>0</v>
      </c>
      <c r="I152" s="776">
        <v>0</v>
      </c>
      <c r="J152" s="776">
        <v>0</v>
      </c>
      <c r="K152" s="801">
        <v>0</v>
      </c>
      <c r="L152" s="802">
        <v>0</v>
      </c>
      <c r="M152" s="803">
        <v>0</v>
      </c>
      <c r="N152" s="778">
        <v>0</v>
      </c>
      <c r="O152" s="782">
        <v>0</v>
      </c>
      <c r="P152" s="803">
        <v>0</v>
      </c>
      <c r="Q152" s="781">
        <v>0</v>
      </c>
      <c r="R152" s="803">
        <v>0</v>
      </c>
      <c r="S152" s="778">
        <v>0</v>
      </c>
      <c r="T152" s="778">
        <v>0</v>
      </c>
      <c r="U152" s="804">
        <v>0</v>
      </c>
      <c r="V152" s="772">
        <v>0</v>
      </c>
      <c r="W152" s="783">
        <v>0</v>
      </c>
      <c r="X152" s="803">
        <v>0</v>
      </c>
      <c r="Y152" s="778">
        <v>0</v>
      </c>
      <c r="Z152" s="802">
        <v>0</v>
      </c>
      <c r="AA152" s="803">
        <v>0</v>
      </c>
      <c r="AB152" s="803">
        <v>0</v>
      </c>
      <c r="AC152" s="778">
        <v>0</v>
      </c>
      <c r="AD152" s="782">
        <v>0</v>
      </c>
      <c r="AE152" s="803">
        <v>0</v>
      </c>
      <c r="AF152" s="771">
        <f t="shared" si="11"/>
        <v>0</v>
      </c>
      <c r="AG152" s="805">
        <f t="shared" si="12"/>
        <v>0</v>
      </c>
      <c r="AH152" s="1084">
        <f t="shared" si="13"/>
        <v>0</v>
      </c>
      <c r="AI152" s="132" t="str">
        <f t="shared" si="14"/>
        <v xml:space="preserve"> </v>
      </c>
      <c r="AS152" s="139" t="s">
        <v>493</v>
      </c>
      <c r="AT152" s="139" t="s">
        <v>494</v>
      </c>
      <c r="DS152" s="304"/>
      <c r="DT152" s="304"/>
      <c r="DU152" s="647" t="s">
        <v>552</v>
      </c>
      <c r="DV152" s="647" t="s">
        <v>1134</v>
      </c>
      <c r="DW152" s="647" t="s">
        <v>1134</v>
      </c>
      <c r="DX152" s="647" t="s">
        <v>1134</v>
      </c>
      <c r="DY152" s="647" t="s">
        <v>1134</v>
      </c>
      <c r="DZ152" s="647" t="s">
        <v>1134</v>
      </c>
      <c r="EA152" s="647" t="s">
        <v>493</v>
      </c>
      <c r="EB152" s="647" t="s">
        <v>1135</v>
      </c>
      <c r="EC152" s="647" t="s">
        <v>1134</v>
      </c>
      <c r="ED152" s="647" t="s">
        <v>1136</v>
      </c>
    </row>
    <row r="153" spans="1:134" x14ac:dyDescent="0.2">
      <c r="A153" s="749" t="s">
        <v>1006</v>
      </c>
      <c r="B153" s="146">
        <v>146</v>
      </c>
      <c r="C153" s="770">
        <v>0</v>
      </c>
      <c r="D153" s="770">
        <v>0</v>
      </c>
      <c r="E153" s="770">
        <v>0</v>
      </c>
      <c r="F153" s="770">
        <v>0</v>
      </c>
      <c r="G153" s="770">
        <v>0</v>
      </c>
      <c r="H153" s="786">
        <f t="shared" si="10"/>
        <v>0</v>
      </c>
      <c r="I153" s="776">
        <v>0</v>
      </c>
      <c r="J153" s="776">
        <v>0</v>
      </c>
      <c r="K153" s="801">
        <v>0</v>
      </c>
      <c r="L153" s="802">
        <v>0</v>
      </c>
      <c r="M153" s="803">
        <v>0</v>
      </c>
      <c r="N153" s="778">
        <v>0</v>
      </c>
      <c r="O153" s="782">
        <v>0</v>
      </c>
      <c r="P153" s="803">
        <v>0</v>
      </c>
      <c r="Q153" s="781">
        <v>0</v>
      </c>
      <c r="R153" s="803">
        <v>0</v>
      </c>
      <c r="S153" s="778">
        <v>0</v>
      </c>
      <c r="T153" s="778">
        <v>0</v>
      </c>
      <c r="U153" s="804">
        <v>0</v>
      </c>
      <c r="V153" s="772">
        <v>0</v>
      </c>
      <c r="W153" s="783">
        <v>0</v>
      </c>
      <c r="X153" s="803">
        <v>0</v>
      </c>
      <c r="Y153" s="778">
        <v>0</v>
      </c>
      <c r="Z153" s="802">
        <v>0</v>
      </c>
      <c r="AA153" s="803">
        <v>0</v>
      </c>
      <c r="AB153" s="803">
        <v>0</v>
      </c>
      <c r="AC153" s="778">
        <v>0</v>
      </c>
      <c r="AD153" s="782">
        <v>0</v>
      </c>
      <c r="AE153" s="803">
        <v>0.97299999999999998</v>
      </c>
      <c r="AF153" s="771">
        <f t="shared" si="11"/>
        <v>0.97299999999999998</v>
      </c>
      <c r="AG153" s="805">
        <f t="shared" si="12"/>
        <v>0.97299999999999998</v>
      </c>
      <c r="AH153" s="1084">
        <f t="shared" si="13"/>
        <v>0</v>
      </c>
      <c r="AI153" s="132" t="str">
        <f t="shared" si="14"/>
        <v xml:space="preserve"> </v>
      </c>
      <c r="AS153" s="130" t="s">
        <v>1185</v>
      </c>
      <c r="AT153" s="139" t="s">
        <v>581</v>
      </c>
      <c r="DS153" s="304"/>
      <c r="DT153" s="304"/>
      <c r="DU153" s="647" t="s">
        <v>552</v>
      </c>
      <c r="DV153" s="647" t="s">
        <v>1134</v>
      </c>
      <c r="DW153" s="647" t="s">
        <v>1134</v>
      </c>
      <c r="DX153" s="647" t="s">
        <v>1134</v>
      </c>
      <c r="DY153" s="647" t="s">
        <v>1134</v>
      </c>
      <c r="DZ153" s="647" t="s">
        <v>1134</v>
      </c>
      <c r="EA153" s="647" t="s">
        <v>1185</v>
      </c>
      <c r="EB153" s="647" t="s">
        <v>1135</v>
      </c>
      <c r="EC153" s="647" t="s">
        <v>1134</v>
      </c>
      <c r="ED153" s="647" t="s">
        <v>1136</v>
      </c>
    </row>
    <row r="154" spans="1:134" ht="12.75" customHeight="1" x14ac:dyDescent="0.2">
      <c r="A154" s="749" t="s">
        <v>563</v>
      </c>
      <c r="B154" s="146">
        <v>147</v>
      </c>
      <c r="C154" s="770">
        <v>0</v>
      </c>
      <c r="D154" s="770">
        <v>0</v>
      </c>
      <c r="E154" s="770">
        <v>0</v>
      </c>
      <c r="F154" s="770">
        <v>0</v>
      </c>
      <c r="G154" s="770">
        <v>0</v>
      </c>
      <c r="H154" s="786">
        <f t="shared" si="10"/>
        <v>0</v>
      </c>
      <c r="I154" s="776">
        <v>0</v>
      </c>
      <c r="J154" s="776">
        <v>0</v>
      </c>
      <c r="K154" s="801">
        <v>0</v>
      </c>
      <c r="L154" s="802">
        <v>0</v>
      </c>
      <c r="M154" s="803">
        <v>0</v>
      </c>
      <c r="N154" s="778">
        <v>0</v>
      </c>
      <c r="O154" s="782">
        <v>0</v>
      </c>
      <c r="P154" s="803">
        <v>0</v>
      </c>
      <c r="Q154" s="781">
        <v>0</v>
      </c>
      <c r="R154" s="803">
        <v>0</v>
      </c>
      <c r="S154" s="778">
        <v>0</v>
      </c>
      <c r="T154" s="778">
        <v>0</v>
      </c>
      <c r="U154" s="804">
        <v>0</v>
      </c>
      <c r="V154" s="772">
        <v>0</v>
      </c>
      <c r="W154" s="783">
        <v>0</v>
      </c>
      <c r="X154" s="803">
        <v>0</v>
      </c>
      <c r="Y154" s="778">
        <v>0</v>
      </c>
      <c r="Z154" s="802">
        <v>0</v>
      </c>
      <c r="AA154" s="803">
        <v>0</v>
      </c>
      <c r="AB154" s="803">
        <v>0</v>
      </c>
      <c r="AC154" s="778">
        <v>0</v>
      </c>
      <c r="AD154" s="782">
        <v>0</v>
      </c>
      <c r="AE154" s="803">
        <v>0</v>
      </c>
      <c r="AF154" s="771">
        <f t="shared" si="11"/>
        <v>0</v>
      </c>
      <c r="AG154" s="805">
        <f t="shared" si="12"/>
        <v>0</v>
      </c>
      <c r="AH154" s="1084">
        <f t="shared" si="13"/>
        <v>0</v>
      </c>
      <c r="AI154" s="132" t="str">
        <f t="shared" si="14"/>
        <v xml:space="preserve"> </v>
      </c>
      <c r="AS154" s="139" t="s">
        <v>523</v>
      </c>
      <c r="AT154" s="139" t="s">
        <v>524</v>
      </c>
      <c r="DS154" s="304"/>
      <c r="DT154" s="304"/>
      <c r="DU154" s="647" t="s">
        <v>552</v>
      </c>
      <c r="DV154" s="647" t="s">
        <v>1134</v>
      </c>
      <c r="DW154" s="647" t="s">
        <v>1134</v>
      </c>
      <c r="DX154" s="647" t="s">
        <v>1134</v>
      </c>
      <c r="DY154" s="647" t="s">
        <v>1134</v>
      </c>
      <c r="DZ154" s="647" t="s">
        <v>1134</v>
      </c>
      <c r="EA154" s="647" t="s">
        <v>523</v>
      </c>
      <c r="EB154" s="647" t="s">
        <v>1135</v>
      </c>
      <c r="EC154" s="647" t="s">
        <v>1134</v>
      </c>
      <c r="ED154" s="647" t="s">
        <v>1136</v>
      </c>
    </row>
    <row r="155" spans="1:134" x14ac:dyDescent="0.2">
      <c r="A155" s="749" t="s">
        <v>1007</v>
      </c>
      <c r="B155" s="146">
        <v>148</v>
      </c>
      <c r="C155" s="770">
        <v>0</v>
      </c>
      <c r="D155" s="770">
        <v>0</v>
      </c>
      <c r="E155" s="770">
        <v>0</v>
      </c>
      <c r="F155" s="770">
        <v>0</v>
      </c>
      <c r="G155" s="770">
        <v>0</v>
      </c>
      <c r="H155" s="786">
        <f t="shared" si="10"/>
        <v>0</v>
      </c>
      <c r="I155" s="776">
        <v>0</v>
      </c>
      <c r="J155" s="776">
        <v>0</v>
      </c>
      <c r="K155" s="801">
        <v>0</v>
      </c>
      <c r="L155" s="802">
        <v>0</v>
      </c>
      <c r="M155" s="803">
        <v>0</v>
      </c>
      <c r="N155" s="778">
        <v>0</v>
      </c>
      <c r="O155" s="782">
        <v>0</v>
      </c>
      <c r="P155" s="803">
        <v>0</v>
      </c>
      <c r="Q155" s="781">
        <v>0</v>
      </c>
      <c r="R155" s="803">
        <v>0</v>
      </c>
      <c r="S155" s="778">
        <v>0</v>
      </c>
      <c r="T155" s="778">
        <v>0</v>
      </c>
      <c r="U155" s="804">
        <v>0</v>
      </c>
      <c r="V155" s="772">
        <v>0</v>
      </c>
      <c r="W155" s="783">
        <v>0</v>
      </c>
      <c r="X155" s="803">
        <v>0</v>
      </c>
      <c r="Y155" s="778">
        <v>0</v>
      </c>
      <c r="Z155" s="802">
        <v>0</v>
      </c>
      <c r="AA155" s="803">
        <v>0</v>
      </c>
      <c r="AB155" s="803">
        <v>0</v>
      </c>
      <c r="AC155" s="778">
        <v>0</v>
      </c>
      <c r="AD155" s="782">
        <v>0</v>
      </c>
      <c r="AE155" s="803">
        <v>0</v>
      </c>
      <c r="AF155" s="771">
        <f t="shared" si="11"/>
        <v>0</v>
      </c>
      <c r="AG155" s="805">
        <f t="shared" si="12"/>
        <v>0</v>
      </c>
      <c r="AH155" s="1084">
        <f t="shared" si="13"/>
        <v>0</v>
      </c>
      <c r="AI155" s="132" t="str">
        <f t="shared" si="14"/>
        <v xml:space="preserve"> </v>
      </c>
      <c r="AS155" s="139" t="s">
        <v>1102</v>
      </c>
      <c r="AT155" s="139" t="s">
        <v>1103</v>
      </c>
      <c r="DS155" s="304"/>
      <c r="DT155" s="304"/>
      <c r="DU155" s="647" t="s">
        <v>552</v>
      </c>
      <c r="DV155" s="647" t="s">
        <v>1134</v>
      </c>
      <c r="DW155" s="647" t="s">
        <v>1134</v>
      </c>
      <c r="DX155" s="647" t="s">
        <v>1134</v>
      </c>
      <c r="DY155" s="647" t="s">
        <v>1134</v>
      </c>
      <c r="DZ155" s="647" t="s">
        <v>1134</v>
      </c>
      <c r="EA155" s="647" t="s">
        <v>1102</v>
      </c>
      <c r="EB155" s="647" t="s">
        <v>1135</v>
      </c>
      <c r="EC155" s="647" t="s">
        <v>1134</v>
      </c>
      <c r="ED155" s="647" t="s">
        <v>1136</v>
      </c>
    </row>
    <row r="156" spans="1:134" ht="12.75" customHeight="1" x14ac:dyDescent="0.2">
      <c r="A156" s="749" t="s">
        <v>73</v>
      </c>
      <c r="B156" s="146">
        <v>149</v>
      </c>
      <c r="C156" s="770">
        <v>0</v>
      </c>
      <c r="D156" s="770">
        <v>0</v>
      </c>
      <c r="E156" s="770">
        <v>0</v>
      </c>
      <c r="F156" s="770">
        <v>0</v>
      </c>
      <c r="G156" s="770">
        <v>0</v>
      </c>
      <c r="H156" s="786">
        <f t="shared" si="10"/>
        <v>0</v>
      </c>
      <c r="I156" s="776">
        <v>0</v>
      </c>
      <c r="J156" s="776">
        <v>0</v>
      </c>
      <c r="K156" s="801">
        <v>0</v>
      </c>
      <c r="L156" s="802">
        <v>0</v>
      </c>
      <c r="M156" s="803">
        <v>0</v>
      </c>
      <c r="N156" s="778">
        <v>0</v>
      </c>
      <c r="O156" s="782">
        <v>0</v>
      </c>
      <c r="P156" s="803">
        <v>0</v>
      </c>
      <c r="Q156" s="781">
        <v>0</v>
      </c>
      <c r="R156" s="803">
        <v>0</v>
      </c>
      <c r="S156" s="778">
        <v>0</v>
      </c>
      <c r="T156" s="778">
        <v>0</v>
      </c>
      <c r="U156" s="804">
        <v>0</v>
      </c>
      <c r="V156" s="772">
        <v>0</v>
      </c>
      <c r="W156" s="783">
        <v>0</v>
      </c>
      <c r="X156" s="803">
        <v>0</v>
      </c>
      <c r="Y156" s="778">
        <v>0</v>
      </c>
      <c r="Z156" s="802">
        <v>0</v>
      </c>
      <c r="AA156" s="803">
        <v>0</v>
      </c>
      <c r="AB156" s="803">
        <v>0</v>
      </c>
      <c r="AC156" s="778">
        <v>0</v>
      </c>
      <c r="AD156" s="782">
        <v>0</v>
      </c>
      <c r="AE156" s="803">
        <v>2.5390000000000001</v>
      </c>
      <c r="AF156" s="771">
        <f t="shared" si="11"/>
        <v>2.5390000000000001</v>
      </c>
      <c r="AG156" s="805">
        <f t="shared" si="12"/>
        <v>2.5390000000000001</v>
      </c>
      <c r="AH156" s="1084">
        <f t="shared" si="13"/>
        <v>0</v>
      </c>
      <c r="AI156" s="132" t="str">
        <f t="shared" si="14"/>
        <v xml:space="preserve"> </v>
      </c>
      <c r="AS156" s="139" t="s">
        <v>582</v>
      </c>
      <c r="AT156" s="139" t="s">
        <v>583</v>
      </c>
      <c r="DS156" s="304"/>
      <c r="DT156" s="304"/>
      <c r="DU156" s="647" t="s">
        <v>552</v>
      </c>
      <c r="DV156" s="647" t="s">
        <v>1134</v>
      </c>
      <c r="DW156" s="647" t="s">
        <v>1134</v>
      </c>
      <c r="DX156" s="647" t="s">
        <v>1134</v>
      </c>
      <c r="DY156" s="647" t="s">
        <v>1134</v>
      </c>
      <c r="DZ156" s="647" t="s">
        <v>1134</v>
      </c>
      <c r="EA156" s="647" t="s">
        <v>582</v>
      </c>
      <c r="EB156" s="647" t="s">
        <v>1135</v>
      </c>
      <c r="EC156" s="647" t="s">
        <v>1134</v>
      </c>
      <c r="ED156" s="647" t="s">
        <v>1136</v>
      </c>
    </row>
    <row r="157" spans="1:134" x14ac:dyDescent="0.2">
      <c r="A157" s="749" t="s">
        <v>1008</v>
      </c>
      <c r="B157" s="146">
        <v>150</v>
      </c>
      <c r="C157" s="770">
        <v>0</v>
      </c>
      <c r="D157" s="770">
        <v>0</v>
      </c>
      <c r="E157" s="770">
        <v>0</v>
      </c>
      <c r="F157" s="770">
        <v>0</v>
      </c>
      <c r="G157" s="770">
        <v>0</v>
      </c>
      <c r="H157" s="786">
        <f t="shared" si="10"/>
        <v>0</v>
      </c>
      <c r="I157" s="776">
        <v>0</v>
      </c>
      <c r="J157" s="776">
        <v>0</v>
      </c>
      <c r="K157" s="801">
        <v>0</v>
      </c>
      <c r="L157" s="802">
        <v>0</v>
      </c>
      <c r="M157" s="803">
        <v>0</v>
      </c>
      <c r="N157" s="778">
        <v>0</v>
      </c>
      <c r="O157" s="782">
        <v>0</v>
      </c>
      <c r="P157" s="803">
        <v>0</v>
      </c>
      <c r="Q157" s="781">
        <v>0</v>
      </c>
      <c r="R157" s="803">
        <v>0</v>
      </c>
      <c r="S157" s="778">
        <v>0</v>
      </c>
      <c r="T157" s="778">
        <v>0</v>
      </c>
      <c r="U157" s="804">
        <v>0</v>
      </c>
      <c r="V157" s="772">
        <v>0</v>
      </c>
      <c r="W157" s="783">
        <v>0</v>
      </c>
      <c r="X157" s="803">
        <v>0</v>
      </c>
      <c r="Y157" s="778">
        <v>0</v>
      </c>
      <c r="Z157" s="802">
        <v>0</v>
      </c>
      <c r="AA157" s="803">
        <v>0</v>
      </c>
      <c r="AB157" s="803">
        <v>0</v>
      </c>
      <c r="AC157" s="778">
        <v>0</v>
      </c>
      <c r="AD157" s="782">
        <v>0</v>
      </c>
      <c r="AE157" s="803">
        <v>0</v>
      </c>
      <c r="AF157" s="771">
        <f t="shared" si="11"/>
        <v>0</v>
      </c>
      <c r="AG157" s="805">
        <f t="shared" si="12"/>
        <v>0</v>
      </c>
      <c r="AH157" s="1084">
        <f t="shared" si="13"/>
        <v>0</v>
      </c>
      <c r="AI157" s="132" t="str">
        <f t="shared" si="14"/>
        <v xml:space="preserve"> </v>
      </c>
      <c r="AS157" s="139" t="s">
        <v>1104</v>
      </c>
      <c r="AT157" s="139" t="s">
        <v>1105</v>
      </c>
      <c r="DS157" s="304"/>
      <c r="DT157" s="304"/>
      <c r="DU157" s="647" t="s">
        <v>552</v>
      </c>
      <c r="DV157" s="647" t="s">
        <v>1134</v>
      </c>
      <c r="DW157" s="647" t="s">
        <v>1134</v>
      </c>
      <c r="DX157" s="647" t="s">
        <v>1134</v>
      </c>
      <c r="DY157" s="647" t="s">
        <v>1134</v>
      </c>
      <c r="DZ157" s="647" t="s">
        <v>1134</v>
      </c>
      <c r="EA157" s="647" t="s">
        <v>1104</v>
      </c>
      <c r="EB157" s="647" t="s">
        <v>1135</v>
      </c>
      <c r="EC157" s="647" t="s">
        <v>1134</v>
      </c>
      <c r="ED157" s="647" t="s">
        <v>1136</v>
      </c>
    </row>
    <row r="158" spans="1:134" ht="12.75" customHeight="1" x14ac:dyDescent="0.2">
      <c r="A158" s="749" t="s">
        <v>1009</v>
      </c>
      <c r="B158" s="146">
        <v>151</v>
      </c>
      <c r="C158" s="770">
        <v>0</v>
      </c>
      <c r="D158" s="770">
        <v>0</v>
      </c>
      <c r="E158" s="770">
        <v>0</v>
      </c>
      <c r="F158" s="770">
        <v>0</v>
      </c>
      <c r="G158" s="770">
        <v>0</v>
      </c>
      <c r="H158" s="786">
        <f t="shared" si="10"/>
        <v>0</v>
      </c>
      <c r="I158" s="776">
        <v>0</v>
      </c>
      <c r="J158" s="776">
        <v>0</v>
      </c>
      <c r="K158" s="801">
        <v>0</v>
      </c>
      <c r="L158" s="802">
        <v>0</v>
      </c>
      <c r="M158" s="803">
        <v>0</v>
      </c>
      <c r="N158" s="778">
        <v>0</v>
      </c>
      <c r="O158" s="782">
        <v>0</v>
      </c>
      <c r="P158" s="803">
        <v>0</v>
      </c>
      <c r="Q158" s="781">
        <v>0</v>
      </c>
      <c r="R158" s="803">
        <v>0</v>
      </c>
      <c r="S158" s="778">
        <v>0</v>
      </c>
      <c r="T158" s="778">
        <v>0</v>
      </c>
      <c r="U158" s="804">
        <v>0</v>
      </c>
      <c r="V158" s="772">
        <v>0</v>
      </c>
      <c r="W158" s="783">
        <v>0</v>
      </c>
      <c r="X158" s="803">
        <v>0</v>
      </c>
      <c r="Y158" s="778">
        <v>0</v>
      </c>
      <c r="Z158" s="802">
        <v>0</v>
      </c>
      <c r="AA158" s="803">
        <v>0</v>
      </c>
      <c r="AB158" s="803">
        <v>0</v>
      </c>
      <c r="AC158" s="778">
        <v>0</v>
      </c>
      <c r="AD158" s="782">
        <v>0</v>
      </c>
      <c r="AE158" s="803">
        <v>0</v>
      </c>
      <c r="AF158" s="771">
        <f t="shared" si="11"/>
        <v>0</v>
      </c>
      <c r="AG158" s="805">
        <f t="shared" si="12"/>
        <v>0</v>
      </c>
      <c r="AH158" s="1084">
        <f t="shared" si="13"/>
        <v>0</v>
      </c>
      <c r="AI158" s="132" t="str">
        <f t="shared" si="14"/>
        <v xml:space="preserve"> </v>
      </c>
      <c r="AS158" s="139" t="s">
        <v>1106</v>
      </c>
      <c r="AT158" s="139" t="s">
        <v>1107</v>
      </c>
      <c r="DS158" s="304"/>
      <c r="DT158" s="304"/>
      <c r="DU158" s="647" t="s">
        <v>552</v>
      </c>
      <c r="DV158" s="647" t="s">
        <v>1134</v>
      </c>
      <c r="DW158" s="647" t="s">
        <v>1134</v>
      </c>
      <c r="DX158" s="647" t="s">
        <v>1134</v>
      </c>
      <c r="DY158" s="647" t="s">
        <v>1134</v>
      </c>
      <c r="DZ158" s="647" t="s">
        <v>1134</v>
      </c>
      <c r="EA158" s="647" t="s">
        <v>1106</v>
      </c>
      <c r="EB158" s="647" t="s">
        <v>1135</v>
      </c>
      <c r="EC158" s="647" t="s">
        <v>1134</v>
      </c>
      <c r="ED158" s="647" t="s">
        <v>1136</v>
      </c>
    </row>
    <row r="159" spans="1:134" x14ac:dyDescent="0.2">
      <c r="A159" s="749" t="s">
        <v>100</v>
      </c>
      <c r="B159" s="146">
        <v>152</v>
      </c>
      <c r="C159" s="770">
        <v>0</v>
      </c>
      <c r="D159" s="770">
        <v>0</v>
      </c>
      <c r="E159" s="770">
        <v>0</v>
      </c>
      <c r="F159" s="770">
        <v>52.622</v>
      </c>
      <c r="G159" s="770">
        <v>0</v>
      </c>
      <c r="H159" s="786">
        <f t="shared" si="10"/>
        <v>52.622</v>
      </c>
      <c r="I159" s="776">
        <v>0</v>
      </c>
      <c r="J159" s="776">
        <v>0</v>
      </c>
      <c r="K159" s="801">
        <v>0</v>
      </c>
      <c r="L159" s="802">
        <v>0</v>
      </c>
      <c r="M159" s="803">
        <v>0</v>
      </c>
      <c r="N159" s="778">
        <v>0</v>
      </c>
      <c r="O159" s="782">
        <v>0</v>
      </c>
      <c r="P159" s="803">
        <v>0</v>
      </c>
      <c r="Q159" s="781">
        <v>0</v>
      </c>
      <c r="R159" s="803">
        <v>0</v>
      </c>
      <c r="S159" s="778">
        <v>0</v>
      </c>
      <c r="T159" s="778">
        <v>0</v>
      </c>
      <c r="U159" s="804">
        <v>0</v>
      </c>
      <c r="V159" s="772">
        <v>0</v>
      </c>
      <c r="W159" s="783">
        <v>0</v>
      </c>
      <c r="X159" s="803">
        <v>0</v>
      </c>
      <c r="Y159" s="778">
        <v>0</v>
      </c>
      <c r="Z159" s="802">
        <v>0</v>
      </c>
      <c r="AA159" s="803">
        <v>0</v>
      </c>
      <c r="AB159" s="803">
        <v>0</v>
      </c>
      <c r="AC159" s="778">
        <v>0</v>
      </c>
      <c r="AD159" s="782">
        <v>0</v>
      </c>
      <c r="AE159" s="803">
        <v>0</v>
      </c>
      <c r="AF159" s="771">
        <f t="shared" si="11"/>
        <v>0</v>
      </c>
      <c r="AG159" s="805">
        <f t="shared" si="12"/>
        <v>52.622</v>
      </c>
      <c r="AH159" s="1084">
        <f t="shared" si="13"/>
        <v>0</v>
      </c>
      <c r="AI159" s="132" t="str">
        <f t="shared" si="14"/>
        <v xml:space="preserve"> </v>
      </c>
      <c r="AS159" s="139" t="s">
        <v>495</v>
      </c>
      <c r="AT159" s="139" t="s">
        <v>496</v>
      </c>
      <c r="DS159" s="304"/>
      <c r="DT159" s="304"/>
      <c r="DU159" s="647" t="s">
        <v>552</v>
      </c>
      <c r="DV159" s="647" t="s">
        <v>1134</v>
      </c>
      <c r="DW159" s="647" t="s">
        <v>1134</v>
      </c>
      <c r="DX159" s="647" t="s">
        <v>1134</v>
      </c>
      <c r="DY159" s="647" t="s">
        <v>1134</v>
      </c>
      <c r="DZ159" s="647" t="s">
        <v>1134</v>
      </c>
      <c r="EA159" s="647" t="s">
        <v>495</v>
      </c>
      <c r="EB159" s="647" t="s">
        <v>1135</v>
      </c>
      <c r="EC159" s="647" t="s">
        <v>1134</v>
      </c>
      <c r="ED159" s="647" t="s">
        <v>1136</v>
      </c>
    </row>
    <row r="160" spans="1:134" ht="12.75" customHeight="1" x14ac:dyDescent="0.2">
      <c r="A160" s="749" t="s">
        <v>65</v>
      </c>
      <c r="B160" s="146">
        <v>153</v>
      </c>
      <c r="C160" s="770">
        <v>0</v>
      </c>
      <c r="D160" s="770">
        <v>0</v>
      </c>
      <c r="E160" s="770">
        <v>0</v>
      </c>
      <c r="F160" s="770">
        <v>0</v>
      </c>
      <c r="G160" s="770">
        <v>0</v>
      </c>
      <c r="H160" s="786">
        <f t="shared" si="10"/>
        <v>0</v>
      </c>
      <c r="I160" s="776">
        <v>0</v>
      </c>
      <c r="J160" s="776">
        <v>0</v>
      </c>
      <c r="K160" s="801">
        <v>0</v>
      </c>
      <c r="L160" s="802">
        <v>0</v>
      </c>
      <c r="M160" s="803">
        <v>0</v>
      </c>
      <c r="N160" s="778">
        <v>0</v>
      </c>
      <c r="O160" s="782">
        <v>0</v>
      </c>
      <c r="P160" s="803">
        <v>0</v>
      </c>
      <c r="Q160" s="781">
        <v>0</v>
      </c>
      <c r="R160" s="803">
        <v>0</v>
      </c>
      <c r="S160" s="778">
        <v>0</v>
      </c>
      <c r="T160" s="778">
        <v>0</v>
      </c>
      <c r="U160" s="804">
        <v>0</v>
      </c>
      <c r="V160" s="772">
        <v>0</v>
      </c>
      <c r="W160" s="783">
        <v>0</v>
      </c>
      <c r="X160" s="803">
        <v>0</v>
      </c>
      <c r="Y160" s="778">
        <v>0</v>
      </c>
      <c r="Z160" s="802">
        <v>0</v>
      </c>
      <c r="AA160" s="803">
        <v>0</v>
      </c>
      <c r="AB160" s="803">
        <v>0</v>
      </c>
      <c r="AC160" s="778">
        <v>0</v>
      </c>
      <c r="AD160" s="782">
        <v>0</v>
      </c>
      <c r="AE160" s="803">
        <v>0</v>
      </c>
      <c r="AF160" s="771">
        <f t="shared" si="11"/>
        <v>0</v>
      </c>
      <c r="AG160" s="805">
        <f t="shared" si="12"/>
        <v>0</v>
      </c>
      <c r="AH160" s="1084">
        <f t="shared" si="13"/>
        <v>0</v>
      </c>
      <c r="AI160" s="132" t="str">
        <f t="shared" si="14"/>
        <v xml:space="preserve"> </v>
      </c>
      <c r="AS160" s="139" t="s">
        <v>497</v>
      </c>
      <c r="AT160" s="139" t="s">
        <v>498</v>
      </c>
      <c r="DS160" s="304"/>
      <c r="DT160" s="304"/>
      <c r="DU160" s="647" t="s">
        <v>552</v>
      </c>
      <c r="DV160" s="647" t="s">
        <v>1134</v>
      </c>
      <c r="DW160" s="647" t="s">
        <v>1134</v>
      </c>
      <c r="DX160" s="647" t="s">
        <v>1134</v>
      </c>
      <c r="DY160" s="647" t="s">
        <v>1134</v>
      </c>
      <c r="DZ160" s="647" t="s">
        <v>1134</v>
      </c>
      <c r="EA160" s="647" t="s">
        <v>497</v>
      </c>
      <c r="EB160" s="647" t="s">
        <v>1135</v>
      </c>
      <c r="EC160" s="647" t="s">
        <v>1134</v>
      </c>
      <c r="ED160" s="647" t="s">
        <v>1136</v>
      </c>
    </row>
    <row r="161" spans="1:134" x14ac:dyDescent="0.2">
      <c r="A161" s="749" t="s">
        <v>66</v>
      </c>
      <c r="B161" s="146">
        <v>154</v>
      </c>
      <c r="C161" s="770">
        <v>0</v>
      </c>
      <c r="D161" s="770">
        <v>0</v>
      </c>
      <c r="E161" s="770">
        <v>0</v>
      </c>
      <c r="F161" s="770">
        <v>0</v>
      </c>
      <c r="G161" s="770">
        <v>0</v>
      </c>
      <c r="H161" s="786">
        <f t="shared" si="10"/>
        <v>0</v>
      </c>
      <c r="I161" s="776">
        <v>0</v>
      </c>
      <c r="J161" s="776">
        <v>0</v>
      </c>
      <c r="K161" s="801">
        <v>3.6309999999999998</v>
      </c>
      <c r="L161" s="802">
        <v>1.0249999999999999</v>
      </c>
      <c r="M161" s="803">
        <v>0</v>
      </c>
      <c r="N161" s="778">
        <v>1.0249999999999999</v>
      </c>
      <c r="O161" s="782">
        <v>0</v>
      </c>
      <c r="P161" s="803">
        <v>0</v>
      </c>
      <c r="Q161" s="781">
        <v>0</v>
      </c>
      <c r="R161" s="803">
        <v>0</v>
      </c>
      <c r="S161" s="778">
        <v>0</v>
      </c>
      <c r="T161" s="778">
        <v>0</v>
      </c>
      <c r="U161" s="804">
        <v>0</v>
      </c>
      <c r="V161" s="772">
        <v>0</v>
      </c>
      <c r="W161" s="783">
        <v>0</v>
      </c>
      <c r="X161" s="803">
        <v>0</v>
      </c>
      <c r="Y161" s="778">
        <v>0</v>
      </c>
      <c r="Z161" s="802">
        <v>0</v>
      </c>
      <c r="AA161" s="803">
        <v>0</v>
      </c>
      <c r="AB161" s="803">
        <v>0</v>
      </c>
      <c r="AC161" s="778">
        <v>0</v>
      </c>
      <c r="AD161" s="782">
        <v>0</v>
      </c>
      <c r="AE161" s="803">
        <v>5.173</v>
      </c>
      <c r="AF161" s="771">
        <f t="shared" si="11"/>
        <v>9.8290000000000006</v>
      </c>
      <c r="AG161" s="805">
        <f t="shared" si="12"/>
        <v>9.8290000000000006</v>
      </c>
      <c r="AH161" s="1084">
        <f t="shared" si="13"/>
        <v>0</v>
      </c>
      <c r="AI161" s="132" t="str">
        <f t="shared" si="14"/>
        <v xml:space="preserve"> </v>
      </c>
      <c r="AS161" s="139" t="s">
        <v>285</v>
      </c>
      <c r="AT161" s="139" t="s">
        <v>284</v>
      </c>
      <c r="DS161" s="304"/>
      <c r="DT161" s="304"/>
      <c r="DU161" s="647" t="s">
        <v>552</v>
      </c>
      <c r="DV161" s="647" t="s">
        <v>1134</v>
      </c>
      <c r="DW161" s="647" t="s">
        <v>1134</v>
      </c>
      <c r="DX161" s="647" t="s">
        <v>1134</v>
      </c>
      <c r="DY161" s="647" t="s">
        <v>1134</v>
      </c>
      <c r="DZ161" s="647" t="s">
        <v>1134</v>
      </c>
      <c r="EA161" s="647" t="s">
        <v>285</v>
      </c>
      <c r="EB161" s="647" t="s">
        <v>1135</v>
      </c>
      <c r="EC161" s="647" t="s">
        <v>1134</v>
      </c>
      <c r="ED161" s="647" t="s">
        <v>1136</v>
      </c>
    </row>
    <row r="162" spans="1:134" x14ac:dyDescent="0.2">
      <c r="A162" s="749" t="s">
        <v>564</v>
      </c>
      <c r="B162" s="146">
        <v>155</v>
      </c>
      <c r="C162" s="770">
        <v>0</v>
      </c>
      <c r="D162" s="770">
        <v>0</v>
      </c>
      <c r="E162" s="770">
        <v>0</v>
      </c>
      <c r="F162" s="770">
        <v>0</v>
      </c>
      <c r="G162" s="770">
        <v>0</v>
      </c>
      <c r="H162" s="786">
        <f t="shared" si="10"/>
        <v>0</v>
      </c>
      <c r="I162" s="776">
        <v>0</v>
      </c>
      <c r="J162" s="776">
        <v>0</v>
      </c>
      <c r="K162" s="801">
        <v>0</v>
      </c>
      <c r="L162" s="802">
        <v>0</v>
      </c>
      <c r="M162" s="803">
        <v>0</v>
      </c>
      <c r="N162" s="778">
        <v>0</v>
      </c>
      <c r="O162" s="782">
        <v>0</v>
      </c>
      <c r="P162" s="803">
        <v>0</v>
      </c>
      <c r="Q162" s="781">
        <v>0</v>
      </c>
      <c r="R162" s="803">
        <v>0</v>
      </c>
      <c r="S162" s="778">
        <v>0</v>
      </c>
      <c r="T162" s="778">
        <v>0</v>
      </c>
      <c r="U162" s="804">
        <v>0</v>
      </c>
      <c r="V162" s="772">
        <v>0</v>
      </c>
      <c r="W162" s="783">
        <v>0</v>
      </c>
      <c r="X162" s="803">
        <v>0</v>
      </c>
      <c r="Y162" s="778">
        <v>0</v>
      </c>
      <c r="Z162" s="802">
        <v>0</v>
      </c>
      <c r="AA162" s="803">
        <v>0</v>
      </c>
      <c r="AB162" s="803">
        <v>0</v>
      </c>
      <c r="AC162" s="778">
        <v>0</v>
      </c>
      <c r="AD162" s="782">
        <v>0</v>
      </c>
      <c r="AE162" s="803">
        <v>0</v>
      </c>
      <c r="AF162" s="771">
        <f t="shared" si="11"/>
        <v>0</v>
      </c>
      <c r="AG162" s="805">
        <f t="shared" si="12"/>
        <v>0</v>
      </c>
      <c r="AH162" s="1084">
        <f t="shared" si="13"/>
        <v>0</v>
      </c>
      <c r="AI162" s="132" t="str">
        <f t="shared" si="14"/>
        <v xml:space="preserve"> </v>
      </c>
      <c r="AS162" s="139" t="s">
        <v>525</v>
      </c>
      <c r="AT162" s="139" t="s">
        <v>526</v>
      </c>
      <c r="DS162" s="304"/>
      <c r="DT162" s="304"/>
      <c r="DU162" s="647" t="s">
        <v>552</v>
      </c>
      <c r="DV162" s="647" t="s">
        <v>1134</v>
      </c>
      <c r="DW162" s="647" t="s">
        <v>1134</v>
      </c>
      <c r="DX162" s="647" t="s">
        <v>1134</v>
      </c>
      <c r="DY162" s="647" t="s">
        <v>1134</v>
      </c>
      <c r="DZ162" s="647" t="s">
        <v>1134</v>
      </c>
      <c r="EA162" s="647" t="s">
        <v>525</v>
      </c>
      <c r="EB162" s="647" t="s">
        <v>1135</v>
      </c>
      <c r="EC162" s="647" t="s">
        <v>1134</v>
      </c>
      <c r="ED162" s="647" t="s">
        <v>1136</v>
      </c>
    </row>
    <row r="163" spans="1:134" ht="12.75" customHeight="1" x14ac:dyDescent="0.2">
      <c r="A163" s="749" t="s">
        <v>1010</v>
      </c>
      <c r="B163" s="146">
        <v>156</v>
      </c>
      <c r="C163" s="770">
        <v>0</v>
      </c>
      <c r="D163" s="770">
        <v>0</v>
      </c>
      <c r="E163" s="770">
        <v>0</v>
      </c>
      <c r="F163" s="770">
        <v>0</v>
      </c>
      <c r="G163" s="770">
        <v>0</v>
      </c>
      <c r="H163" s="786">
        <f t="shared" si="10"/>
        <v>0</v>
      </c>
      <c r="I163" s="776">
        <v>0</v>
      </c>
      <c r="J163" s="776">
        <v>0</v>
      </c>
      <c r="K163" s="801">
        <v>0</v>
      </c>
      <c r="L163" s="802">
        <v>0</v>
      </c>
      <c r="M163" s="803">
        <v>0</v>
      </c>
      <c r="N163" s="778">
        <v>0</v>
      </c>
      <c r="O163" s="782">
        <v>0</v>
      </c>
      <c r="P163" s="803">
        <v>0</v>
      </c>
      <c r="Q163" s="781">
        <v>0</v>
      </c>
      <c r="R163" s="803">
        <v>0</v>
      </c>
      <c r="S163" s="778">
        <v>0</v>
      </c>
      <c r="T163" s="778">
        <v>0</v>
      </c>
      <c r="U163" s="804">
        <v>0</v>
      </c>
      <c r="V163" s="772">
        <v>0</v>
      </c>
      <c r="W163" s="783">
        <v>0</v>
      </c>
      <c r="X163" s="803">
        <v>0</v>
      </c>
      <c r="Y163" s="778">
        <v>0</v>
      </c>
      <c r="Z163" s="802">
        <v>0</v>
      </c>
      <c r="AA163" s="803">
        <v>0</v>
      </c>
      <c r="AB163" s="803">
        <v>0</v>
      </c>
      <c r="AC163" s="778">
        <v>0</v>
      </c>
      <c r="AD163" s="782">
        <v>0</v>
      </c>
      <c r="AE163" s="803">
        <v>0</v>
      </c>
      <c r="AF163" s="771">
        <f t="shared" si="11"/>
        <v>0</v>
      </c>
      <c r="AG163" s="805">
        <f t="shared" si="12"/>
        <v>0</v>
      </c>
      <c r="AH163" s="1084">
        <f t="shared" si="13"/>
        <v>0</v>
      </c>
      <c r="AI163" s="132" t="str">
        <f t="shared" si="14"/>
        <v xml:space="preserve"> </v>
      </c>
      <c r="AS163" s="139" t="s">
        <v>1108</v>
      </c>
      <c r="AT163" s="139" t="s">
        <v>1109</v>
      </c>
      <c r="DS163" s="304"/>
      <c r="DT163" s="304"/>
      <c r="DU163" s="647" t="s">
        <v>552</v>
      </c>
      <c r="DV163" s="647" t="s">
        <v>1134</v>
      </c>
      <c r="DW163" s="647" t="s">
        <v>1134</v>
      </c>
      <c r="DX163" s="647" t="s">
        <v>1134</v>
      </c>
      <c r="DY163" s="647" t="s">
        <v>1134</v>
      </c>
      <c r="DZ163" s="647" t="s">
        <v>1134</v>
      </c>
      <c r="EA163" s="647" t="s">
        <v>1108</v>
      </c>
      <c r="EB163" s="647" t="s">
        <v>1135</v>
      </c>
      <c r="EC163" s="647" t="s">
        <v>1134</v>
      </c>
      <c r="ED163" s="647" t="s">
        <v>1136</v>
      </c>
    </row>
    <row r="164" spans="1:134" x14ac:dyDescent="0.2">
      <c r="A164" s="749" t="s">
        <v>565</v>
      </c>
      <c r="B164" s="146">
        <v>157</v>
      </c>
      <c r="C164" s="770">
        <v>0</v>
      </c>
      <c r="D164" s="770">
        <v>0</v>
      </c>
      <c r="E164" s="770">
        <v>0</v>
      </c>
      <c r="F164" s="770">
        <v>0</v>
      </c>
      <c r="G164" s="770">
        <v>0</v>
      </c>
      <c r="H164" s="786">
        <f t="shared" si="10"/>
        <v>0</v>
      </c>
      <c r="I164" s="776">
        <v>0</v>
      </c>
      <c r="J164" s="776">
        <v>0</v>
      </c>
      <c r="K164" s="801">
        <v>0</v>
      </c>
      <c r="L164" s="802">
        <v>0</v>
      </c>
      <c r="M164" s="803">
        <v>0</v>
      </c>
      <c r="N164" s="778">
        <v>0</v>
      </c>
      <c r="O164" s="782">
        <v>0</v>
      </c>
      <c r="P164" s="803">
        <v>0</v>
      </c>
      <c r="Q164" s="781">
        <v>0</v>
      </c>
      <c r="R164" s="803">
        <v>0</v>
      </c>
      <c r="S164" s="778">
        <v>0</v>
      </c>
      <c r="T164" s="778">
        <v>0</v>
      </c>
      <c r="U164" s="804">
        <v>0</v>
      </c>
      <c r="V164" s="772">
        <v>0</v>
      </c>
      <c r="W164" s="783">
        <v>0</v>
      </c>
      <c r="X164" s="803">
        <v>0</v>
      </c>
      <c r="Y164" s="778">
        <v>0</v>
      </c>
      <c r="Z164" s="802">
        <v>0</v>
      </c>
      <c r="AA164" s="803">
        <v>0</v>
      </c>
      <c r="AB164" s="803">
        <v>0</v>
      </c>
      <c r="AC164" s="778">
        <v>0</v>
      </c>
      <c r="AD164" s="782">
        <v>0</v>
      </c>
      <c r="AE164" s="803">
        <v>0</v>
      </c>
      <c r="AF164" s="771">
        <f t="shared" si="11"/>
        <v>0</v>
      </c>
      <c r="AG164" s="805">
        <f t="shared" si="12"/>
        <v>0</v>
      </c>
      <c r="AH164" s="1084">
        <f t="shared" si="13"/>
        <v>0</v>
      </c>
      <c r="AI164" s="132" t="str">
        <f t="shared" si="14"/>
        <v xml:space="preserve"> </v>
      </c>
      <c r="AS164" s="139" t="s">
        <v>527</v>
      </c>
      <c r="AT164" s="139" t="s">
        <v>528</v>
      </c>
      <c r="DS164" s="304"/>
      <c r="DT164" s="304"/>
      <c r="DU164" s="647" t="s">
        <v>552</v>
      </c>
      <c r="DV164" s="647" t="s">
        <v>1134</v>
      </c>
      <c r="DW164" s="647" t="s">
        <v>1134</v>
      </c>
      <c r="DX164" s="647" t="s">
        <v>1134</v>
      </c>
      <c r="DY164" s="647" t="s">
        <v>1134</v>
      </c>
      <c r="DZ164" s="647" t="s">
        <v>1134</v>
      </c>
      <c r="EA164" s="647" t="s">
        <v>527</v>
      </c>
      <c r="EB164" s="647" t="s">
        <v>1135</v>
      </c>
      <c r="EC164" s="647" t="s">
        <v>1134</v>
      </c>
      <c r="ED164" s="647" t="s">
        <v>1136</v>
      </c>
    </row>
    <row r="165" spans="1:134" ht="12.75" customHeight="1" x14ac:dyDescent="0.2">
      <c r="A165" s="749" t="s">
        <v>96</v>
      </c>
      <c r="B165" s="146">
        <v>158</v>
      </c>
      <c r="C165" s="770">
        <v>89.942999999999998</v>
      </c>
      <c r="D165" s="770">
        <v>0</v>
      </c>
      <c r="E165" s="770">
        <v>0</v>
      </c>
      <c r="F165" s="770">
        <v>4.0000000000000001E-3</v>
      </c>
      <c r="G165" s="770">
        <v>0</v>
      </c>
      <c r="H165" s="786">
        <f t="shared" si="10"/>
        <v>89.947000000000003</v>
      </c>
      <c r="I165" s="776">
        <v>0</v>
      </c>
      <c r="J165" s="776">
        <v>0</v>
      </c>
      <c r="K165" s="801">
        <v>0</v>
      </c>
      <c r="L165" s="802">
        <v>0</v>
      </c>
      <c r="M165" s="803">
        <v>0</v>
      </c>
      <c r="N165" s="778">
        <v>0</v>
      </c>
      <c r="O165" s="782">
        <v>0</v>
      </c>
      <c r="P165" s="803">
        <v>0</v>
      </c>
      <c r="Q165" s="781">
        <v>8.2000000000000003E-2</v>
      </c>
      <c r="R165" s="803">
        <v>0</v>
      </c>
      <c r="S165" s="778">
        <v>8.2000000000000003E-2</v>
      </c>
      <c r="T165" s="778">
        <v>8.0000000000000002E-3</v>
      </c>
      <c r="U165" s="804">
        <v>0</v>
      </c>
      <c r="V165" s="772">
        <v>0</v>
      </c>
      <c r="W165" s="783">
        <v>0</v>
      </c>
      <c r="X165" s="803">
        <v>0</v>
      </c>
      <c r="Y165" s="778">
        <v>0</v>
      </c>
      <c r="Z165" s="802">
        <v>0</v>
      </c>
      <c r="AA165" s="803">
        <v>0</v>
      </c>
      <c r="AB165" s="803">
        <v>0</v>
      </c>
      <c r="AC165" s="778">
        <v>0</v>
      </c>
      <c r="AD165" s="782">
        <v>0</v>
      </c>
      <c r="AE165" s="803">
        <v>1.67</v>
      </c>
      <c r="AF165" s="771">
        <f t="shared" si="11"/>
        <v>1.76</v>
      </c>
      <c r="AG165" s="805">
        <f t="shared" si="12"/>
        <v>91.706999999999994</v>
      </c>
      <c r="AH165" s="1084">
        <f t="shared" si="13"/>
        <v>0</v>
      </c>
      <c r="AI165" s="132" t="str">
        <f t="shared" si="14"/>
        <v xml:space="preserve"> </v>
      </c>
      <c r="AS165" s="139" t="s">
        <v>499</v>
      </c>
      <c r="AT165" s="139" t="s">
        <v>500</v>
      </c>
      <c r="DS165" s="304"/>
      <c r="DT165" s="304"/>
      <c r="DU165" s="647" t="s">
        <v>552</v>
      </c>
      <c r="DV165" s="647" t="s">
        <v>1134</v>
      </c>
      <c r="DW165" s="647" t="s">
        <v>1134</v>
      </c>
      <c r="DX165" s="647" t="s">
        <v>1134</v>
      </c>
      <c r="DY165" s="647" t="s">
        <v>1134</v>
      </c>
      <c r="DZ165" s="647" t="s">
        <v>1134</v>
      </c>
      <c r="EA165" s="647" t="s">
        <v>499</v>
      </c>
      <c r="EB165" s="647" t="s">
        <v>1135</v>
      </c>
      <c r="EC165" s="647" t="s">
        <v>1134</v>
      </c>
      <c r="ED165" s="647" t="s">
        <v>1136</v>
      </c>
    </row>
    <row r="166" spans="1:134" x14ac:dyDescent="0.2">
      <c r="A166" s="749" t="s">
        <v>67</v>
      </c>
      <c r="B166" s="146">
        <v>159</v>
      </c>
      <c r="C166" s="770">
        <v>322.55700000000002</v>
      </c>
      <c r="D166" s="770">
        <v>7.52</v>
      </c>
      <c r="E166" s="770">
        <v>0</v>
      </c>
      <c r="F166" s="770">
        <v>0.219</v>
      </c>
      <c r="G166" s="770">
        <v>0</v>
      </c>
      <c r="H166" s="786">
        <f t="shared" si="10"/>
        <v>330.29599999999999</v>
      </c>
      <c r="I166" s="776">
        <v>0</v>
      </c>
      <c r="J166" s="776">
        <v>55.844999999999999</v>
      </c>
      <c r="K166" s="801">
        <v>395.88799999999998</v>
      </c>
      <c r="L166" s="802">
        <v>111.745</v>
      </c>
      <c r="M166" s="803">
        <v>0</v>
      </c>
      <c r="N166" s="778">
        <v>111.745</v>
      </c>
      <c r="O166" s="782">
        <v>0</v>
      </c>
      <c r="P166" s="803">
        <v>0</v>
      </c>
      <c r="Q166" s="781">
        <v>7.04</v>
      </c>
      <c r="R166" s="803">
        <v>0</v>
      </c>
      <c r="S166" s="778">
        <v>7.04</v>
      </c>
      <c r="T166" s="778">
        <v>0.74399999999999999</v>
      </c>
      <c r="U166" s="804">
        <v>4.6849999999999996</v>
      </c>
      <c r="V166" s="772">
        <v>5.4960000000000004</v>
      </c>
      <c r="W166" s="783">
        <v>10.180999999999999</v>
      </c>
      <c r="X166" s="803">
        <v>0</v>
      </c>
      <c r="Y166" s="778">
        <v>10.180999999999999</v>
      </c>
      <c r="Z166" s="802">
        <v>190.262</v>
      </c>
      <c r="AA166" s="803">
        <v>81.025999999999996</v>
      </c>
      <c r="AB166" s="803">
        <v>0</v>
      </c>
      <c r="AC166" s="778">
        <v>109.236</v>
      </c>
      <c r="AD166" s="782">
        <v>14.617000000000001</v>
      </c>
      <c r="AE166" s="803">
        <v>46.146999999999998</v>
      </c>
      <c r="AF166" s="771">
        <f t="shared" si="11"/>
        <v>832.46900000000005</v>
      </c>
      <c r="AG166" s="805">
        <f t="shared" si="12"/>
        <v>1162.7650000000001</v>
      </c>
      <c r="AH166" s="1084">
        <f t="shared" si="13"/>
        <v>0</v>
      </c>
      <c r="AI166" s="132" t="str">
        <f t="shared" si="14"/>
        <v xml:space="preserve"> </v>
      </c>
      <c r="AS166" s="139" t="s">
        <v>287</v>
      </c>
      <c r="AT166" s="139" t="s">
        <v>286</v>
      </c>
      <c r="DS166" s="304"/>
      <c r="DT166" s="304"/>
      <c r="DU166" s="647" t="s">
        <v>552</v>
      </c>
      <c r="DV166" s="647" t="s">
        <v>1134</v>
      </c>
      <c r="DW166" s="647" t="s">
        <v>1134</v>
      </c>
      <c r="DX166" s="647" t="s">
        <v>1134</v>
      </c>
      <c r="DY166" s="647" t="s">
        <v>1134</v>
      </c>
      <c r="DZ166" s="647" t="s">
        <v>1134</v>
      </c>
      <c r="EA166" s="647" t="s">
        <v>287</v>
      </c>
      <c r="EB166" s="647" t="s">
        <v>1135</v>
      </c>
      <c r="EC166" s="647" t="s">
        <v>1134</v>
      </c>
      <c r="ED166" s="647" t="s">
        <v>1136</v>
      </c>
    </row>
    <row r="167" spans="1:134" ht="12.75" customHeight="1" x14ac:dyDescent="0.2">
      <c r="A167" s="749" t="s">
        <v>68</v>
      </c>
      <c r="B167" s="146">
        <v>160</v>
      </c>
      <c r="C167" s="770">
        <v>855.577</v>
      </c>
      <c r="D167" s="770">
        <v>74.569999999999993</v>
      </c>
      <c r="E167" s="770">
        <v>0</v>
      </c>
      <c r="F167" s="770">
        <v>63.420999999999999</v>
      </c>
      <c r="G167" s="770">
        <v>0</v>
      </c>
      <c r="H167" s="786">
        <f t="shared" si="10"/>
        <v>993.56799999999998</v>
      </c>
      <c r="I167" s="776">
        <v>0</v>
      </c>
      <c r="J167" s="776">
        <v>207.17599999999999</v>
      </c>
      <c r="K167" s="801">
        <v>9.2390000000000008</v>
      </c>
      <c r="L167" s="802">
        <v>2.6080000000000001</v>
      </c>
      <c r="M167" s="803">
        <v>0</v>
      </c>
      <c r="N167" s="778">
        <v>2.6080000000000001</v>
      </c>
      <c r="O167" s="782">
        <v>0</v>
      </c>
      <c r="P167" s="803">
        <v>0</v>
      </c>
      <c r="Q167" s="781">
        <v>339.04</v>
      </c>
      <c r="R167" s="803">
        <v>0</v>
      </c>
      <c r="S167" s="778">
        <v>339.04</v>
      </c>
      <c r="T167" s="778">
        <v>35.899000000000001</v>
      </c>
      <c r="U167" s="804">
        <v>55.084000000000003</v>
      </c>
      <c r="V167" s="772">
        <v>64.61</v>
      </c>
      <c r="W167" s="783">
        <v>119.694</v>
      </c>
      <c r="X167" s="803">
        <v>0</v>
      </c>
      <c r="Y167" s="778">
        <v>119.694</v>
      </c>
      <c r="Z167" s="802">
        <v>29.167999999999999</v>
      </c>
      <c r="AA167" s="803">
        <v>12.422000000000001</v>
      </c>
      <c r="AB167" s="803">
        <v>0</v>
      </c>
      <c r="AC167" s="778">
        <v>16.745999999999999</v>
      </c>
      <c r="AD167" s="782">
        <v>29.885999999999999</v>
      </c>
      <c r="AE167" s="803">
        <v>23.492000000000001</v>
      </c>
      <c r="AF167" s="771">
        <f t="shared" si="11"/>
        <v>796.202</v>
      </c>
      <c r="AG167" s="805">
        <f t="shared" si="12"/>
        <v>1789.77</v>
      </c>
      <c r="AH167" s="1084">
        <f t="shared" si="13"/>
        <v>0</v>
      </c>
      <c r="AI167" s="132" t="str">
        <f t="shared" si="14"/>
        <v xml:space="preserve"> </v>
      </c>
      <c r="AS167" s="139" t="s">
        <v>289</v>
      </c>
      <c r="AT167" s="139" t="s">
        <v>288</v>
      </c>
      <c r="DS167" s="304"/>
      <c r="DT167" s="304"/>
      <c r="DU167" s="647" t="s">
        <v>552</v>
      </c>
      <c r="DV167" s="647" t="s">
        <v>1134</v>
      </c>
      <c r="DW167" s="647" t="s">
        <v>1134</v>
      </c>
      <c r="DX167" s="647" t="s">
        <v>1134</v>
      </c>
      <c r="DY167" s="647" t="s">
        <v>1134</v>
      </c>
      <c r="DZ167" s="647" t="s">
        <v>1134</v>
      </c>
      <c r="EA167" s="647" t="s">
        <v>289</v>
      </c>
      <c r="EB167" s="647" t="s">
        <v>1135</v>
      </c>
      <c r="EC167" s="647" t="s">
        <v>1134</v>
      </c>
      <c r="ED167" s="647" t="s">
        <v>1136</v>
      </c>
    </row>
    <row r="168" spans="1:134" x14ac:dyDescent="0.2">
      <c r="A168" s="749" t="s">
        <v>1011</v>
      </c>
      <c r="B168" s="146">
        <v>161</v>
      </c>
      <c r="C168" s="770">
        <v>0</v>
      </c>
      <c r="D168" s="770">
        <v>0</v>
      </c>
      <c r="E168" s="770">
        <v>0</v>
      </c>
      <c r="F168" s="770">
        <v>0</v>
      </c>
      <c r="G168" s="770">
        <v>0</v>
      </c>
      <c r="H168" s="786">
        <f t="shared" si="10"/>
        <v>0</v>
      </c>
      <c r="I168" s="776">
        <v>0</v>
      </c>
      <c r="J168" s="776">
        <v>0</v>
      </c>
      <c r="K168" s="801">
        <v>0</v>
      </c>
      <c r="L168" s="802">
        <v>0</v>
      </c>
      <c r="M168" s="803">
        <v>0</v>
      </c>
      <c r="N168" s="778">
        <v>0</v>
      </c>
      <c r="O168" s="782">
        <v>0</v>
      </c>
      <c r="P168" s="803">
        <v>0</v>
      </c>
      <c r="Q168" s="781">
        <v>0</v>
      </c>
      <c r="R168" s="803">
        <v>0</v>
      </c>
      <c r="S168" s="778">
        <v>0</v>
      </c>
      <c r="T168" s="778">
        <v>0</v>
      </c>
      <c r="U168" s="804">
        <v>0</v>
      </c>
      <c r="V168" s="772">
        <v>0</v>
      </c>
      <c r="W168" s="783">
        <v>0</v>
      </c>
      <c r="X168" s="803">
        <v>0</v>
      </c>
      <c r="Y168" s="778">
        <v>0</v>
      </c>
      <c r="Z168" s="802">
        <v>0</v>
      </c>
      <c r="AA168" s="803">
        <v>0</v>
      </c>
      <c r="AB168" s="803">
        <v>0</v>
      </c>
      <c r="AC168" s="778">
        <v>0</v>
      </c>
      <c r="AD168" s="782">
        <v>0</v>
      </c>
      <c r="AE168" s="803">
        <v>0</v>
      </c>
      <c r="AF168" s="771">
        <f t="shared" si="11"/>
        <v>0</v>
      </c>
      <c r="AG168" s="805">
        <f t="shared" si="12"/>
        <v>0</v>
      </c>
      <c r="AH168" s="1084">
        <f t="shared" si="13"/>
        <v>0</v>
      </c>
      <c r="AI168" s="132" t="str">
        <f t="shared" si="14"/>
        <v xml:space="preserve"> </v>
      </c>
      <c r="AS168" s="139" t="s">
        <v>1110</v>
      </c>
      <c r="AT168" s="139" t="s">
        <v>1111</v>
      </c>
      <c r="DS168" s="304"/>
      <c r="DT168" s="304"/>
      <c r="DU168" s="647" t="s">
        <v>552</v>
      </c>
      <c r="DV168" s="647" t="s">
        <v>1134</v>
      </c>
      <c r="DW168" s="647" t="s">
        <v>1134</v>
      </c>
      <c r="DX168" s="647" t="s">
        <v>1134</v>
      </c>
      <c r="DY168" s="647" t="s">
        <v>1134</v>
      </c>
      <c r="DZ168" s="647" t="s">
        <v>1134</v>
      </c>
      <c r="EA168" s="647" t="s">
        <v>1110</v>
      </c>
      <c r="EB168" s="647" t="s">
        <v>1135</v>
      </c>
      <c r="EC168" s="647" t="s">
        <v>1134</v>
      </c>
      <c r="ED168" s="647" t="s">
        <v>1136</v>
      </c>
    </row>
    <row r="169" spans="1:134" ht="12.75" customHeight="1" x14ac:dyDescent="0.2">
      <c r="A169" s="749" t="s">
        <v>566</v>
      </c>
      <c r="B169" s="146">
        <v>162</v>
      </c>
      <c r="C169" s="770">
        <v>0</v>
      </c>
      <c r="D169" s="770">
        <v>0</v>
      </c>
      <c r="E169" s="770">
        <v>0</v>
      </c>
      <c r="F169" s="770">
        <v>0</v>
      </c>
      <c r="G169" s="770">
        <v>0</v>
      </c>
      <c r="H169" s="786">
        <f t="shared" ref="H169:H173" si="15">ROUND(SUM(C169:G169),3)</f>
        <v>0</v>
      </c>
      <c r="I169" s="776">
        <v>0</v>
      </c>
      <c r="J169" s="776">
        <v>0</v>
      </c>
      <c r="K169" s="801">
        <v>14.173999999999999</v>
      </c>
      <c r="L169" s="802">
        <v>4.0010000000000003</v>
      </c>
      <c r="M169" s="803">
        <v>0</v>
      </c>
      <c r="N169" s="778">
        <v>4.0010000000000003</v>
      </c>
      <c r="O169" s="782">
        <v>0</v>
      </c>
      <c r="P169" s="803">
        <v>0</v>
      </c>
      <c r="Q169" s="781">
        <v>0</v>
      </c>
      <c r="R169" s="803">
        <v>0</v>
      </c>
      <c r="S169" s="778">
        <v>0</v>
      </c>
      <c r="T169" s="778">
        <v>0</v>
      </c>
      <c r="U169" s="804">
        <v>0</v>
      </c>
      <c r="V169" s="772">
        <v>0</v>
      </c>
      <c r="W169" s="783">
        <v>0</v>
      </c>
      <c r="X169" s="803">
        <v>0</v>
      </c>
      <c r="Y169" s="778">
        <v>0</v>
      </c>
      <c r="Z169" s="802">
        <v>0</v>
      </c>
      <c r="AA169" s="803">
        <v>0</v>
      </c>
      <c r="AB169" s="803">
        <v>0</v>
      </c>
      <c r="AC169" s="778">
        <v>0</v>
      </c>
      <c r="AD169" s="782">
        <v>0</v>
      </c>
      <c r="AE169" s="803">
        <v>0</v>
      </c>
      <c r="AF169" s="771">
        <f t="shared" si="11"/>
        <v>18.175000000000001</v>
      </c>
      <c r="AG169" s="805">
        <f t="shared" si="12"/>
        <v>18.175000000000001</v>
      </c>
      <c r="AH169" s="1084">
        <f t="shared" si="13"/>
        <v>0</v>
      </c>
      <c r="AI169" s="132" t="str">
        <f t="shared" si="14"/>
        <v xml:space="preserve"> </v>
      </c>
      <c r="AS169" s="139" t="s">
        <v>529</v>
      </c>
      <c r="AT169" s="139" t="s">
        <v>530</v>
      </c>
      <c r="DS169" s="304"/>
      <c r="DT169" s="304"/>
      <c r="DU169" s="647" t="s">
        <v>552</v>
      </c>
      <c r="DV169" s="647" t="s">
        <v>1134</v>
      </c>
      <c r="DW169" s="647" t="s">
        <v>1134</v>
      </c>
      <c r="DX169" s="647" t="s">
        <v>1134</v>
      </c>
      <c r="DY169" s="647" t="s">
        <v>1134</v>
      </c>
      <c r="DZ169" s="647" t="s">
        <v>1134</v>
      </c>
      <c r="EA169" s="647" t="s">
        <v>529</v>
      </c>
      <c r="EB169" s="647" t="s">
        <v>1135</v>
      </c>
      <c r="EC169" s="647" t="s">
        <v>1134</v>
      </c>
      <c r="ED169" s="647" t="s">
        <v>1136</v>
      </c>
    </row>
    <row r="170" spans="1:134" x14ac:dyDescent="0.2">
      <c r="A170" s="749" t="s">
        <v>1012</v>
      </c>
      <c r="B170" s="146">
        <v>163</v>
      </c>
      <c r="C170" s="770">
        <v>80.801000000000002</v>
      </c>
      <c r="D170" s="770">
        <v>0</v>
      </c>
      <c r="E170" s="770">
        <v>0</v>
      </c>
      <c r="F170" s="770">
        <v>19.724</v>
      </c>
      <c r="G170" s="770">
        <v>0</v>
      </c>
      <c r="H170" s="786">
        <f t="shared" si="15"/>
        <v>100.52500000000001</v>
      </c>
      <c r="I170" s="776">
        <v>0</v>
      </c>
      <c r="J170" s="776">
        <v>0</v>
      </c>
      <c r="K170" s="801">
        <v>0</v>
      </c>
      <c r="L170" s="802">
        <v>0</v>
      </c>
      <c r="M170" s="803">
        <v>0</v>
      </c>
      <c r="N170" s="778">
        <v>0</v>
      </c>
      <c r="O170" s="782">
        <v>0</v>
      </c>
      <c r="P170" s="803">
        <v>0</v>
      </c>
      <c r="Q170" s="781">
        <v>0</v>
      </c>
      <c r="R170" s="803">
        <v>0</v>
      </c>
      <c r="S170" s="778">
        <v>0</v>
      </c>
      <c r="T170" s="778">
        <v>0</v>
      </c>
      <c r="U170" s="804">
        <v>0</v>
      </c>
      <c r="V170" s="772">
        <v>0</v>
      </c>
      <c r="W170" s="783">
        <v>0</v>
      </c>
      <c r="X170" s="803">
        <v>0</v>
      </c>
      <c r="Y170" s="778">
        <v>0</v>
      </c>
      <c r="Z170" s="802">
        <v>81.590999999999994</v>
      </c>
      <c r="AA170" s="803">
        <v>34.747</v>
      </c>
      <c r="AB170" s="803">
        <v>0</v>
      </c>
      <c r="AC170" s="778">
        <v>46.844000000000001</v>
      </c>
      <c r="AD170" s="782">
        <v>0</v>
      </c>
      <c r="AE170" s="803">
        <v>5.4109999999999996</v>
      </c>
      <c r="AF170" s="771">
        <f t="shared" si="11"/>
        <v>87.001999999999995</v>
      </c>
      <c r="AG170" s="805">
        <f t="shared" si="12"/>
        <v>187.52699999999999</v>
      </c>
      <c r="AH170" s="1084">
        <f t="shared" si="13"/>
        <v>0</v>
      </c>
      <c r="AI170" s="132" t="str">
        <f t="shared" si="14"/>
        <v xml:space="preserve"> </v>
      </c>
      <c r="AS170" s="139" t="s">
        <v>531</v>
      </c>
      <c r="AT170" s="139" t="s">
        <v>532</v>
      </c>
      <c r="DS170" s="304"/>
      <c r="DT170" s="304"/>
      <c r="DU170" s="647" t="s">
        <v>552</v>
      </c>
      <c r="DV170" s="647" t="s">
        <v>1134</v>
      </c>
      <c r="DW170" s="647" t="s">
        <v>1134</v>
      </c>
      <c r="DX170" s="647" t="s">
        <v>1134</v>
      </c>
      <c r="DY170" s="647" t="s">
        <v>1134</v>
      </c>
      <c r="DZ170" s="647" t="s">
        <v>1134</v>
      </c>
      <c r="EA170" s="647" t="s">
        <v>531</v>
      </c>
      <c r="EB170" s="647" t="s">
        <v>1135</v>
      </c>
      <c r="EC170" s="647" t="s">
        <v>1134</v>
      </c>
      <c r="ED170" s="647" t="s">
        <v>1136</v>
      </c>
    </row>
    <row r="171" spans="1:134" ht="12.75" customHeight="1" x14ac:dyDescent="0.2">
      <c r="A171" s="749" t="s">
        <v>1013</v>
      </c>
      <c r="B171" s="146">
        <v>164</v>
      </c>
      <c r="C171" s="770">
        <v>0</v>
      </c>
      <c r="D171" s="770">
        <v>0</v>
      </c>
      <c r="E171" s="770">
        <v>0</v>
      </c>
      <c r="F171" s="770">
        <v>0</v>
      </c>
      <c r="G171" s="770">
        <v>0</v>
      </c>
      <c r="H171" s="786">
        <f t="shared" si="15"/>
        <v>0</v>
      </c>
      <c r="I171" s="776">
        <v>0</v>
      </c>
      <c r="J171" s="776">
        <v>0</v>
      </c>
      <c r="K171" s="801">
        <v>0</v>
      </c>
      <c r="L171" s="802">
        <v>0</v>
      </c>
      <c r="M171" s="803">
        <v>0</v>
      </c>
      <c r="N171" s="778">
        <v>0</v>
      </c>
      <c r="O171" s="782">
        <v>0</v>
      </c>
      <c r="P171" s="803">
        <v>0</v>
      </c>
      <c r="Q171" s="781">
        <v>0</v>
      </c>
      <c r="R171" s="803">
        <v>0</v>
      </c>
      <c r="S171" s="778">
        <v>0</v>
      </c>
      <c r="T171" s="778">
        <v>0</v>
      </c>
      <c r="U171" s="804">
        <v>0</v>
      </c>
      <c r="V171" s="772">
        <v>0</v>
      </c>
      <c r="W171" s="783">
        <v>0</v>
      </c>
      <c r="X171" s="803">
        <v>0</v>
      </c>
      <c r="Y171" s="778">
        <v>0</v>
      </c>
      <c r="Z171" s="802">
        <v>0</v>
      </c>
      <c r="AA171" s="803">
        <v>0</v>
      </c>
      <c r="AB171" s="803">
        <v>0</v>
      </c>
      <c r="AC171" s="778">
        <v>0</v>
      </c>
      <c r="AD171" s="782">
        <v>0</v>
      </c>
      <c r="AE171" s="803">
        <v>0.04</v>
      </c>
      <c r="AF171" s="771">
        <f t="shared" si="11"/>
        <v>0.04</v>
      </c>
      <c r="AG171" s="805">
        <f t="shared" si="12"/>
        <v>0.04</v>
      </c>
      <c r="AH171" s="1084">
        <f t="shared" si="13"/>
        <v>0</v>
      </c>
      <c r="AI171" s="132" t="str">
        <f t="shared" si="14"/>
        <v xml:space="preserve"> </v>
      </c>
      <c r="AS171" s="139" t="s">
        <v>533</v>
      </c>
      <c r="AT171" s="139" t="s">
        <v>534</v>
      </c>
      <c r="DS171" s="304"/>
      <c r="DT171" s="304"/>
      <c r="DU171" s="647" t="s">
        <v>552</v>
      </c>
      <c r="DV171" s="647" t="s">
        <v>1134</v>
      </c>
      <c r="DW171" s="647" t="s">
        <v>1134</v>
      </c>
      <c r="DX171" s="647" t="s">
        <v>1134</v>
      </c>
      <c r="DY171" s="647" t="s">
        <v>1134</v>
      </c>
      <c r="DZ171" s="647" t="s">
        <v>1134</v>
      </c>
      <c r="EA171" s="647" t="s">
        <v>533</v>
      </c>
      <c r="EB171" s="647" t="s">
        <v>1135</v>
      </c>
      <c r="EC171" s="647" t="s">
        <v>1134</v>
      </c>
      <c r="ED171" s="647" t="s">
        <v>1136</v>
      </c>
    </row>
    <row r="172" spans="1:134" x14ac:dyDescent="0.2">
      <c r="A172" s="749" t="s">
        <v>69</v>
      </c>
      <c r="B172" s="146">
        <v>165</v>
      </c>
      <c r="C172" s="770">
        <v>0</v>
      </c>
      <c r="D172" s="770">
        <v>0</v>
      </c>
      <c r="E172" s="770">
        <v>0</v>
      </c>
      <c r="F172" s="770">
        <v>0</v>
      </c>
      <c r="G172" s="770">
        <v>0</v>
      </c>
      <c r="H172" s="786">
        <f t="shared" si="15"/>
        <v>0</v>
      </c>
      <c r="I172" s="776">
        <v>0</v>
      </c>
      <c r="J172" s="776">
        <v>0</v>
      </c>
      <c r="K172" s="801">
        <v>0</v>
      </c>
      <c r="L172" s="802">
        <v>0</v>
      </c>
      <c r="M172" s="803">
        <v>0</v>
      </c>
      <c r="N172" s="778">
        <v>0</v>
      </c>
      <c r="O172" s="782">
        <v>0</v>
      </c>
      <c r="P172" s="803">
        <v>0</v>
      </c>
      <c r="Q172" s="781">
        <v>0</v>
      </c>
      <c r="R172" s="803">
        <v>0</v>
      </c>
      <c r="S172" s="778">
        <v>0</v>
      </c>
      <c r="T172" s="778">
        <v>0</v>
      </c>
      <c r="U172" s="804">
        <v>0</v>
      </c>
      <c r="V172" s="772">
        <v>0</v>
      </c>
      <c r="W172" s="783">
        <v>0</v>
      </c>
      <c r="X172" s="803">
        <v>0</v>
      </c>
      <c r="Y172" s="778">
        <v>0</v>
      </c>
      <c r="Z172" s="802">
        <v>0</v>
      </c>
      <c r="AA172" s="803">
        <v>0</v>
      </c>
      <c r="AB172" s="803">
        <v>0</v>
      </c>
      <c r="AC172" s="778">
        <v>0</v>
      </c>
      <c r="AD172" s="782">
        <v>0</v>
      </c>
      <c r="AE172" s="803">
        <v>0</v>
      </c>
      <c r="AF172" s="771">
        <f t="shared" si="11"/>
        <v>0</v>
      </c>
      <c r="AG172" s="805">
        <f t="shared" si="12"/>
        <v>0</v>
      </c>
      <c r="AH172" s="1084">
        <f t="shared" si="13"/>
        <v>0</v>
      </c>
      <c r="AI172" s="132" t="str">
        <f t="shared" si="14"/>
        <v xml:space="preserve"> </v>
      </c>
      <c r="AS172" s="139" t="s">
        <v>535</v>
      </c>
      <c r="AT172" s="139" t="s">
        <v>536</v>
      </c>
      <c r="DS172" s="304"/>
      <c r="DT172" s="304"/>
      <c r="DU172" s="647" t="s">
        <v>552</v>
      </c>
      <c r="DV172" s="647" t="s">
        <v>1134</v>
      </c>
      <c r="DW172" s="647" t="s">
        <v>1134</v>
      </c>
      <c r="DX172" s="647" t="s">
        <v>1134</v>
      </c>
      <c r="DY172" s="647" t="s">
        <v>1134</v>
      </c>
      <c r="DZ172" s="647" t="s">
        <v>1134</v>
      </c>
      <c r="EA172" s="647" t="s">
        <v>535</v>
      </c>
      <c r="EB172" s="647" t="s">
        <v>1135</v>
      </c>
      <c r="EC172" s="647" t="s">
        <v>1134</v>
      </c>
      <c r="ED172" s="647" t="s">
        <v>1136</v>
      </c>
    </row>
    <row r="173" spans="1:134" ht="13.5" thickBot="1" x14ac:dyDescent="0.25">
      <c r="A173" s="749" t="s">
        <v>1014</v>
      </c>
      <c r="B173" s="146">
        <v>166</v>
      </c>
      <c r="C173" s="770">
        <v>0</v>
      </c>
      <c r="D173" s="770">
        <v>0</v>
      </c>
      <c r="E173" s="770">
        <v>0</v>
      </c>
      <c r="F173" s="770">
        <v>0</v>
      </c>
      <c r="G173" s="770">
        <v>0</v>
      </c>
      <c r="H173" s="786">
        <f t="shared" si="15"/>
        <v>0</v>
      </c>
      <c r="I173" s="776">
        <v>0</v>
      </c>
      <c r="J173" s="776">
        <v>0</v>
      </c>
      <c r="K173" s="801">
        <v>0</v>
      </c>
      <c r="L173" s="802">
        <v>0</v>
      </c>
      <c r="M173" s="803">
        <v>0</v>
      </c>
      <c r="N173" s="778">
        <v>0</v>
      </c>
      <c r="O173" s="782">
        <v>0</v>
      </c>
      <c r="P173" s="803">
        <v>0</v>
      </c>
      <c r="Q173" s="810">
        <v>0</v>
      </c>
      <c r="R173" s="803">
        <v>0</v>
      </c>
      <c r="S173" s="778">
        <v>0</v>
      </c>
      <c r="T173" s="778">
        <v>0</v>
      </c>
      <c r="U173" s="804">
        <v>0</v>
      </c>
      <c r="V173" s="772">
        <v>0</v>
      </c>
      <c r="W173" s="783">
        <v>0</v>
      </c>
      <c r="X173" s="803">
        <v>0</v>
      </c>
      <c r="Y173" s="778">
        <v>0</v>
      </c>
      <c r="Z173" s="802">
        <v>0</v>
      </c>
      <c r="AA173" s="803">
        <v>0</v>
      </c>
      <c r="AB173" s="803">
        <v>0</v>
      </c>
      <c r="AC173" s="778">
        <v>0</v>
      </c>
      <c r="AD173" s="782">
        <v>0</v>
      </c>
      <c r="AE173" s="803">
        <v>0</v>
      </c>
      <c r="AF173" s="771">
        <f t="shared" si="11"/>
        <v>0</v>
      </c>
      <c r="AG173" s="805">
        <f t="shared" si="12"/>
        <v>0</v>
      </c>
      <c r="AH173" s="1084">
        <f t="shared" si="13"/>
        <v>0</v>
      </c>
      <c r="AI173" s="132" t="str">
        <f t="shared" si="14"/>
        <v xml:space="preserve"> </v>
      </c>
      <c r="AS173" s="139" t="s">
        <v>548</v>
      </c>
      <c r="AT173" s="139" t="s">
        <v>549</v>
      </c>
      <c r="DS173" s="304"/>
      <c r="DT173" s="304"/>
      <c r="DU173" s="647" t="s">
        <v>552</v>
      </c>
      <c r="DV173" s="647" t="s">
        <v>1134</v>
      </c>
      <c r="DW173" s="647" t="s">
        <v>1134</v>
      </c>
      <c r="DX173" s="647" t="s">
        <v>1134</v>
      </c>
      <c r="DY173" s="647" t="s">
        <v>1134</v>
      </c>
      <c r="DZ173" s="647" t="s">
        <v>1134</v>
      </c>
      <c r="EA173" s="647" t="s">
        <v>1186</v>
      </c>
      <c r="EB173" s="647" t="s">
        <v>1135</v>
      </c>
      <c r="EC173" s="647" t="s">
        <v>1134</v>
      </c>
      <c r="ED173" s="647" t="s">
        <v>1136</v>
      </c>
    </row>
    <row r="174" spans="1:134" ht="14.25" thickBot="1" x14ac:dyDescent="0.25">
      <c r="A174" s="73" t="s">
        <v>143</v>
      </c>
      <c r="B174" s="158">
        <v>167</v>
      </c>
      <c r="C174" s="811">
        <f t="shared" ref="C174:AG174" si="16">ROUND(SUM(C6:C173),3)</f>
        <v>4422.6030000000001</v>
      </c>
      <c r="D174" s="811">
        <f t="shared" si="16"/>
        <v>686.36400000000003</v>
      </c>
      <c r="E174" s="811">
        <f t="shared" si="16"/>
        <v>0</v>
      </c>
      <c r="F174" s="811">
        <f t="shared" si="16"/>
        <v>204.59200000000001</v>
      </c>
      <c r="G174" s="811">
        <f t="shared" si="16"/>
        <v>0</v>
      </c>
      <c r="H174" s="812">
        <f>ROUND(SUM(H6:H173),3)</f>
        <v>5313.5590000000002</v>
      </c>
      <c r="I174" s="813">
        <f t="shared" si="16"/>
        <v>0</v>
      </c>
      <c r="J174" s="811">
        <f t="shared" si="16"/>
        <v>408.97</v>
      </c>
      <c r="K174" s="814">
        <f t="shared" si="16"/>
        <v>1913.84</v>
      </c>
      <c r="L174" s="815">
        <f t="shared" si="16"/>
        <v>540.21600000000001</v>
      </c>
      <c r="M174" s="811">
        <f t="shared" si="16"/>
        <v>0</v>
      </c>
      <c r="N174" s="814">
        <f t="shared" si="16"/>
        <v>540.21600000000001</v>
      </c>
      <c r="O174" s="815">
        <f t="shared" si="16"/>
        <v>0.27900000000000003</v>
      </c>
      <c r="P174" s="814">
        <f t="shared" si="16"/>
        <v>0</v>
      </c>
      <c r="Q174" s="811">
        <f t="shared" si="16"/>
        <v>618.08900000000006</v>
      </c>
      <c r="R174" s="811">
        <f t="shared" si="16"/>
        <v>0</v>
      </c>
      <c r="S174" s="811">
        <f t="shared" si="16"/>
        <v>592.55200000000002</v>
      </c>
      <c r="T174" s="812">
        <f t="shared" si="16"/>
        <v>65.435000000000002</v>
      </c>
      <c r="U174" s="813">
        <f t="shared" si="16"/>
        <v>561.73699999999997</v>
      </c>
      <c r="V174" s="811">
        <f t="shared" si="16"/>
        <v>658.88699999999994</v>
      </c>
      <c r="W174" s="811">
        <f t="shared" si="16"/>
        <v>1220.624</v>
      </c>
      <c r="X174" s="814">
        <f t="shared" si="16"/>
        <v>0</v>
      </c>
      <c r="Y174" s="814">
        <f t="shared" si="16"/>
        <v>1220.624</v>
      </c>
      <c r="Z174" s="815">
        <f t="shared" si="16"/>
        <v>2185.8130000000001</v>
      </c>
      <c r="AA174" s="814">
        <f t="shared" si="16"/>
        <v>930.86500000000001</v>
      </c>
      <c r="AB174" s="814">
        <f t="shared" si="16"/>
        <v>0</v>
      </c>
      <c r="AC174" s="814">
        <f t="shared" si="16"/>
        <v>1254.9469999999999</v>
      </c>
      <c r="AD174" s="815">
        <f t="shared" si="16"/>
        <v>151.19399999999999</v>
      </c>
      <c r="AE174" s="814">
        <f t="shared" si="16"/>
        <v>590.19500000000005</v>
      </c>
      <c r="AF174" s="811">
        <f t="shared" si="16"/>
        <v>7694.6549999999997</v>
      </c>
      <c r="AG174" s="816">
        <f t="shared" si="16"/>
        <v>13008.214</v>
      </c>
      <c r="AH174" s="1084">
        <f t="shared" ref="AH174" si="17">IF(ROUND(H174-SUM(C174:G174),3)=0,0,1)+IF(ROUND(AF174-SUM(I174:L174,O174:Q174,T174,W174,Z174,AD174:AE174),3)=0,0,1)+IF(ROUND(AG174-SUM(AF174,H174),3)=0,0,1)</f>
        <v>0</v>
      </c>
      <c r="AI174" s="132" t="str">
        <f t="shared" ref="AI174" si="18">IF(AH174=0," ",IF(AH174=1,"A total is not equal to the sum of its components: ",AH174&amp;" totals are not equal to the sum of their components: "))&amp;IF(AH174=0,"",IF(H174-SUM(C174:G174)=0,"","Total (column F). ")&amp;IF(AF174-SUM(I174:L174,O174:Q174,T174,W174,Z174,AD174:AE174)=0,"","Total products. ")&amp;IF(AG174-SUM(AF174,H174)=0,"","Total oil."))</f>
        <v xml:space="preserve"> </v>
      </c>
      <c r="AS174" s="143" t="s">
        <v>550</v>
      </c>
      <c r="AT174" s="144" t="s">
        <v>551</v>
      </c>
      <c r="DS174" s="304"/>
      <c r="DT174" s="304"/>
      <c r="DU174" s="647" t="s">
        <v>552</v>
      </c>
      <c r="DV174" s="647" t="s">
        <v>1134</v>
      </c>
      <c r="DW174" s="647" t="s">
        <v>1134</v>
      </c>
      <c r="DX174" s="647" t="s">
        <v>1134</v>
      </c>
      <c r="DY174" s="647" t="s">
        <v>1134</v>
      </c>
      <c r="DZ174" s="647" t="s">
        <v>1134</v>
      </c>
      <c r="EA174" s="647" t="s">
        <v>1177</v>
      </c>
      <c r="EB174" s="647" t="s">
        <v>1135</v>
      </c>
      <c r="EC174" s="647" t="s">
        <v>1134</v>
      </c>
      <c r="ED174" s="647" t="s">
        <v>1136</v>
      </c>
    </row>
    <row r="175" spans="1:134" ht="22.5" customHeight="1" x14ac:dyDescent="0.2">
      <c r="A175" s="63"/>
      <c r="B175" s="63"/>
      <c r="C175" s="31" t="str">
        <f t="shared" ref="C175:AG175" si="19">IF(MIN(C8:C174)&lt;0,"Negative number","")</f>
        <v/>
      </c>
      <c r="D175" s="31" t="str">
        <f t="shared" si="19"/>
        <v/>
      </c>
      <c r="E175" s="31" t="str">
        <f t="shared" si="19"/>
        <v/>
      </c>
      <c r="F175" s="31" t="str">
        <f t="shared" si="19"/>
        <v/>
      </c>
      <c r="G175" s="31" t="str">
        <f t="shared" si="19"/>
        <v/>
      </c>
      <c r="H175" s="31" t="str">
        <f t="shared" si="19"/>
        <v/>
      </c>
      <c r="I175" s="31" t="str">
        <f t="shared" si="19"/>
        <v/>
      </c>
      <c r="J175" s="31" t="str">
        <f t="shared" si="19"/>
        <v/>
      </c>
      <c r="K175" s="31" t="str">
        <f t="shared" si="19"/>
        <v/>
      </c>
      <c r="L175" s="31" t="str">
        <f t="shared" si="19"/>
        <v/>
      </c>
      <c r="M175" s="31" t="str">
        <f t="shared" si="19"/>
        <v/>
      </c>
      <c r="N175" s="31" t="str">
        <f t="shared" si="19"/>
        <v/>
      </c>
      <c r="O175" s="31" t="str">
        <f t="shared" si="19"/>
        <v/>
      </c>
      <c r="P175" s="31" t="str">
        <f t="shared" si="19"/>
        <v/>
      </c>
      <c r="Q175" s="31" t="str">
        <f t="shared" si="19"/>
        <v/>
      </c>
      <c r="R175" s="31" t="str">
        <f t="shared" si="19"/>
        <v/>
      </c>
      <c r="S175" s="31" t="str">
        <f t="shared" si="19"/>
        <v/>
      </c>
      <c r="T175" s="31" t="str">
        <f t="shared" si="19"/>
        <v/>
      </c>
      <c r="U175" s="31" t="str">
        <f t="shared" si="19"/>
        <v/>
      </c>
      <c r="V175" s="31" t="str">
        <f t="shared" si="19"/>
        <v/>
      </c>
      <c r="W175" s="31" t="str">
        <f t="shared" si="19"/>
        <v/>
      </c>
      <c r="X175" s="31" t="str">
        <f t="shared" si="19"/>
        <v/>
      </c>
      <c r="Y175" s="31" t="str">
        <f t="shared" si="19"/>
        <v/>
      </c>
      <c r="Z175" s="31" t="str">
        <f t="shared" si="19"/>
        <v/>
      </c>
      <c r="AA175" s="31" t="str">
        <f t="shared" si="19"/>
        <v/>
      </c>
      <c r="AB175" s="31"/>
      <c r="AC175" s="31" t="str">
        <f t="shared" si="19"/>
        <v/>
      </c>
      <c r="AD175" s="31" t="str">
        <f t="shared" si="19"/>
        <v/>
      </c>
      <c r="AE175" s="31" t="str">
        <f t="shared" si="19"/>
        <v/>
      </c>
      <c r="AF175" s="31" t="str">
        <f t="shared" si="19"/>
        <v/>
      </c>
      <c r="AG175" s="31" t="str">
        <f t="shared" si="19"/>
        <v/>
      </c>
      <c r="AH175" s="63"/>
      <c r="AI175" s="63"/>
      <c r="AK175" s="67"/>
      <c r="AL175" s="67"/>
    </row>
    <row r="176" spans="1:134" ht="31.5" customHeight="1" x14ac:dyDescent="0.2">
      <c r="M176" s="65"/>
      <c r="N176" s="65"/>
    </row>
    <row r="177" spans="1:33" ht="12.75" customHeight="1" x14ac:dyDescent="0.2">
      <c r="A177" s="7" t="s">
        <v>1375</v>
      </c>
      <c r="B177" s="7"/>
      <c r="H177" s="1037">
        <f>ROUND(H174-'Table 1'!J18,3)</f>
        <v>4.0000000000000001E-3</v>
      </c>
      <c r="I177" s="3" t="str">
        <f>IF(H177=0,"OK","Total Imports of Total is not equal to Imports (Balance) of Total in Table 1.")</f>
        <v>Total Imports of Total is not equal to Imports (Balance) of Total in Table 1.</v>
      </c>
      <c r="J177" s="3"/>
      <c r="K177" s="3"/>
      <c r="L177" s="3"/>
    </row>
    <row r="178" spans="1:33" x14ac:dyDescent="0.2">
      <c r="A178" s="7" t="s">
        <v>1376</v>
      </c>
      <c r="B178" s="7"/>
      <c r="H178" s="71">
        <f>ROUND(AF174-'Table 2'!AD12,3)</f>
        <v>0.28000000000000003</v>
      </c>
      <c r="I178" s="3" t="str">
        <f>IF(H178=0,"OK","Total Imports of Total products is not equal to Imports (Balance) for Total products in Table 2.")</f>
        <v>Total Imports of Total products is not equal to Imports (Balance) for Total products in Table 2.</v>
      </c>
      <c r="J178" s="3"/>
      <c r="K178" s="3"/>
      <c r="L178" s="3"/>
    </row>
    <row r="179" spans="1:33" ht="12.75" customHeight="1" x14ac:dyDescent="0.2">
      <c r="A179" s="7" t="s">
        <v>894</v>
      </c>
      <c r="B179" s="7"/>
      <c r="H179" s="1037">
        <f>ROUND(H174-SUM(H8:H173),3)</f>
        <v>0</v>
      </c>
      <c r="I179" s="3" t="str">
        <f>IF(H179=0,"OK","Total Imports is not equal to the sum of its components for Total (column F).")</f>
        <v>OK</v>
      </c>
      <c r="J179" s="3"/>
      <c r="K179" s="3"/>
      <c r="L179" s="3"/>
    </row>
    <row r="180" spans="1:33" x14ac:dyDescent="0.2">
      <c r="A180" s="7" t="s">
        <v>871</v>
      </c>
      <c r="B180" s="7"/>
      <c r="H180" s="70">
        <f>ROUND(AF174-SUM(AF8:AF173),3)</f>
        <v>0</v>
      </c>
      <c r="I180" s="3" t="str">
        <f>IF(H180=0,"OK","Total Imports is not equal to the sum of its components for Total products.")</f>
        <v>OK</v>
      </c>
      <c r="J180" s="3"/>
      <c r="K180" s="3"/>
      <c r="L180" s="3"/>
    </row>
    <row r="181" spans="1:33" ht="12.75" customHeight="1" x14ac:dyDescent="0.2">
      <c r="A181" s="7" t="s">
        <v>1385</v>
      </c>
      <c r="B181" s="7"/>
      <c r="H181" s="70">
        <f ca="1">IF(MAX(IFERROR(OFFSET(C7,MATCH(CountryCode,$AT$8:$AT$173,0),0,1,30),0))&gt;0,1,0)+IF(CountryCode=Param!$D$67,MAX(C167:AE167),0)</f>
        <v>0</v>
      </c>
      <c r="I181" s="3" t="str">
        <f ca="1">IF(H181=0,"OK","Country is reporting imports to itself")</f>
        <v>OK</v>
      </c>
      <c r="J181" s="3"/>
      <c r="K181" s="3"/>
      <c r="L181" s="3"/>
    </row>
    <row r="182" spans="1:33" x14ac:dyDescent="0.2">
      <c r="A182" s="7"/>
      <c r="B182" s="7"/>
      <c r="H182" s="70"/>
      <c r="I182" s="3"/>
      <c r="J182" s="3"/>
      <c r="K182" s="3"/>
      <c r="L182" s="3"/>
    </row>
    <row r="183" spans="1:33" x14ac:dyDescent="0.2">
      <c r="A183" s="7" t="s">
        <v>1112</v>
      </c>
      <c r="B183" s="7"/>
      <c r="H183" s="70"/>
      <c r="I183" s="3"/>
      <c r="J183" s="3"/>
      <c r="K183" s="3"/>
      <c r="L183" s="3"/>
    </row>
    <row r="184" spans="1:33" x14ac:dyDescent="0.2">
      <c r="A184" s="7"/>
      <c r="B184" s="7"/>
      <c r="H184" s="70"/>
      <c r="I184" s="3"/>
      <c r="J184" s="3"/>
      <c r="K184" s="3"/>
      <c r="L184" s="3"/>
    </row>
    <row r="185" spans="1:33" x14ac:dyDescent="0.2">
      <c r="A185" s="7"/>
      <c r="B185" s="7"/>
      <c r="H185" s="70"/>
      <c r="I185" s="3"/>
      <c r="J185" s="3"/>
      <c r="K185" s="3"/>
      <c r="L185" s="3"/>
    </row>
    <row r="186" spans="1:33" x14ac:dyDescent="0.2">
      <c r="A186" s="7"/>
      <c r="B186" s="7"/>
      <c r="H186" s="70"/>
      <c r="I186" s="3"/>
      <c r="J186" s="3"/>
      <c r="K186" s="3"/>
      <c r="L186" s="3"/>
    </row>
    <row r="187" spans="1:33" ht="12.75" customHeight="1" x14ac:dyDescent="0.2">
      <c r="A187" s="7"/>
      <c r="B187" s="7"/>
      <c r="H187" s="70"/>
      <c r="I187" s="3"/>
      <c r="J187" s="3"/>
      <c r="K187" s="3"/>
      <c r="L187" s="3"/>
    </row>
    <row r="188" spans="1:33" x14ac:dyDescent="0.2">
      <c r="A188" s="7"/>
      <c r="B188" s="7"/>
      <c r="H188" s="70"/>
      <c r="I188" s="3"/>
      <c r="J188" s="3"/>
      <c r="K188" s="3"/>
      <c r="L188" s="3"/>
    </row>
    <row r="189" spans="1:33" ht="12.75" customHeight="1" x14ac:dyDescent="0.2">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row>
    <row r="191" spans="1:33" ht="12.75" customHeight="1" x14ac:dyDescent="0.2"/>
    <row r="192" spans="1:33" hidden="1" x14ac:dyDescent="0.2">
      <c r="A192" s="306" t="s">
        <v>329</v>
      </c>
      <c r="C192" s="136" t="s">
        <v>330</v>
      </c>
      <c r="D192" s="136" t="s">
        <v>6</v>
      </c>
      <c r="E192" s="136" t="s">
        <v>331</v>
      </c>
      <c r="F192" s="136" t="s">
        <v>332</v>
      </c>
      <c r="G192" s="136" t="s">
        <v>334</v>
      </c>
      <c r="H192" s="136" t="s">
        <v>335</v>
      </c>
      <c r="I192" s="136" t="s">
        <v>353</v>
      </c>
      <c r="J192" s="156" t="s">
        <v>9</v>
      </c>
      <c r="K192" s="156" t="s">
        <v>354</v>
      </c>
      <c r="L192" s="156" t="s">
        <v>355</v>
      </c>
      <c r="M192" s="156" t="s">
        <v>356</v>
      </c>
      <c r="N192" s="156" t="s">
        <v>891</v>
      </c>
      <c r="O192" s="156" t="s">
        <v>357</v>
      </c>
      <c r="P192" s="156" t="s">
        <v>358</v>
      </c>
      <c r="Q192" s="156" t="s">
        <v>359</v>
      </c>
      <c r="R192" s="156" t="s">
        <v>878</v>
      </c>
      <c r="S192" s="156" t="s">
        <v>879</v>
      </c>
      <c r="T192" s="156" t="s">
        <v>360</v>
      </c>
      <c r="U192" s="156" t="s">
        <v>361</v>
      </c>
      <c r="V192" s="156" t="s">
        <v>363</v>
      </c>
      <c r="W192" s="156" t="s">
        <v>364</v>
      </c>
      <c r="X192" s="156" t="s">
        <v>362</v>
      </c>
      <c r="Y192" s="156" t="s">
        <v>880</v>
      </c>
      <c r="Z192" s="156" t="s">
        <v>367</v>
      </c>
      <c r="AA192" s="156" t="s">
        <v>365</v>
      </c>
      <c r="AB192" s="156" t="s">
        <v>1412</v>
      </c>
      <c r="AC192" s="156" t="s">
        <v>366</v>
      </c>
      <c r="AD192" s="156" t="s">
        <v>368</v>
      </c>
      <c r="AE192" s="156" t="s">
        <v>606</v>
      </c>
      <c r="AF192" s="156" t="s">
        <v>369</v>
      </c>
      <c r="AG192" s="136" t="s">
        <v>416</v>
      </c>
    </row>
    <row r="193" ht="12.75" customHeight="1" x14ac:dyDescent="0.2"/>
    <row r="195" ht="12.75" customHeight="1" x14ac:dyDescent="0.2"/>
    <row r="197" ht="12.75" customHeight="1" x14ac:dyDescent="0.2"/>
    <row r="199" ht="12.75" customHeight="1" x14ac:dyDescent="0.2"/>
    <row r="1000" spans="1:127" ht="22.5" hidden="1" x14ac:dyDescent="0.2">
      <c r="A1000" s="641" t="s">
        <v>1113</v>
      </c>
      <c r="C1000" s="642" t="s">
        <v>1114</v>
      </c>
      <c r="D1000" s="642" t="s">
        <v>1115</v>
      </c>
      <c r="E1000" s="642" t="s">
        <v>1116</v>
      </c>
      <c r="F1000" s="642" t="s">
        <v>1117</v>
      </c>
      <c r="G1000" s="642" t="s">
        <v>1119</v>
      </c>
      <c r="H1000" s="642" t="s">
        <v>1120</v>
      </c>
      <c r="I1000" s="642" t="s">
        <v>1143</v>
      </c>
      <c r="J1000" s="642" t="s">
        <v>1144</v>
      </c>
      <c r="K1000" s="642" t="s">
        <v>1145</v>
      </c>
      <c r="L1000" s="642" t="s">
        <v>1146</v>
      </c>
      <c r="M1000" s="642" t="s">
        <v>1147</v>
      </c>
      <c r="N1000" s="642" t="s">
        <v>1148</v>
      </c>
      <c r="O1000" s="642" t="s">
        <v>1149</v>
      </c>
      <c r="P1000" s="642" t="s">
        <v>1150</v>
      </c>
      <c r="Q1000" s="642" t="s">
        <v>1151</v>
      </c>
      <c r="R1000" s="642" t="s">
        <v>1152</v>
      </c>
      <c r="S1000" s="642" t="s">
        <v>1153</v>
      </c>
      <c r="T1000" s="642" t="s">
        <v>1154</v>
      </c>
      <c r="U1000" s="642" t="s">
        <v>1155</v>
      </c>
      <c r="V1000" s="642" t="s">
        <v>1156</v>
      </c>
      <c r="W1000" s="642" t="s">
        <v>1157</v>
      </c>
      <c r="X1000" s="642" t="s">
        <v>1158</v>
      </c>
      <c r="Y1000" s="642" t="s">
        <v>1159</v>
      </c>
      <c r="Z1000" s="642" t="s">
        <v>1160</v>
      </c>
      <c r="AA1000" s="642" t="s">
        <v>1161</v>
      </c>
      <c r="AB1000" s="642" t="s">
        <v>1414</v>
      </c>
      <c r="AC1000" s="642" t="s">
        <v>1162</v>
      </c>
      <c r="AD1000" s="642" t="s">
        <v>1163</v>
      </c>
      <c r="AE1000" s="642" t="s">
        <v>1406</v>
      </c>
      <c r="AF1000" s="642" t="s">
        <v>1178</v>
      </c>
      <c r="AG1000" s="642" t="s">
        <v>1164</v>
      </c>
      <c r="AK1000" s="211"/>
      <c r="AL1000" s="211"/>
      <c r="AM1000" s="211"/>
      <c r="AN1000" s="211"/>
      <c r="AO1000" s="211"/>
      <c r="AP1000" s="211"/>
      <c r="AQ1000" s="211"/>
      <c r="AR1000" s="211"/>
      <c r="AS1000" s="211"/>
      <c r="AT1000" s="211"/>
      <c r="AU1000" s="211"/>
      <c r="AV1000" s="211"/>
      <c r="DV1000" s="3"/>
      <c r="DW1000" s="3"/>
    </row>
  </sheetData>
  <sheetProtection algorithmName="SHA-512" hashValue="YI0OlmSZFmPXjjuezqGpWjWB/sd824Myvxg4K0mtHzFKFteE71vOhets7GsFdKd4EFKCB2Y33lVcNsmJanoRQQ==" saltValue="7qQsay0xK4JSlh1Mhe5FjA==" spinCount="100000" sheet="1" objects="1" scenarios="1"/>
  <mergeCells count="21">
    <mergeCell ref="C5:C6"/>
    <mergeCell ref="D5:D6"/>
    <mergeCell ref="E5:E6"/>
    <mergeCell ref="F5:F6"/>
    <mergeCell ref="J5:J6"/>
    <mergeCell ref="H5:H6"/>
    <mergeCell ref="I5:I6"/>
    <mergeCell ref="G5:G6"/>
    <mergeCell ref="L5:L6"/>
    <mergeCell ref="O5:O6"/>
    <mergeCell ref="AF5:AF6"/>
    <mergeCell ref="K5:K6"/>
    <mergeCell ref="AI5:AI6"/>
    <mergeCell ref="T5:T6"/>
    <mergeCell ref="W5:W6"/>
    <mergeCell ref="Z5:Z6"/>
    <mergeCell ref="AD5:AD6"/>
    <mergeCell ref="P5:P6"/>
    <mergeCell ref="AE5:AE6"/>
    <mergeCell ref="AG5:AG6"/>
    <mergeCell ref="Q5:Q6"/>
  </mergeCells>
  <phoneticPr fontId="44" type="noConversion"/>
  <conditionalFormatting sqref="C12 C14 C16 C18 C20 C22 C24 C26 C29 C31 C33 C35 C37 C39 C41 C43 C45 C47 C49 C51 C53 C55 C57 C59:C60 C62 C64 C66 C68 C71 C73 C75 C77 C79 C81 C83 C85 C87 C89 C91 C93 C95 C101 C103 C105 C107 C109 C111 C113 C115:C116 C119 C121 C123 C125 C127 C129 C131 C133 C135 C137 C139 C141 C143 C145 C147 C149 C151 C153 C155 C157 C159 C161 C163 C165 C167 C169 C171 C173 D119:AA151 C97:C99 C118:AA118 D108:AA117 C8:AG8 C10:AG10 D87:AG90 D162:AG173 D57:AG68 D92:AG105 AB108:AG151 C174:AG174 D70:AG85 C69:AG69">
    <cfRule type="cellIs" dxfId="1135" priority="126" stopIfTrue="1" operator="lessThan">
      <formula>0</formula>
    </cfRule>
  </conditionalFormatting>
  <conditionalFormatting sqref="C174:AG174">
    <cfRule type="cellIs" dxfId="1134" priority="125" stopIfTrue="1" operator="notEqual">
      <formula>ROUND(SUM(C8:C173),3)</formula>
    </cfRule>
  </conditionalFormatting>
  <conditionalFormatting sqref="W8 W10 W87:W90 W162:W174 W92:W105 W108:W151 W57:W85">
    <cfRule type="expression" dxfId="1133" priority="133" stopIfTrue="1">
      <formula>OR(AND(OR(U8&lt;&gt;0,V8&lt;&gt;0),W8&lt;&gt;U8+V8),AND(OR(X8&lt;&gt;0,Y8&lt;&gt;0),W8&lt;&gt;X8+Y8))</formula>
    </cfRule>
    <cfRule type="expression" dxfId="1132" priority="134" stopIfTrue="1">
      <formula>OR(AND(U8+V8=0,W8&lt;&gt;0),AND(X8+Y8=0,W8&lt;&gt;0))</formula>
    </cfRule>
  </conditionalFormatting>
  <conditionalFormatting sqref="L8 L10 L87:L90 Q162:Q174 L162:L174 Q108:Q151 L92:L105 L108:L151 L57:L85 Q57:Q85">
    <cfRule type="expression" dxfId="1131" priority="131" stopIfTrue="1">
      <formula>AND(M8+N8=0,L8&lt;&gt;0)</formula>
    </cfRule>
    <cfRule type="cellIs" dxfId="1130" priority="132" stopIfTrue="1" operator="notEqual">
      <formula>M8+N8</formula>
    </cfRule>
  </conditionalFormatting>
  <conditionalFormatting sqref="Q8 Q10 Q87:Q90 Q92:Q105">
    <cfRule type="expression" dxfId="1129" priority="129" stopIfTrue="1">
      <formula>AND(R8+S8=0,Q8&lt;&gt;0)</formula>
    </cfRule>
    <cfRule type="cellIs" dxfId="1128" priority="130" stopIfTrue="1" operator="notEqual">
      <formula>R8+S8</formula>
    </cfRule>
  </conditionalFormatting>
  <conditionalFormatting sqref="Z8 Z87:Z90 Z162:Z174 Z92:Z105 Z108:Z151 Z46:Z85 Z10:Z39">
    <cfRule type="expression" dxfId="1127" priority="127" stopIfTrue="1">
      <formula>AND(AA8+AC8=0,Z8&lt;&gt;0)</formula>
    </cfRule>
    <cfRule type="cellIs" dxfId="1126" priority="128" stopIfTrue="1" operator="notEqual">
      <formula>AA8+AC8</formula>
    </cfRule>
  </conditionalFormatting>
  <conditionalFormatting sqref="H8 H10 H87:H90 H162:H174 H92:H105 H108:H151 H57:H85">
    <cfRule type="cellIs" dxfId="1125" priority="124" stopIfTrue="1" operator="notEqual">
      <formula>ROUND(SUM(C8:G8),3)</formula>
    </cfRule>
  </conditionalFormatting>
  <conditionalFormatting sqref="AF8 AF10 AF87:AF90 AF162:AF174 AF92:AF105 AF108:AF151 AF57:AF85">
    <cfRule type="cellIs" dxfId="1124" priority="123" stopIfTrue="1" operator="notEqual">
      <formula>ROUND(SUM(I8:L8,O8:Q8,T8,W8,Z8,AD8:AE8),3)</formula>
    </cfRule>
  </conditionalFormatting>
  <conditionalFormatting sqref="AG8 AG10 AG87:AG90 AG162:AG174 AG92:AG105 AG108:AG151 AG57:AG85">
    <cfRule type="cellIs" dxfId="1123" priority="122" stopIfTrue="1" operator="notEqual">
      <formula>ROUND(H8+AF8,3)</formula>
    </cfRule>
  </conditionalFormatting>
  <conditionalFormatting sqref="I177:I180">
    <cfRule type="cellIs" dxfId="1122" priority="135" stopIfTrue="1" operator="notEqual">
      <formula>"OK"</formula>
    </cfRule>
  </conditionalFormatting>
  <conditionalFormatting sqref="C9:AG9">
    <cfRule type="cellIs" dxfId="1121" priority="113" stopIfTrue="1" operator="lessThan">
      <formula>0</formula>
    </cfRule>
  </conditionalFormatting>
  <conditionalFormatting sqref="W9">
    <cfRule type="expression" dxfId="1120" priority="120" stopIfTrue="1">
      <formula>OR(AND(OR(U9&lt;&gt;0,V9&lt;&gt;0),W9&lt;&gt;U9+V9),AND(OR(X9&lt;&gt;0,Y9&lt;&gt;0),W9&lt;&gt;X9+Y9))</formula>
    </cfRule>
    <cfRule type="expression" dxfId="1119" priority="121" stopIfTrue="1">
      <formula>OR(AND(U9+V9=0,W9&lt;&gt;0),AND(X9+Y9=0,W9&lt;&gt;0))</formula>
    </cfRule>
  </conditionalFormatting>
  <conditionalFormatting sqref="L9">
    <cfRule type="expression" dxfId="1118" priority="118" stopIfTrue="1">
      <formula>AND(M9+N9=0,L9&lt;&gt;0)</formula>
    </cfRule>
    <cfRule type="cellIs" dxfId="1117" priority="119" stopIfTrue="1" operator="notEqual">
      <formula>M9+N9</formula>
    </cfRule>
  </conditionalFormatting>
  <conditionalFormatting sqref="Q9">
    <cfRule type="expression" dxfId="1116" priority="116" stopIfTrue="1">
      <formula>AND(R9+S9=0,Q9&lt;&gt;0)</formula>
    </cfRule>
    <cfRule type="cellIs" dxfId="1115" priority="117" stopIfTrue="1" operator="notEqual">
      <formula>R9+S9</formula>
    </cfRule>
  </conditionalFormatting>
  <conditionalFormatting sqref="Z9">
    <cfRule type="expression" dxfId="1114" priority="114" stopIfTrue="1">
      <formula>AND(AA9+AC9=0,Z9&lt;&gt;0)</formula>
    </cfRule>
    <cfRule type="cellIs" dxfId="1113" priority="115" stopIfTrue="1" operator="notEqual">
      <formula>AA9+AC9</formula>
    </cfRule>
  </conditionalFormatting>
  <conditionalFormatting sqref="H9">
    <cfRule type="cellIs" dxfId="1112" priority="112" stopIfTrue="1" operator="notEqual">
      <formula>SUM(C9:G9)</formula>
    </cfRule>
  </conditionalFormatting>
  <conditionalFormatting sqref="AF9 AF46:AF56 AF11:AF39">
    <cfRule type="cellIs" dxfId="1111" priority="111" stopIfTrue="1" operator="notEqual">
      <formula>SUM(I9:L9,O9:Q9,T9,W9,Z9,AD9:AE9)</formula>
    </cfRule>
  </conditionalFormatting>
  <conditionalFormatting sqref="AG9 AG46:AG56 AG11:AG39">
    <cfRule type="cellIs" dxfId="1110" priority="110" stopIfTrue="1" operator="notEqual">
      <formula>H9+AF9</formula>
    </cfRule>
  </conditionalFormatting>
  <conditionalFormatting sqref="D107:AG107">
    <cfRule type="cellIs" dxfId="1109" priority="101" stopIfTrue="1" operator="lessThan">
      <formula>0</formula>
    </cfRule>
  </conditionalFormatting>
  <conditionalFormatting sqref="W107">
    <cfRule type="expression" dxfId="1108" priority="108" stopIfTrue="1">
      <formula>OR(AND(OR(U107&lt;&gt;0,V107&lt;&gt;0),W107&lt;&gt;U107+V107),AND(OR(X107&lt;&gt;0,Y107&lt;&gt;0),W107&lt;&gt;X107+Y107))</formula>
    </cfRule>
    <cfRule type="expression" dxfId="1107" priority="109" stopIfTrue="1">
      <formula>OR(AND(U107+V107=0,W107&lt;&gt;0),AND(X107+Y107=0,W107&lt;&gt;0))</formula>
    </cfRule>
  </conditionalFormatting>
  <conditionalFormatting sqref="L107">
    <cfRule type="expression" dxfId="1106" priority="106" stopIfTrue="1">
      <formula>AND(M107+N107=0,L107&lt;&gt;0)</formula>
    </cfRule>
    <cfRule type="cellIs" dxfId="1105" priority="107" stopIfTrue="1" operator="notEqual">
      <formula>M107+N107</formula>
    </cfRule>
  </conditionalFormatting>
  <conditionalFormatting sqref="Q107">
    <cfRule type="expression" dxfId="1104" priority="104" stopIfTrue="1">
      <formula>AND(R107+S107=0,Q107&lt;&gt;0)</formula>
    </cfRule>
    <cfRule type="cellIs" dxfId="1103" priority="105" stopIfTrue="1" operator="notEqual">
      <formula>R107+S107</formula>
    </cfRule>
  </conditionalFormatting>
  <conditionalFormatting sqref="Z107">
    <cfRule type="expression" dxfId="1102" priority="102" stopIfTrue="1">
      <formula>AND(AA107+AC107=0,Z107&lt;&gt;0)</formula>
    </cfRule>
    <cfRule type="cellIs" dxfId="1101" priority="103" stopIfTrue="1" operator="notEqual">
      <formula>AA107+AC107</formula>
    </cfRule>
  </conditionalFormatting>
  <conditionalFormatting sqref="H107">
    <cfRule type="cellIs" dxfId="1100" priority="100" stopIfTrue="1" operator="notEqual">
      <formula>SUM(C107:G107)</formula>
    </cfRule>
  </conditionalFormatting>
  <conditionalFormatting sqref="AF107">
    <cfRule type="cellIs" dxfId="1099" priority="99" stopIfTrue="1" operator="notEqual">
      <formula>SUM(I107:L107,O107:Q107,T107,W107,Z107,AD107:AE107)</formula>
    </cfRule>
  </conditionalFormatting>
  <conditionalFormatting sqref="AG107">
    <cfRule type="cellIs" dxfId="1098" priority="98" stopIfTrue="1" operator="notEqual">
      <formula>H107+AF107</formula>
    </cfRule>
  </conditionalFormatting>
  <conditionalFormatting sqref="D106:AG106">
    <cfRule type="cellIs" dxfId="1097" priority="89" stopIfTrue="1" operator="lessThan">
      <formula>0</formula>
    </cfRule>
  </conditionalFormatting>
  <conditionalFormatting sqref="W106">
    <cfRule type="expression" dxfId="1096" priority="96" stopIfTrue="1">
      <formula>OR(AND(OR(U106&lt;&gt;0,V106&lt;&gt;0),W106&lt;&gt;U106+V106),AND(OR(X106&lt;&gt;0,Y106&lt;&gt;0),W106&lt;&gt;X106+Y106))</formula>
    </cfRule>
    <cfRule type="expression" dxfId="1095" priority="97" stopIfTrue="1">
      <formula>OR(AND(U106+V106=0,W106&lt;&gt;0),AND(X106+Y106=0,W106&lt;&gt;0))</formula>
    </cfRule>
  </conditionalFormatting>
  <conditionalFormatting sqref="L106">
    <cfRule type="expression" dxfId="1094" priority="94" stopIfTrue="1">
      <formula>AND(M106+N106=0,L106&lt;&gt;0)</formula>
    </cfRule>
    <cfRule type="cellIs" dxfId="1093" priority="95" stopIfTrue="1" operator="notEqual">
      <formula>M106+N106</formula>
    </cfRule>
  </conditionalFormatting>
  <conditionalFormatting sqref="Q106">
    <cfRule type="expression" dxfId="1092" priority="92" stopIfTrue="1">
      <formula>AND(R106+S106=0,Q106&lt;&gt;0)</formula>
    </cfRule>
    <cfRule type="cellIs" dxfId="1091" priority="93" stopIfTrue="1" operator="notEqual">
      <formula>R106+S106</formula>
    </cfRule>
  </conditionalFormatting>
  <conditionalFormatting sqref="Z106">
    <cfRule type="expression" dxfId="1090" priority="90" stopIfTrue="1">
      <formula>AND(AA106+AC106=0,Z106&lt;&gt;0)</formula>
    </cfRule>
    <cfRule type="cellIs" dxfId="1089" priority="91" stopIfTrue="1" operator="notEqual">
      <formula>AA106+AC106</formula>
    </cfRule>
  </conditionalFormatting>
  <conditionalFormatting sqref="H106">
    <cfRule type="cellIs" dxfId="1088" priority="88" stopIfTrue="1" operator="notEqual">
      <formula>SUM(C106:G106)</formula>
    </cfRule>
  </conditionalFormatting>
  <conditionalFormatting sqref="AF106">
    <cfRule type="cellIs" dxfId="1087" priority="87" stopIfTrue="1" operator="notEqual">
      <formula>SUM(I106:L106,O106:Q106,T106,W106,Z106,AD106:AE106)</formula>
    </cfRule>
  </conditionalFormatting>
  <conditionalFormatting sqref="AG106">
    <cfRule type="cellIs" dxfId="1086" priority="86" stopIfTrue="1" operator="notEqual">
      <formula>H106+AF106</formula>
    </cfRule>
  </conditionalFormatting>
  <conditionalFormatting sqref="D86:AG86">
    <cfRule type="cellIs" dxfId="1085" priority="65" stopIfTrue="1" operator="lessThan">
      <formula>0</formula>
    </cfRule>
  </conditionalFormatting>
  <conditionalFormatting sqref="W86">
    <cfRule type="expression" dxfId="1084" priority="72" stopIfTrue="1">
      <formula>OR(AND(OR(U86&lt;&gt;0,V86&lt;&gt;0),W86&lt;&gt;U86+V86),AND(OR(X86&lt;&gt;0,Y86&lt;&gt;0),W86&lt;&gt;X86+Y86))</formula>
    </cfRule>
    <cfRule type="expression" dxfId="1083" priority="73" stopIfTrue="1">
      <formula>OR(AND(U86+V86=0,W86&lt;&gt;0),AND(X86+Y86=0,W86&lt;&gt;0))</formula>
    </cfRule>
  </conditionalFormatting>
  <conditionalFormatting sqref="L86">
    <cfRule type="expression" dxfId="1082" priority="70" stopIfTrue="1">
      <formula>AND(M86+N86=0,L86&lt;&gt;0)</formula>
    </cfRule>
    <cfRule type="cellIs" dxfId="1081" priority="71" stopIfTrue="1" operator="notEqual">
      <formula>M86+N86</formula>
    </cfRule>
  </conditionalFormatting>
  <conditionalFormatting sqref="Q86">
    <cfRule type="expression" dxfId="1080" priority="68" stopIfTrue="1">
      <formula>AND(R86+S86=0,Q86&lt;&gt;0)</formula>
    </cfRule>
    <cfRule type="cellIs" dxfId="1079" priority="69" stopIfTrue="1" operator="notEqual">
      <formula>R86+S86</formula>
    </cfRule>
  </conditionalFormatting>
  <conditionalFormatting sqref="Z86">
    <cfRule type="expression" dxfId="1078" priority="66" stopIfTrue="1">
      <formula>AND(AA86+AC86=0,Z86&lt;&gt;0)</formula>
    </cfRule>
    <cfRule type="cellIs" dxfId="1077" priority="67" stopIfTrue="1" operator="notEqual">
      <formula>AA86+AC86</formula>
    </cfRule>
  </conditionalFormatting>
  <conditionalFormatting sqref="H86">
    <cfRule type="cellIs" dxfId="1076" priority="64" stopIfTrue="1" operator="notEqual">
      <formula>SUM(C86:G86)</formula>
    </cfRule>
  </conditionalFormatting>
  <conditionalFormatting sqref="AF86">
    <cfRule type="cellIs" dxfId="1075" priority="63" stopIfTrue="1" operator="notEqual">
      <formula>SUM(I86:L86,O86:Q86,T86,W86,Z86,AD86:AE86)</formula>
    </cfRule>
  </conditionalFormatting>
  <conditionalFormatting sqref="AG86">
    <cfRule type="cellIs" dxfId="1074" priority="62" stopIfTrue="1" operator="notEqual">
      <formula>H86+AF86</formula>
    </cfRule>
  </conditionalFormatting>
  <conditionalFormatting sqref="D91:AG91">
    <cfRule type="cellIs" dxfId="1073" priority="53" stopIfTrue="1" operator="lessThan">
      <formula>0</formula>
    </cfRule>
  </conditionalFormatting>
  <conditionalFormatting sqref="W91">
    <cfRule type="expression" dxfId="1072" priority="60" stopIfTrue="1">
      <formula>OR(AND(OR(U91&lt;&gt;0,V91&lt;&gt;0),W91&lt;&gt;U91+V91),AND(OR(X91&lt;&gt;0,Y91&lt;&gt;0),W91&lt;&gt;X91+Y91))</formula>
    </cfRule>
    <cfRule type="expression" dxfId="1071" priority="61" stopIfTrue="1">
      <formula>OR(AND(U91+V91=0,W91&lt;&gt;0),AND(X91+Y91=0,W91&lt;&gt;0))</formula>
    </cfRule>
  </conditionalFormatting>
  <conditionalFormatting sqref="L91">
    <cfRule type="expression" dxfId="1070" priority="58" stopIfTrue="1">
      <formula>AND(M91+N91=0,L91&lt;&gt;0)</formula>
    </cfRule>
    <cfRule type="cellIs" dxfId="1069" priority="59" stopIfTrue="1" operator="notEqual">
      <formula>M91+N91</formula>
    </cfRule>
  </conditionalFormatting>
  <conditionalFormatting sqref="Q91">
    <cfRule type="expression" dxfId="1068" priority="56" stopIfTrue="1">
      <formula>AND(R91+S91=0,Q91&lt;&gt;0)</formula>
    </cfRule>
    <cfRule type="cellIs" dxfId="1067" priority="57" stopIfTrue="1" operator="notEqual">
      <formula>R91+S91</formula>
    </cfRule>
  </conditionalFormatting>
  <conditionalFormatting sqref="Z91">
    <cfRule type="expression" dxfId="1066" priority="54" stopIfTrue="1">
      <formula>AND(AA91+AC91=0,Z91&lt;&gt;0)</formula>
    </cfRule>
    <cfRule type="cellIs" dxfId="1065" priority="55" stopIfTrue="1" operator="notEqual">
      <formula>AA91+AC91</formula>
    </cfRule>
  </conditionalFormatting>
  <conditionalFormatting sqref="H91">
    <cfRule type="cellIs" dxfId="1064" priority="52" stopIfTrue="1" operator="notEqual">
      <formula>SUM(C91:G91)</formula>
    </cfRule>
  </conditionalFormatting>
  <conditionalFormatting sqref="AF91">
    <cfRule type="cellIs" dxfId="1063" priority="51" stopIfTrue="1" operator="notEqual">
      <formula>SUM(I91:L91,O91:Q91,T91,W91,Z91,AD91:AE91)</formula>
    </cfRule>
  </conditionalFormatting>
  <conditionalFormatting sqref="AG91">
    <cfRule type="cellIs" dxfId="1062" priority="50" stopIfTrue="1" operator="notEqual">
      <formula>H91+AF91</formula>
    </cfRule>
  </conditionalFormatting>
  <conditionalFormatting sqref="C11:AA11 D12:AA27 C13 C15 C17 C19 C21 C23 C25 C27 C30 C32 C34 C36 C38 C40 C42 C44 C46 C48 C50 C52 C54 C56 C58 C61 C63 C65 C67 C70 C72 C74 C76 C78 C80 C82 C84 C86 C88 C90 C92 C94 C96 C100 C102 C104 C106 C108 C110 C112 C114 C117 C120 C122 C124 C126 C128 C130 C132 C134 C136 C138 C140 C142 C144 C146 C148 C150 C152 C154 C156 C158 C160 C162 C164 C166 C168 C170 C172 D41:AG44 D46:AG56 AB11:AG27 D29:AG39 C28:AG28">
    <cfRule type="cellIs" dxfId="1061" priority="41" stopIfTrue="1" operator="lessThan">
      <formula>0</formula>
    </cfRule>
  </conditionalFormatting>
  <conditionalFormatting sqref="W41:W44 W46:W56 W11:W39">
    <cfRule type="expression" dxfId="1060" priority="48" stopIfTrue="1">
      <formula>OR(AND(OR(U11&lt;&gt;0,V11&lt;&gt;0),W11&lt;&gt;U11+V11),AND(OR(X11&lt;&gt;0,Y11&lt;&gt;0),W11&lt;&gt;X11+Y11))</formula>
    </cfRule>
    <cfRule type="expression" dxfId="1059" priority="49" stopIfTrue="1">
      <formula>OR(AND(U11+V11=0,W11&lt;&gt;0),AND(X11+Y11=0,W11&lt;&gt;0))</formula>
    </cfRule>
  </conditionalFormatting>
  <conditionalFormatting sqref="L41:L44 L46:L56 L11:L39">
    <cfRule type="expression" dxfId="1058" priority="46" stopIfTrue="1">
      <formula>AND(M11+N11=0,L11&lt;&gt;0)</formula>
    </cfRule>
    <cfRule type="cellIs" dxfId="1057" priority="47" stopIfTrue="1" operator="notEqual">
      <formula>M11+N11</formula>
    </cfRule>
  </conditionalFormatting>
  <conditionalFormatting sqref="Q41:Q44 Q46:Q56 Q11:Q39">
    <cfRule type="expression" dxfId="1056" priority="44" stopIfTrue="1">
      <formula>AND(R11+S11=0,Q11&lt;&gt;0)</formula>
    </cfRule>
    <cfRule type="cellIs" dxfId="1055" priority="45" stopIfTrue="1" operator="notEqual">
      <formula>R11+S11</formula>
    </cfRule>
  </conditionalFormatting>
  <conditionalFormatting sqref="Z41:Z44">
    <cfRule type="expression" dxfId="1054" priority="42" stopIfTrue="1">
      <formula>AND(AA41+AC41=0,Z41&lt;&gt;0)</formula>
    </cfRule>
    <cfRule type="cellIs" dxfId="1053" priority="43" stopIfTrue="1" operator="notEqual">
      <formula>AA41+AC41</formula>
    </cfRule>
  </conditionalFormatting>
  <conditionalFormatting sqref="H41:H44 H46:H56 H11:H39">
    <cfRule type="cellIs" dxfId="1052" priority="40" stopIfTrue="1" operator="notEqual">
      <formula>SUM(C11:G11)</formula>
    </cfRule>
  </conditionalFormatting>
  <conditionalFormatting sqref="AF41:AF44">
    <cfRule type="cellIs" dxfId="1051" priority="39" stopIfTrue="1" operator="notEqual">
      <formula>SUM(I41:L41,O41:Q41,T41,W41,Z41,AD41:AE41)</formula>
    </cfRule>
  </conditionalFormatting>
  <conditionalFormatting sqref="AG41:AG44">
    <cfRule type="cellIs" dxfId="1050" priority="38" stopIfTrue="1" operator="notEqual">
      <formula>H41+AF41</formula>
    </cfRule>
  </conditionalFormatting>
  <conditionalFormatting sqref="D40:AG40">
    <cfRule type="cellIs" dxfId="1049" priority="29" stopIfTrue="1" operator="lessThan">
      <formula>0</formula>
    </cfRule>
  </conditionalFormatting>
  <conditionalFormatting sqref="W40">
    <cfRule type="expression" dxfId="1048" priority="36" stopIfTrue="1">
      <formula>OR(AND(OR(U40&lt;&gt;0,V40&lt;&gt;0),W40&lt;&gt;U40+V40),AND(OR(X40&lt;&gt;0,Y40&lt;&gt;0),W40&lt;&gt;X40+Y40))</formula>
    </cfRule>
    <cfRule type="expression" dxfId="1047" priority="37" stopIfTrue="1">
      <formula>OR(AND(U40+V40=0,W40&lt;&gt;0),AND(X40+Y40=0,W40&lt;&gt;0))</formula>
    </cfRule>
  </conditionalFormatting>
  <conditionalFormatting sqref="L40">
    <cfRule type="expression" dxfId="1046" priority="34" stopIfTrue="1">
      <formula>AND(M40+N40=0,L40&lt;&gt;0)</formula>
    </cfRule>
    <cfRule type="cellIs" dxfId="1045" priority="35" stopIfTrue="1" operator="notEqual">
      <formula>M40+N40</formula>
    </cfRule>
  </conditionalFormatting>
  <conditionalFormatting sqref="Q40">
    <cfRule type="expression" dxfId="1044" priority="32" stopIfTrue="1">
      <formula>AND(R40+S40=0,Q40&lt;&gt;0)</formula>
    </cfRule>
    <cfRule type="cellIs" dxfId="1043" priority="33" stopIfTrue="1" operator="notEqual">
      <formula>R40+S40</formula>
    </cfRule>
  </conditionalFormatting>
  <conditionalFormatting sqref="Z40">
    <cfRule type="expression" dxfId="1042" priority="30" stopIfTrue="1">
      <formula>AND(AA40+AC40=0,Z40&lt;&gt;0)</formula>
    </cfRule>
    <cfRule type="cellIs" dxfId="1041" priority="31" stopIfTrue="1" operator="notEqual">
      <formula>AA40+AC40</formula>
    </cfRule>
  </conditionalFormatting>
  <conditionalFormatting sqref="H40">
    <cfRule type="cellIs" dxfId="1040" priority="28" stopIfTrue="1" operator="notEqual">
      <formula>SUM(C40:G40)</formula>
    </cfRule>
  </conditionalFormatting>
  <conditionalFormatting sqref="AF40">
    <cfRule type="cellIs" dxfId="1039" priority="27" stopIfTrue="1" operator="notEqual">
      <formula>SUM(I40:L40,O40:Q40,T40,W40,Z40,AD40:AE40)</formula>
    </cfRule>
  </conditionalFormatting>
  <conditionalFormatting sqref="AG40">
    <cfRule type="cellIs" dxfId="1038" priority="26" stopIfTrue="1" operator="notEqual">
      <formula>H40+AF40</formula>
    </cfRule>
  </conditionalFormatting>
  <conditionalFormatting sqref="D45:AG45">
    <cfRule type="cellIs" dxfId="1037" priority="17" stopIfTrue="1" operator="lessThan">
      <formula>0</formula>
    </cfRule>
  </conditionalFormatting>
  <conditionalFormatting sqref="W45">
    <cfRule type="expression" dxfId="1036" priority="24" stopIfTrue="1">
      <formula>OR(AND(OR(U45&lt;&gt;0,V45&lt;&gt;0),W45&lt;&gt;U45+V45),AND(OR(X45&lt;&gt;0,Y45&lt;&gt;0),W45&lt;&gt;X45+Y45))</formula>
    </cfRule>
    <cfRule type="expression" dxfId="1035" priority="25" stopIfTrue="1">
      <formula>OR(AND(U45+V45=0,W45&lt;&gt;0),AND(X45+Y45=0,W45&lt;&gt;0))</formula>
    </cfRule>
  </conditionalFormatting>
  <conditionalFormatting sqref="L45">
    <cfRule type="expression" dxfId="1034" priority="22" stopIfTrue="1">
      <formula>AND(M45+N45=0,L45&lt;&gt;0)</formula>
    </cfRule>
    <cfRule type="cellIs" dxfId="1033" priority="23" stopIfTrue="1" operator="notEqual">
      <formula>M45+N45</formula>
    </cfRule>
  </conditionalFormatting>
  <conditionalFormatting sqref="Q45">
    <cfRule type="expression" dxfId="1032" priority="20" stopIfTrue="1">
      <formula>AND(R45+S45=0,Q45&lt;&gt;0)</formula>
    </cfRule>
    <cfRule type="cellIs" dxfId="1031" priority="21" stopIfTrue="1" operator="notEqual">
      <formula>R45+S45</formula>
    </cfRule>
  </conditionalFormatting>
  <conditionalFormatting sqref="Z45">
    <cfRule type="expression" dxfId="1030" priority="18" stopIfTrue="1">
      <formula>AND(AA45+AC45=0,Z45&lt;&gt;0)</formula>
    </cfRule>
    <cfRule type="cellIs" dxfId="1029" priority="19" stopIfTrue="1" operator="notEqual">
      <formula>AA45+AC45</formula>
    </cfRule>
  </conditionalFormatting>
  <conditionalFormatting sqref="H45">
    <cfRule type="cellIs" dxfId="1028" priority="16" stopIfTrue="1" operator="notEqual">
      <formula>SUM(C45:G45)</formula>
    </cfRule>
  </conditionalFormatting>
  <conditionalFormatting sqref="AF45">
    <cfRule type="cellIs" dxfId="1027" priority="15" stopIfTrue="1" operator="notEqual">
      <formula>SUM(I45:L45,O45:Q45,T45,W45,Z45,AD45:AE45)</formula>
    </cfRule>
  </conditionalFormatting>
  <conditionalFormatting sqref="AG45">
    <cfRule type="cellIs" dxfId="1026" priority="14" stopIfTrue="1" operator="notEqual">
      <formula>H45+AF45</formula>
    </cfRule>
  </conditionalFormatting>
  <conditionalFormatting sqref="D152:AG161">
    <cfRule type="cellIs" dxfId="1025" priority="7" stopIfTrue="1" operator="lessThan">
      <formula>0</formula>
    </cfRule>
  </conditionalFormatting>
  <conditionalFormatting sqref="W152:W161">
    <cfRule type="expression" dxfId="1024" priority="12" stopIfTrue="1">
      <formula>OR(AND(OR(U152&lt;&gt;0,V152&lt;&gt;0),W152&lt;&gt;U152+V152),AND(OR(X152&lt;&gt;0,Y152&lt;&gt;0),W152&lt;&gt;X152+Y152))</formula>
    </cfRule>
    <cfRule type="expression" dxfId="1023" priority="13" stopIfTrue="1">
      <formula>OR(AND(U152+V152=0,W152&lt;&gt;0),AND(X152+Y152=0,W152&lt;&gt;0))</formula>
    </cfRule>
  </conditionalFormatting>
  <conditionalFormatting sqref="Q152:Q161 L152:L161">
    <cfRule type="expression" dxfId="1022" priority="10" stopIfTrue="1">
      <formula>AND(M152+N152=0,L152&lt;&gt;0)</formula>
    </cfRule>
    <cfRule type="cellIs" dxfId="1021" priority="11" stopIfTrue="1" operator="notEqual">
      <formula>M152+N152</formula>
    </cfRule>
  </conditionalFormatting>
  <conditionalFormatting sqref="Z152:Z161">
    <cfRule type="expression" dxfId="1020" priority="8" stopIfTrue="1">
      <formula>AND(AA152+AC152=0,Z152&lt;&gt;0)</formula>
    </cfRule>
    <cfRule type="cellIs" dxfId="1019" priority="9" stopIfTrue="1" operator="notEqual">
      <formula>AA152+AC152</formula>
    </cfRule>
  </conditionalFormatting>
  <conditionalFormatting sqref="H152:H161">
    <cfRule type="cellIs" dxfId="1018" priority="6" stopIfTrue="1" operator="notEqual">
      <formula>SUM(C152:G152)</formula>
    </cfRule>
  </conditionalFormatting>
  <conditionalFormatting sqref="AF152:AF161">
    <cfRule type="cellIs" dxfId="1017" priority="5" stopIfTrue="1" operator="notEqual">
      <formula>SUM(I152:L152,O152:Q152,T152,W152,Z152,AD152:AE152)</formula>
    </cfRule>
  </conditionalFormatting>
  <conditionalFormatting sqref="AG152:AG161">
    <cfRule type="cellIs" dxfId="1016" priority="4" stopIfTrue="1" operator="notEqual">
      <formula>H152+AF152</formula>
    </cfRule>
  </conditionalFormatting>
  <conditionalFormatting sqref="I181">
    <cfRule type="cellIs" dxfId="1015" priority="1" stopIfTrue="1" operator="notEqual">
      <formula>"OK"</formula>
    </cfRule>
  </conditionalFormatting>
  <dataValidations count="1">
    <dataValidation type="decimal" operator="greaterThanOrEqual" allowBlank="1" showErrorMessage="1" errorTitle="Input error" error="Numbers only!" sqref="C8:AG174" xr:uid="{00000000-0002-0000-0300-000000000000}">
      <formula1>-10000000</formula1>
    </dataValidation>
  </dataValidations>
  <printOptions horizontalCentered="1" verticalCentered="1"/>
  <pageMargins left="0" right="0" top="0" bottom="0" header="0.19685039370078741" footer="0.19685039370078741"/>
  <pageSetup paperSize="9" scale="23" firstPageNumber="6" orientation="landscape" r:id="rId1"/>
  <headerFooter alignWithMargins="0">
    <oddHeader>&amp;A</oddHeader>
    <oddFooter>Page &amp;P</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05">
    <pageSetUpPr fitToPage="1"/>
  </sheetPr>
  <dimension ref="A1:EE1000"/>
  <sheetViews>
    <sheetView zoomScaleNormal="100" workbookViewId="0">
      <pane xSplit="2" ySplit="7" topLeftCell="C8" activePane="bottomRight" state="frozen"/>
      <selection activeCell="ED11" sqref="ED11"/>
      <selection pane="topRight" activeCell="ED11" sqref="ED11"/>
      <selection pane="bottomLeft" activeCell="ED11" sqref="ED11"/>
      <selection pane="bottomRight" activeCell="C8" sqref="C8"/>
    </sheetView>
  </sheetViews>
  <sheetFormatPr defaultColWidth="9.140625" defaultRowHeight="12.75" x14ac:dyDescent="0.2"/>
  <cols>
    <col min="1" max="1" width="31.28515625" style="2" customWidth="1"/>
    <col min="2" max="2" width="3.7109375" style="2" customWidth="1"/>
    <col min="3" max="33" width="9.28515625" style="2" customWidth="1"/>
    <col min="34" max="34" width="2" style="2" bestFit="1" customWidth="1"/>
    <col min="35" max="35" width="76.140625" style="2" customWidth="1"/>
    <col min="36" max="36" width="4.140625" style="141" customWidth="1"/>
    <col min="37" max="37" width="13.42578125" style="141" customWidth="1"/>
    <col min="38" max="44" width="9.140625" style="2"/>
    <col min="45" max="45" width="3.5703125" style="2" hidden="1" customWidth="1"/>
    <col min="46" max="46" width="13.42578125" style="2" hidden="1" customWidth="1"/>
    <col min="47" max="47" width="13.42578125" style="2" bestFit="1" customWidth="1"/>
    <col min="48" max="122" width="9.140625" style="2"/>
    <col min="123" max="135" width="9.140625" style="2" hidden="1" customWidth="1"/>
    <col min="136" max="16384" width="9.140625" style="2"/>
  </cols>
  <sheetData>
    <row r="1" spans="1:135" x14ac:dyDescent="0.2">
      <c r="A1" s="1" t="s">
        <v>611</v>
      </c>
      <c r="B1" s="1"/>
      <c r="C1" s="1"/>
      <c r="AS1" s="141"/>
      <c r="AT1" s="141"/>
    </row>
    <row r="2" spans="1:135" x14ac:dyDescent="0.2">
      <c r="A2" s="24" t="str">
        <f>IF('Table 1'!D2=0,"",'Table 1'!D2)</f>
        <v>Netherlands</v>
      </c>
      <c r="B2" s="24"/>
      <c r="AS2" s="141"/>
      <c r="AT2" s="141"/>
    </row>
    <row r="3" spans="1:135" x14ac:dyDescent="0.2">
      <c r="A3" s="24" t="str">
        <f>IF('Table 1'!D3=0,"",'Table 1'!D3 &amp; " " &amp; QuestYear)</f>
        <v>September 2026</v>
      </c>
      <c r="B3" s="24"/>
      <c r="C3" s="26"/>
      <c r="D3" s="26"/>
      <c r="E3" s="26"/>
      <c r="F3" s="26"/>
      <c r="G3" s="26"/>
      <c r="H3" s="26"/>
      <c r="I3" s="26"/>
      <c r="J3" s="26"/>
      <c r="K3" s="26"/>
      <c r="L3" s="26"/>
      <c r="M3" s="26"/>
      <c r="N3" s="26"/>
      <c r="O3" s="26"/>
      <c r="P3" s="26"/>
      <c r="Q3" s="26"/>
      <c r="R3" s="26"/>
      <c r="S3" s="26"/>
      <c r="T3" s="26"/>
      <c r="AS3" s="141"/>
      <c r="AT3" s="303" t="s">
        <v>351</v>
      </c>
    </row>
    <row r="4" spans="1:135" ht="13.5" thickBot="1" x14ac:dyDescent="0.25">
      <c r="A4" s="5" t="s">
        <v>182</v>
      </c>
      <c r="B4" s="5"/>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25" t="s">
        <v>108</v>
      </c>
      <c r="AS4" s="141"/>
      <c r="AT4" s="338" t="s">
        <v>571</v>
      </c>
    </row>
    <row r="5" spans="1:135" ht="12.75" customHeight="1" x14ac:dyDescent="0.2">
      <c r="A5" s="745"/>
      <c r="B5" s="739"/>
      <c r="C5" s="1143" t="s">
        <v>656</v>
      </c>
      <c r="D5" s="1143" t="s">
        <v>657</v>
      </c>
      <c r="E5" s="1143" t="s">
        <v>647</v>
      </c>
      <c r="F5" s="1137" t="s">
        <v>666</v>
      </c>
      <c r="G5" s="1137" t="s">
        <v>885</v>
      </c>
      <c r="H5" s="1147" t="s">
        <v>886</v>
      </c>
      <c r="I5" s="1135" t="s">
        <v>8</v>
      </c>
      <c r="J5" s="1143" t="s">
        <v>9</v>
      </c>
      <c r="K5" s="1137" t="s">
        <v>10</v>
      </c>
      <c r="L5" s="1134" t="s">
        <v>659</v>
      </c>
      <c r="M5" s="740"/>
      <c r="N5" s="741"/>
      <c r="O5" s="1135" t="s">
        <v>660</v>
      </c>
      <c r="P5" s="1143" t="s">
        <v>661</v>
      </c>
      <c r="Q5" s="1146" t="s">
        <v>668</v>
      </c>
      <c r="R5" s="742"/>
      <c r="S5" s="743"/>
      <c r="T5" s="1141" t="s">
        <v>664</v>
      </c>
      <c r="U5" s="744"/>
      <c r="V5" s="741"/>
      <c r="W5" s="1142" t="s">
        <v>670</v>
      </c>
      <c r="X5" s="741"/>
      <c r="Y5" s="741"/>
      <c r="Z5" s="1134" t="s">
        <v>628</v>
      </c>
      <c r="AA5" s="741"/>
      <c r="AB5" s="741"/>
      <c r="AC5" s="741"/>
      <c r="AD5" s="1135" t="s">
        <v>629</v>
      </c>
      <c r="AE5" s="1137" t="s">
        <v>630</v>
      </c>
      <c r="AF5" s="1136" t="s">
        <v>631</v>
      </c>
      <c r="AG5" s="1144" t="s">
        <v>679</v>
      </c>
      <c r="AI5" s="1139" t="s">
        <v>350</v>
      </c>
      <c r="AS5" s="141"/>
      <c r="AT5" s="1"/>
    </row>
    <row r="6" spans="1:135" s="27" customFormat="1" ht="56.25" x14ac:dyDescent="0.25">
      <c r="A6" s="746"/>
      <c r="B6" s="171"/>
      <c r="C6" s="1125"/>
      <c r="D6" s="1125"/>
      <c r="E6" s="1125"/>
      <c r="F6" s="1125"/>
      <c r="G6" s="1138"/>
      <c r="H6" s="1148"/>
      <c r="I6" s="1123"/>
      <c r="J6" s="1125"/>
      <c r="K6" s="1138"/>
      <c r="L6" s="1115"/>
      <c r="M6" s="184" t="s">
        <v>623</v>
      </c>
      <c r="N6" s="195" t="s">
        <v>626</v>
      </c>
      <c r="O6" s="1123"/>
      <c r="P6" s="1125"/>
      <c r="Q6" s="1117"/>
      <c r="R6" s="186" t="s">
        <v>662</v>
      </c>
      <c r="S6" s="187" t="s">
        <v>663</v>
      </c>
      <c r="T6" s="1127"/>
      <c r="U6" s="188" t="s">
        <v>627</v>
      </c>
      <c r="V6" s="189" t="s">
        <v>669</v>
      </c>
      <c r="W6" s="1119"/>
      <c r="X6" s="184" t="s">
        <v>624</v>
      </c>
      <c r="Y6" s="196" t="s">
        <v>671</v>
      </c>
      <c r="Z6" s="1115"/>
      <c r="AA6" s="187" t="s">
        <v>674</v>
      </c>
      <c r="AB6" s="186" t="s">
        <v>1411</v>
      </c>
      <c r="AC6" s="196" t="s">
        <v>872</v>
      </c>
      <c r="AD6" s="1123"/>
      <c r="AE6" s="1138"/>
      <c r="AF6" s="1121"/>
      <c r="AG6" s="1145"/>
      <c r="AI6" s="1140"/>
      <c r="AS6" s="1"/>
      <c r="AT6" s="1"/>
      <c r="DS6" s="655" t="s">
        <v>1121</v>
      </c>
      <c r="DT6" s="644"/>
      <c r="DU6" s="653"/>
      <c r="DV6" s="653"/>
      <c r="DW6" s="653"/>
      <c r="DX6" s="653"/>
      <c r="DY6" s="653"/>
      <c r="DZ6" s="653"/>
      <c r="EA6" s="653"/>
      <c r="EB6" s="653"/>
      <c r="EC6" s="653"/>
      <c r="ED6" s="653"/>
    </row>
    <row r="7" spans="1:135" s="27" customFormat="1" ht="12.75" customHeight="1" x14ac:dyDescent="0.2">
      <c r="A7" s="747"/>
      <c r="B7" s="77"/>
      <c r="C7" s="87" t="s">
        <v>152</v>
      </c>
      <c r="D7" s="86" t="s">
        <v>153</v>
      </c>
      <c r="E7" s="86" t="s">
        <v>154</v>
      </c>
      <c r="F7" s="86" t="s">
        <v>155</v>
      </c>
      <c r="G7" s="86" t="s">
        <v>156</v>
      </c>
      <c r="H7" s="93" t="s">
        <v>157</v>
      </c>
      <c r="I7" s="87" t="s">
        <v>158</v>
      </c>
      <c r="J7" s="87" t="s">
        <v>159</v>
      </c>
      <c r="K7" s="96" t="s">
        <v>160</v>
      </c>
      <c r="L7" s="179" t="s">
        <v>161</v>
      </c>
      <c r="M7" s="86" t="s">
        <v>162</v>
      </c>
      <c r="N7" s="89" t="s">
        <v>163</v>
      </c>
      <c r="O7" s="95" t="s">
        <v>164</v>
      </c>
      <c r="P7" s="177" t="s">
        <v>165</v>
      </c>
      <c r="Q7" s="180" t="s">
        <v>166</v>
      </c>
      <c r="R7" s="86" t="s">
        <v>167</v>
      </c>
      <c r="S7" s="86" t="s">
        <v>168</v>
      </c>
      <c r="T7" s="94" t="s">
        <v>169</v>
      </c>
      <c r="U7" s="87" t="s">
        <v>170</v>
      </c>
      <c r="V7" s="101" t="s">
        <v>171</v>
      </c>
      <c r="W7" s="176" t="s">
        <v>172</v>
      </c>
      <c r="X7" s="177" t="s">
        <v>173</v>
      </c>
      <c r="Y7" s="89" t="s">
        <v>174</v>
      </c>
      <c r="Z7" s="179" t="s">
        <v>175</v>
      </c>
      <c r="AA7" s="177" t="s">
        <v>176</v>
      </c>
      <c r="AB7" s="177" t="s">
        <v>177</v>
      </c>
      <c r="AC7" s="89" t="s">
        <v>181</v>
      </c>
      <c r="AD7" s="178" t="s">
        <v>417</v>
      </c>
      <c r="AE7" s="89" t="s">
        <v>672</v>
      </c>
      <c r="AF7" s="90" t="s">
        <v>678</v>
      </c>
      <c r="AG7" s="738" t="s">
        <v>499</v>
      </c>
      <c r="AI7" s="90" t="s">
        <v>680</v>
      </c>
      <c r="AS7" s="142" t="s">
        <v>553</v>
      </c>
      <c r="AT7" s="142"/>
      <c r="DS7" s="654" t="s">
        <v>1122</v>
      </c>
      <c r="DT7" s="654" t="s">
        <v>1113</v>
      </c>
      <c r="DU7" s="654" t="s">
        <v>1123</v>
      </c>
      <c r="DV7" s="654" t="s">
        <v>1124</v>
      </c>
      <c r="DW7" s="654" t="s">
        <v>1125</v>
      </c>
      <c r="DX7" s="654" t="s">
        <v>1126</v>
      </c>
      <c r="DY7" s="654" t="s">
        <v>415</v>
      </c>
      <c r="DZ7" s="654" t="s">
        <v>1127</v>
      </c>
      <c r="EA7" s="654" t="s">
        <v>1128</v>
      </c>
      <c r="EB7" s="654" t="s">
        <v>1129</v>
      </c>
      <c r="EC7" s="654" t="s">
        <v>1130</v>
      </c>
      <c r="ED7" s="654" t="s">
        <v>1131</v>
      </c>
      <c r="EE7" s="654" t="s">
        <v>1244</v>
      </c>
    </row>
    <row r="8" spans="1:135" x14ac:dyDescent="0.2">
      <c r="A8" s="749" t="s">
        <v>930</v>
      </c>
      <c r="B8" s="145">
        <v>1</v>
      </c>
      <c r="C8" s="770">
        <v>0</v>
      </c>
      <c r="D8" s="770">
        <v>0</v>
      </c>
      <c r="E8" s="770">
        <v>0</v>
      </c>
      <c r="F8" s="770">
        <v>0</v>
      </c>
      <c r="G8" s="770">
        <v>0</v>
      </c>
      <c r="H8" s="786">
        <f t="shared" ref="H8:H40" si="0">ROUND(SUM(C8:G8),3)</f>
        <v>0</v>
      </c>
      <c r="I8" s="776">
        <v>0</v>
      </c>
      <c r="J8" s="776">
        <v>0</v>
      </c>
      <c r="K8" s="801">
        <v>3.665</v>
      </c>
      <c r="L8" s="802">
        <v>5.6769999999999996</v>
      </c>
      <c r="M8" s="803">
        <v>0</v>
      </c>
      <c r="N8" s="777">
        <v>5.6769999999999996</v>
      </c>
      <c r="O8" s="776">
        <v>0</v>
      </c>
      <c r="P8" s="803">
        <v>0</v>
      </c>
      <c r="Q8" s="781">
        <v>0</v>
      </c>
      <c r="R8" s="803">
        <v>0</v>
      </c>
      <c r="S8" s="778">
        <v>0</v>
      </c>
      <c r="T8" s="778">
        <v>0</v>
      </c>
      <c r="U8" s="804">
        <v>0</v>
      </c>
      <c r="V8" s="772">
        <v>0</v>
      </c>
      <c r="W8" s="783">
        <v>0</v>
      </c>
      <c r="X8" s="803">
        <v>0</v>
      </c>
      <c r="Y8" s="778">
        <v>0</v>
      </c>
      <c r="Z8" s="802">
        <v>0</v>
      </c>
      <c r="AA8" s="803">
        <v>0</v>
      </c>
      <c r="AB8" s="803">
        <v>0</v>
      </c>
      <c r="AC8" s="778">
        <v>0</v>
      </c>
      <c r="AD8" s="782">
        <v>0</v>
      </c>
      <c r="AE8" s="803">
        <v>2.9000000000000001E-2</v>
      </c>
      <c r="AF8" s="771">
        <f t="shared" ref="AF8:AF36" si="1">ROUND(SUM(I8:K8,L8,O8:Q8,T8,W8,Z8,AD8:AE8),3)</f>
        <v>9.3710000000000004</v>
      </c>
      <c r="AG8" s="805">
        <f t="shared" ref="AG8:AG71" si="2">ROUND(SUM(H8,AF8),3)</f>
        <v>9.3710000000000004</v>
      </c>
      <c r="AH8" s="135">
        <f>IF(ROUND(H8-SUM(C8:G8),3)=0,0,1)+IF(ROUND(AF8-SUM(I8:L8,O8:Q8,T8,W8,Z8,AD8:AE8),3)=0,0,1)+IF(ROUND(AG8-SUM(AF8,H8),3)=0,0,1)</f>
        <v>0</v>
      </c>
      <c r="AI8" s="132" t="str">
        <f t="shared" ref="AI8" si="3">IF(AH8=0," ",IF(AH8=1,"A total is not equal to the sum of its components: ",AH8&amp;" totals are not equal to the sum of their components: "))&amp;IF(AH8=0,"",IF(H8-SUM(C8:G8)=0,"","Total (column F). ")&amp;IF(AF8-SUM(I8:L8,O8:Q8,T8,W8,Z8,AD8:AE8)=0,"","Total products. ")&amp;IF(AG8-SUM(AF8,H8)=0,"","Total oil."))</f>
        <v xml:space="preserve"> </v>
      </c>
      <c r="AS8" s="130" t="s">
        <v>932</v>
      </c>
      <c r="AT8" s="130" t="s">
        <v>931</v>
      </c>
      <c r="DS8" s="647" t="str">
        <f>VLOOKUP(CountryUser, Param!$C$9:$E$67, 3, 0)</f>
        <v>NL</v>
      </c>
      <c r="DT8" s="647" t="s">
        <v>1132</v>
      </c>
      <c r="DU8" s="647" t="s">
        <v>571</v>
      </c>
      <c r="DV8" s="647" t="s">
        <v>1134</v>
      </c>
      <c r="DW8" s="647" t="s">
        <v>1134</v>
      </c>
      <c r="DX8" s="647" t="s">
        <v>1134</v>
      </c>
      <c r="DY8" s="647" t="s">
        <v>1134</v>
      </c>
      <c r="DZ8" s="647" t="s">
        <v>1134</v>
      </c>
      <c r="EA8" s="647" t="s">
        <v>932</v>
      </c>
      <c r="EB8" s="647" t="s">
        <v>1135</v>
      </c>
      <c r="EC8" s="647" t="s">
        <v>1134</v>
      </c>
      <c r="ED8" s="647" t="s">
        <v>1136</v>
      </c>
      <c r="EE8" s="647" t="str">
        <f>QuestYear&amp;"-"&amp;TEXT(MATCH(FirstMonth, Param!C71:C82,0), "00")</f>
        <v>2026-09</v>
      </c>
    </row>
    <row r="9" spans="1:135" x14ac:dyDescent="0.2">
      <c r="A9" s="749" t="s">
        <v>12</v>
      </c>
      <c r="B9" s="145">
        <v>2</v>
      </c>
      <c r="C9" s="770">
        <v>0</v>
      </c>
      <c r="D9" s="770">
        <v>0</v>
      </c>
      <c r="E9" s="770">
        <v>0</v>
      </c>
      <c r="F9" s="770">
        <v>0</v>
      </c>
      <c r="G9" s="770">
        <v>0</v>
      </c>
      <c r="H9" s="786">
        <f t="shared" si="0"/>
        <v>0</v>
      </c>
      <c r="I9" s="776">
        <v>0</v>
      </c>
      <c r="J9" s="776">
        <v>0</v>
      </c>
      <c r="K9" s="801">
        <v>0</v>
      </c>
      <c r="L9" s="802">
        <v>0</v>
      </c>
      <c r="M9" s="803">
        <v>0</v>
      </c>
      <c r="N9" s="777">
        <v>0</v>
      </c>
      <c r="O9" s="776">
        <v>0</v>
      </c>
      <c r="P9" s="803">
        <v>0</v>
      </c>
      <c r="Q9" s="781">
        <v>0</v>
      </c>
      <c r="R9" s="803">
        <v>0</v>
      </c>
      <c r="S9" s="778">
        <v>0</v>
      </c>
      <c r="T9" s="778">
        <v>0</v>
      </c>
      <c r="U9" s="804">
        <v>0</v>
      </c>
      <c r="V9" s="772">
        <v>0</v>
      </c>
      <c r="W9" s="783">
        <v>0</v>
      </c>
      <c r="X9" s="803">
        <v>0</v>
      </c>
      <c r="Y9" s="778">
        <v>0</v>
      </c>
      <c r="Z9" s="802">
        <v>0</v>
      </c>
      <c r="AA9" s="803">
        <v>0</v>
      </c>
      <c r="AB9" s="803">
        <v>0</v>
      </c>
      <c r="AC9" s="778">
        <v>0</v>
      </c>
      <c r="AD9" s="782">
        <v>0</v>
      </c>
      <c r="AE9" s="803">
        <v>7.8E-2</v>
      </c>
      <c r="AF9" s="771">
        <f t="shared" si="1"/>
        <v>7.8E-2</v>
      </c>
      <c r="AG9" s="805">
        <f t="shared" si="2"/>
        <v>7.8E-2</v>
      </c>
      <c r="AH9" s="135">
        <f t="shared" ref="AH9:AH74" si="4">IF(ROUND(H9-SUM(C9:G9),3)=0,0,1)+IF(ROUND(AF9-SUM(I9:L9,O9:Q9,T9,W9,Z9,AD9:AE9),3)=0,0,1)+IF(ROUND(AG9-SUM(AF9,H9),3)=0,0,1)</f>
        <v>0</v>
      </c>
      <c r="AI9" s="132" t="str">
        <f t="shared" ref="AI9:AI74" si="5">IF(AH9=0," ",IF(AH9=1,"A total is not equal to the sum of its components: ",AH9&amp;" totals are not equal to the sum of their components: "))&amp;IF(AH9=0,"",IF(H9-SUM(C9:G9)=0,"","Total (column F). ")&amp;IF(AF9-SUM(I9:L9,O9:Q9,T9,W9,Z9,AD9:AE9)=0,"","Total products. ")&amp;IF(AG9-SUM(AF9,H9)=0,"","Total oil."))</f>
        <v xml:space="preserve"> </v>
      </c>
      <c r="AS9" s="139" t="s">
        <v>419</v>
      </c>
      <c r="AT9" s="139" t="s">
        <v>420</v>
      </c>
      <c r="DS9" s="304"/>
      <c r="DT9" s="304"/>
      <c r="DU9" s="647" t="s">
        <v>571</v>
      </c>
      <c r="DV9" s="647" t="s">
        <v>1134</v>
      </c>
      <c r="DW9" s="647" t="s">
        <v>1134</v>
      </c>
      <c r="DX9" s="647" t="s">
        <v>1134</v>
      </c>
      <c r="DY9" s="647" t="s">
        <v>1134</v>
      </c>
      <c r="DZ9" s="647" t="s">
        <v>1134</v>
      </c>
      <c r="EA9" s="647" t="s">
        <v>419</v>
      </c>
      <c r="EB9" s="647" t="s">
        <v>1135</v>
      </c>
      <c r="EC9" s="647" t="s">
        <v>1134</v>
      </c>
      <c r="ED9" s="647" t="s">
        <v>1136</v>
      </c>
    </row>
    <row r="10" spans="1:135" x14ac:dyDescent="0.2">
      <c r="A10" s="749" t="s">
        <v>953</v>
      </c>
      <c r="B10" s="145">
        <v>3</v>
      </c>
      <c r="C10" s="770">
        <v>0</v>
      </c>
      <c r="D10" s="770">
        <v>0</v>
      </c>
      <c r="E10" s="770">
        <v>0</v>
      </c>
      <c r="F10" s="770">
        <v>0</v>
      </c>
      <c r="G10" s="770">
        <v>0</v>
      </c>
      <c r="H10" s="786">
        <f t="shared" si="0"/>
        <v>0</v>
      </c>
      <c r="I10" s="776">
        <v>0</v>
      </c>
      <c r="J10" s="776">
        <v>0</v>
      </c>
      <c r="K10" s="801">
        <v>0</v>
      </c>
      <c r="L10" s="802">
        <v>0</v>
      </c>
      <c r="M10" s="803">
        <v>0</v>
      </c>
      <c r="N10" s="777">
        <v>0</v>
      </c>
      <c r="O10" s="776">
        <v>0</v>
      </c>
      <c r="P10" s="803">
        <v>0</v>
      </c>
      <c r="Q10" s="781">
        <v>0</v>
      </c>
      <c r="R10" s="803">
        <v>0</v>
      </c>
      <c r="S10" s="778">
        <v>0</v>
      </c>
      <c r="T10" s="778">
        <v>0</v>
      </c>
      <c r="U10" s="804">
        <v>0</v>
      </c>
      <c r="V10" s="772">
        <v>0</v>
      </c>
      <c r="W10" s="783">
        <v>0</v>
      </c>
      <c r="X10" s="803">
        <v>0</v>
      </c>
      <c r="Y10" s="778">
        <v>0</v>
      </c>
      <c r="Z10" s="802">
        <v>0</v>
      </c>
      <c r="AA10" s="803">
        <v>0</v>
      </c>
      <c r="AB10" s="803">
        <v>0</v>
      </c>
      <c r="AC10" s="778">
        <v>0</v>
      </c>
      <c r="AD10" s="782">
        <v>0</v>
      </c>
      <c r="AE10" s="803">
        <v>0</v>
      </c>
      <c r="AF10" s="771">
        <f t="shared" si="1"/>
        <v>0</v>
      </c>
      <c r="AG10" s="805">
        <f t="shared" si="2"/>
        <v>0</v>
      </c>
      <c r="AH10" s="135">
        <f t="shared" si="4"/>
        <v>0</v>
      </c>
      <c r="AI10" s="132" t="str">
        <f t="shared" si="5"/>
        <v xml:space="preserve"> </v>
      </c>
      <c r="AS10" s="139" t="s">
        <v>678</v>
      </c>
      <c r="AT10" s="139" t="s">
        <v>1015</v>
      </c>
      <c r="DS10" s="304"/>
      <c r="DT10" s="304"/>
      <c r="DU10" s="647" t="s">
        <v>571</v>
      </c>
      <c r="DV10" s="647" t="s">
        <v>1134</v>
      </c>
      <c r="DW10" s="647" t="s">
        <v>1134</v>
      </c>
      <c r="DX10" s="647" t="s">
        <v>1134</v>
      </c>
      <c r="DY10" s="647" t="s">
        <v>1134</v>
      </c>
      <c r="DZ10" s="647" t="s">
        <v>1134</v>
      </c>
      <c r="EA10" s="647" t="s">
        <v>678</v>
      </c>
      <c r="EB10" s="647" t="s">
        <v>1135</v>
      </c>
      <c r="EC10" s="647" t="s">
        <v>1134</v>
      </c>
      <c r="ED10" s="647" t="s">
        <v>1136</v>
      </c>
    </row>
    <row r="11" spans="1:135" x14ac:dyDescent="0.2">
      <c r="A11" s="749" t="s">
        <v>178</v>
      </c>
      <c r="B11" s="145">
        <v>4</v>
      </c>
      <c r="C11" s="770">
        <v>0</v>
      </c>
      <c r="D11" s="770">
        <v>0</v>
      </c>
      <c r="E11" s="770">
        <v>0</v>
      </c>
      <c r="F11" s="770">
        <v>0</v>
      </c>
      <c r="G11" s="770">
        <v>0</v>
      </c>
      <c r="H11" s="786">
        <f t="shared" si="0"/>
        <v>0</v>
      </c>
      <c r="I11" s="776">
        <v>0</v>
      </c>
      <c r="J11" s="776">
        <v>0</v>
      </c>
      <c r="K11" s="801">
        <v>76.480999999999995</v>
      </c>
      <c r="L11" s="802">
        <v>118.464</v>
      </c>
      <c r="M11" s="803">
        <v>0</v>
      </c>
      <c r="N11" s="777">
        <v>118.464</v>
      </c>
      <c r="O11" s="776">
        <v>0</v>
      </c>
      <c r="P11" s="803">
        <v>0</v>
      </c>
      <c r="Q11" s="781">
        <v>0</v>
      </c>
      <c r="R11" s="803">
        <v>0</v>
      </c>
      <c r="S11" s="778">
        <v>0</v>
      </c>
      <c r="T11" s="778">
        <v>0</v>
      </c>
      <c r="U11" s="804">
        <v>0</v>
      </c>
      <c r="V11" s="772">
        <v>0</v>
      </c>
      <c r="W11" s="783">
        <v>0</v>
      </c>
      <c r="X11" s="803">
        <v>0</v>
      </c>
      <c r="Y11" s="778">
        <v>0</v>
      </c>
      <c r="Z11" s="802">
        <v>0</v>
      </c>
      <c r="AA11" s="803">
        <v>0</v>
      </c>
      <c r="AB11" s="803">
        <v>0</v>
      </c>
      <c r="AC11" s="778">
        <v>0</v>
      </c>
      <c r="AD11" s="782">
        <v>0</v>
      </c>
      <c r="AE11" s="803">
        <v>0.36799999999999999</v>
      </c>
      <c r="AF11" s="771">
        <f t="shared" si="1"/>
        <v>195.31299999999999</v>
      </c>
      <c r="AG11" s="805">
        <f t="shared" si="2"/>
        <v>195.31299999999999</v>
      </c>
      <c r="AH11" s="135">
        <f t="shared" si="4"/>
        <v>0</v>
      </c>
      <c r="AI11" s="132" t="str">
        <f t="shared" si="5"/>
        <v xml:space="preserve"> </v>
      </c>
      <c r="AS11" s="139" t="s">
        <v>421</v>
      </c>
      <c r="AT11" s="139" t="s">
        <v>422</v>
      </c>
      <c r="DS11" s="304"/>
      <c r="DT11" s="304"/>
      <c r="DU11" s="647" t="s">
        <v>571</v>
      </c>
      <c r="DV11" s="647" t="s">
        <v>1134</v>
      </c>
      <c r="DW11" s="647" t="s">
        <v>1134</v>
      </c>
      <c r="DX11" s="647" t="s">
        <v>1134</v>
      </c>
      <c r="DY11" s="647" t="s">
        <v>1134</v>
      </c>
      <c r="DZ11" s="647" t="s">
        <v>1134</v>
      </c>
      <c r="EA11" s="647" t="s">
        <v>421</v>
      </c>
      <c r="EB11" s="647" t="s">
        <v>1135</v>
      </c>
      <c r="EC11" s="647" t="s">
        <v>1134</v>
      </c>
      <c r="ED11" s="647" t="s">
        <v>1136</v>
      </c>
    </row>
    <row r="12" spans="1:135" x14ac:dyDescent="0.2">
      <c r="A12" s="749" t="s">
        <v>13</v>
      </c>
      <c r="B12" s="145">
        <v>5</v>
      </c>
      <c r="C12" s="770">
        <v>0</v>
      </c>
      <c r="D12" s="770">
        <v>0</v>
      </c>
      <c r="E12" s="770">
        <v>0</v>
      </c>
      <c r="F12" s="770">
        <v>0</v>
      </c>
      <c r="G12" s="770">
        <v>0</v>
      </c>
      <c r="H12" s="786">
        <f t="shared" si="0"/>
        <v>0</v>
      </c>
      <c r="I12" s="776">
        <v>0</v>
      </c>
      <c r="J12" s="776">
        <v>0</v>
      </c>
      <c r="K12" s="801">
        <v>0</v>
      </c>
      <c r="L12" s="802">
        <v>0</v>
      </c>
      <c r="M12" s="803">
        <v>0</v>
      </c>
      <c r="N12" s="777">
        <v>0</v>
      </c>
      <c r="O12" s="776">
        <v>0</v>
      </c>
      <c r="P12" s="803">
        <v>0</v>
      </c>
      <c r="Q12" s="781">
        <v>0.41299999999999998</v>
      </c>
      <c r="R12" s="803">
        <v>0</v>
      </c>
      <c r="S12" s="778">
        <v>0.41299999999999998</v>
      </c>
      <c r="T12" s="778">
        <v>3.5999999999999997E-2</v>
      </c>
      <c r="U12" s="804">
        <v>0</v>
      </c>
      <c r="V12" s="772">
        <v>0</v>
      </c>
      <c r="W12" s="783">
        <v>0</v>
      </c>
      <c r="X12" s="803">
        <v>0</v>
      </c>
      <c r="Y12" s="778">
        <v>0</v>
      </c>
      <c r="Z12" s="802">
        <v>0</v>
      </c>
      <c r="AA12" s="803">
        <v>0</v>
      </c>
      <c r="AB12" s="803">
        <v>0</v>
      </c>
      <c r="AC12" s="778">
        <v>0</v>
      </c>
      <c r="AD12" s="782">
        <v>0</v>
      </c>
      <c r="AE12" s="803">
        <v>0.18</v>
      </c>
      <c r="AF12" s="771">
        <f t="shared" si="1"/>
        <v>0.629</v>
      </c>
      <c r="AG12" s="805">
        <f t="shared" si="2"/>
        <v>0.629</v>
      </c>
      <c r="AH12" s="135">
        <f t="shared" si="4"/>
        <v>0</v>
      </c>
      <c r="AI12" s="132" t="str">
        <f t="shared" si="5"/>
        <v xml:space="preserve"> </v>
      </c>
      <c r="AS12" s="139" t="s">
        <v>423</v>
      </c>
      <c r="AT12" s="139" t="s">
        <v>424</v>
      </c>
      <c r="DS12" s="304"/>
      <c r="DT12" s="304"/>
      <c r="DU12" s="647" t="s">
        <v>571</v>
      </c>
      <c r="DV12" s="647" t="s">
        <v>1134</v>
      </c>
      <c r="DW12" s="647" t="s">
        <v>1134</v>
      </c>
      <c r="DX12" s="647" t="s">
        <v>1134</v>
      </c>
      <c r="DY12" s="647" t="s">
        <v>1134</v>
      </c>
      <c r="DZ12" s="647" t="s">
        <v>1134</v>
      </c>
      <c r="EA12" s="647" t="s">
        <v>423</v>
      </c>
      <c r="EB12" s="647" t="s">
        <v>1135</v>
      </c>
      <c r="EC12" s="647" t="s">
        <v>1134</v>
      </c>
      <c r="ED12" s="647" t="s">
        <v>1136</v>
      </c>
    </row>
    <row r="13" spans="1:135" x14ac:dyDescent="0.2">
      <c r="A13" s="749" t="s">
        <v>554</v>
      </c>
      <c r="B13" s="145">
        <v>6</v>
      </c>
      <c r="C13" s="770">
        <v>0</v>
      </c>
      <c r="D13" s="770">
        <v>0</v>
      </c>
      <c r="E13" s="770">
        <v>0</v>
      </c>
      <c r="F13" s="770">
        <v>0</v>
      </c>
      <c r="G13" s="770">
        <v>0</v>
      </c>
      <c r="H13" s="786">
        <f t="shared" si="0"/>
        <v>0</v>
      </c>
      <c r="I13" s="776">
        <v>0</v>
      </c>
      <c r="J13" s="776">
        <v>0</v>
      </c>
      <c r="K13" s="801">
        <v>0</v>
      </c>
      <c r="L13" s="802">
        <v>0</v>
      </c>
      <c r="M13" s="803">
        <v>0</v>
      </c>
      <c r="N13" s="777">
        <v>0</v>
      </c>
      <c r="O13" s="776">
        <v>0</v>
      </c>
      <c r="P13" s="803">
        <v>0</v>
      </c>
      <c r="Q13" s="781">
        <v>0</v>
      </c>
      <c r="R13" s="803">
        <v>0</v>
      </c>
      <c r="S13" s="778">
        <v>0</v>
      </c>
      <c r="T13" s="778">
        <v>0</v>
      </c>
      <c r="U13" s="804">
        <v>0</v>
      </c>
      <c r="V13" s="772">
        <v>0</v>
      </c>
      <c r="W13" s="783">
        <v>0</v>
      </c>
      <c r="X13" s="803">
        <v>0</v>
      </c>
      <c r="Y13" s="778">
        <v>0</v>
      </c>
      <c r="Z13" s="802">
        <v>0</v>
      </c>
      <c r="AA13" s="803">
        <v>0</v>
      </c>
      <c r="AB13" s="803">
        <v>0</v>
      </c>
      <c r="AC13" s="778">
        <v>0</v>
      </c>
      <c r="AD13" s="782">
        <v>0</v>
      </c>
      <c r="AE13" s="803">
        <v>0.13400000000000001</v>
      </c>
      <c r="AF13" s="771">
        <f t="shared" si="1"/>
        <v>0.13400000000000001</v>
      </c>
      <c r="AG13" s="805">
        <f t="shared" si="2"/>
        <v>0.13400000000000001</v>
      </c>
      <c r="AH13" s="135">
        <f t="shared" si="4"/>
        <v>0</v>
      </c>
      <c r="AI13" s="132" t="str">
        <f t="shared" si="5"/>
        <v xml:space="preserve"> </v>
      </c>
      <c r="AS13" s="139" t="s">
        <v>501</v>
      </c>
      <c r="AT13" s="139" t="s">
        <v>502</v>
      </c>
      <c r="DS13" s="304"/>
      <c r="DT13" s="304"/>
      <c r="DU13" s="647" t="s">
        <v>571</v>
      </c>
      <c r="DV13" s="647" t="s">
        <v>1134</v>
      </c>
      <c r="DW13" s="647" t="s">
        <v>1134</v>
      </c>
      <c r="DX13" s="647" t="s">
        <v>1134</v>
      </c>
      <c r="DY13" s="647" t="s">
        <v>1134</v>
      </c>
      <c r="DZ13" s="647" t="s">
        <v>1134</v>
      </c>
      <c r="EA13" s="647" t="s">
        <v>501</v>
      </c>
      <c r="EB13" s="647" t="s">
        <v>1135</v>
      </c>
      <c r="EC13" s="647" t="s">
        <v>1134</v>
      </c>
      <c r="ED13" s="647" t="s">
        <v>1136</v>
      </c>
    </row>
    <row r="14" spans="1:135" x14ac:dyDescent="0.2">
      <c r="A14" s="749" t="s">
        <v>954</v>
      </c>
      <c r="B14" s="145">
        <v>7</v>
      </c>
      <c r="C14" s="770">
        <v>0</v>
      </c>
      <c r="D14" s="770">
        <v>0</v>
      </c>
      <c r="E14" s="770">
        <v>0</v>
      </c>
      <c r="F14" s="770">
        <v>0</v>
      </c>
      <c r="G14" s="770">
        <v>0</v>
      </c>
      <c r="H14" s="786">
        <f t="shared" si="0"/>
        <v>0</v>
      </c>
      <c r="I14" s="776">
        <v>0</v>
      </c>
      <c r="J14" s="776">
        <v>0</v>
      </c>
      <c r="K14" s="801">
        <v>0</v>
      </c>
      <c r="L14" s="802">
        <v>0</v>
      </c>
      <c r="M14" s="803">
        <v>0</v>
      </c>
      <c r="N14" s="777">
        <v>0</v>
      </c>
      <c r="O14" s="776">
        <v>0</v>
      </c>
      <c r="P14" s="803">
        <v>0</v>
      </c>
      <c r="Q14" s="781">
        <v>0</v>
      </c>
      <c r="R14" s="803">
        <v>0</v>
      </c>
      <c r="S14" s="778">
        <v>0</v>
      </c>
      <c r="T14" s="778">
        <v>0</v>
      </c>
      <c r="U14" s="804">
        <v>0</v>
      </c>
      <c r="V14" s="772">
        <v>0</v>
      </c>
      <c r="W14" s="783">
        <v>0</v>
      </c>
      <c r="X14" s="803">
        <v>0</v>
      </c>
      <c r="Y14" s="778">
        <v>0</v>
      </c>
      <c r="Z14" s="802">
        <v>0</v>
      </c>
      <c r="AA14" s="803">
        <v>0</v>
      </c>
      <c r="AB14" s="803">
        <v>0</v>
      </c>
      <c r="AC14" s="778">
        <v>0</v>
      </c>
      <c r="AD14" s="782">
        <v>0</v>
      </c>
      <c r="AE14" s="803">
        <v>4.0000000000000001E-3</v>
      </c>
      <c r="AF14" s="771">
        <f t="shared" si="1"/>
        <v>4.0000000000000001E-3</v>
      </c>
      <c r="AG14" s="805">
        <f t="shared" si="2"/>
        <v>4.0000000000000001E-3</v>
      </c>
      <c r="AH14" s="135">
        <f t="shared" si="4"/>
        <v>0</v>
      </c>
      <c r="AI14" s="132" t="str">
        <f t="shared" si="5"/>
        <v xml:space="preserve"> </v>
      </c>
      <c r="AS14" s="139" t="s">
        <v>1016</v>
      </c>
      <c r="AT14" s="139" t="s">
        <v>1017</v>
      </c>
      <c r="DS14" s="304"/>
      <c r="DT14" s="304"/>
      <c r="DU14" s="647" t="s">
        <v>571</v>
      </c>
      <c r="DV14" s="647" t="s">
        <v>1134</v>
      </c>
      <c r="DW14" s="647" t="s">
        <v>1134</v>
      </c>
      <c r="DX14" s="647" t="s">
        <v>1134</v>
      </c>
      <c r="DY14" s="647" t="s">
        <v>1134</v>
      </c>
      <c r="DZ14" s="647" t="s">
        <v>1134</v>
      </c>
      <c r="EA14" s="647" t="s">
        <v>1016</v>
      </c>
      <c r="EB14" s="647" t="s">
        <v>1135</v>
      </c>
      <c r="EC14" s="647" t="s">
        <v>1134</v>
      </c>
      <c r="ED14" s="647" t="s">
        <v>1136</v>
      </c>
    </row>
    <row r="15" spans="1:135" x14ac:dyDescent="0.2">
      <c r="A15" s="749" t="s">
        <v>14</v>
      </c>
      <c r="B15" s="145">
        <v>8</v>
      </c>
      <c r="C15" s="770">
        <v>0</v>
      </c>
      <c r="D15" s="770">
        <v>0</v>
      </c>
      <c r="E15" s="770">
        <v>0</v>
      </c>
      <c r="F15" s="770">
        <v>2E-3</v>
      </c>
      <c r="G15" s="770">
        <v>0</v>
      </c>
      <c r="H15" s="786">
        <f t="shared" si="0"/>
        <v>2E-3</v>
      </c>
      <c r="I15" s="776">
        <v>0</v>
      </c>
      <c r="J15" s="776">
        <v>0</v>
      </c>
      <c r="K15" s="801">
        <v>0</v>
      </c>
      <c r="L15" s="802">
        <v>0</v>
      </c>
      <c r="M15" s="803">
        <v>0</v>
      </c>
      <c r="N15" s="777">
        <v>0</v>
      </c>
      <c r="O15" s="776">
        <v>0</v>
      </c>
      <c r="P15" s="803">
        <v>0</v>
      </c>
      <c r="Q15" s="781">
        <v>0</v>
      </c>
      <c r="R15" s="803">
        <v>0</v>
      </c>
      <c r="S15" s="778">
        <v>0</v>
      </c>
      <c r="T15" s="778">
        <v>0</v>
      </c>
      <c r="U15" s="804">
        <v>0</v>
      </c>
      <c r="V15" s="772">
        <v>0</v>
      </c>
      <c r="W15" s="783">
        <v>0</v>
      </c>
      <c r="X15" s="803">
        <v>0</v>
      </c>
      <c r="Y15" s="778">
        <v>0</v>
      </c>
      <c r="Z15" s="802">
        <v>0</v>
      </c>
      <c r="AA15" s="803">
        <v>0</v>
      </c>
      <c r="AB15" s="803">
        <v>0</v>
      </c>
      <c r="AC15" s="778">
        <v>0</v>
      </c>
      <c r="AD15" s="782">
        <v>0</v>
      </c>
      <c r="AE15" s="803">
        <v>0.34</v>
      </c>
      <c r="AF15" s="771">
        <f t="shared" si="1"/>
        <v>0.34</v>
      </c>
      <c r="AG15" s="805">
        <f t="shared" si="2"/>
        <v>0.34200000000000003</v>
      </c>
      <c r="AH15" s="135">
        <f t="shared" si="4"/>
        <v>0</v>
      </c>
      <c r="AI15" s="132" t="str">
        <f t="shared" si="5"/>
        <v xml:space="preserve"> </v>
      </c>
      <c r="AS15" s="139" t="s">
        <v>232</v>
      </c>
      <c r="AT15" s="139" t="s">
        <v>231</v>
      </c>
      <c r="DS15" s="304"/>
      <c r="DT15" s="304"/>
      <c r="DU15" s="647" t="s">
        <v>571</v>
      </c>
      <c r="DV15" s="647" t="s">
        <v>1134</v>
      </c>
      <c r="DW15" s="647" t="s">
        <v>1134</v>
      </c>
      <c r="DX15" s="647" t="s">
        <v>1134</v>
      </c>
      <c r="DY15" s="647" t="s">
        <v>1134</v>
      </c>
      <c r="DZ15" s="647" t="s">
        <v>1134</v>
      </c>
      <c r="EA15" s="647" t="s">
        <v>232</v>
      </c>
      <c r="EB15" s="647" t="s">
        <v>1135</v>
      </c>
      <c r="EC15" s="647" t="s">
        <v>1134</v>
      </c>
      <c r="ED15" s="647" t="s">
        <v>1136</v>
      </c>
    </row>
    <row r="16" spans="1:135" x14ac:dyDescent="0.2">
      <c r="A16" s="749" t="s">
        <v>15</v>
      </c>
      <c r="B16" s="145">
        <v>9</v>
      </c>
      <c r="C16" s="770">
        <v>0</v>
      </c>
      <c r="D16" s="770">
        <v>0</v>
      </c>
      <c r="E16" s="770">
        <v>0</v>
      </c>
      <c r="F16" s="770">
        <v>2.5750000000000002</v>
      </c>
      <c r="G16" s="770">
        <v>0</v>
      </c>
      <c r="H16" s="786">
        <f t="shared" si="0"/>
        <v>2.5750000000000002</v>
      </c>
      <c r="I16" s="776">
        <v>0</v>
      </c>
      <c r="J16" s="776">
        <v>1.7999999999999999E-2</v>
      </c>
      <c r="K16" s="801">
        <v>8.3000000000000004E-2</v>
      </c>
      <c r="L16" s="802">
        <v>0.128</v>
      </c>
      <c r="M16" s="803">
        <v>0</v>
      </c>
      <c r="N16" s="777">
        <v>0.128</v>
      </c>
      <c r="O16" s="776">
        <v>0</v>
      </c>
      <c r="P16" s="803">
        <v>0</v>
      </c>
      <c r="Q16" s="781">
        <v>1.0999999999999999E-2</v>
      </c>
      <c r="R16" s="803">
        <v>0</v>
      </c>
      <c r="S16" s="778">
        <v>1.0999999999999999E-2</v>
      </c>
      <c r="T16" s="778">
        <v>1E-3</v>
      </c>
      <c r="U16" s="804">
        <v>1.4810000000000001</v>
      </c>
      <c r="V16" s="772">
        <v>0.49199999999999999</v>
      </c>
      <c r="W16" s="783">
        <v>1.9730000000000001</v>
      </c>
      <c r="X16" s="803">
        <v>1.7999999999999999E-2</v>
      </c>
      <c r="Y16" s="778">
        <v>1.9550000000000001</v>
      </c>
      <c r="Z16" s="802">
        <v>0</v>
      </c>
      <c r="AA16" s="803">
        <v>0</v>
      </c>
      <c r="AB16" s="803">
        <v>0</v>
      </c>
      <c r="AC16" s="778">
        <v>0</v>
      </c>
      <c r="AD16" s="782">
        <v>1.847</v>
      </c>
      <c r="AE16" s="803">
        <v>1.2549999999999999</v>
      </c>
      <c r="AF16" s="771">
        <f t="shared" si="1"/>
        <v>5.3159999999999998</v>
      </c>
      <c r="AG16" s="805">
        <f t="shared" si="2"/>
        <v>7.891</v>
      </c>
      <c r="AH16" s="135">
        <f t="shared" si="4"/>
        <v>0</v>
      </c>
      <c r="AI16" s="132" t="str">
        <f t="shared" si="5"/>
        <v xml:space="preserve"> </v>
      </c>
      <c r="AS16" s="139" t="s">
        <v>234</v>
      </c>
      <c r="AT16" s="139" t="s">
        <v>233</v>
      </c>
      <c r="DS16" s="304"/>
      <c r="DT16" s="304"/>
      <c r="DU16" s="647" t="s">
        <v>571</v>
      </c>
      <c r="DV16" s="647" t="s">
        <v>1134</v>
      </c>
      <c r="DW16" s="647" t="s">
        <v>1134</v>
      </c>
      <c r="DX16" s="647" t="s">
        <v>1134</v>
      </c>
      <c r="DY16" s="647" t="s">
        <v>1134</v>
      </c>
      <c r="DZ16" s="647" t="s">
        <v>1134</v>
      </c>
      <c r="EA16" s="647" t="s">
        <v>234</v>
      </c>
      <c r="EB16" s="647" t="s">
        <v>1135</v>
      </c>
      <c r="EC16" s="647" t="s">
        <v>1134</v>
      </c>
      <c r="ED16" s="647" t="s">
        <v>1136</v>
      </c>
    </row>
    <row r="17" spans="1:134" x14ac:dyDescent="0.2">
      <c r="A17" s="749" t="s">
        <v>555</v>
      </c>
      <c r="B17" s="145">
        <v>10</v>
      </c>
      <c r="C17" s="770">
        <v>0</v>
      </c>
      <c r="D17" s="770">
        <v>0</v>
      </c>
      <c r="E17" s="770">
        <v>0</v>
      </c>
      <c r="F17" s="770">
        <v>0</v>
      </c>
      <c r="G17" s="770">
        <v>0</v>
      </c>
      <c r="H17" s="786">
        <f t="shared" si="0"/>
        <v>0</v>
      </c>
      <c r="I17" s="776">
        <v>0</v>
      </c>
      <c r="J17" s="776">
        <v>0</v>
      </c>
      <c r="K17" s="801">
        <v>5.2999999999999999E-2</v>
      </c>
      <c r="L17" s="802">
        <v>8.5000000000000006E-2</v>
      </c>
      <c r="M17" s="803">
        <v>0</v>
      </c>
      <c r="N17" s="777">
        <v>8.5000000000000006E-2</v>
      </c>
      <c r="O17" s="776">
        <v>0</v>
      </c>
      <c r="P17" s="803">
        <v>0</v>
      </c>
      <c r="Q17" s="781">
        <v>1.4139999999999999</v>
      </c>
      <c r="R17" s="803">
        <v>0</v>
      </c>
      <c r="S17" s="778">
        <v>1.4139999999999999</v>
      </c>
      <c r="T17" s="778">
        <v>0.124</v>
      </c>
      <c r="U17" s="804">
        <v>0</v>
      </c>
      <c r="V17" s="772">
        <v>0</v>
      </c>
      <c r="W17" s="783">
        <v>0</v>
      </c>
      <c r="X17" s="803">
        <v>0</v>
      </c>
      <c r="Y17" s="778">
        <v>0</v>
      </c>
      <c r="Z17" s="802">
        <v>0</v>
      </c>
      <c r="AA17" s="803">
        <v>0</v>
      </c>
      <c r="AB17" s="803">
        <v>0</v>
      </c>
      <c r="AC17" s="778">
        <v>0</v>
      </c>
      <c r="AD17" s="782">
        <v>0</v>
      </c>
      <c r="AE17" s="803">
        <v>0.58199999999999996</v>
      </c>
      <c r="AF17" s="771">
        <f t="shared" si="1"/>
        <v>2.258</v>
      </c>
      <c r="AG17" s="805">
        <f t="shared" si="2"/>
        <v>2.258</v>
      </c>
      <c r="AH17" s="135">
        <f t="shared" si="4"/>
        <v>0</v>
      </c>
      <c r="AI17" s="132" t="str">
        <f t="shared" si="5"/>
        <v xml:space="preserve"> </v>
      </c>
      <c r="AS17" s="139" t="s">
        <v>503</v>
      </c>
      <c r="AT17" s="139" t="s">
        <v>504</v>
      </c>
      <c r="DS17" s="304"/>
      <c r="DT17" s="304"/>
      <c r="DU17" s="647" t="s">
        <v>571</v>
      </c>
      <c r="DV17" s="647" t="s">
        <v>1134</v>
      </c>
      <c r="DW17" s="647" t="s">
        <v>1134</v>
      </c>
      <c r="DX17" s="647" t="s">
        <v>1134</v>
      </c>
      <c r="DY17" s="647" t="s">
        <v>1134</v>
      </c>
      <c r="DZ17" s="647" t="s">
        <v>1134</v>
      </c>
      <c r="EA17" s="647" t="s">
        <v>503</v>
      </c>
      <c r="EB17" s="647" t="s">
        <v>1135</v>
      </c>
      <c r="EC17" s="647" t="s">
        <v>1134</v>
      </c>
      <c r="ED17" s="647" t="s">
        <v>1136</v>
      </c>
    </row>
    <row r="18" spans="1:134" x14ac:dyDescent="0.2">
      <c r="A18" s="749" t="s">
        <v>16</v>
      </c>
      <c r="B18" s="145">
        <v>11</v>
      </c>
      <c r="C18" s="770">
        <v>0</v>
      </c>
      <c r="D18" s="770">
        <v>0</v>
      </c>
      <c r="E18" s="770">
        <v>0</v>
      </c>
      <c r="F18" s="770">
        <v>0</v>
      </c>
      <c r="G18" s="770">
        <v>0</v>
      </c>
      <c r="H18" s="786">
        <f t="shared" si="0"/>
        <v>0</v>
      </c>
      <c r="I18" s="776">
        <v>0</v>
      </c>
      <c r="J18" s="776">
        <v>0</v>
      </c>
      <c r="K18" s="801">
        <v>0</v>
      </c>
      <c r="L18" s="802">
        <v>0</v>
      </c>
      <c r="M18" s="803">
        <v>0</v>
      </c>
      <c r="N18" s="777">
        <v>0</v>
      </c>
      <c r="O18" s="776">
        <v>0</v>
      </c>
      <c r="P18" s="803">
        <v>0</v>
      </c>
      <c r="Q18" s="781">
        <v>0</v>
      </c>
      <c r="R18" s="803">
        <v>0</v>
      </c>
      <c r="S18" s="778">
        <v>0</v>
      </c>
      <c r="T18" s="778">
        <v>0</v>
      </c>
      <c r="U18" s="804">
        <v>0</v>
      </c>
      <c r="V18" s="772">
        <v>0</v>
      </c>
      <c r="W18" s="783">
        <v>0</v>
      </c>
      <c r="X18" s="803">
        <v>0</v>
      </c>
      <c r="Y18" s="778">
        <v>0</v>
      </c>
      <c r="Z18" s="802">
        <v>0</v>
      </c>
      <c r="AA18" s="803">
        <v>0</v>
      </c>
      <c r="AB18" s="803">
        <v>0</v>
      </c>
      <c r="AC18" s="778">
        <v>0</v>
      </c>
      <c r="AD18" s="782">
        <v>0</v>
      </c>
      <c r="AE18" s="803">
        <v>2E-3</v>
      </c>
      <c r="AF18" s="771">
        <f t="shared" si="1"/>
        <v>2E-3</v>
      </c>
      <c r="AG18" s="805">
        <f t="shared" si="2"/>
        <v>2E-3</v>
      </c>
      <c r="AH18" s="135">
        <f t="shared" si="4"/>
        <v>0</v>
      </c>
      <c r="AI18" s="132" t="str">
        <f t="shared" si="5"/>
        <v xml:space="preserve"> </v>
      </c>
      <c r="AS18" s="139" t="s">
        <v>425</v>
      </c>
      <c r="AT18" s="139" t="s">
        <v>426</v>
      </c>
      <c r="DS18" s="304"/>
      <c r="DT18" s="304"/>
      <c r="DU18" s="647" t="s">
        <v>571</v>
      </c>
      <c r="DV18" s="647" t="s">
        <v>1134</v>
      </c>
      <c r="DW18" s="647" t="s">
        <v>1134</v>
      </c>
      <c r="DX18" s="647" t="s">
        <v>1134</v>
      </c>
      <c r="DY18" s="647" t="s">
        <v>1134</v>
      </c>
      <c r="DZ18" s="647" t="s">
        <v>1134</v>
      </c>
      <c r="EA18" s="647" t="s">
        <v>425</v>
      </c>
      <c r="EB18" s="647" t="s">
        <v>1135</v>
      </c>
      <c r="EC18" s="647" t="s">
        <v>1134</v>
      </c>
      <c r="ED18" s="647" t="s">
        <v>1136</v>
      </c>
    </row>
    <row r="19" spans="1:134" x14ac:dyDescent="0.2">
      <c r="A19" s="749" t="s">
        <v>17</v>
      </c>
      <c r="B19" s="145">
        <v>12</v>
      </c>
      <c r="C19" s="770">
        <v>0</v>
      </c>
      <c r="D19" s="770">
        <v>0</v>
      </c>
      <c r="E19" s="770">
        <v>0</v>
      </c>
      <c r="F19" s="770">
        <v>0</v>
      </c>
      <c r="G19" s="770">
        <v>0</v>
      </c>
      <c r="H19" s="786">
        <f t="shared" si="0"/>
        <v>0</v>
      </c>
      <c r="I19" s="776">
        <v>0</v>
      </c>
      <c r="J19" s="776">
        <v>0</v>
      </c>
      <c r="K19" s="801">
        <v>0</v>
      </c>
      <c r="L19" s="802">
        <v>0</v>
      </c>
      <c r="M19" s="803">
        <v>0</v>
      </c>
      <c r="N19" s="777">
        <v>0</v>
      </c>
      <c r="O19" s="776">
        <v>0</v>
      </c>
      <c r="P19" s="803">
        <v>0</v>
      </c>
      <c r="Q19" s="781">
        <v>0</v>
      </c>
      <c r="R19" s="803">
        <v>0</v>
      </c>
      <c r="S19" s="778">
        <v>0</v>
      </c>
      <c r="T19" s="778">
        <v>0</v>
      </c>
      <c r="U19" s="804">
        <v>0</v>
      </c>
      <c r="V19" s="772">
        <v>0</v>
      </c>
      <c r="W19" s="783">
        <v>0</v>
      </c>
      <c r="X19" s="803">
        <v>0</v>
      </c>
      <c r="Y19" s="778">
        <v>0</v>
      </c>
      <c r="Z19" s="802">
        <v>0</v>
      </c>
      <c r="AA19" s="803">
        <v>0</v>
      </c>
      <c r="AB19" s="803">
        <v>0</v>
      </c>
      <c r="AC19" s="778">
        <v>0</v>
      </c>
      <c r="AD19" s="782">
        <v>0</v>
      </c>
      <c r="AE19" s="803">
        <v>0</v>
      </c>
      <c r="AF19" s="771">
        <f t="shared" si="1"/>
        <v>0</v>
      </c>
      <c r="AG19" s="805">
        <f t="shared" si="2"/>
        <v>0</v>
      </c>
      <c r="AH19" s="135">
        <f t="shared" si="4"/>
        <v>0</v>
      </c>
      <c r="AI19" s="132" t="str">
        <f t="shared" si="5"/>
        <v xml:space="preserve"> </v>
      </c>
      <c r="AS19" s="139" t="s">
        <v>427</v>
      </c>
      <c r="AT19" s="139" t="s">
        <v>428</v>
      </c>
      <c r="DS19" s="304"/>
      <c r="DT19" s="304"/>
      <c r="DU19" s="647" t="s">
        <v>571</v>
      </c>
      <c r="DV19" s="647" t="s">
        <v>1134</v>
      </c>
      <c r="DW19" s="647" t="s">
        <v>1134</v>
      </c>
      <c r="DX19" s="647" t="s">
        <v>1134</v>
      </c>
      <c r="DY19" s="647" t="s">
        <v>1134</v>
      </c>
      <c r="DZ19" s="647" t="s">
        <v>1134</v>
      </c>
      <c r="EA19" s="647" t="s">
        <v>427</v>
      </c>
      <c r="EB19" s="647" t="s">
        <v>1135</v>
      </c>
      <c r="EC19" s="647" t="s">
        <v>1134</v>
      </c>
      <c r="ED19" s="647" t="s">
        <v>1136</v>
      </c>
    </row>
    <row r="20" spans="1:134" x14ac:dyDescent="0.2">
      <c r="A20" s="749" t="s">
        <v>955</v>
      </c>
      <c r="B20" s="145">
        <v>13</v>
      </c>
      <c r="C20" s="770">
        <v>0</v>
      </c>
      <c r="D20" s="770">
        <v>0</v>
      </c>
      <c r="E20" s="770">
        <v>0</v>
      </c>
      <c r="F20" s="770">
        <v>0</v>
      </c>
      <c r="G20" s="770">
        <v>0</v>
      </c>
      <c r="H20" s="786">
        <f t="shared" si="0"/>
        <v>0</v>
      </c>
      <c r="I20" s="776">
        <v>0</v>
      </c>
      <c r="J20" s="776">
        <v>0</v>
      </c>
      <c r="K20" s="801">
        <v>0</v>
      </c>
      <c r="L20" s="802">
        <v>0</v>
      </c>
      <c r="M20" s="803">
        <v>0</v>
      </c>
      <c r="N20" s="777">
        <v>0</v>
      </c>
      <c r="O20" s="776">
        <v>0</v>
      </c>
      <c r="P20" s="803">
        <v>0</v>
      </c>
      <c r="Q20" s="781">
        <v>0</v>
      </c>
      <c r="R20" s="803">
        <v>0</v>
      </c>
      <c r="S20" s="778">
        <v>0</v>
      </c>
      <c r="T20" s="778">
        <v>0</v>
      </c>
      <c r="U20" s="804">
        <v>0</v>
      </c>
      <c r="V20" s="772">
        <v>0</v>
      </c>
      <c r="W20" s="783">
        <v>0</v>
      </c>
      <c r="X20" s="803">
        <v>0</v>
      </c>
      <c r="Y20" s="778">
        <v>0</v>
      </c>
      <c r="Z20" s="802">
        <v>0</v>
      </c>
      <c r="AA20" s="803">
        <v>0</v>
      </c>
      <c r="AB20" s="803">
        <v>0</v>
      </c>
      <c r="AC20" s="778">
        <v>0</v>
      </c>
      <c r="AD20" s="782">
        <v>0</v>
      </c>
      <c r="AE20" s="803">
        <v>1.7000000000000001E-2</v>
      </c>
      <c r="AF20" s="771">
        <f t="shared" si="1"/>
        <v>1.7000000000000001E-2</v>
      </c>
      <c r="AG20" s="805">
        <f t="shared" si="2"/>
        <v>1.7000000000000001E-2</v>
      </c>
      <c r="AH20" s="135">
        <f t="shared" si="4"/>
        <v>0</v>
      </c>
      <c r="AI20" s="132" t="str">
        <f t="shared" si="5"/>
        <v xml:space="preserve"> </v>
      </c>
      <c r="AS20" s="139" t="s">
        <v>1018</v>
      </c>
      <c r="AT20" s="139" t="s">
        <v>1019</v>
      </c>
      <c r="DS20" s="304"/>
      <c r="DT20" s="304"/>
      <c r="DU20" s="647" t="s">
        <v>571</v>
      </c>
      <c r="DV20" s="647" t="s">
        <v>1134</v>
      </c>
      <c r="DW20" s="647" t="s">
        <v>1134</v>
      </c>
      <c r="DX20" s="647" t="s">
        <v>1134</v>
      </c>
      <c r="DY20" s="647" t="s">
        <v>1134</v>
      </c>
      <c r="DZ20" s="647" t="s">
        <v>1134</v>
      </c>
      <c r="EA20" s="647" t="s">
        <v>1018</v>
      </c>
      <c r="EB20" s="647" t="s">
        <v>1135</v>
      </c>
      <c r="EC20" s="647" t="s">
        <v>1134</v>
      </c>
      <c r="ED20" s="647" t="s">
        <v>1136</v>
      </c>
    </row>
    <row r="21" spans="1:134" x14ac:dyDescent="0.2">
      <c r="A21" s="750" t="s">
        <v>956</v>
      </c>
      <c r="B21" s="145">
        <v>14</v>
      </c>
      <c r="C21" s="770">
        <v>0</v>
      </c>
      <c r="D21" s="770">
        <v>0</v>
      </c>
      <c r="E21" s="770">
        <v>0</v>
      </c>
      <c r="F21" s="770">
        <v>0</v>
      </c>
      <c r="G21" s="770">
        <v>0</v>
      </c>
      <c r="H21" s="786">
        <f t="shared" si="0"/>
        <v>0</v>
      </c>
      <c r="I21" s="776">
        <v>0</v>
      </c>
      <c r="J21" s="776">
        <v>0</v>
      </c>
      <c r="K21" s="801">
        <v>0</v>
      </c>
      <c r="L21" s="802">
        <v>0</v>
      </c>
      <c r="M21" s="803">
        <v>0</v>
      </c>
      <c r="N21" s="777">
        <v>0</v>
      </c>
      <c r="O21" s="776">
        <v>0</v>
      </c>
      <c r="P21" s="803">
        <v>0</v>
      </c>
      <c r="Q21" s="781">
        <v>0</v>
      </c>
      <c r="R21" s="803">
        <v>0</v>
      </c>
      <c r="S21" s="778">
        <v>0</v>
      </c>
      <c r="T21" s="778">
        <v>0</v>
      </c>
      <c r="U21" s="804">
        <v>0</v>
      </c>
      <c r="V21" s="772">
        <v>0</v>
      </c>
      <c r="W21" s="783">
        <v>0</v>
      </c>
      <c r="X21" s="803">
        <v>0</v>
      </c>
      <c r="Y21" s="778">
        <v>0</v>
      </c>
      <c r="Z21" s="802">
        <v>0</v>
      </c>
      <c r="AA21" s="803">
        <v>0</v>
      </c>
      <c r="AB21" s="803">
        <v>0</v>
      </c>
      <c r="AC21" s="778">
        <v>0</v>
      </c>
      <c r="AD21" s="782">
        <v>0</v>
      </c>
      <c r="AE21" s="803">
        <v>0</v>
      </c>
      <c r="AF21" s="771">
        <f t="shared" si="1"/>
        <v>0</v>
      </c>
      <c r="AG21" s="805">
        <f t="shared" si="2"/>
        <v>0</v>
      </c>
      <c r="AH21" s="135">
        <f t="shared" si="4"/>
        <v>0</v>
      </c>
      <c r="AI21" s="132" t="str">
        <f t="shared" si="5"/>
        <v xml:space="preserve"> </v>
      </c>
      <c r="AS21" s="130" t="s">
        <v>1020</v>
      </c>
      <c r="AT21" s="130" t="s">
        <v>1021</v>
      </c>
      <c r="DS21" s="304"/>
      <c r="DT21" s="304"/>
      <c r="DU21" s="647" t="s">
        <v>571</v>
      </c>
      <c r="DV21" s="647" t="s">
        <v>1134</v>
      </c>
      <c r="DW21" s="647" t="s">
        <v>1134</v>
      </c>
      <c r="DX21" s="647" t="s">
        <v>1134</v>
      </c>
      <c r="DY21" s="647" t="s">
        <v>1134</v>
      </c>
      <c r="DZ21" s="647" t="s">
        <v>1134</v>
      </c>
      <c r="EA21" s="647" t="s">
        <v>1020</v>
      </c>
      <c r="EB21" s="647" t="s">
        <v>1135</v>
      </c>
      <c r="EC21" s="647" t="s">
        <v>1134</v>
      </c>
      <c r="ED21" s="647" t="s">
        <v>1136</v>
      </c>
    </row>
    <row r="22" spans="1:134" x14ac:dyDescent="0.2">
      <c r="A22" s="749" t="s">
        <v>556</v>
      </c>
      <c r="B22" s="145">
        <v>15</v>
      </c>
      <c r="C22" s="770">
        <v>0</v>
      </c>
      <c r="D22" s="770">
        <v>0</v>
      </c>
      <c r="E22" s="770">
        <v>0</v>
      </c>
      <c r="F22" s="770">
        <v>0</v>
      </c>
      <c r="G22" s="770">
        <v>0</v>
      </c>
      <c r="H22" s="786">
        <f t="shared" si="0"/>
        <v>0</v>
      </c>
      <c r="I22" s="776">
        <v>0</v>
      </c>
      <c r="J22" s="776">
        <v>0</v>
      </c>
      <c r="K22" s="801">
        <v>0</v>
      </c>
      <c r="L22" s="802">
        <v>0</v>
      </c>
      <c r="M22" s="803">
        <v>0</v>
      </c>
      <c r="N22" s="777">
        <v>0</v>
      </c>
      <c r="O22" s="776">
        <v>0</v>
      </c>
      <c r="P22" s="803">
        <v>0</v>
      </c>
      <c r="Q22" s="781">
        <v>0</v>
      </c>
      <c r="R22" s="803">
        <v>0</v>
      </c>
      <c r="S22" s="778">
        <v>0</v>
      </c>
      <c r="T22" s="778">
        <v>0</v>
      </c>
      <c r="U22" s="804">
        <v>0</v>
      </c>
      <c r="V22" s="772">
        <v>0</v>
      </c>
      <c r="W22" s="783">
        <v>0</v>
      </c>
      <c r="X22" s="803">
        <v>0</v>
      </c>
      <c r="Y22" s="778">
        <v>0</v>
      </c>
      <c r="Z22" s="802">
        <v>0</v>
      </c>
      <c r="AA22" s="803">
        <v>0</v>
      </c>
      <c r="AB22" s="803">
        <v>0</v>
      </c>
      <c r="AC22" s="778">
        <v>0</v>
      </c>
      <c r="AD22" s="782">
        <v>0</v>
      </c>
      <c r="AE22" s="803">
        <v>0</v>
      </c>
      <c r="AF22" s="771">
        <f t="shared" si="1"/>
        <v>0</v>
      </c>
      <c r="AG22" s="805">
        <f t="shared" si="2"/>
        <v>0</v>
      </c>
      <c r="AH22" s="135">
        <f t="shared" si="4"/>
        <v>0</v>
      </c>
      <c r="AI22" s="132" t="str">
        <f t="shared" si="5"/>
        <v xml:space="preserve"> </v>
      </c>
      <c r="AS22" s="139" t="s">
        <v>505</v>
      </c>
      <c r="AT22" s="139" t="s">
        <v>506</v>
      </c>
      <c r="DS22" s="304"/>
      <c r="DT22" s="304"/>
      <c r="DU22" s="647" t="s">
        <v>571</v>
      </c>
      <c r="DV22" s="647" t="s">
        <v>1134</v>
      </c>
      <c r="DW22" s="647" t="s">
        <v>1134</v>
      </c>
      <c r="DX22" s="647" t="s">
        <v>1134</v>
      </c>
      <c r="DY22" s="647" t="s">
        <v>1134</v>
      </c>
      <c r="DZ22" s="647" t="s">
        <v>1134</v>
      </c>
      <c r="EA22" s="647" t="s">
        <v>505</v>
      </c>
      <c r="EB22" s="647" t="s">
        <v>1135</v>
      </c>
      <c r="EC22" s="647" t="s">
        <v>1134</v>
      </c>
      <c r="ED22" s="647" t="s">
        <v>1136</v>
      </c>
    </row>
    <row r="23" spans="1:134" x14ac:dyDescent="0.2">
      <c r="A23" s="749" t="s">
        <v>18</v>
      </c>
      <c r="B23" s="145">
        <v>16</v>
      </c>
      <c r="C23" s="770">
        <v>29.024999999999999</v>
      </c>
      <c r="D23" s="770">
        <v>0</v>
      </c>
      <c r="E23" s="770">
        <v>0</v>
      </c>
      <c r="F23" s="770">
        <v>7.77</v>
      </c>
      <c r="G23" s="770">
        <v>0</v>
      </c>
      <c r="H23" s="786">
        <f t="shared" si="0"/>
        <v>36.795000000000002</v>
      </c>
      <c r="I23" s="776">
        <v>0</v>
      </c>
      <c r="J23" s="776">
        <v>58.561999999999998</v>
      </c>
      <c r="K23" s="801">
        <v>168.79</v>
      </c>
      <c r="L23" s="802">
        <v>261.44400000000002</v>
      </c>
      <c r="M23" s="803">
        <v>0</v>
      </c>
      <c r="N23" s="777">
        <v>261.44400000000002</v>
      </c>
      <c r="O23" s="776">
        <v>6.5000000000000002E-2</v>
      </c>
      <c r="P23" s="803">
        <v>0</v>
      </c>
      <c r="Q23" s="781">
        <v>164.99299999999999</v>
      </c>
      <c r="R23" s="803">
        <v>0</v>
      </c>
      <c r="S23" s="778">
        <v>164.99299999999999</v>
      </c>
      <c r="T23" s="778">
        <v>14.483000000000001</v>
      </c>
      <c r="U23" s="804">
        <v>329.2</v>
      </c>
      <c r="V23" s="772">
        <v>109.473</v>
      </c>
      <c r="W23" s="783">
        <v>438.673</v>
      </c>
      <c r="X23" s="803">
        <v>0</v>
      </c>
      <c r="Y23" s="778">
        <v>438.673</v>
      </c>
      <c r="Z23" s="802">
        <v>474.79300000000001</v>
      </c>
      <c r="AA23" s="803">
        <v>304.06299999999999</v>
      </c>
      <c r="AB23" s="803">
        <v>0</v>
      </c>
      <c r="AC23" s="778">
        <v>170.73</v>
      </c>
      <c r="AD23" s="782">
        <v>8.4550000000000001</v>
      </c>
      <c r="AE23" s="803">
        <v>144.76499999999999</v>
      </c>
      <c r="AF23" s="771">
        <f t="shared" si="1"/>
        <v>1735.0229999999999</v>
      </c>
      <c r="AG23" s="805">
        <f t="shared" si="2"/>
        <v>1771.818</v>
      </c>
      <c r="AH23" s="135">
        <f t="shared" si="4"/>
        <v>0</v>
      </c>
      <c r="AI23" s="132" t="str">
        <f t="shared" si="5"/>
        <v xml:space="preserve"> </v>
      </c>
      <c r="AS23" s="139" t="s">
        <v>236</v>
      </c>
      <c r="AT23" s="139" t="s">
        <v>235</v>
      </c>
      <c r="DS23" s="304"/>
      <c r="DT23" s="304"/>
      <c r="DU23" s="647" t="s">
        <v>571</v>
      </c>
      <c r="DV23" s="647" t="s">
        <v>1134</v>
      </c>
      <c r="DW23" s="647" t="s">
        <v>1134</v>
      </c>
      <c r="DX23" s="647" t="s">
        <v>1134</v>
      </c>
      <c r="DY23" s="647" t="s">
        <v>1134</v>
      </c>
      <c r="DZ23" s="647" t="s">
        <v>1134</v>
      </c>
      <c r="EA23" s="647" t="s">
        <v>236</v>
      </c>
      <c r="EB23" s="647" t="s">
        <v>1135</v>
      </c>
      <c r="EC23" s="647" t="s">
        <v>1134</v>
      </c>
      <c r="ED23" s="647" t="s">
        <v>1136</v>
      </c>
    </row>
    <row r="24" spans="1:134" x14ac:dyDescent="0.2">
      <c r="A24" s="749" t="s">
        <v>957</v>
      </c>
      <c r="B24" s="145">
        <v>17</v>
      </c>
      <c r="C24" s="770">
        <v>0</v>
      </c>
      <c r="D24" s="770">
        <v>0</v>
      </c>
      <c r="E24" s="770">
        <v>0</v>
      </c>
      <c r="F24" s="770">
        <v>0</v>
      </c>
      <c r="G24" s="770">
        <v>0</v>
      </c>
      <c r="H24" s="786">
        <f t="shared" si="0"/>
        <v>0</v>
      </c>
      <c r="I24" s="776">
        <v>0</v>
      </c>
      <c r="J24" s="776">
        <v>0</v>
      </c>
      <c r="K24" s="801">
        <v>0</v>
      </c>
      <c r="L24" s="802">
        <v>0</v>
      </c>
      <c r="M24" s="803">
        <v>0</v>
      </c>
      <c r="N24" s="777">
        <v>0</v>
      </c>
      <c r="O24" s="776">
        <v>0</v>
      </c>
      <c r="P24" s="803">
        <v>0</v>
      </c>
      <c r="Q24" s="781">
        <v>0</v>
      </c>
      <c r="R24" s="803">
        <v>0</v>
      </c>
      <c r="S24" s="778">
        <v>0</v>
      </c>
      <c r="T24" s="778">
        <v>0</v>
      </c>
      <c r="U24" s="804">
        <v>0</v>
      </c>
      <c r="V24" s="772">
        <v>0</v>
      </c>
      <c r="W24" s="783">
        <v>0</v>
      </c>
      <c r="X24" s="803">
        <v>0</v>
      </c>
      <c r="Y24" s="778">
        <v>0</v>
      </c>
      <c r="Z24" s="802">
        <v>0</v>
      </c>
      <c r="AA24" s="803">
        <v>0</v>
      </c>
      <c r="AB24" s="803">
        <v>0</v>
      </c>
      <c r="AC24" s="778">
        <v>0</v>
      </c>
      <c r="AD24" s="782">
        <v>0</v>
      </c>
      <c r="AE24" s="803">
        <v>0</v>
      </c>
      <c r="AF24" s="771">
        <f t="shared" si="1"/>
        <v>0</v>
      </c>
      <c r="AG24" s="805">
        <f t="shared" si="2"/>
        <v>0</v>
      </c>
      <c r="AH24" s="135">
        <f t="shared" si="4"/>
        <v>0</v>
      </c>
      <c r="AI24" s="132" t="str">
        <f t="shared" si="5"/>
        <v xml:space="preserve"> </v>
      </c>
      <c r="AS24" s="139" t="s">
        <v>1022</v>
      </c>
      <c r="AT24" s="139" t="s">
        <v>1023</v>
      </c>
      <c r="DS24" s="304"/>
      <c r="DT24" s="304"/>
      <c r="DU24" s="647" t="s">
        <v>571</v>
      </c>
      <c r="DV24" s="647" t="s">
        <v>1134</v>
      </c>
      <c r="DW24" s="647" t="s">
        <v>1134</v>
      </c>
      <c r="DX24" s="647" t="s">
        <v>1134</v>
      </c>
      <c r="DY24" s="647" t="s">
        <v>1134</v>
      </c>
      <c r="DZ24" s="647" t="s">
        <v>1134</v>
      </c>
      <c r="EA24" s="647" t="s">
        <v>1022</v>
      </c>
      <c r="EB24" s="647" t="s">
        <v>1135</v>
      </c>
      <c r="EC24" s="647" t="s">
        <v>1134</v>
      </c>
      <c r="ED24" s="647" t="s">
        <v>1136</v>
      </c>
    </row>
    <row r="25" spans="1:134" x14ac:dyDescent="0.2">
      <c r="A25" s="749" t="s">
        <v>958</v>
      </c>
      <c r="B25" s="145">
        <v>18</v>
      </c>
      <c r="C25" s="770">
        <v>0</v>
      </c>
      <c r="D25" s="770">
        <v>0</v>
      </c>
      <c r="E25" s="770">
        <v>0</v>
      </c>
      <c r="F25" s="770">
        <v>0</v>
      </c>
      <c r="G25" s="770">
        <v>0</v>
      </c>
      <c r="H25" s="786">
        <f t="shared" si="0"/>
        <v>0</v>
      </c>
      <c r="I25" s="776">
        <v>0</v>
      </c>
      <c r="J25" s="776">
        <v>0</v>
      </c>
      <c r="K25" s="801">
        <v>5.0000000000000001E-3</v>
      </c>
      <c r="L25" s="802">
        <v>8.0000000000000002E-3</v>
      </c>
      <c r="M25" s="803">
        <v>0</v>
      </c>
      <c r="N25" s="777">
        <v>8.0000000000000002E-3</v>
      </c>
      <c r="O25" s="776">
        <v>0</v>
      </c>
      <c r="P25" s="803">
        <v>0</v>
      </c>
      <c r="Q25" s="781">
        <v>0</v>
      </c>
      <c r="R25" s="803">
        <v>0</v>
      </c>
      <c r="S25" s="778">
        <v>0</v>
      </c>
      <c r="T25" s="778">
        <v>0</v>
      </c>
      <c r="U25" s="804">
        <v>0</v>
      </c>
      <c r="V25" s="772">
        <v>0</v>
      </c>
      <c r="W25" s="783">
        <v>0</v>
      </c>
      <c r="X25" s="803">
        <v>0</v>
      </c>
      <c r="Y25" s="778">
        <v>0</v>
      </c>
      <c r="Z25" s="802">
        <v>0</v>
      </c>
      <c r="AA25" s="803">
        <v>0</v>
      </c>
      <c r="AB25" s="803">
        <v>0</v>
      </c>
      <c r="AC25" s="778">
        <v>0</v>
      </c>
      <c r="AD25" s="782">
        <v>0</v>
      </c>
      <c r="AE25" s="803">
        <v>4.2000000000000003E-2</v>
      </c>
      <c r="AF25" s="771">
        <f t="shared" si="1"/>
        <v>5.5E-2</v>
      </c>
      <c r="AG25" s="805">
        <f t="shared" si="2"/>
        <v>5.5E-2</v>
      </c>
      <c r="AH25" s="135">
        <f t="shared" si="4"/>
        <v>0</v>
      </c>
      <c r="AI25" s="132" t="str">
        <f t="shared" si="5"/>
        <v xml:space="preserve"> </v>
      </c>
      <c r="AS25" s="139" t="s">
        <v>1024</v>
      </c>
      <c r="AT25" s="139" t="s">
        <v>1025</v>
      </c>
      <c r="DS25" s="304"/>
      <c r="DT25" s="304"/>
      <c r="DU25" s="647" t="s">
        <v>571</v>
      </c>
      <c r="DV25" s="647" t="s">
        <v>1134</v>
      </c>
      <c r="DW25" s="647" t="s">
        <v>1134</v>
      </c>
      <c r="DX25" s="647" t="s">
        <v>1134</v>
      </c>
      <c r="DY25" s="647" t="s">
        <v>1134</v>
      </c>
      <c r="DZ25" s="647" t="s">
        <v>1134</v>
      </c>
      <c r="EA25" s="647" t="s">
        <v>1024</v>
      </c>
      <c r="EB25" s="647" t="s">
        <v>1135</v>
      </c>
      <c r="EC25" s="647" t="s">
        <v>1134</v>
      </c>
      <c r="ED25" s="647" t="s">
        <v>1136</v>
      </c>
    </row>
    <row r="26" spans="1:134" x14ac:dyDescent="0.2">
      <c r="A26" s="749" t="s">
        <v>959</v>
      </c>
      <c r="B26" s="145">
        <v>19</v>
      </c>
      <c r="C26" s="770">
        <v>0</v>
      </c>
      <c r="D26" s="770">
        <v>0</v>
      </c>
      <c r="E26" s="770">
        <v>0</v>
      </c>
      <c r="F26" s="770">
        <v>0</v>
      </c>
      <c r="G26" s="770">
        <v>0</v>
      </c>
      <c r="H26" s="786">
        <f t="shared" si="0"/>
        <v>0</v>
      </c>
      <c r="I26" s="776">
        <v>0</v>
      </c>
      <c r="J26" s="776">
        <v>0</v>
      </c>
      <c r="K26" s="801">
        <v>0</v>
      </c>
      <c r="L26" s="802">
        <v>0</v>
      </c>
      <c r="M26" s="803">
        <v>0</v>
      </c>
      <c r="N26" s="777">
        <v>0</v>
      </c>
      <c r="O26" s="776">
        <v>0</v>
      </c>
      <c r="P26" s="803">
        <v>0</v>
      </c>
      <c r="Q26" s="781">
        <v>0</v>
      </c>
      <c r="R26" s="803">
        <v>0</v>
      </c>
      <c r="S26" s="778">
        <v>0</v>
      </c>
      <c r="T26" s="778">
        <v>0</v>
      </c>
      <c r="U26" s="804">
        <v>0</v>
      </c>
      <c r="V26" s="772">
        <v>0</v>
      </c>
      <c r="W26" s="783">
        <v>0</v>
      </c>
      <c r="X26" s="803">
        <v>0</v>
      </c>
      <c r="Y26" s="778">
        <v>0</v>
      </c>
      <c r="Z26" s="802">
        <v>0</v>
      </c>
      <c r="AA26" s="803">
        <v>0</v>
      </c>
      <c r="AB26" s="803">
        <v>0</v>
      </c>
      <c r="AC26" s="778">
        <v>0</v>
      </c>
      <c r="AD26" s="782">
        <v>0</v>
      </c>
      <c r="AE26" s="803">
        <v>0</v>
      </c>
      <c r="AF26" s="771">
        <f t="shared" si="1"/>
        <v>0</v>
      </c>
      <c r="AG26" s="805">
        <f t="shared" si="2"/>
        <v>0</v>
      </c>
      <c r="AH26" s="135">
        <f t="shared" si="4"/>
        <v>0</v>
      </c>
      <c r="AI26" s="132" t="str">
        <f t="shared" si="5"/>
        <v xml:space="preserve"> </v>
      </c>
      <c r="AS26" s="139" t="s">
        <v>1026</v>
      </c>
      <c r="AT26" s="139" t="s">
        <v>1027</v>
      </c>
      <c r="DS26" s="304"/>
      <c r="DT26" s="304"/>
      <c r="DU26" s="647" t="s">
        <v>571</v>
      </c>
      <c r="DV26" s="647" t="s">
        <v>1134</v>
      </c>
      <c r="DW26" s="647" t="s">
        <v>1134</v>
      </c>
      <c r="DX26" s="647" t="s">
        <v>1134</v>
      </c>
      <c r="DY26" s="647" t="s">
        <v>1134</v>
      </c>
      <c r="DZ26" s="647" t="s">
        <v>1134</v>
      </c>
      <c r="EA26" s="647" t="s">
        <v>1026</v>
      </c>
      <c r="EB26" s="647" t="s">
        <v>1135</v>
      </c>
      <c r="EC26" s="647" t="s">
        <v>1134</v>
      </c>
      <c r="ED26" s="647" t="s">
        <v>1136</v>
      </c>
    </row>
    <row r="27" spans="1:134" x14ac:dyDescent="0.2">
      <c r="A27" s="749" t="s">
        <v>595</v>
      </c>
      <c r="B27" s="145">
        <v>20</v>
      </c>
      <c r="C27" s="770">
        <v>0</v>
      </c>
      <c r="D27" s="772">
        <v>0</v>
      </c>
      <c r="E27" s="772">
        <v>0</v>
      </c>
      <c r="F27" s="772">
        <v>0</v>
      </c>
      <c r="G27" s="772">
        <v>0</v>
      </c>
      <c r="H27" s="786">
        <f t="shared" si="0"/>
        <v>0</v>
      </c>
      <c r="I27" s="806">
        <v>0</v>
      </c>
      <c r="J27" s="806">
        <v>0</v>
      </c>
      <c r="K27" s="807">
        <v>0</v>
      </c>
      <c r="L27" s="802">
        <v>0</v>
      </c>
      <c r="M27" s="803">
        <v>0</v>
      </c>
      <c r="N27" s="780">
        <v>0</v>
      </c>
      <c r="O27" s="776">
        <v>0</v>
      </c>
      <c r="P27" s="803">
        <v>0</v>
      </c>
      <c r="Q27" s="781">
        <v>0</v>
      </c>
      <c r="R27" s="803">
        <v>0</v>
      </c>
      <c r="S27" s="803">
        <v>0</v>
      </c>
      <c r="T27" s="803">
        <v>0</v>
      </c>
      <c r="U27" s="809">
        <v>0</v>
      </c>
      <c r="V27" s="772">
        <v>0</v>
      </c>
      <c r="W27" s="783">
        <v>0</v>
      </c>
      <c r="X27" s="803">
        <v>0</v>
      </c>
      <c r="Y27" s="803">
        <v>0</v>
      </c>
      <c r="Z27" s="802">
        <v>0</v>
      </c>
      <c r="AA27" s="803">
        <v>0</v>
      </c>
      <c r="AB27" s="803">
        <v>0</v>
      </c>
      <c r="AC27" s="803">
        <v>0</v>
      </c>
      <c r="AD27" s="808">
        <v>0</v>
      </c>
      <c r="AE27" s="803">
        <v>0.02</v>
      </c>
      <c r="AF27" s="771">
        <f t="shared" si="1"/>
        <v>0.02</v>
      </c>
      <c r="AG27" s="805">
        <f t="shared" si="2"/>
        <v>0.02</v>
      </c>
      <c r="AH27" s="135">
        <f t="shared" si="4"/>
        <v>0</v>
      </c>
      <c r="AI27" s="132" t="str">
        <f t="shared" si="5"/>
        <v xml:space="preserve"> </v>
      </c>
      <c r="AS27" s="139" t="s">
        <v>537</v>
      </c>
      <c r="AT27" s="139" t="s">
        <v>538</v>
      </c>
      <c r="DS27" s="304"/>
      <c r="DT27" s="304"/>
      <c r="DU27" s="647" t="s">
        <v>571</v>
      </c>
      <c r="DV27" s="647" t="s">
        <v>1134</v>
      </c>
      <c r="DW27" s="647" t="s">
        <v>1134</v>
      </c>
      <c r="DX27" s="647" t="s">
        <v>1134</v>
      </c>
      <c r="DY27" s="647" t="s">
        <v>1134</v>
      </c>
      <c r="DZ27" s="647" t="s">
        <v>1134</v>
      </c>
      <c r="EA27" s="647" t="s">
        <v>537</v>
      </c>
      <c r="EB27" s="647" t="s">
        <v>1135</v>
      </c>
      <c r="EC27" s="647" t="s">
        <v>1134</v>
      </c>
      <c r="ED27" s="647" t="s">
        <v>1136</v>
      </c>
    </row>
    <row r="28" spans="1:134" x14ac:dyDescent="0.2">
      <c r="A28" s="749" t="s">
        <v>1424</v>
      </c>
      <c r="B28" s="145">
        <v>21</v>
      </c>
      <c r="C28" s="770">
        <v>0</v>
      </c>
      <c r="D28" s="772">
        <v>0</v>
      </c>
      <c r="E28" s="772">
        <v>0</v>
      </c>
      <c r="F28" s="772">
        <v>0</v>
      </c>
      <c r="G28" s="772">
        <v>0</v>
      </c>
      <c r="H28" s="786">
        <f t="shared" si="0"/>
        <v>0</v>
      </c>
      <c r="I28" s="806">
        <v>0</v>
      </c>
      <c r="J28" s="806">
        <v>0</v>
      </c>
      <c r="K28" s="807">
        <v>0</v>
      </c>
      <c r="L28" s="802">
        <v>0</v>
      </c>
      <c r="M28" s="803">
        <v>0</v>
      </c>
      <c r="N28" s="780">
        <v>0</v>
      </c>
      <c r="O28" s="776">
        <v>0</v>
      </c>
      <c r="P28" s="803">
        <v>0</v>
      </c>
      <c r="Q28" s="781">
        <v>0</v>
      </c>
      <c r="R28" s="803">
        <v>0</v>
      </c>
      <c r="S28" s="803">
        <v>0</v>
      </c>
      <c r="T28" s="803">
        <v>0</v>
      </c>
      <c r="U28" s="809">
        <v>0</v>
      </c>
      <c r="V28" s="772">
        <v>0</v>
      </c>
      <c r="W28" s="783">
        <v>0</v>
      </c>
      <c r="X28" s="803">
        <v>0</v>
      </c>
      <c r="Y28" s="803">
        <v>0</v>
      </c>
      <c r="Z28" s="802">
        <v>0</v>
      </c>
      <c r="AA28" s="803">
        <v>0</v>
      </c>
      <c r="AB28" s="803">
        <v>0</v>
      </c>
      <c r="AC28" s="803">
        <v>0</v>
      </c>
      <c r="AD28" s="808">
        <v>0</v>
      </c>
      <c r="AE28" s="803">
        <v>0</v>
      </c>
      <c r="AF28" s="771">
        <f t="shared" si="1"/>
        <v>0</v>
      </c>
      <c r="AG28" s="805">
        <f t="shared" si="2"/>
        <v>0</v>
      </c>
      <c r="AH28" s="135"/>
      <c r="AI28" s="132"/>
      <c r="AS28" s="1097" t="s">
        <v>1428</v>
      </c>
      <c r="AT28" s="1097" t="s">
        <v>1429</v>
      </c>
      <c r="DS28" s="304"/>
      <c r="DT28" s="304"/>
      <c r="DU28" s="647" t="s">
        <v>571</v>
      </c>
      <c r="DV28" s="647" t="s">
        <v>1134</v>
      </c>
      <c r="DW28" s="647" t="s">
        <v>1134</v>
      </c>
      <c r="DX28" s="647" t="s">
        <v>1134</v>
      </c>
      <c r="DY28" s="647" t="s">
        <v>1134</v>
      </c>
      <c r="DZ28" s="647" t="s">
        <v>1134</v>
      </c>
      <c r="EA28" s="647" t="s">
        <v>1428</v>
      </c>
      <c r="EB28" s="647" t="s">
        <v>1135</v>
      </c>
      <c r="EC28" s="647" t="s">
        <v>1134</v>
      </c>
      <c r="ED28" s="647" t="s">
        <v>1136</v>
      </c>
    </row>
    <row r="29" spans="1:134" x14ac:dyDescent="0.2">
      <c r="A29" s="749" t="s">
        <v>19</v>
      </c>
      <c r="B29" s="145">
        <v>22</v>
      </c>
      <c r="C29" s="770">
        <v>0</v>
      </c>
      <c r="D29" s="770">
        <v>0</v>
      </c>
      <c r="E29" s="770">
        <v>0</v>
      </c>
      <c r="F29" s="770">
        <v>9.2999999999999999E-2</v>
      </c>
      <c r="G29" s="770">
        <v>0</v>
      </c>
      <c r="H29" s="786">
        <f t="shared" si="0"/>
        <v>9.2999999999999999E-2</v>
      </c>
      <c r="I29" s="776">
        <v>0</v>
      </c>
      <c r="J29" s="776">
        <v>0</v>
      </c>
      <c r="K29" s="801">
        <v>101.43899999999999</v>
      </c>
      <c r="L29" s="802">
        <v>157.124</v>
      </c>
      <c r="M29" s="803">
        <v>0</v>
      </c>
      <c r="N29" s="777">
        <v>157.124</v>
      </c>
      <c r="O29" s="776">
        <v>0</v>
      </c>
      <c r="P29" s="803">
        <v>0</v>
      </c>
      <c r="Q29" s="781">
        <v>0</v>
      </c>
      <c r="R29" s="803">
        <v>0</v>
      </c>
      <c r="S29" s="778">
        <v>0</v>
      </c>
      <c r="T29" s="778">
        <v>0</v>
      </c>
      <c r="U29" s="804">
        <v>0</v>
      </c>
      <c r="V29" s="772">
        <v>0</v>
      </c>
      <c r="W29" s="783">
        <v>0</v>
      </c>
      <c r="X29" s="803">
        <v>0</v>
      </c>
      <c r="Y29" s="778">
        <v>0</v>
      </c>
      <c r="Z29" s="802">
        <v>0</v>
      </c>
      <c r="AA29" s="803">
        <v>0</v>
      </c>
      <c r="AB29" s="803">
        <v>0</v>
      </c>
      <c r="AC29" s="778">
        <v>0</v>
      </c>
      <c r="AD29" s="782">
        <v>6.8620000000000001</v>
      </c>
      <c r="AE29" s="803">
        <v>0.63600000000000001</v>
      </c>
      <c r="AF29" s="771">
        <f t="shared" si="1"/>
        <v>266.06099999999998</v>
      </c>
      <c r="AG29" s="805">
        <f t="shared" si="2"/>
        <v>266.154</v>
      </c>
      <c r="AH29" s="135">
        <f t="shared" si="4"/>
        <v>0</v>
      </c>
      <c r="AI29" s="132" t="str">
        <f t="shared" si="5"/>
        <v xml:space="preserve"> </v>
      </c>
      <c r="AS29" s="139" t="s">
        <v>429</v>
      </c>
      <c r="AT29" s="139" t="s">
        <v>430</v>
      </c>
      <c r="DS29" s="304"/>
      <c r="DT29" s="304"/>
      <c r="DU29" s="647" t="s">
        <v>571</v>
      </c>
      <c r="DV29" s="647" t="s">
        <v>1134</v>
      </c>
      <c r="DW29" s="647" t="s">
        <v>1134</v>
      </c>
      <c r="DX29" s="647" t="s">
        <v>1134</v>
      </c>
      <c r="DY29" s="647" t="s">
        <v>1134</v>
      </c>
      <c r="DZ29" s="647" t="s">
        <v>1134</v>
      </c>
      <c r="EA29" s="647" t="s">
        <v>429</v>
      </c>
      <c r="EB29" s="647" t="s">
        <v>1135</v>
      </c>
      <c r="EC29" s="647" t="s">
        <v>1134</v>
      </c>
      <c r="ED29" s="647" t="s">
        <v>1136</v>
      </c>
    </row>
    <row r="30" spans="1:134" x14ac:dyDescent="0.2">
      <c r="A30" s="749" t="s">
        <v>960</v>
      </c>
      <c r="B30" s="145">
        <v>23</v>
      </c>
      <c r="C30" s="770">
        <v>0</v>
      </c>
      <c r="D30" s="770">
        <v>0</v>
      </c>
      <c r="E30" s="770">
        <v>0</v>
      </c>
      <c r="F30" s="770">
        <v>0</v>
      </c>
      <c r="G30" s="770">
        <v>0</v>
      </c>
      <c r="H30" s="786">
        <f t="shared" si="0"/>
        <v>0</v>
      </c>
      <c r="I30" s="776">
        <v>0</v>
      </c>
      <c r="J30" s="776">
        <v>0</v>
      </c>
      <c r="K30" s="801">
        <v>0</v>
      </c>
      <c r="L30" s="802">
        <v>0</v>
      </c>
      <c r="M30" s="803">
        <v>0</v>
      </c>
      <c r="N30" s="777">
        <v>0</v>
      </c>
      <c r="O30" s="776">
        <v>0</v>
      </c>
      <c r="P30" s="803">
        <v>0</v>
      </c>
      <c r="Q30" s="781">
        <v>0</v>
      </c>
      <c r="R30" s="803">
        <v>0</v>
      </c>
      <c r="S30" s="778">
        <v>0</v>
      </c>
      <c r="T30" s="778">
        <v>0</v>
      </c>
      <c r="U30" s="804">
        <v>0</v>
      </c>
      <c r="V30" s="772">
        <v>0</v>
      </c>
      <c r="W30" s="783">
        <v>0</v>
      </c>
      <c r="X30" s="803">
        <v>0</v>
      </c>
      <c r="Y30" s="778">
        <v>0</v>
      </c>
      <c r="Z30" s="802">
        <v>0</v>
      </c>
      <c r="AA30" s="803">
        <v>0</v>
      </c>
      <c r="AB30" s="803">
        <v>0</v>
      </c>
      <c r="AC30" s="778">
        <v>0</v>
      </c>
      <c r="AD30" s="782">
        <v>0</v>
      </c>
      <c r="AE30" s="803">
        <v>0</v>
      </c>
      <c r="AF30" s="771">
        <f t="shared" si="1"/>
        <v>0</v>
      </c>
      <c r="AG30" s="805">
        <f t="shared" si="2"/>
        <v>0</v>
      </c>
      <c r="AH30" s="135">
        <f t="shared" si="4"/>
        <v>0</v>
      </c>
      <c r="AI30" s="132" t="str">
        <f t="shared" si="5"/>
        <v xml:space="preserve"> </v>
      </c>
      <c r="AS30" s="139" t="s">
        <v>1028</v>
      </c>
      <c r="AT30" s="139" t="s">
        <v>1029</v>
      </c>
      <c r="DS30" s="304"/>
      <c r="DT30" s="304"/>
      <c r="DU30" s="647" t="s">
        <v>571</v>
      </c>
      <c r="DV30" s="647" t="s">
        <v>1134</v>
      </c>
      <c r="DW30" s="647" t="s">
        <v>1134</v>
      </c>
      <c r="DX30" s="647" t="s">
        <v>1134</v>
      </c>
      <c r="DY30" s="647" t="s">
        <v>1134</v>
      </c>
      <c r="DZ30" s="647" t="s">
        <v>1134</v>
      </c>
      <c r="EA30" s="647" t="s">
        <v>1028</v>
      </c>
      <c r="EB30" s="647" t="s">
        <v>1135</v>
      </c>
      <c r="EC30" s="647" t="s">
        <v>1134</v>
      </c>
      <c r="ED30" s="647" t="s">
        <v>1136</v>
      </c>
    </row>
    <row r="31" spans="1:134" x14ac:dyDescent="0.2">
      <c r="A31" s="749" t="s">
        <v>600</v>
      </c>
      <c r="B31" s="145">
        <v>24</v>
      </c>
      <c r="C31" s="770">
        <v>0</v>
      </c>
      <c r="D31" s="770">
        <v>0</v>
      </c>
      <c r="E31" s="770">
        <v>0</v>
      </c>
      <c r="F31" s="770">
        <v>0</v>
      </c>
      <c r="G31" s="770">
        <v>0</v>
      </c>
      <c r="H31" s="786">
        <f t="shared" si="0"/>
        <v>0</v>
      </c>
      <c r="I31" s="776">
        <v>0</v>
      </c>
      <c r="J31" s="776">
        <v>0</v>
      </c>
      <c r="K31" s="801">
        <v>0</v>
      </c>
      <c r="L31" s="802">
        <v>0</v>
      </c>
      <c r="M31" s="803">
        <v>0</v>
      </c>
      <c r="N31" s="777">
        <v>0</v>
      </c>
      <c r="O31" s="776">
        <v>0</v>
      </c>
      <c r="P31" s="803">
        <v>0</v>
      </c>
      <c r="Q31" s="781">
        <v>0</v>
      </c>
      <c r="R31" s="803">
        <v>0</v>
      </c>
      <c r="S31" s="778">
        <v>0</v>
      </c>
      <c r="T31" s="778">
        <v>0</v>
      </c>
      <c r="U31" s="804">
        <v>0</v>
      </c>
      <c r="V31" s="772">
        <v>0</v>
      </c>
      <c r="W31" s="783">
        <v>0</v>
      </c>
      <c r="X31" s="803">
        <v>0</v>
      </c>
      <c r="Y31" s="778">
        <v>0</v>
      </c>
      <c r="Z31" s="802">
        <v>0</v>
      </c>
      <c r="AA31" s="803">
        <v>0</v>
      </c>
      <c r="AB31" s="803">
        <v>0</v>
      </c>
      <c r="AC31" s="778">
        <v>0</v>
      </c>
      <c r="AD31" s="782">
        <v>0</v>
      </c>
      <c r="AE31" s="803">
        <v>0</v>
      </c>
      <c r="AF31" s="771">
        <f t="shared" si="1"/>
        <v>0</v>
      </c>
      <c r="AG31" s="805">
        <f t="shared" si="2"/>
        <v>0</v>
      </c>
      <c r="AH31" s="135">
        <f t="shared" si="4"/>
        <v>0</v>
      </c>
      <c r="AI31" s="132" t="str">
        <f t="shared" si="5"/>
        <v xml:space="preserve"> </v>
      </c>
      <c r="AS31" s="139" t="s">
        <v>431</v>
      </c>
      <c r="AT31" s="139" t="s">
        <v>432</v>
      </c>
      <c r="DS31" s="304"/>
      <c r="DT31" s="304"/>
      <c r="DU31" s="647" t="s">
        <v>571</v>
      </c>
      <c r="DV31" s="647" t="s">
        <v>1134</v>
      </c>
      <c r="DW31" s="647" t="s">
        <v>1134</v>
      </c>
      <c r="DX31" s="647" t="s">
        <v>1134</v>
      </c>
      <c r="DY31" s="647" t="s">
        <v>1134</v>
      </c>
      <c r="DZ31" s="647" t="s">
        <v>1134</v>
      </c>
      <c r="EA31" s="647" t="s">
        <v>431</v>
      </c>
      <c r="EB31" s="647" t="s">
        <v>1135</v>
      </c>
      <c r="EC31" s="647" t="s">
        <v>1134</v>
      </c>
      <c r="ED31" s="647" t="s">
        <v>1136</v>
      </c>
    </row>
    <row r="32" spans="1:134" x14ac:dyDescent="0.2">
      <c r="A32" s="749" t="s">
        <v>20</v>
      </c>
      <c r="B32" s="145">
        <v>25</v>
      </c>
      <c r="C32" s="770">
        <v>0</v>
      </c>
      <c r="D32" s="770">
        <v>0</v>
      </c>
      <c r="E32" s="770">
        <v>0</v>
      </c>
      <c r="F32" s="770">
        <v>2E-3</v>
      </c>
      <c r="G32" s="770">
        <v>0</v>
      </c>
      <c r="H32" s="786">
        <f t="shared" si="0"/>
        <v>2E-3</v>
      </c>
      <c r="I32" s="776">
        <v>0</v>
      </c>
      <c r="J32" s="776">
        <v>1E-3</v>
      </c>
      <c r="K32" s="801">
        <v>2E-3</v>
      </c>
      <c r="L32" s="802">
        <v>4.0000000000000001E-3</v>
      </c>
      <c r="M32" s="803">
        <v>0</v>
      </c>
      <c r="N32" s="777">
        <v>4.0000000000000001E-3</v>
      </c>
      <c r="O32" s="776">
        <v>0</v>
      </c>
      <c r="P32" s="803">
        <v>0</v>
      </c>
      <c r="Q32" s="781">
        <v>7.0000000000000001E-3</v>
      </c>
      <c r="R32" s="803">
        <v>0</v>
      </c>
      <c r="S32" s="778">
        <v>7.0000000000000001E-3</v>
      </c>
      <c r="T32" s="778">
        <v>1E-3</v>
      </c>
      <c r="U32" s="804">
        <v>2E-3</v>
      </c>
      <c r="V32" s="772">
        <v>1E-3</v>
      </c>
      <c r="W32" s="783">
        <v>3.0000000000000001E-3</v>
      </c>
      <c r="X32" s="803">
        <v>4.5999999999999999E-2</v>
      </c>
      <c r="Y32" s="778">
        <v>-4.2999999999999997E-2</v>
      </c>
      <c r="Z32" s="802">
        <v>1.7000000000000001E-2</v>
      </c>
      <c r="AA32" s="803">
        <v>1.0999999999999999E-2</v>
      </c>
      <c r="AB32" s="803">
        <v>0</v>
      </c>
      <c r="AC32" s="778">
        <v>6.0000000000000001E-3</v>
      </c>
      <c r="AD32" s="782">
        <v>0</v>
      </c>
      <c r="AE32" s="803">
        <v>0.311</v>
      </c>
      <c r="AF32" s="771">
        <f t="shared" si="1"/>
        <v>0.34599999999999997</v>
      </c>
      <c r="AG32" s="805">
        <f t="shared" si="2"/>
        <v>0.34799999999999998</v>
      </c>
      <c r="AH32" s="135">
        <f t="shared" si="4"/>
        <v>0</v>
      </c>
      <c r="AI32" s="132" t="str">
        <f t="shared" si="5"/>
        <v xml:space="preserve"> </v>
      </c>
      <c r="AS32" s="139" t="s">
        <v>433</v>
      </c>
      <c r="AT32" s="139" t="s">
        <v>434</v>
      </c>
      <c r="DS32" s="304"/>
      <c r="DT32" s="304"/>
      <c r="DU32" s="647" t="s">
        <v>571</v>
      </c>
      <c r="DV32" s="647" t="s">
        <v>1134</v>
      </c>
      <c r="DW32" s="647" t="s">
        <v>1134</v>
      </c>
      <c r="DX32" s="647" t="s">
        <v>1134</v>
      </c>
      <c r="DY32" s="647" t="s">
        <v>1134</v>
      </c>
      <c r="DZ32" s="647" t="s">
        <v>1134</v>
      </c>
      <c r="EA32" s="647" t="s">
        <v>433</v>
      </c>
      <c r="EB32" s="647" t="s">
        <v>1135</v>
      </c>
      <c r="EC32" s="647" t="s">
        <v>1134</v>
      </c>
      <c r="ED32" s="647" t="s">
        <v>1136</v>
      </c>
    </row>
    <row r="33" spans="1:134" x14ac:dyDescent="0.2">
      <c r="A33" s="749" t="s">
        <v>961</v>
      </c>
      <c r="B33" s="145">
        <v>26</v>
      </c>
      <c r="C33" s="770">
        <v>0</v>
      </c>
      <c r="D33" s="770">
        <v>0</v>
      </c>
      <c r="E33" s="770">
        <v>0</v>
      </c>
      <c r="F33" s="770">
        <v>0</v>
      </c>
      <c r="G33" s="770">
        <v>0</v>
      </c>
      <c r="H33" s="786">
        <f t="shared" si="0"/>
        <v>0</v>
      </c>
      <c r="I33" s="776">
        <v>0</v>
      </c>
      <c r="J33" s="776">
        <v>0</v>
      </c>
      <c r="K33" s="801">
        <v>0</v>
      </c>
      <c r="L33" s="802">
        <v>0</v>
      </c>
      <c r="M33" s="803">
        <v>0</v>
      </c>
      <c r="N33" s="777">
        <v>0</v>
      </c>
      <c r="O33" s="776">
        <v>0</v>
      </c>
      <c r="P33" s="803">
        <v>0</v>
      </c>
      <c r="Q33" s="781">
        <v>0</v>
      </c>
      <c r="R33" s="803">
        <v>0</v>
      </c>
      <c r="S33" s="778">
        <v>0</v>
      </c>
      <c r="T33" s="778">
        <v>0</v>
      </c>
      <c r="U33" s="804">
        <v>0</v>
      </c>
      <c r="V33" s="772">
        <v>0</v>
      </c>
      <c r="W33" s="783">
        <v>0</v>
      </c>
      <c r="X33" s="803">
        <v>0</v>
      </c>
      <c r="Y33" s="778">
        <v>0</v>
      </c>
      <c r="Z33" s="802">
        <v>0</v>
      </c>
      <c r="AA33" s="803">
        <v>0</v>
      </c>
      <c r="AB33" s="803">
        <v>0</v>
      </c>
      <c r="AC33" s="778">
        <v>0</v>
      </c>
      <c r="AD33" s="782">
        <v>0</v>
      </c>
      <c r="AE33" s="803">
        <v>0</v>
      </c>
      <c r="AF33" s="771">
        <f t="shared" si="1"/>
        <v>0</v>
      </c>
      <c r="AG33" s="805">
        <f t="shared" si="2"/>
        <v>0</v>
      </c>
      <c r="AH33" s="135">
        <f t="shared" si="4"/>
        <v>0</v>
      </c>
      <c r="AI33" s="132" t="str">
        <f t="shared" si="5"/>
        <v xml:space="preserve"> </v>
      </c>
      <c r="AS33" s="139" t="s">
        <v>1030</v>
      </c>
      <c r="AT33" s="139" t="s">
        <v>1031</v>
      </c>
      <c r="DS33" s="304"/>
      <c r="DT33" s="304"/>
      <c r="DU33" s="647" t="s">
        <v>571</v>
      </c>
      <c r="DV33" s="647" t="s">
        <v>1134</v>
      </c>
      <c r="DW33" s="647" t="s">
        <v>1134</v>
      </c>
      <c r="DX33" s="647" t="s">
        <v>1134</v>
      </c>
      <c r="DY33" s="647" t="s">
        <v>1134</v>
      </c>
      <c r="DZ33" s="647" t="s">
        <v>1134</v>
      </c>
      <c r="EA33" s="647" t="s">
        <v>1030</v>
      </c>
      <c r="EB33" s="647" t="s">
        <v>1135</v>
      </c>
      <c r="EC33" s="647" t="s">
        <v>1134</v>
      </c>
      <c r="ED33" s="647" t="s">
        <v>1136</v>
      </c>
    </row>
    <row r="34" spans="1:134" x14ac:dyDescent="0.2">
      <c r="A34" s="749" t="s">
        <v>21</v>
      </c>
      <c r="B34" s="145">
        <v>27</v>
      </c>
      <c r="C34" s="770">
        <v>0</v>
      </c>
      <c r="D34" s="770">
        <v>0</v>
      </c>
      <c r="E34" s="770">
        <v>0</v>
      </c>
      <c r="F34" s="770">
        <v>0</v>
      </c>
      <c r="G34" s="770">
        <v>0</v>
      </c>
      <c r="H34" s="786">
        <f t="shared" si="0"/>
        <v>0</v>
      </c>
      <c r="I34" s="776">
        <v>0</v>
      </c>
      <c r="J34" s="776">
        <v>0</v>
      </c>
      <c r="K34" s="801">
        <v>1E-3</v>
      </c>
      <c r="L34" s="802">
        <v>3.0000000000000001E-3</v>
      </c>
      <c r="M34" s="803">
        <v>0</v>
      </c>
      <c r="N34" s="777">
        <v>3.0000000000000001E-3</v>
      </c>
      <c r="O34" s="776">
        <v>1.4999999999999999E-2</v>
      </c>
      <c r="P34" s="803">
        <v>0</v>
      </c>
      <c r="Q34" s="781">
        <v>0</v>
      </c>
      <c r="R34" s="803">
        <v>0</v>
      </c>
      <c r="S34" s="778">
        <v>0</v>
      </c>
      <c r="T34" s="778">
        <v>0</v>
      </c>
      <c r="U34" s="804">
        <v>0</v>
      </c>
      <c r="V34" s="772">
        <v>0</v>
      </c>
      <c r="W34" s="783">
        <v>0</v>
      </c>
      <c r="X34" s="803">
        <v>0</v>
      </c>
      <c r="Y34" s="778">
        <v>0</v>
      </c>
      <c r="Z34" s="802">
        <v>0</v>
      </c>
      <c r="AA34" s="803">
        <v>0</v>
      </c>
      <c r="AB34" s="803">
        <v>0</v>
      </c>
      <c r="AC34" s="778">
        <v>0</v>
      </c>
      <c r="AD34" s="782">
        <v>0</v>
      </c>
      <c r="AE34" s="803">
        <v>0.191</v>
      </c>
      <c r="AF34" s="771">
        <f t="shared" si="1"/>
        <v>0.21</v>
      </c>
      <c r="AG34" s="805">
        <f t="shared" si="2"/>
        <v>0.21</v>
      </c>
      <c r="AH34" s="135">
        <f t="shared" si="4"/>
        <v>0</v>
      </c>
      <c r="AI34" s="132" t="str">
        <f t="shared" si="5"/>
        <v xml:space="preserve"> </v>
      </c>
      <c r="AS34" s="139" t="s">
        <v>435</v>
      </c>
      <c r="AT34" s="139" t="s">
        <v>436</v>
      </c>
      <c r="DS34" s="304"/>
      <c r="DT34" s="304"/>
      <c r="DU34" s="647" t="s">
        <v>571</v>
      </c>
      <c r="DV34" s="647" t="s">
        <v>1134</v>
      </c>
      <c r="DW34" s="647" t="s">
        <v>1134</v>
      </c>
      <c r="DX34" s="647" t="s">
        <v>1134</v>
      </c>
      <c r="DY34" s="647" t="s">
        <v>1134</v>
      </c>
      <c r="DZ34" s="647" t="s">
        <v>1134</v>
      </c>
      <c r="EA34" s="647" t="s">
        <v>435</v>
      </c>
      <c r="EB34" s="647" t="s">
        <v>1135</v>
      </c>
      <c r="EC34" s="647" t="s">
        <v>1134</v>
      </c>
      <c r="ED34" s="647" t="s">
        <v>1136</v>
      </c>
    </row>
    <row r="35" spans="1:134" x14ac:dyDescent="0.2">
      <c r="A35" s="749" t="s">
        <v>22</v>
      </c>
      <c r="B35" s="145">
        <v>28</v>
      </c>
      <c r="C35" s="770">
        <v>0</v>
      </c>
      <c r="D35" s="770">
        <v>0</v>
      </c>
      <c r="E35" s="770">
        <v>0</v>
      </c>
      <c r="F35" s="770">
        <v>0</v>
      </c>
      <c r="G35" s="770">
        <v>0</v>
      </c>
      <c r="H35" s="786">
        <f t="shared" si="0"/>
        <v>0</v>
      </c>
      <c r="I35" s="776">
        <v>0</v>
      </c>
      <c r="J35" s="776">
        <v>0</v>
      </c>
      <c r="K35" s="801">
        <v>22.457999999999998</v>
      </c>
      <c r="L35" s="802">
        <v>34.786000000000001</v>
      </c>
      <c r="M35" s="803">
        <v>0</v>
      </c>
      <c r="N35" s="777">
        <v>34.786000000000001</v>
      </c>
      <c r="O35" s="776">
        <v>0</v>
      </c>
      <c r="P35" s="803">
        <v>0</v>
      </c>
      <c r="Q35" s="781">
        <v>0</v>
      </c>
      <c r="R35" s="803">
        <v>0</v>
      </c>
      <c r="S35" s="778">
        <v>0</v>
      </c>
      <c r="T35" s="778">
        <v>0</v>
      </c>
      <c r="U35" s="804">
        <v>4.3289999999999997</v>
      </c>
      <c r="V35" s="772">
        <v>1.44</v>
      </c>
      <c r="W35" s="783">
        <v>5.7679999999999998</v>
      </c>
      <c r="X35" s="803">
        <v>0</v>
      </c>
      <c r="Y35" s="778">
        <v>5.7679999999999998</v>
      </c>
      <c r="Z35" s="802">
        <v>45.087000000000003</v>
      </c>
      <c r="AA35" s="803">
        <v>28.873999999999999</v>
      </c>
      <c r="AB35" s="803">
        <v>0</v>
      </c>
      <c r="AC35" s="778">
        <v>16.212</v>
      </c>
      <c r="AD35" s="782">
        <v>0</v>
      </c>
      <c r="AE35" s="803">
        <v>7.0410000000000004</v>
      </c>
      <c r="AF35" s="771">
        <f t="shared" si="1"/>
        <v>115.14</v>
      </c>
      <c r="AG35" s="805">
        <f t="shared" si="2"/>
        <v>115.14</v>
      </c>
      <c r="AH35" s="135">
        <f t="shared" si="4"/>
        <v>0</v>
      </c>
      <c r="AI35" s="132" t="str">
        <f t="shared" si="5"/>
        <v xml:space="preserve"> </v>
      </c>
      <c r="AS35" s="139" t="s">
        <v>238</v>
      </c>
      <c r="AT35" s="139" t="s">
        <v>237</v>
      </c>
      <c r="DS35" s="304"/>
      <c r="DT35" s="304"/>
      <c r="DU35" s="647" t="s">
        <v>571</v>
      </c>
      <c r="DV35" s="647" t="s">
        <v>1134</v>
      </c>
      <c r="DW35" s="647" t="s">
        <v>1134</v>
      </c>
      <c r="DX35" s="647" t="s">
        <v>1134</v>
      </c>
      <c r="DY35" s="647" t="s">
        <v>1134</v>
      </c>
      <c r="DZ35" s="647" t="s">
        <v>1134</v>
      </c>
      <c r="EA35" s="647" t="s">
        <v>238</v>
      </c>
      <c r="EB35" s="647" t="s">
        <v>1135</v>
      </c>
      <c r="EC35" s="647" t="s">
        <v>1134</v>
      </c>
      <c r="ED35" s="647" t="s">
        <v>1136</v>
      </c>
    </row>
    <row r="36" spans="1:134" x14ac:dyDescent="0.2">
      <c r="A36" s="749" t="s">
        <v>962</v>
      </c>
      <c r="B36" s="145">
        <v>29</v>
      </c>
      <c r="C36" s="770">
        <v>0</v>
      </c>
      <c r="D36" s="770">
        <v>0</v>
      </c>
      <c r="E36" s="770">
        <v>0</v>
      </c>
      <c r="F36" s="770">
        <v>0</v>
      </c>
      <c r="G36" s="770">
        <v>0</v>
      </c>
      <c r="H36" s="786">
        <f t="shared" si="0"/>
        <v>0</v>
      </c>
      <c r="I36" s="776">
        <v>0</v>
      </c>
      <c r="J36" s="776">
        <v>0</v>
      </c>
      <c r="K36" s="801">
        <v>0</v>
      </c>
      <c r="L36" s="802">
        <v>0</v>
      </c>
      <c r="M36" s="803">
        <v>0</v>
      </c>
      <c r="N36" s="777">
        <v>0</v>
      </c>
      <c r="O36" s="776">
        <v>0</v>
      </c>
      <c r="P36" s="803">
        <v>0</v>
      </c>
      <c r="Q36" s="781">
        <v>0</v>
      </c>
      <c r="R36" s="803">
        <v>0</v>
      </c>
      <c r="S36" s="778">
        <v>0</v>
      </c>
      <c r="T36" s="778">
        <v>0</v>
      </c>
      <c r="U36" s="804">
        <v>0</v>
      </c>
      <c r="V36" s="772">
        <v>0</v>
      </c>
      <c r="W36" s="783">
        <v>0</v>
      </c>
      <c r="X36" s="803">
        <v>0</v>
      </c>
      <c r="Y36" s="778">
        <v>0</v>
      </c>
      <c r="Z36" s="802">
        <v>0</v>
      </c>
      <c r="AA36" s="803">
        <v>0</v>
      </c>
      <c r="AB36" s="803">
        <v>0</v>
      </c>
      <c r="AC36" s="778">
        <v>0</v>
      </c>
      <c r="AD36" s="782">
        <v>0</v>
      </c>
      <c r="AE36" s="803">
        <v>0</v>
      </c>
      <c r="AF36" s="771">
        <f t="shared" si="1"/>
        <v>0</v>
      </c>
      <c r="AG36" s="805">
        <f t="shared" si="2"/>
        <v>0</v>
      </c>
      <c r="AH36" s="135">
        <f t="shared" si="4"/>
        <v>0</v>
      </c>
      <c r="AI36" s="132" t="str">
        <f t="shared" si="5"/>
        <v xml:space="preserve"> </v>
      </c>
      <c r="AS36" s="139" t="s">
        <v>1032</v>
      </c>
      <c r="AT36" s="139" t="s">
        <v>1033</v>
      </c>
      <c r="DS36" s="304"/>
      <c r="DT36" s="304"/>
      <c r="DU36" s="647" t="s">
        <v>571</v>
      </c>
      <c r="DV36" s="647" t="s">
        <v>1134</v>
      </c>
      <c r="DW36" s="647" t="s">
        <v>1134</v>
      </c>
      <c r="DX36" s="647" t="s">
        <v>1134</v>
      </c>
      <c r="DY36" s="647" t="s">
        <v>1134</v>
      </c>
      <c r="DZ36" s="647" t="s">
        <v>1134</v>
      </c>
      <c r="EA36" s="647" t="s">
        <v>1032</v>
      </c>
      <c r="EB36" s="647" t="s">
        <v>1135</v>
      </c>
      <c r="EC36" s="647" t="s">
        <v>1134</v>
      </c>
      <c r="ED36" s="647" t="s">
        <v>1136</v>
      </c>
    </row>
    <row r="37" spans="1:134" x14ac:dyDescent="0.2">
      <c r="A37" s="749" t="s">
        <v>613</v>
      </c>
      <c r="B37" s="145">
        <v>30</v>
      </c>
      <c r="C37" s="770">
        <v>0</v>
      </c>
      <c r="D37" s="770">
        <v>0</v>
      </c>
      <c r="E37" s="770">
        <v>0</v>
      </c>
      <c r="F37" s="770">
        <v>6.0000000000000001E-3</v>
      </c>
      <c r="G37" s="770">
        <v>0</v>
      </c>
      <c r="H37" s="786">
        <f t="shared" si="0"/>
        <v>6.0000000000000001E-3</v>
      </c>
      <c r="I37" s="776">
        <v>0</v>
      </c>
      <c r="J37" s="776">
        <v>0</v>
      </c>
      <c r="K37" s="801">
        <v>0</v>
      </c>
      <c r="L37" s="802">
        <v>0</v>
      </c>
      <c r="M37" s="803">
        <v>0</v>
      </c>
      <c r="N37" s="777">
        <v>0</v>
      </c>
      <c r="O37" s="776">
        <v>0</v>
      </c>
      <c r="P37" s="803">
        <v>0</v>
      </c>
      <c r="Q37" s="781">
        <v>0</v>
      </c>
      <c r="R37" s="803">
        <v>0</v>
      </c>
      <c r="S37" s="778">
        <v>0</v>
      </c>
      <c r="T37" s="778">
        <v>0</v>
      </c>
      <c r="U37" s="804">
        <v>0</v>
      </c>
      <c r="V37" s="772">
        <v>0</v>
      </c>
      <c r="W37" s="783">
        <v>0</v>
      </c>
      <c r="X37" s="803">
        <v>0</v>
      </c>
      <c r="Y37" s="778">
        <v>0</v>
      </c>
      <c r="Z37" s="802">
        <v>0</v>
      </c>
      <c r="AA37" s="803">
        <v>0</v>
      </c>
      <c r="AB37" s="803">
        <v>0</v>
      </c>
      <c r="AC37" s="778">
        <v>0</v>
      </c>
      <c r="AD37" s="782">
        <v>0</v>
      </c>
      <c r="AE37" s="803">
        <v>4.3999999999999997E-2</v>
      </c>
      <c r="AF37" s="771">
        <f>ROUND(SUM(I37:L37,O37:Q37,T37,W37,Z37,AD37:AE37),3)</f>
        <v>4.3999999999999997E-2</v>
      </c>
      <c r="AG37" s="805">
        <f t="shared" si="2"/>
        <v>0.05</v>
      </c>
      <c r="AH37" s="135">
        <f t="shared" si="4"/>
        <v>0</v>
      </c>
      <c r="AI37" s="132" t="str">
        <f t="shared" si="5"/>
        <v xml:space="preserve"> </v>
      </c>
      <c r="AJ37" s="2"/>
      <c r="AL37" s="141"/>
      <c r="AS37" s="130" t="s">
        <v>617</v>
      </c>
      <c r="AT37" s="130" t="s">
        <v>618</v>
      </c>
      <c r="DS37" s="304"/>
      <c r="DT37" s="304"/>
      <c r="DU37" s="647" t="s">
        <v>571</v>
      </c>
      <c r="DV37" s="647" t="s">
        <v>1134</v>
      </c>
      <c r="DW37" s="647" t="s">
        <v>1134</v>
      </c>
      <c r="DX37" s="647" t="s">
        <v>1134</v>
      </c>
      <c r="DY37" s="647" t="s">
        <v>1134</v>
      </c>
      <c r="DZ37" s="647" t="s">
        <v>1134</v>
      </c>
      <c r="EA37" s="647" t="s">
        <v>617</v>
      </c>
      <c r="EB37" s="647" t="s">
        <v>1135</v>
      </c>
      <c r="EC37" s="647" t="s">
        <v>1134</v>
      </c>
      <c r="ED37" s="647" t="s">
        <v>1136</v>
      </c>
    </row>
    <row r="38" spans="1:134" x14ac:dyDescent="0.2">
      <c r="A38" s="749" t="s">
        <v>963</v>
      </c>
      <c r="B38" s="145">
        <v>31</v>
      </c>
      <c r="C38" s="770">
        <v>0</v>
      </c>
      <c r="D38" s="770">
        <v>0</v>
      </c>
      <c r="E38" s="770">
        <v>0</v>
      </c>
      <c r="F38" s="770">
        <v>1.4E-2</v>
      </c>
      <c r="G38" s="770">
        <v>0</v>
      </c>
      <c r="H38" s="786">
        <f t="shared" si="0"/>
        <v>1.4E-2</v>
      </c>
      <c r="I38" s="776">
        <v>0</v>
      </c>
      <c r="J38" s="776">
        <v>0</v>
      </c>
      <c r="K38" s="801">
        <v>0</v>
      </c>
      <c r="L38" s="802">
        <v>0</v>
      </c>
      <c r="M38" s="803">
        <v>0</v>
      </c>
      <c r="N38" s="777">
        <v>0</v>
      </c>
      <c r="O38" s="776">
        <v>0</v>
      </c>
      <c r="P38" s="803">
        <v>0</v>
      </c>
      <c r="Q38" s="781">
        <v>0</v>
      </c>
      <c r="R38" s="803">
        <v>0</v>
      </c>
      <c r="S38" s="778">
        <v>0</v>
      </c>
      <c r="T38" s="778">
        <v>0</v>
      </c>
      <c r="U38" s="804">
        <v>1.6E-2</v>
      </c>
      <c r="V38" s="772">
        <v>5.0000000000000001E-3</v>
      </c>
      <c r="W38" s="783">
        <v>2.1000000000000001E-2</v>
      </c>
      <c r="X38" s="803">
        <v>0</v>
      </c>
      <c r="Y38" s="778">
        <v>2.1000000000000001E-2</v>
      </c>
      <c r="Z38" s="802">
        <v>0</v>
      </c>
      <c r="AA38" s="803">
        <v>0</v>
      </c>
      <c r="AB38" s="803">
        <v>0</v>
      </c>
      <c r="AC38" s="778">
        <v>0</v>
      </c>
      <c r="AD38" s="782">
        <v>1.9930000000000001</v>
      </c>
      <c r="AE38" s="803">
        <v>0.67400000000000004</v>
      </c>
      <c r="AF38" s="771">
        <f t="shared" ref="AF38:AF101" si="6">ROUND(SUM(I38:K38,L38,O38:Q38,T38,W38,Z38,AD38:AE38),3)</f>
        <v>2.6880000000000002</v>
      </c>
      <c r="AG38" s="805">
        <f t="shared" si="2"/>
        <v>2.702</v>
      </c>
      <c r="AH38" s="135">
        <f t="shared" si="4"/>
        <v>0</v>
      </c>
      <c r="AI38" s="132" t="str">
        <f t="shared" si="5"/>
        <v xml:space="preserve"> </v>
      </c>
      <c r="AS38" s="139" t="s">
        <v>437</v>
      </c>
      <c r="AT38" s="139" t="s">
        <v>438</v>
      </c>
      <c r="DS38" s="304"/>
      <c r="DT38" s="304"/>
      <c r="DU38" s="647" t="s">
        <v>571</v>
      </c>
      <c r="DV38" s="647" t="s">
        <v>1134</v>
      </c>
      <c r="DW38" s="647" t="s">
        <v>1134</v>
      </c>
      <c r="DX38" s="647" t="s">
        <v>1134</v>
      </c>
      <c r="DY38" s="647" t="s">
        <v>1134</v>
      </c>
      <c r="DZ38" s="647" t="s">
        <v>1134</v>
      </c>
      <c r="EA38" s="647" t="s">
        <v>437</v>
      </c>
      <c r="EB38" s="647" t="s">
        <v>1135</v>
      </c>
      <c r="EC38" s="647" t="s">
        <v>1134</v>
      </c>
      <c r="ED38" s="647" t="s">
        <v>1136</v>
      </c>
    </row>
    <row r="39" spans="1:134" x14ac:dyDescent="0.2">
      <c r="A39" s="749" t="s">
        <v>23</v>
      </c>
      <c r="B39" s="145">
        <v>32</v>
      </c>
      <c r="C39" s="770">
        <v>0</v>
      </c>
      <c r="D39" s="770">
        <v>0</v>
      </c>
      <c r="E39" s="770">
        <v>0</v>
      </c>
      <c r="F39" s="770">
        <v>0</v>
      </c>
      <c r="G39" s="770">
        <v>0</v>
      </c>
      <c r="H39" s="786">
        <f t="shared" si="0"/>
        <v>0</v>
      </c>
      <c r="I39" s="776">
        <v>0</v>
      </c>
      <c r="J39" s="776">
        <v>0</v>
      </c>
      <c r="K39" s="801">
        <v>0</v>
      </c>
      <c r="L39" s="802">
        <v>0</v>
      </c>
      <c r="M39" s="803">
        <v>0</v>
      </c>
      <c r="N39" s="777">
        <v>0</v>
      </c>
      <c r="O39" s="776">
        <v>0</v>
      </c>
      <c r="P39" s="803">
        <v>0</v>
      </c>
      <c r="Q39" s="781">
        <v>1E-3</v>
      </c>
      <c r="R39" s="803">
        <v>0</v>
      </c>
      <c r="S39" s="778">
        <v>1E-3</v>
      </c>
      <c r="T39" s="778">
        <v>0</v>
      </c>
      <c r="U39" s="804">
        <v>0</v>
      </c>
      <c r="V39" s="772">
        <v>0</v>
      </c>
      <c r="W39" s="783">
        <v>0</v>
      </c>
      <c r="X39" s="803">
        <v>0</v>
      </c>
      <c r="Y39" s="778">
        <v>0</v>
      </c>
      <c r="Z39" s="802">
        <v>0</v>
      </c>
      <c r="AA39" s="803">
        <v>0</v>
      </c>
      <c r="AB39" s="803">
        <v>0</v>
      </c>
      <c r="AC39" s="778">
        <v>0</v>
      </c>
      <c r="AD39" s="782">
        <v>0</v>
      </c>
      <c r="AE39" s="803">
        <v>0.04</v>
      </c>
      <c r="AF39" s="771">
        <f t="shared" si="6"/>
        <v>4.1000000000000002E-2</v>
      </c>
      <c r="AG39" s="805">
        <f t="shared" si="2"/>
        <v>4.1000000000000002E-2</v>
      </c>
      <c r="AH39" s="135">
        <f t="shared" si="4"/>
        <v>0</v>
      </c>
      <c r="AI39" s="132" t="str">
        <f t="shared" si="5"/>
        <v xml:space="preserve"> </v>
      </c>
      <c r="AS39" s="139" t="s">
        <v>439</v>
      </c>
      <c r="AT39" s="139" t="s">
        <v>440</v>
      </c>
      <c r="DS39" s="304"/>
      <c r="DT39" s="304"/>
      <c r="DU39" s="647" t="s">
        <v>571</v>
      </c>
      <c r="DV39" s="647" t="s">
        <v>1134</v>
      </c>
      <c r="DW39" s="647" t="s">
        <v>1134</v>
      </c>
      <c r="DX39" s="647" t="s">
        <v>1134</v>
      </c>
      <c r="DY39" s="647" t="s">
        <v>1134</v>
      </c>
      <c r="DZ39" s="647" t="s">
        <v>1134</v>
      </c>
      <c r="EA39" s="647" t="s">
        <v>439</v>
      </c>
      <c r="EB39" s="647" t="s">
        <v>1135</v>
      </c>
      <c r="EC39" s="647" t="s">
        <v>1134</v>
      </c>
      <c r="ED39" s="647" t="s">
        <v>1136</v>
      </c>
    </row>
    <row r="40" spans="1:134" x14ac:dyDescent="0.2">
      <c r="A40" s="749" t="s">
        <v>24</v>
      </c>
      <c r="B40" s="145">
        <v>33</v>
      </c>
      <c r="C40" s="770">
        <v>0</v>
      </c>
      <c r="D40" s="770">
        <v>0</v>
      </c>
      <c r="E40" s="770">
        <v>0</v>
      </c>
      <c r="F40" s="770">
        <v>0</v>
      </c>
      <c r="G40" s="770">
        <v>0</v>
      </c>
      <c r="H40" s="786">
        <f t="shared" si="0"/>
        <v>0</v>
      </c>
      <c r="I40" s="776">
        <v>0</v>
      </c>
      <c r="J40" s="776">
        <v>0</v>
      </c>
      <c r="K40" s="801">
        <v>0</v>
      </c>
      <c r="L40" s="802">
        <v>0</v>
      </c>
      <c r="M40" s="803">
        <v>0</v>
      </c>
      <c r="N40" s="777">
        <v>0</v>
      </c>
      <c r="O40" s="776">
        <v>0</v>
      </c>
      <c r="P40" s="803">
        <v>0</v>
      </c>
      <c r="Q40" s="781">
        <v>0</v>
      </c>
      <c r="R40" s="803">
        <v>0</v>
      </c>
      <c r="S40" s="778">
        <v>0</v>
      </c>
      <c r="T40" s="778">
        <v>0</v>
      </c>
      <c r="U40" s="804">
        <v>0</v>
      </c>
      <c r="V40" s="772">
        <v>0</v>
      </c>
      <c r="W40" s="783">
        <v>0</v>
      </c>
      <c r="X40" s="803">
        <v>0</v>
      </c>
      <c r="Y40" s="778">
        <v>0</v>
      </c>
      <c r="Z40" s="802">
        <v>0</v>
      </c>
      <c r="AA40" s="803">
        <v>0</v>
      </c>
      <c r="AB40" s="803">
        <v>0</v>
      </c>
      <c r="AC40" s="778">
        <v>0</v>
      </c>
      <c r="AD40" s="782">
        <v>0</v>
      </c>
      <c r="AE40" s="803">
        <v>0.214</v>
      </c>
      <c r="AF40" s="771">
        <f t="shared" si="6"/>
        <v>0.214</v>
      </c>
      <c r="AG40" s="805">
        <f t="shared" si="2"/>
        <v>0.214</v>
      </c>
      <c r="AH40" s="135">
        <f t="shared" si="4"/>
        <v>0</v>
      </c>
      <c r="AI40" s="132" t="str">
        <f t="shared" si="5"/>
        <v xml:space="preserve"> </v>
      </c>
      <c r="AS40" s="139" t="s">
        <v>441</v>
      </c>
      <c r="AT40" s="139" t="s">
        <v>442</v>
      </c>
      <c r="DS40" s="304"/>
      <c r="DT40" s="304"/>
      <c r="DU40" s="647" t="s">
        <v>571</v>
      </c>
      <c r="DV40" s="647" t="s">
        <v>1134</v>
      </c>
      <c r="DW40" s="647" t="s">
        <v>1134</v>
      </c>
      <c r="DX40" s="647" t="s">
        <v>1134</v>
      </c>
      <c r="DY40" s="647" t="s">
        <v>1134</v>
      </c>
      <c r="DZ40" s="647" t="s">
        <v>1134</v>
      </c>
      <c r="EA40" s="647" t="s">
        <v>441</v>
      </c>
      <c r="EB40" s="647" t="s">
        <v>1135</v>
      </c>
      <c r="EC40" s="647" t="s">
        <v>1134</v>
      </c>
      <c r="ED40" s="647" t="s">
        <v>1136</v>
      </c>
    </row>
    <row r="41" spans="1:134" x14ac:dyDescent="0.2">
      <c r="A41" s="749" t="s">
        <v>964</v>
      </c>
      <c r="B41" s="145">
        <v>34</v>
      </c>
      <c r="C41" s="770">
        <v>0</v>
      </c>
      <c r="D41" s="770">
        <v>0</v>
      </c>
      <c r="E41" s="770">
        <v>0</v>
      </c>
      <c r="F41" s="770">
        <v>1.0999999999999999E-2</v>
      </c>
      <c r="G41" s="770">
        <v>0</v>
      </c>
      <c r="H41" s="786">
        <f t="shared" ref="H41:H104" si="7">ROUND(SUM(C41:G41),3)</f>
        <v>1.0999999999999999E-2</v>
      </c>
      <c r="I41" s="776">
        <v>0</v>
      </c>
      <c r="J41" s="776">
        <v>0</v>
      </c>
      <c r="K41" s="801">
        <v>0</v>
      </c>
      <c r="L41" s="802">
        <v>0</v>
      </c>
      <c r="M41" s="803">
        <v>0</v>
      </c>
      <c r="N41" s="777">
        <v>0</v>
      </c>
      <c r="O41" s="776">
        <v>0</v>
      </c>
      <c r="P41" s="803">
        <v>0</v>
      </c>
      <c r="Q41" s="781">
        <v>0</v>
      </c>
      <c r="R41" s="803">
        <v>0</v>
      </c>
      <c r="S41" s="778">
        <v>0</v>
      </c>
      <c r="T41" s="778">
        <v>0</v>
      </c>
      <c r="U41" s="804">
        <v>0</v>
      </c>
      <c r="V41" s="772">
        <v>0</v>
      </c>
      <c r="W41" s="783">
        <v>0</v>
      </c>
      <c r="X41" s="803">
        <v>0</v>
      </c>
      <c r="Y41" s="778">
        <v>0</v>
      </c>
      <c r="Z41" s="802">
        <v>0</v>
      </c>
      <c r="AA41" s="803">
        <v>0</v>
      </c>
      <c r="AB41" s="803">
        <v>0</v>
      </c>
      <c r="AC41" s="778">
        <v>0</v>
      </c>
      <c r="AD41" s="782">
        <v>0</v>
      </c>
      <c r="AE41" s="803">
        <v>2.5000000000000001E-2</v>
      </c>
      <c r="AF41" s="771">
        <f t="shared" si="6"/>
        <v>2.5000000000000001E-2</v>
      </c>
      <c r="AG41" s="805">
        <f t="shared" si="2"/>
        <v>3.5999999999999997E-2</v>
      </c>
      <c r="AH41" s="135">
        <f t="shared" si="4"/>
        <v>0</v>
      </c>
      <c r="AI41" s="132" t="str">
        <f t="shared" si="5"/>
        <v xml:space="preserve"> </v>
      </c>
      <c r="AS41" s="139" t="s">
        <v>1034</v>
      </c>
      <c r="AT41" s="139" t="s">
        <v>1035</v>
      </c>
      <c r="DS41" s="304"/>
      <c r="DT41" s="304"/>
      <c r="DU41" s="647" t="s">
        <v>571</v>
      </c>
      <c r="DV41" s="647" t="s">
        <v>1134</v>
      </c>
      <c r="DW41" s="647" t="s">
        <v>1134</v>
      </c>
      <c r="DX41" s="647" t="s">
        <v>1134</v>
      </c>
      <c r="DY41" s="647" t="s">
        <v>1134</v>
      </c>
      <c r="DZ41" s="647" t="s">
        <v>1134</v>
      </c>
      <c r="EA41" s="647" t="s">
        <v>1034</v>
      </c>
      <c r="EB41" s="647" t="s">
        <v>1135</v>
      </c>
      <c r="EC41" s="647" t="s">
        <v>1134</v>
      </c>
      <c r="ED41" s="647" t="s">
        <v>1136</v>
      </c>
    </row>
    <row r="42" spans="1:134" x14ac:dyDescent="0.2">
      <c r="A42" s="749" t="s">
        <v>965</v>
      </c>
      <c r="B42" s="145">
        <v>35</v>
      </c>
      <c r="C42" s="770">
        <v>0</v>
      </c>
      <c r="D42" s="770">
        <v>0</v>
      </c>
      <c r="E42" s="770">
        <v>0</v>
      </c>
      <c r="F42" s="770">
        <v>0</v>
      </c>
      <c r="G42" s="770">
        <v>0</v>
      </c>
      <c r="H42" s="786">
        <f t="shared" si="7"/>
        <v>0</v>
      </c>
      <c r="I42" s="776">
        <v>0</v>
      </c>
      <c r="J42" s="776">
        <v>0</v>
      </c>
      <c r="K42" s="801">
        <v>0</v>
      </c>
      <c r="L42" s="802">
        <v>0</v>
      </c>
      <c r="M42" s="803">
        <v>0</v>
      </c>
      <c r="N42" s="777">
        <v>0</v>
      </c>
      <c r="O42" s="776">
        <v>0</v>
      </c>
      <c r="P42" s="803">
        <v>0</v>
      </c>
      <c r="Q42" s="781">
        <v>0.79300000000000004</v>
      </c>
      <c r="R42" s="803">
        <v>0</v>
      </c>
      <c r="S42" s="778">
        <v>0.79300000000000004</v>
      </c>
      <c r="T42" s="778">
        <v>6.9000000000000006E-2</v>
      </c>
      <c r="U42" s="804">
        <v>0</v>
      </c>
      <c r="V42" s="772">
        <v>0</v>
      </c>
      <c r="W42" s="783">
        <v>0</v>
      </c>
      <c r="X42" s="803">
        <v>0</v>
      </c>
      <c r="Y42" s="778">
        <v>0</v>
      </c>
      <c r="Z42" s="802">
        <v>0</v>
      </c>
      <c r="AA42" s="803">
        <v>0</v>
      </c>
      <c r="AB42" s="803">
        <v>0</v>
      </c>
      <c r="AC42" s="778">
        <v>0</v>
      </c>
      <c r="AD42" s="782">
        <v>0</v>
      </c>
      <c r="AE42" s="803">
        <v>0.11899999999999999</v>
      </c>
      <c r="AF42" s="771">
        <f t="shared" si="6"/>
        <v>0.98099999999999998</v>
      </c>
      <c r="AG42" s="805">
        <f t="shared" si="2"/>
        <v>0.98099999999999998</v>
      </c>
      <c r="AH42" s="135">
        <f t="shared" si="4"/>
        <v>0</v>
      </c>
      <c r="AI42" s="132" t="str">
        <f t="shared" si="5"/>
        <v xml:space="preserve"> </v>
      </c>
      <c r="AS42" s="139" t="s">
        <v>1036</v>
      </c>
      <c r="AT42" s="139" t="s">
        <v>1037</v>
      </c>
      <c r="DS42" s="304"/>
      <c r="DT42" s="304"/>
      <c r="DU42" s="647" t="s">
        <v>571</v>
      </c>
      <c r="DV42" s="647" t="s">
        <v>1134</v>
      </c>
      <c r="DW42" s="647" t="s">
        <v>1134</v>
      </c>
      <c r="DX42" s="647" t="s">
        <v>1134</v>
      </c>
      <c r="DY42" s="647" t="s">
        <v>1134</v>
      </c>
      <c r="DZ42" s="647" t="s">
        <v>1134</v>
      </c>
      <c r="EA42" s="647" t="s">
        <v>1036</v>
      </c>
      <c r="EB42" s="647" t="s">
        <v>1135</v>
      </c>
      <c r="EC42" s="647" t="s">
        <v>1134</v>
      </c>
      <c r="ED42" s="647" t="s">
        <v>1136</v>
      </c>
    </row>
    <row r="43" spans="1:134" x14ac:dyDescent="0.2">
      <c r="A43" s="749" t="s">
        <v>567</v>
      </c>
      <c r="B43" s="145">
        <v>36</v>
      </c>
      <c r="C43" s="770">
        <v>0</v>
      </c>
      <c r="D43" s="770">
        <v>0</v>
      </c>
      <c r="E43" s="770">
        <v>0</v>
      </c>
      <c r="F43" s="770">
        <v>0</v>
      </c>
      <c r="G43" s="770">
        <v>0</v>
      </c>
      <c r="H43" s="786">
        <f t="shared" si="7"/>
        <v>0</v>
      </c>
      <c r="I43" s="776">
        <v>0</v>
      </c>
      <c r="J43" s="776">
        <v>0</v>
      </c>
      <c r="K43" s="801">
        <v>2E-3</v>
      </c>
      <c r="L43" s="802">
        <v>4.0000000000000001E-3</v>
      </c>
      <c r="M43" s="803">
        <v>0</v>
      </c>
      <c r="N43" s="777">
        <v>4.0000000000000001E-3</v>
      </c>
      <c r="O43" s="776">
        <v>0</v>
      </c>
      <c r="P43" s="803">
        <v>0</v>
      </c>
      <c r="Q43" s="781">
        <v>0</v>
      </c>
      <c r="R43" s="803">
        <v>0</v>
      </c>
      <c r="S43" s="778">
        <v>0</v>
      </c>
      <c r="T43" s="778">
        <v>0</v>
      </c>
      <c r="U43" s="804">
        <v>0.01</v>
      </c>
      <c r="V43" s="772">
        <v>3.0000000000000001E-3</v>
      </c>
      <c r="W43" s="783">
        <v>1.2999999999999999E-2</v>
      </c>
      <c r="X43" s="803">
        <v>0</v>
      </c>
      <c r="Y43" s="778">
        <v>1.2999999999999999E-2</v>
      </c>
      <c r="Z43" s="802">
        <v>7.0000000000000001E-3</v>
      </c>
      <c r="AA43" s="803">
        <v>5.0000000000000001E-3</v>
      </c>
      <c r="AB43" s="803">
        <v>0</v>
      </c>
      <c r="AC43" s="778">
        <v>2E-3</v>
      </c>
      <c r="AD43" s="782">
        <v>0</v>
      </c>
      <c r="AE43" s="803">
        <v>1.0549999999999999</v>
      </c>
      <c r="AF43" s="771">
        <f t="shared" si="6"/>
        <v>1.081</v>
      </c>
      <c r="AG43" s="805">
        <f t="shared" si="2"/>
        <v>1.081</v>
      </c>
      <c r="AH43" s="135">
        <f t="shared" si="4"/>
        <v>0</v>
      </c>
      <c r="AI43" s="132" t="str">
        <f t="shared" si="5"/>
        <v xml:space="preserve"> </v>
      </c>
      <c r="AS43" s="139" t="s">
        <v>539</v>
      </c>
      <c r="AT43" s="139" t="s">
        <v>540</v>
      </c>
      <c r="DS43" s="304"/>
      <c r="DT43" s="304"/>
      <c r="DU43" s="647" t="s">
        <v>571</v>
      </c>
      <c r="DV43" s="647" t="s">
        <v>1134</v>
      </c>
      <c r="DW43" s="647" t="s">
        <v>1134</v>
      </c>
      <c r="DX43" s="647" t="s">
        <v>1134</v>
      </c>
      <c r="DY43" s="647" t="s">
        <v>1134</v>
      </c>
      <c r="DZ43" s="647" t="s">
        <v>1134</v>
      </c>
      <c r="EA43" s="647" t="s">
        <v>539</v>
      </c>
      <c r="EB43" s="647" t="s">
        <v>1135</v>
      </c>
      <c r="EC43" s="647" t="s">
        <v>1134</v>
      </c>
      <c r="ED43" s="647" t="s">
        <v>1136</v>
      </c>
    </row>
    <row r="44" spans="1:134" x14ac:dyDescent="0.2">
      <c r="A44" s="749" t="s">
        <v>966</v>
      </c>
      <c r="B44" s="145">
        <v>37</v>
      </c>
      <c r="C44" s="770">
        <v>0</v>
      </c>
      <c r="D44" s="770">
        <v>0</v>
      </c>
      <c r="E44" s="770">
        <v>0</v>
      </c>
      <c r="F44" s="770">
        <v>0</v>
      </c>
      <c r="G44" s="770">
        <v>0</v>
      </c>
      <c r="H44" s="786">
        <f t="shared" si="7"/>
        <v>0</v>
      </c>
      <c r="I44" s="776">
        <v>0</v>
      </c>
      <c r="J44" s="776">
        <v>0</v>
      </c>
      <c r="K44" s="801">
        <v>0</v>
      </c>
      <c r="L44" s="802">
        <v>0</v>
      </c>
      <c r="M44" s="803">
        <v>0</v>
      </c>
      <c r="N44" s="777">
        <v>0</v>
      </c>
      <c r="O44" s="776">
        <v>0</v>
      </c>
      <c r="P44" s="803">
        <v>0</v>
      </c>
      <c r="Q44" s="781">
        <v>0</v>
      </c>
      <c r="R44" s="803">
        <v>0</v>
      </c>
      <c r="S44" s="778">
        <v>0</v>
      </c>
      <c r="T44" s="778">
        <v>0</v>
      </c>
      <c r="U44" s="804">
        <v>0</v>
      </c>
      <c r="V44" s="772">
        <v>0</v>
      </c>
      <c r="W44" s="783">
        <v>0</v>
      </c>
      <c r="X44" s="803">
        <v>0</v>
      </c>
      <c r="Y44" s="778">
        <v>0</v>
      </c>
      <c r="Z44" s="802">
        <v>0</v>
      </c>
      <c r="AA44" s="803">
        <v>0</v>
      </c>
      <c r="AB44" s="803">
        <v>0</v>
      </c>
      <c r="AC44" s="778">
        <v>0</v>
      </c>
      <c r="AD44" s="782">
        <v>0</v>
      </c>
      <c r="AE44" s="803">
        <v>0</v>
      </c>
      <c r="AF44" s="771">
        <f t="shared" si="6"/>
        <v>0</v>
      </c>
      <c r="AG44" s="805">
        <f t="shared" si="2"/>
        <v>0</v>
      </c>
      <c r="AH44" s="135">
        <f t="shared" si="4"/>
        <v>0</v>
      </c>
      <c r="AI44" s="132" t="str">
        <f t="shared" si="5"/>
        <v xml:space="preserve"> </v>
      </c>
      <c r="AS44" s="139" t="s">
        <v>1038</v>
      </c>
      <c r="AT44" s="139" t="s">
        <v>1039</v>
      </c>
      <c r="DS44" s="304"/>
      <c r="DT44" s="304"/>
      <c r="DU44" s="647" t="s">
        <v>571</v>
      </c>
      <c r="DV44" s="647" t="s">
        <v>1134</v>
      </c>
      <c r="DW44" s="647" t="s">
        <v>1134</v>
      </c>
      <c r="DX44" s="647" t="s">
        <v>1134</v>
      </c>
      <c r="DY44" s="647" t="s">
        <v>1134</v>
      </c>
      <c r="DZ44" s="647" t="s">
        <v>1134</v>
      </c>
      <c r="EA44" s="647" t="s">
        <v>1038</v>
      </c>
      <c r="EB44" s="647" t="s">
        <v>1135</v>
      </c>
      <c r="EC44" s="647" t="s">
        <v>1134</v>
      </c>
      <c r="ED44" s="647" t="s">
        <v>1136</v>
      </c>
    </row>
    <row r="45" spans="1:134" x14ac:dyDescent="0.2">
      <c r="A45" s="749" t="s">
        <v>967</v>
      </c>
      <c r="B45" s="145">
        <v>38</v>
      </c>
      <c r="C45" s="770">
        <v>0</v>
      </c>
      <c r="D45" s="770">
        <v>0</v>
      </c>
      <c r="E45" s="770">
        <v>0</v>
      </c>
      <c r="F45" s="770">
        <v>0</v>
      </c>
      <c r="G45" s="770">
        <v>0</v>
      </c>
      <c r="H45" s="786">
        <f t="shared" si="7"/>
        <v>0</v>
      </c>
      <c r="I45" s="776">
        <v>0</v>
      </c>
      <c r="J45" s="776">
        <v>0</v>
      </c>
      <c r="K45" s="801">
        <v>0</v>
      </c>
      <c r="L45" s="802">
        <v>0</v>
      </c>
      <c r="M45" s="803">
        <v>0</v>
      </c>
      <c r="N45" s="777">
        <v>0</v>
      </c>
      <c r="O45" s="776">
        <v>0</v>
      </c>
      <c r="P45" s="803">
        <v>0</v>
      </c>
      <c r="Q45" s="781">
        <v>0</v>
      </c>
      <c r="R45" s="803">
        <v>0</v>
      </c>
      <c r="S45" s="778">
        <v>0</v>
      </c>
      <c r="T45" s="778">
        <v>0</v>
      </c>
      <c r="U45" s="804">
        <v>7.0000000000000001E-3</v>
      </c>
      <c r="V45" s="772">
        <v>2E-3</v>
      </c>
      <c r="W45" s="783">
        <v>8.9999999999999993E-3</v>
      </c>
      <c r="X45" s="803">
        <v>0</v>
      </c>
      <c r="Y45" s="778">
        <v>8.9999999999999993E-3</v>
      </c>
      <c r="Z45" s="802">
        <v>0</v>
      </c>
      <c r="AA45" s="803">
        <v>0</v>
      </c>
      <c r="AB45" s="803">
        <v>0</v>
      </c>
      <c r="AC45" s="778">
        <v>0</v>
      </c>
      <c r="AD45" s="782">
        <v>0</v>
      </c>
      <c r="AE45" s="803">
        <v>1.4E-2</v>
      </c>
      <c r="AF45" s="771">
        <f t="shared" si="6"/>
        <v>2.3E-2</v>
      </c>
      <c r="AG45" s="805">
        <f t="shared" si="2"/>
        <v>2.3E-2</v>
      </c>
      <c r="AH45" s="135">
        <f t="shared" si="4"/>
        <v>0</v>
      </c>
      <c r="AI45" s="132" t="str">
        <f t="shared" si="5"/>
        <v xml:space="preserve"> </v>
      </c>
      <c r="AS45" s="139" t="s">
        <v>1040</v>
      </c>
      <c r="AT45" s="139" t="s">
        <v>1041</v>
      </c>
      <c r="DS45" s="304"/>
      <c r="DT45" s="304"/>
      <c r="DU45" s="647" t="s">
        <v>571</v>
      </c>
      <c r="DV45" s="647" t="s">
        <v>1134</v>
      </c>
      <c r="DW45" s="647" t="s">
        <v>1134</v>
      </c>
      <c r="DX45" s="647" t="s">
        <v>1134</v>
      </c>
      <c r="DY45" s="647" t="s">
        <v>1134</v>
      </c>
      <c r="DZ45" s="647" t="s">
        <v>1134</v>
      </c>
      <c r="EA45" s="647" t="s">
        <v>1040</v>
      </c>
      <c r="EB45" s="647" t="s">
        <v>1135</v>
      </c>
      <c r="EC45" s="647" t="s">
        <v>1134</v>
      </c>
      <c r="ED45" s="647" t="s">
        <v>1136</v>
      </c>
    </row>
    <row r="46" spans="1:134" x14ac:dyDescent="0.2">
      <c r="A46" s="749" t="s">
        <v>150</v>
      </c>
      <c r="B46" s="145">
        <v>39</v>
      </c>
      <c r="C46" s="770">
        <v>0</v>
      </c>
      <c r="D46" s="770">
        <v>0</v>
      </c>
      <c r="E46" s="770">
        <v>0</v>
      </c>
      <c r="F46" s="770">
        <v>5.0000000000000001E-3</v>
      </c>
      <c r="G46" s="770">
        <v>0</v>
      </c>
      <c r="H46" s="786">
        <f t="shared" si="7"/>
        <v>5.0000000000000001E-3</v>
      </c>
      <c r="I46" s="776">
        <v>0</v>
      </c>
      <c r="J46" s="776">
        <v>1E-3</v>
      </c>
      <c r="K46" s="801">
        <v>1.2E-2</v>
      </c>
      <c r="L46" s="802">
        <v>1.6E-2</v>
      </c>
      <c r="M46" s="803">
        <v>0</v>
      </c>
      <c r="N46" s="777">
        <v>1.6E-2</v>
      </c>
      <c r="O46" s="776">
        <v>0</v>
      </c>
      <c r="P46" s="803">
        <v>0</v>
      </c>
      <c r="Q46" s="781">
        <v>2.4E-2</v>
      </c>
      <c r="R46" s="803">
        <v>0</v>
      </c>
      <c r="S46" s="778">
        <v>2.4E-2</v>
      </c>
      <c r="T46" s="778">
        <v>2E-3</v>
      </c>
      <c r="U46" s="804">
        <v>2E-3</v>
      </c>
      <c r="V46" s="772">
        <v>1E-3</v>
      </c>
      <c r="W46" s="783">
        <v>3.0000000000000001E-3</v>
      </c>
      <c r="X46" s="803">
        <v>0</v>
      </c>
      <c r="Y46" s="778">
        <v>3.0000000000000001E-3</v>
      </c>
      <c r="Z46" s="802">
        <v>114.661</v>
      </c>
      <c r="AA46" s="803">
        <v>73.430000000000007</v>
      </c>
      <c r="AB46" s="803">
        <v>0</v>
      </c>
      <c r="AC46" s="778">
        <v>41.231000000000002</v>
      </c>
      <c r="AD46" s="782">
        <v>2.1000000000000001E-2</v>
      </c>
      <c r="AE46" s="803">
        <v>5.4669999999999996</v>
      </c>
      <c r="AF46" s="771">
        <f t="shared" si="6"/>
        <v>120.20699999999999</v>
      </c>
      <c r="AG46" s="805">
        <f t="shared" si="2"/>
        <v>120.212</v>
      </c>
      <c r="AH46" s="135">
        <f t="shared" si="4"/>
        <v>0</v>
      </c>
      <c r="AI46" s="132" t="str">
        <f t="shared" si="5"/>
        <v xml:space="preserve"> </v>
      </c>
      <c r="AS46" s="139" t="s">
        <v>445</v>
      </c>
      <c r="AT46" s="139" t="s">
        <v>446</v>
      </c>
      <c r="DS46" s="304"/>
      <c r="DT46" s="304"/>
      <c r="DU46" s="647" t="s">
        <v>571</v>
      </c>
      <c r="DV46" s="647" t="s">
        <v>1134</v>
      </c>
      <c r="DW46" s="647" t="s">
        <v>1134</v>
      </c>
      <c r="DX46" s="647" t="s">
        <v>1134</v>
      </c>
      <c r="DY46" s="647" t="s">
        <v>1134</v>
      </c>
      <c r="DZ46" s="647" t="s">
        <v>1134</v>
      </c>
      <c r="EA46" s="647" t="s">
        <v>445</v>
      </c>
      <c r="EB46" s="647" t="s">
        <v>1135</v>
      </c>
      <c r="EC46" s="647" t="s">
        <v>1134</v>
      </c>
      <c r="ED46" s="647" t="s">
        <v>1136</v>
      </c>
    </row>
    <row r="47" spans="1:134" x14ac:dyDescent="0.2">
      <c r="A47" s="749" t="s">
        <v>25</v>
      </c>
      <c r="B47" s="145">
        <v>40</v>
      </c>
      <c r="C47" s="770">
        <v>0</v>
      </c>
      <c r="D47" s="770">
        <v>0</v>
      </c>
      <c r="E47" s="770">
        <v>0</v>
      </c>
      <c r="F47" s="770">
        <v>0.14899999999999999</v>
      </c>
      <c r="G47" s="770">
        <v>0</v>
      </c>
      <c r="H47" s="786">
        <f t="shared" si="7"/>
        <v>0.14899999999999999</v>
      </c>
      <c r="I47" s="776">
        <v>0</v>
      </c>
      <c r="J47" s="776">
        <v>0.65600000000000003</v>
      </c>
      <c r="K47" s="801">
        <v>1.2E-2</v>
      </c>
      <c r="L47" s="802">
        <v>1.7000000000000001E-2</v>
      </c>
      <c r="M47" s="803">
        <v>0</v>
      </c>
      <c r="N47" s="777">
        <v>1.7000000000000001E-2</v>
      </c>
      <c r="O47" s="776">
        <v>0</v>
      </c>
      <c r="P47" s="803">
        <v>0</v>
      </c>
      <c r="Q47" s="781">
        <v>0</v>
      </c>
      <c r="R47" s="803">
        <v>0</v>
      </c>
      <c r="S47" s="778">
        <v>0</v>
      </c>
      <c r="T47" s="778">
        <v>0</v>
      </c>
      <c r="U47" s="804">
        <v>0</v>
      </c>
      <c r="V47" s="772">
        <v>0</v>
      </c>
      <c r="W47" s="783">
        <v>0</v>
      </c>
      <c r="X47" s="803">
        <v>3.2000000000000001E-2</v>
      </c>
      <c r="Y47" s="778">
        <v>-3.2000000000000001E-2</v>
      </c>
      <c r="Z47" s="802">
        <v>5.8999999999999997E-2</v>
      </c>
      <c r="AA47" s="803">
        <v>3.7999999999999999E-2</v>
      </c>
      <c r="AB47" s="803">
        <v>0</v>
      </c>
      <c r="AC47" s="778">
        <v>2.1000000000000001E-2</v>
      </c>
      <c r="AD47" s="782">
        <v>0</v>
      </c>
      <c r="AE47" s="803">
        <v>4.2560000000000002</v>
      </c>
      <c r="AF47" s="771">
        <f t="shared" si="6"/>
        <v>5</v>
      </c>
      <c r="AG47" s="805">
        <f t="shared" si="2"/>
        <v>5.149</v>
      </c>
      <c r="AH47" s="135">
        <f t="shared" si="4"/>
        <v>0</v>
      </c>
      <c r="AI47" s="132" t="str">
        <f t="shared" si="5"/>
        <v xml:space="preserve"> </v>
      </c>
      <c r="AS47" s="139" t="s">
        <v>240</v>
      </c>
      <c r="AT47" s="139" t="s">
        <v>239</v>
      </c>
      <c r="DS47" s="304"/>
      <c r="DT47" s="304"/>
      <c r="DU47" s="647" t="s">
        <v>571</v>
      </c>
      <c r="DV47" s="647" t="s">
        <v>1134</v>
      </c>
      <c r="DW47" s="647" t="s">
        <v>1134</v>
      </c>
      <c r="DX47" s="647" t="s">
        <v>1134</v>
      </c>
      <c r="DY47" s="647" t="s">
        <v>1134</v>
      </c>
      <c r="DZ47" s="647" t="s">
        <v>1134</v>
      </c>
      <c r="EA47" s="647" t="s">
        <v>240</v>
      </c>
      <c r="EB47" s="647" t="s">
        <v>1135</v>
      </c>
      <c r="EC47" s="647" t="s">
        <v>1134</v>
      </c>
      <c r="ED47" s="647" t="s">
        <v>1136</v>
      </c>
    </row>
    <row r="48" spans="1:134" x14ac:dyDescent="0.2">
      <c r="A48" s="749" t="s">
        <v>968</v>
      </c>
      <c r="B48" s="145">
        <v>41</v>
      </c>
      <c r="C48" s="770">
        <v>0</v>
      </c>
      <c r="D48" s="770">
        <v>0</v>
      </c>
      <c r="E48" s="770">
        <v>0</v>
      </c>
      <c r="F48" s="770">
        <v>0</v>
      </c>
      <c r="G48" s="770">
        <v>0</v>
      </c>
      <c r="H48" s="786">
        <f t="shared" si="7"/>
        <v>0</v>
      </c>
      <c r="I48" s="776">
        <v>0</v>
      </c>
      <c r="J48" s="776">
        <v>0</v>
      </c>
      <c r="K48" s="801">
        <v>0</v>
      </c>
      <c r="L48" s="802">
        <v>0</v>
      </c>
      <c r="M48" s="803">
        <v>0</v>
      </c>
      <c r="N48" s="777">
        <v>0</v>
      </c>
      <c r="O48" s="776">
        <v>0</v>
      </c>
      <c r="P48" s="803">
        <v>0</v>
      </c>
      <c r="Q48" s="781">
        <v>0</v>
      </c>
      <c r="R48" s="803">
        <v>0</v>
      </c>
      <c r="S48" s="778">
        <v>0</v>
      </c>
      <c r="T48" s="778">
        <v>0</v>
      </c>
      <c r="U48" s="804">
        <v>0</v>
      </c>
      <c r="V48" s="772">
        <v>0</v>
      </c>
      <c r="W48" s="783">
        <v>0</v>
      </c>
      <c r="X48" s="803">
        <v>0</v>
      </c>
      <c r="Y48" s="778">
        <v>0</v>
      </c>
      <c r="Z48" s="802">
        <v>0</v>
      </c>
      <c r="AA48" s="803">
        <v>0</v>
      </c>
      <c r="AB48" s="803">
        <v>0</v>
      </c>
      <c r="AC48" s="778">
        <v>0</v>
      </c>
      <c r="AD48" s="782">
        <v>0</v>
      </c>
      <c r="AE48" s="803">
        <v>0</v>
      </c>
      <c r="AF48" s="771">
        <f t="shared" si="6"/>
        <v>0</v>
      </c>
      <c r="AG48" s="805">
        <f t="shared" si="2"/>
        <v>0</v>
      </c>
      <c r="AH48" s="135">
        <f t="shared" si="4"/>
        <v>0</v>
      </c>
      <c r="AI48" s="132" t="str">
        <f t="shared" si="5"/>
        <v xml:space="preserve"> </v>
      </c>
      <c r="AS48" s="139" t="s">
        <v>937</v>
      </c>
      <c r="AT48" s="139" t="s">
        <v>938</v>
      </c>
      <c r="DS48" s="304"/>
      <c r="DT48" s="304"/>
      <c r="DU48" s="647" t="s">
        <v>571</v>
      </c>
      <c r="DV48" s="647" t="s">
        <v>1134</v>
      </c>
      <c r="DW48" s="647" t="s">
        <v>1134</v>
      </c>
      <c r="DX48" s="647" t="s">
        <v>1134</v>
      </c>
      <c r="DY48" s="647" t="s">
        <v>1134</v>
      </c>
      <c r="DZ48" s="647" t="s">
        <v>1134</v>
      </c>
      <c r="EA48" s="647" t="s">
        <v>937</v>
      </c>
      <c r="EB48" s="647" t="s">
        <v>1135</v>
      </c>
      <c r="EC48" s="647" t="s">
        <v>1134</v>
      </c>
      <c r="ED48" s="647" t="s">
        <v>1136</v>
      </c>
    </row>
    <row r="49" spans="1:134" x14ac:dyDescent="0.2">
      <c r="A49" s="749" t="s">
        <v>969</v>
      </c>
      <c r="B49" s="145">
        <v>42</v>
      </c>
      <c r="C49" s="770">
        <v>0</v>
      </c>
      <c r="D49" s="770">
        <v>0</v>
      </c>
      <c r="E49" s="770">
        <v>0</v>
      </c>
      <c r="F49" s="770">
        <v>0</v>
      </c>
      <c r="G49" s="770">
        <v>0</v>
      </c>
      <c r="H49" s="786">
        <f t="shared" si="7"/>
        <v>0</v>
      </c>
      <c r="I49" s="776">
        <v>0</v>
      </c>
      <c r="J49" s="776">
        <v>0</v>
      </c>
      <c r="K49" s="801">
        <v>0</v>
      </c>
      <c r="L49" s="802">
        <v>0</v>
      </c>
      <c r="M49" s="803">
        <v>0</v>
      </c>
      <c r="N49" s="777">
        <v>0</v>
      </c>
      <c r="O49" s="776">
        <v>0</v>
      </c>
      <c r="P49" s="803">
        <v>0</v>
      </c>
      <c r="Q49" s="781">
        <v>0</v>
      </c>
      <c r="R49" s="803">
        <v>0</v>
      </c>
      <c r="S49" s="778">
        <v>0</v>
      </c>
      <c r="T49" s="778">
        <v>0</v>
      </c>
      <c r="U49" s="804">
        <v>0</v>
      </c>
      <c r="V49" s="772">
        <v>0</v>
      </c>
      <c r="W49" s="783">
        <v>0</v>
      </c>
      <c r="X49" s="803">
        <v>0</v>
      </c>
      <c r="Y49" s="778">
        <v>0</v>
      </c>
      <c r="Z49" s="802">
        <v>0</v>
      </c>
      <c r="AA49" s="803">
        <v>0</v>
      </c>
      <c r="AB49" s="803">
        <v>0</v>
      </c>
      <c r="AC49" s="778">
        <v>0</v>
      </c>
      <c r="AD49" s="782">
        <v>0</v>
      </c>
      <c r="AE49" s="803">
        <v>0</v>
      </c>
      <c r="AF49" s="771">
        <f t="shared" si="6"/>
        <v>0</v>
      </c>
      <c r="AG49" s="805">
        <f t="shared" si="2"/>
        <v>0</v>
      </c>
      <c r="AH49" s="135">
        <f t="shared" si="4"/>
        <v>0</v>
      </c>
      <c r="AI49" s="132" t="str">
        <f t="shared" si="5"/>
        <v xml:space="preserve"> </v>
      </c>
      <c r="AS49" s="139" t="s">
        <v>443</v>
      </c>
      <c r="AT49" s="139" t="s">
        <v>444</v>
      </c>
      <c r="DS49" s="304"/>
      <c r="DT49" s="304"/>
      <c r="DU49" s="647" t="s">
        <v>571</v>
      </c>
      <c r="DV49" s="647" t="s">
        <v>1134</v>
      </c>
      <c r="DW49" s="647" t="s">
        <v>1134</v>
      </c>
      <c r="DX49" s="647" t="s">
        <v>1134</v>
      </c>
      <c r="DY49" s="647" t="s">
        <v>1134</v>
      </c>
      <c r="DZ49" s="647" t="s">
        <v>1134</v>
      </c>
      <c r="EA49" s="647" t="s">
        <v>443</v>
      </c>
      <c r="EB49" s="647" t="s">
        <v>1135</v>
      </c>
      <c r="EC49" s="647" t="s">
        <v>1134</v>
      </c>
      <c r="ED49" s="647" t="s">
        <v>1136</v>
      </c>
    </row>
    <row r="50" spans="1:134" x14ac:dyDescent="0.2">
      <c r="A50" s="749" t="s">
        <v>26</v>
      </c>
      <c r="B50" s="145">
        <v>43</v>
      </c>
      <c r="C50" s="770">
        <v>0</v>
      </c>
      <c r="D50" s="770">
        <v>0</v>
      </c>
      <c r="E50" s="770">
        <v>0</v>
      </c>
      <c r="F50" s="770">
        <v>2.2069999999999999</v>
      </c>
      <c r="G50" s="770">
        <v>0</v>
      </c>
      <c r="H50" s="786">
        <f t="shared" si="7"/>
        <v>2.2069999999999999</v>
      </c>
      <c r="I50" s="776">
        <v>0</v>
      </c>
      <c r="J50" s="776">
        <v>8.5999999999999993E-2</v>
      </c>
      <c r="K50" s="801">
        <v>12.722</v>
      </c>
      <c r="L50" s="802">
        <v>19.706</v>
      </c>
      <c r="M50" s="803">
        <v>0</v>
      </c>
      <c r="N50" s="777">
        <v>19.706</v>
      </c>
      <c r="O50" s="776">
        <v>0.03</v>
      </c>
      <c r="P50" s="803">
        <v>0</v>
      </c>
      <c r="Q50" s="781">
        <v>16.670000000000002</v>
      </c>
      <c r="R50" s="803">
        <v>0</v>
      </c>
      <c r="S50" s="778">
        <v>16.670000000000002</v>
      </c>
      <c r="T50" s="778">
        <v>1.4630000000000001</v>
      </c>
      <c r="U50" s="804">
        <v>7.1050000000000004</v>
      </c>
      <c r="V50" s="772">
        <v>2.363</v>
      </c>
      <c r="W50" s="783">
        <v>9.468</v>
      </c>
      <c r="X50" s="803">
        <v>0</v>
      </c>
      <c r="Y50" s="778">
        <v>9.468</v>
      </c>
      <c r="Z50" s="802">
        <v>6.5000000000000002E-2</v>
      </c>
      <c r="AA50" s="803">
        <v>4.2000000000000003E-2</v>
      </c>
      <c r="AB50" s="803">
        <v>0</v>
      </c>
      <c r="AC50" s="778">
        <v>2.3E-2</v>
      </c>
      <c r="AD50" s="782">
        <v>0</v>
      </c>
      <c r="AE50" s="803">
        <v>6.359</v>
      </c>
      <c r="AF50" s="771">
        <f t="shared" si="6"/>
        <v>66.569000000000003</v>
      </c>
      <c r="AG50" s="805">
        <f t="shared" si="2"/>
        <v>68.775999999999996</v>
      </c>
      <c r="AH50" s="135">
        <f t="shared" si="4"/>
        <v>0</v>
      </c>
      <c r="AI50" s="132" t="str">
        <f t="shared" si="5"/>
        <v xml:space="preserve"> </v>
      </c>
      <c r="AS50" s="139" t="s">
        <v>242</v>
      </c>
      <c r="AT50" s="139" t="s">
        <v>241</v>
      </c>
      <c r="DS50" s="304"/>
      <c r="DT50" s="304"/>
      <c r="DU50" s="647" t="s">
        <v>571</v>
      </c>
      <c r="DV50" s="647" t="s">
        <v>1134</v>
      </c>
      <c r="DW50" s="647" t="s">
        <v>1134</v>
      </c>
      <c r="DX50" s="647" t="s">
        <v>1134</v>
      </c>
      <c r="DY50" s="647" t="s">
        <v>1134</v>
      </c>
      <c r="DZ50" s="647" t="s">
        <v>1134</v>
      </c>
      <c r="EA50" s="647" t="s">
        <v>242</v>
      </c>
      <c r="EB50" s="647" t="s">
        <v>1135</v>
      </c>
      <c r="EC50" s="647" t="s">
        <v>1134</v>
      </c>
      <c r="ED50" s="647" t="s">
        <v>1136</v>
      </c>
    </row>
    <row r="51" spans="1:134" x14ac:dyDescent="0.2">
      <c r="A51" s="751" t="s">
        <v>970</v>
      </c>
      <c r="B51" s="145">
        <v>44</v>
      </c>
      <c r="C51" s="770">
        <v>0</v>
      </c>
      <c r="D51" s="770">
        <v>0</v>
      </c>
      <c r="E51" s="770">
        <v>0</v>
      </c>
      <c r="F51" s="770">
        <v>0</v>
      </c>
      <c r="G51" s="770">
        <v>0</v>
      </c>
      <c r="H51" s="786">
        <f t="shared" si="7"/>
        <v>0</v>
      </c>
      <c r="I51" s="776">
        <v>0</v>
      </c>
      <c r="J51" s="776">
        <v>0</v>
      </c>
      <c r="K51" s="801">
        <v>0</v>
      </c>
      <c r="L51" s="802">
        <v>0</v>
      </c>
      <c r="M51" s="803">
        <v>0</v>
      </c>
      <c r="N51" s="777">
        <v>0</v>
      </c>
      <c r="O51" s="776">
        <v>0</v>
      </c>
      <c r="P51" s="803">
        <v>0</v>
      </c>
      <c r="Q51" s="781">
        <v>0</v>
      </c>
      <c r="R51" s="803">
        <v>0</v>
      </c>
      <c r="S51" s="778">
        <v>0</v>
      </c>
      <c r="T51" s="778">
        <v>0</v>
      </c>
      <c r="U51" s="804">
        <v>0</v>
      </c>
      <c r="V51" s="772">
        <v>0</v>
      </c>
      <c r="W51" s="783">
        <v>0</v>
      </c>
      <c r="X51" s="803">
        <v>0</v>
      </c>
      <c r="Y51" s="778">
        <v>0</v>
      </c>
      <c r="Z51" s="802">
        <v>0</v>
      </c>
      <c r="AA51" s="803">
        <v>0</v>
      </c>
      <c r="AB51" s="803">
        <v>0</v>
      </c>
      <c r="AC51" s="778">
        <v>0</v>
      </c>
      <c r="AD51" s="782">
        <v>0</v>
      </c>
      <c r="AE51" s="803">
        <v>3.1E-2</v>
      </c>
      <c r="AF51" s="771">
        <f t="shared" si="6"/>
        <v>3.1E-2</v>
      </c>
      <c r="AG51" s="805">
        <f t="shared" si="2"/>
        <v>3.1E-2</v>
      </c>
      <c r="AH51" s="135">
        <f t="shared" si="4"/>
        <v>0</v>
      </c>
      <c r="AI51" s="132" t="str">
        <f t="shared" si="5"/>
        <v xml:space="preserve"> </v>
      </c>
      <c r="AS51" s="139" t="s">
        <v>1042</v>
      </c>
      <c r="AT51" s="139" t="s">
        <v>1043</v>
      </c>
      <c r="DS51" s="304"/>
      <c r="DT51" s="304"/>
      <c r="DU51" s="647" t="s">
        <v>571</v>
      </c>
      <c r="DV51" s="647" t="s">
        <v>1134</v>
      </c>
      <c r="DW51" s="647" t="s">
        <v>1134</v>
      </c>
      <c r="DX51" s="647" t="s">
        <v>1134</v>
      </c>
      <c r="DY51" s="647" t="s">
        <v>1134</v>
      </c>
      <c r="DZ51" s="647" t="s">
        <v>1134</v>
      </c>
      <c r="EA51" s="647" t="s">
        <v>1042</v>
      </c>
      <c r="EB51" s="647" t="s">
        <v>1135</v>
      </c>
      <c r="EC51" s="647" t="s">
        <v>1134</v>
      </c>
      <c r="ED51" s="647" t="s">
        <v>1136</v>
      </c>
    </row>
    <row r="52" spans="1:134" x14ac:dyDescent="0.2">
      <c r="A52" s="751" t="s">
        <v>971</v>
      </c>
      <c r="B52" s="145">
        <v>45</v>
      </c>
      <c r="C52" s="770">
        <v>0</v>
      </c>
      <c r="D52" s="770">
        <v>0</v>
      </c>
      <c r="E52" s="770">
        <v>0</v>
      </c>
      <c r="F52" s="770">
        <v>0</v>
      </c>
      <c r="G52" s="770">
        <v>0</v>
      </c>
      <c r="H52" s="786">
        <f t="shared" si="7"/>
        <v>0</v>
      </c>
      <c r="I52" s="776">
        <v>0</v>
      </c>
      <c r="J52" s="776">
        <v>0</v>
      </c>
      <c r="K52" s="801">
        <v>0</v>
      </c>
      <c r="L52" s="802">
        <v>0</v>
      </c>
      <c r="M52" s="803">
        <v>0</v>
      </c>
      <c r="N52" s="777">
        <v>0</v>
      </c>
      <c r="O52" s="776">
        <v>0</v>
      </c>
      <c r="P52" s="803">
        <v>0</v>
      </c>
      <c r="Q52" s="781">
        <v>0</v>
      </c>
      <c r="R52" s="803">
        <v>0</v>
      </c>
      <c r="S52" s="778">
        <v>0</v>
      </c>
      <c r="T52" s="778">
        <v>0</v>
      </c>
      <c r="U52" s="804">
        <v>0</v>
      </c>
      <c r="V52" s="772">
        <v>0</v>
      </c>
      <c r="W52" s="783">
        <v>0</v>
      </c>
      <c r="X52" s="803">
        <v>0</v>
      </c>
      <c r="Y52" s="778">
        <v>0</v>
      </c>
      <c r="Z52" s="802">
        <v>0</v>
      </c>
      <c r="AA52" s="803">
        <v>0</v>
      </c>
      <c r="AB52" s="803">
        <v>0</v>
      </c>
      <c r="AC52" s="778">
        <v>0</v>
      </c>
      <c r="AD52" s="782">
        <v>0</v>
      </c>
      <c r="AE52" s="803">
        <v>8.1000000000000003E-2</v>
      </c>
      <c r="AF52" s="771">
        <f t="shared" si="6"/>
        <v>8.1000000000000003E-2</v>
      </c>
      <c r="AG52" s="805">
        <f t="shared" si="2"/>
        <v>8.1000000000000003E-2</v>
      </c>
      <c r="AH52" s="135">
        <f t="shared" si="4"/>
        <v>0</v>
      </c>
      <c r="AI52" s="132" t="str">
        <f t="shared" si="5"/>
        <v xml:space="preserve"> </v>
      </c>
      <c r="AS52" s="139" t="s">
        <v>1044</v>
      </c>
      <c r="AT52" s="139" t="s">
        <v>1045</v>
      </c>
      <c r="DS52" s="304"/>
      <c r="DT52" s="304"/>
      <c r="DU52" s="647" t="s">
        <v>571</v>
      </c>
      <c r="DV52" s="647" t="s">
        <v>1134</v>
      </c>
      <c r="DW52" s="647" t="s">
        <v>1134</v>
      </c>
      <c r="DX52" s="647" t="s">
        <v>1134</v>
      </c>
      <c r="DY52" s="647" t="s">
        <v>1134</v>
      </c>
      <c r="DZ52" s="647" t="s">
        <v>1134</v>
      </c>
      <c r="EA52" s="647" t="s">
        <v>1044</v>
      </c>
      <c r="EB52" s="647" t="s">
        <v>1135</v>
      </c>
      <c r="EC52" s="647" t="s">
        <v>1134</v>
      </c>
      <c r="ED52" s="647" t="s">
        <v>1136</v>
      </c>
    </row>
    <row r="53" spans="1:134" x14ac:dyDescent="0.2">
      <c r="A53" s="751" t="s">
        <v>27</v>
      </c>
      <c r="B53" s="145">
        <v>46</v>
      </c>
      <c r="C53" s="770">
        <v>0</v>
      </c>
      <c r="D53" s="770">
        <v>0</v>
      </c>
      <c r="E53" s="770">
        <v>0</v>
      </c>
      <c r="F53" s="770">
        <v>0</v>
      </c>
      <c r="G53" s="770">
        <v>0</v>
      </c>
      <c r="H53" s="786">
        <f t="shared" si="7"/>
        <v>0</v>
      </c>
      <c r="I53" s="776">
        <v>0</v>
      </c>
      <c r="J53" s="776">
        <v>0</v>
      </c>
      <c r="K53" s="801">
        <v>0</v>
      </c>
      <c r="L53" s="802">
        <v>0</v>
      </c>
      <c r="M53" s="803">
        <v>0</v>
      </c>
      <c r="N53" s="777">
        <v>0</v>
      </c>
      <c r="O53" s="776">
        <v>0</v>
      </c>
      <c r="P53" s="803">
        <v>0</v>
      </c>
      <c r="Q53" s="781">
        <v>0</v>
      </c>
      <c r="R53" s="803">
        <v>0</v>
      </c>
      <c r="S53" s="778">
        <v>0</v>
      </c>
      <c r="T53" s="778">
        <v>0</v>
      </c>
      <c r="U53" s="804">
        <v>0</v>
      </c>
      <c r="V53" s="772">
        <v>0</v>
      </c>
      <c r="W53" s="783">
        <v>0</v>
      </c>
      <c r="X53" s="803">
        <v>0</v>
      </c>
      <c r="Y53" s="778">
        <v>0</v>
      </c>
      <c r="Z53" s="802">
        <v>0</v>
      </c>
      <c r="AA53" s="803">
        <v>0</v>
      </c>
      <c r="AB53" s="803">
        <v>0</v>
      </c>
      <c r="AC53" s="778">
        <v>0</v>
      </c>
      <c r="AD53" s="782">
        <v>0</v>
      </c>
      <c r="AE53" s="803">
        <v>5.2999999999999999E-2</v>
      </c>
      <c r="AF53" s="771">
        <f t="shared" si="6"/>
        <v>5.2999999999999999E-2</v>
      </c>
      <c r="AG53" s="805">
        <f t="shared" si="2"/>
        <v>5.2999999999999999E-2</v>
      </c>
      <c r="AH53" s="135">
        <f t="shared" si="4"/>
        <v>0</v>
      </c>
      <c r="AI53" s="132" t="str">
        <f t="shared" si="5"/>
        <v xml:space="preserve"> </v>
      </c>
      <c r="AS53" s="139" t="s">
        <v>447</v>
      </c>
      <c r="AT53" s="139" t="s">
        <v>448</v>
      </c>
      <c r="DS53" s="304"/>
      <c r="DT53" s="304"/>
      <c r="DU53" s="647" t="s">
        <v>571</v>
      </c>
      <c r="DV53" s="647" t="s">
        <v>1134</v>
      </c>
      <c r="DW53" s="647" t="s">
        <v>1134</v>
      </c>
      <c r="DX53" s="647" t="s">
        <v>1134</v>
      </c>
      <c r="DY53" s="647" t="s">
        <v>1134</v>
      </c>
      <c r="DZ53" s="647" t="s">
        <v>1134</v>
      </c>
      <c r="EA53" s="647" t="s">
        <v>447</v>
      </c>
      <c r="EB53" s="647" t="s">
        <v>1135</v>
      </c>
      <c r="EC53" s="647" t="s">
        <v>1134</v>
      </c>
      <c r="ED53" s="647" t="s">
        <v>1136</v>
      </c>
    </row>
    <row r="54" spans="1:134" x14ac:dyDescent="0.2">
      <c r="A54" s="749" t="s">
        <v>28</v>
      </c>
      <c r="B54" s="145">
        <v>47</v>
      </c>
      <c r="C54" s="770">
        <v>0</v>
      </c>
      <c r="D54" s="770">
        <v>0</v>
      </c>
      <c r="E54" s="770">
        <v>0</v>
      </c>
      <c r="F54" s="770">
        <v>8.0000000000000002E-3</v>
      </c>
      <c r="G54" s="770">
        <v>0</v>
      </c>
      <c r="H54" s="786">
        <f t="shared" si="7"/>
        <v>8.0000000000000002E-3</v>
      </c>
      <c r="I54" s="776">
        <v>0</v>
      </c>
      <c r="J54" s="776">
        <v>0</v>
      </c>
      <c r="K54" s="801">
        <v>0.121</v>
      </c>
      <c r="L54" s="802">
        <v>0.188</v>
      </c>
      <c r="M54" s="803">
        <v>0</v>
      </c>
      <c r="N54" s="777">
        <v>0.188</v>
      </c>
      <c r="O54" s="776">
        <v>0</v>
      </c>
      <c r="P54" s="803">
        <v>0</v>
      </c>
      <c r="Q54" s="781">
        <v>0.42799999999999999</v>
      </c>
      <c r="R54" s="803">
        <v>0</v>
      </c>
      <c r="S54" s="778">
        <v>0.42799999999999999</v>
      </c>
      <c r="T54" s="778">
        <v>3.6999999999999998E-2</v>
      </c>
      <c r="U54" s="804">
        <v>0</v>
      </c>
      <c r="V54" s="772">
        <v>0</v>
      </c>
      <c r="W54" s="783">
        <v>0</v>
      </c>
      <c r="X54" s="803">
        <v>0</v>
      </c>
      <c r="Y54" s="778">
        <v>0</v>
      </c>
      <c r="Z54" s="802">
        <v>0</v>
      </c>
      <c r="AA54" s="803">
        <v>0</v>
      </c>
      <c r="AB54" s="803">
        <v>0</v>
      </c>
      <c r="AC54" s="778">
        <v>0</v>
      </c>
      <c r="AD54" s="782">
        <v>0</v>
      </c>
      <c r="AE54" s="803">
        <v>0.86299999999999999</v>
      </c>
      <c r="AF54" s="771">
        <f t="shared" si="6"/>
        <v>1.637</v>
      </c>
      <c r="AG54" s="805">
        <f t="shared" si="2"/>
        <v>1.645</v>
      </c>
      <c r="AH54" s="135">
        <f t="shared" si="4"/>
        <v>0</v>
      </c>
      <c r="AI54" s="132" t="str">
        <f t="shared" si="5"/>
        <v xml:space="preserve"> </v>
      </c>
      <c r="AS54" s="139" t="s">
        <v>449</v>
      </c>
      <c r="AT54" s="139" t="s">
        <v>450</v>
      </c>
      <c r="DS54" s="304"/>
      <c r="DT54" s="304"/>
      <c r="DU54" s="647" t="s">
        <v>571</v>
      </c>
      <c r="DV54" s="647" t="s">
        <v>1134</v>
      </c>
      <c r="DW54" s="647" t="s">
        <v>1134</v>
      </c>
      <c r="DX54" s="647" t="s">
        <v>1134</v>
      </c>
      <c r="DY54" s="647" t="s">
        <v>1134</v>
      </c>
      <c r="DZ54" s="647" t="s">
        <v>1134</v>
      </c>
      <c r="EA54" s="647" t="s">
        <v>449</v>
      </c>
      <c r="EB54" s="647" t="s">
        <v>1135</v>
      </c>
      <c r="EC54" s="647" t="s">
        <v>1134</v>
      </c>
      <c r="ED54" s="647" t="s">
        <v>1136</v>
      </c>
    </row>
    <row r="55" spans="1:134" x14ac:dyDescent="0.2">
      <c r="A55" s="749" t="s">
        <v>676</v>
      </c>
      <c r="B55" s="145">
        <v>48</v>
      </c>
      <c r="C55" s="770">
        <v>0</v>
      </c>
      <c r="D55" s="770">
        <v>0</v>
      </c>
      <c r="E55" s="770">
        <v>0</v>
      </c>
      <c r="F55" s="770">
        <v>0</v>
      </c>
      <c r="G55" s="770">
        <v>0</v>
      </c>
      <c r="H55" s="786">
        <f t="shared" si="7"/>
        <v>0</v>
      </c>
      <c r="I55" s="776">
        <v>0</v>
      </c>
      <c r="J55" s="776">
        <v>0</v>
      </c>
      <c r="K55" s="801">
        <v>0</v>
      </c>
      <c r="L55" s="802">
        <v>0</v>
      </c>
      <c r="M55" s="803">
        <v>0</v>
      </c>
      <c r="N55" s="777">
        <v>0</v>
      </c>
      <c r="O55" s="776">
        <v>0</v>
      </c>
      <c r="P55" s="803">
        <v>0</v>
      </c>
      <c r="Q55" s="781">
        <v>0</v>
      </c>
      <c r="R55" s="803">
        <v>0</v>
      </c>
      <c r="S55" s="778">
        <v>0</v>
      </c>
      <c r="T55" s="778">
        <v>0</v>
      </c>
      <c r="U55" s="804">
        <v>0</v>
      </c>
      <c r="V55" s="772">
        <v>0</v>
      </c>
      <c r="W55" s="783">
        <v>0</v>
      </c>
      <c r="X55" s="803">
        <v>0</v>
      </c>
      <c r="Y55" s="778">
        <v>0</v>
      </c>
      <c r="Z55" s="802">
        <v>0</v>
      </c>
      <c r="AA55" s="803">
        <v>0</v>
      </c>
      <c r="AB55" s="803">
        <v>0</v>
      </c>
      <c r="AC55" s="778">
        <v>0</v>
      </c>
      <c r="AD55" s="782">
        <v>0</v>
      </c>
      <c r="AE55" s="803">
        <v>0</v>
      </c>
      <c r="AF55" s="771">
        <f t="shared" si="6"/>
        <v>0</v>
      </c>
      <c r="AG55" s="805">
        <f t="shared" si="2"/>
        <v>0</v>
      </c>
      <c r="AH55" s="135">
        <f t="shared" si="4"/>
        <v>0</v>
      </c>
      <c r="AI55" s="132" t="str">
        <f t="shared" si="5"/>
        <v xml:space="preserve"> </v>
      </c>
      <c r="AS55" s="139" t="s">
        <v>881</v>
      </c>
      <c r="AT55" s="1086" t="s">
        <v>1399</v>
      </c>
      <c r="DS55" s="304"/>
      <c r="DT55" s="304"/>
      <c r="DU55" s="647" t="s">
        <v>571</v>
      </c>
      <c r="DV55" s="647" t="s">
        <v>1134</v>
      </c>
      <c r="DW55" s="647" t="s">
        <v>1134</v>
      </c>
      <c r="DX55" s="647" t="s">
        <v>1134</v>
      </c>
      <c r="DY55" s="647" t="s">
        <v>1134</v>
      </c>
      <c r="DZ55" s="647" t="s">
        <v>1134</v>
      </c>
      <c r="EA55" s="647" t="s">
        <v>881</v>
      </c>
      <c r="EB55" s="647" t="s">
        <v>1135</v>
      </c>
      <c r="EC55" s="647" t="s">
        <v>1134</v>
      </c>
      <c r="ED55" s="647" t="s">
        <v>1136</v>
      </c>
    </row>
    <row r="56" spans="1:134" x14ac:dyDescent="0.2">
      <c r="A56" s="749" t="s">
        <v>972</v>
      </c>
      <c r="B56" s="145">
        <v>49</v>
      </c>
      <c r="C56" s="770">
        <v>0</v>
      </c>
      <c r="D56" s="770">
        <v>0</v>
      </c>
      <c r="E56" s="770">
        <v>0</v>
      </c>
      <c r="F56" s="770">
        <v>0</v>
      </c>
      <c r="G56" s="770">
        <v>0</v>
      </c>
      <c r="H56" s="786">
        <f t="shared" si="7"/>
        <v>0</v>
      </c>
      <c r="I56" s="776">
        <v>0</v>
      </c>
      <c r="J56" s="776">
        <v>0</v>
      </c>
      <c r="K56" s="801">
        <v>0</v>
      </c>
      <c r="L56" s="802">
        <v>0</v>
      </c>
      <c r="M56" s="803">
        <v>0</v>
      </c>
      <c r="N56" s="777">
        <v>0</v>
      </c>
      <c r="O56" s="776">
        <v>0</v>
      </c>
      <c r="P56" s="803">
        <v>0</v>
      </c>
      <c r="Q56" s="781">
        <v>0</v>
      </c>
      <c r="R56" s="803">
        <v>0</v>
      </c>
      <c r="S56" s="778">
        <v>0</v>
      </c>
      <c r="T56" s="778">
        <v>0</v>
      </c>
      <c r="U56" s="804">
        <v>0</v>
      </c>
      <c r="V56" s="772">
        <v>0</v>
      </c>
      <c r="W56" s="783">
        <v>0</v>
      </c>
      <c r="X56" s="803">
        <v>0</v>
      </c>
      <c r="Y56" s="778">
        <v>0</v>
      </c>
      <c r="Z56" s="802">
        <v>0</v>
      </c>
      <c r="AA56" s="803">
        <v>0</v>
      </c>
      <c r="AB56" s="803">
        <v>0</v>
      </c>
      <c r="AC56" s="778">
        <v>0</v>
      </c>
      <c r="AD56" s="782">
        <v>0</v>
      </c>
      <c r="AE56" s="803">
        <v>0</v>
      </c>
      <c r="AF56" s="771">
        <f t="shared" si="6"/>
        <v>0</v>
      </c>
      <c r="AG56" s="805">
        <f t="shared" si="2"/>
        <v>0</v>
      </c>
      <c r="AH56" s="135">
        <f t="shared" si="4"/>
        <v>0</v>
      </c>
      <c r="AI56" s="132" t="str">
        <f t="shared" si="5"/>
        <v xml:space="preserve"> </v>
      </c>
      <c r="AS56" s="139" t="s">
        <v>1046</v>
      </c>
      <c r="AT56" s="139" t="s">
        <v>1047</v>
      </c>
      <c r="DS56" s="304"/>
      <c r="DT56" s="304"/>
      <c r="DU56" s="647" t="s">
        <v>571</v>
      </c>
      <c r="DV56" s="647" t="s">
        <v>1134</v>
      </c>
      <c r="DW56" s="647" t="s">
        <v>1134</v>
      </c>
      <c r="DX56" s="647" t="s">
        <v>1134</v>
      </c>
      <c r="DY56" s="647" t="s">
        <v>1134</v>
      </c>
      <c r="DZ56" s="647" t="s">
        <v>1134</v>
      </c>
      <c r="EA56" s="647" t="s">
        <v>1046</v>
      </c>
      <c r="EB56" s="647" t="s">
        <v>1135</v>
      </c>
      <c r="EC56" s="647" t="s">
        <v>1134</v>
      </c>
      <c r="ED56" s="647" t="s">
        <v>1136</v>
      </c>
    </row>
    <row r="57" spans="1:134" x14ac:dyDescent="0.2">
      <c r="A57" s="749" t="s">
        <v>557</v>
      </c>
      <c r="B57" s="145">
        <v>50</v>
      </c>
      <c r="C57" s="770">
        <v>0.01</v>
      </c>
      <c r="D57" s="770">
        <v>0</v>
      </c>
      <c r="E57" s="770">
        <v>0</v>
      </c>
      <c r="F57" s="770">
        <v>6.0999999999999999E-2</v>
      </c>
      <c r="G57" s="770">
        <v>0</v>
      </c>
      <c r="H57" s="786">
        <f t="shared" si="7"/>
        <v>7.0999999999999994E-2</v>
      </c>
      <c r="I57" s="776">
        <v>0</v>
      </c>
      <c r="J57" s="776">
        <v>1E-3</v>
      </c>
      <c r="K57" s="801">
        <v>2.3639999999999999</v>
      </c>
      <c r="L57" s="802">
        <v>3.661</v>
      </c>
      <c r="M57" s="803">
        <v>0</v>
      </c>
      <c r="N57" s="777">
        <v>3.661</v>
      </c>
      <c r="O57" s="776">
        <v>0</v>
      </c>
      <c r="P57" s="803">
        <v>0</v>
      </c>
      <c r="Q57" s="781">
        <v>0</v>
      </c>
      <c r="R57" s="803">
        <v>0</v>
      </c>
      <c r="S57" s="778">
        <v>0</v>
      </c>
      <c r="T57" s="778">
        <v>0</v>
      </c>
      <c r="U57" s="804">
        <v>0.61</v>
      </c>
      <c r="V57" s="772">
        <v>0.20300000000000001</v>
      </c>
      <c r="W57" s="783">
        <v>0.81299999999999994</v>
      </c>
      <c r="X57" s="803">
        <v>0</v>
      </c>
      <c r="Y57" s="778">
        <v>0.81299999999999994</v>
      </c>
      <c r="Z57" s="802">
        <v>1.2999999999999999E-2</v>
      </c>
      <c r="AA57" s="803">
        <v>8.0000000000000002E-3</v>
      </c>
      <c r="AB57" s="803">
        <v>0</v>
      </c>
      <c r="AC57" s="778">
        <v>4.0000000000000001E-3</v>
      </c>
      <c r="AD57" s="782">
        <v>0</v>
      </c>
      <c r="AE57" s="803">
        <v>1.0129999999999999</v>
      </c>
      <c r="AF57" s="771">
        <f t="shared" si="6"/>
        <v>7.8650000000000002</v>
      </c>
      <c r="AG57" s="805">
        <f t="shared" si="2"/>
        <v>7.9359999999999999</v>
      </c>
      <c r="AH57" s="135">
        <f t="shared" si="4"/>
        <v>0</v>
      </c>
      <c r="AI57" s="132" t="str">
        <f t="shared" si="5"/>
        <v xml:space="preserve"> </v>
      </c>
      <c r="AS57" s="139" t="s">
        <v>507</v>
      </c>
      <c r="AT57" s="139" t="s">
        <v>508</v>
      </c>
      <c r="DS57" s="304"/>
      <c r="DT57" s="304"/>
      <c r="DU57" s="647" t="s">
        <v>571</v>
      </c>
      <c r="DV57" s="647" t="s">
        <v>1134</v>
      </c>
      <c r="DW57" s="647" t="s">
        <v>1134</v>
      </c>
      <c r="DX57" s="647" t="s">
        <v>1134</v>
      </c>
      <c r="DY57" s="647" t="s">
        <v>1134</v>
      </c>
      <c r="DZ57" s="647" t="s">
        <v>1134</v>
      </c>
      <c r="EA57" s="647" t="s">
        <v>507</v>
      </c>
      <c r="EB57" s="647" t="s">
        <v>1135</v>
      </c>
      <c r="EC57" s="647" t="s">
        <v>1134</v>
      </c>
      <c r="ED57" s="647" t="s">
        <v>1136</v>
      </c>
    </row>
    <row r="58" spans="1:134" x14ac:dyDescent="0.2">
      <c r="A58" s="749" t="s">
        <v>973</v>
      </c>
      <c r="B58" s="145">
        <v>51</v>
      </c>
      <c r="C58" s="770">
        <v>0</v>
      </c>
      <c r="D58" s="770">
        <v>0</v>
      </c>
      <c r="E58" s="770">
        <v>0</v>
      </c>
      <c r="F58" s="770">
        <v>0</v>
      </c>
      <c r="G58" s="770">
        <v>0</v>
      </c>
      <c r="H58" s="786">
        <f t="shared" si="7"/>
        <v>0</v>
      </c>
      <c r="I58" s="776">
        <v>0</v>
      </c>
      <c r="J58" s="776">
        <v>0</v>
      </c>
      <c r="K58" s="801">
        <v>0</v>
      </c>
      <c r="L58" s="802">
        <v>0</v>
      </c>
      <c r="M58" s="803">
        <v>0</v>
      </c>
      <c r="N58" s="777">
        <v>0</v>
      </c>
      <c r="O58" s="776">
        <v>0</v>
      </c>
      <c r="P58" s="803">
        <v>0</v>
      </c>
      <c r="Q58" s="781">
        <v>0</v>
      </c>
      <c r="R58" s="803">
        <v>0</v>
      </c>
      <c r="S58" s="778">
        <v>0</v>
      </c>
      <c r="T58" s="778">
        <v>0</v>
      </c>
      <c r="U58" s="804">
        <v>0</v>
      </c>
      <c r="V58" s="772">
        <v>0</v>
      </c>
      <c r="W58" s="783">
        <v>0</v>
      </c>
      <c r="X58" s="803">
        <v>0</v>
      </c>
      <c r="Y58" s="778">
        <v>0</v>
      </c>
      <c r="Z58" s="802">
        <v>0</v>
      </c>
      <c r="AA58" s="803">
        <v>0</v>
      </c>
      <c r="AB58" s="803">
        <v>0</v>
      </c>
      <c r="AC58" s="778">
        <v>0</v>
      </c>
      <c r="AD58" s="782">
        <v>0</v>
      </c>
      <c r="AE58" s="803">
        <v>0</v>
      </c>
      <c r="AF58" s="771">
        <f t="shared" si="6"/>
        <v>0</v>
      </c>
      <c r="AG58" s="805">
        <f t="shared" si="2"/>
        <v>0</v>
      </c>
      <c r="AH58" s="135">
        <f t="shared" si="4"/>
        <v>0</v>
      </c>
      <c r="AI58" s="132" t="str">
        <f t="shared" si="5"/>
        <v xml:space="preserve"> </v>
      </c>
      <c r="AS58" s="139" t="s">
        <v>1048</v>
      </c>
      <c r="AT58" s="139" t="s">
        <v>1049</v>
      </c>
      <c r="DS58" s="304"/>
      <c r="DT58" s="304"/>
      <c r="DU58" s="647" t="s">
        <v>571</v>
      </c>
      <c r="DV58" s="647" t="s">
        <v>1134</v>
      </c>
      <c r="DW58" s="647" t="s">
        <v>1134</v>
      </c>
      <c r="DX58" s="647" t="s">
        <v>1134</v>
      </c>
      <c r="DY58" s="647" t="s">
        <v>1134</v>
      </c>
      <c r="DZ58" s="647" t="s">
        <v>1134</v>
      </c>
      <c r="EA58" s="647" t="s">
        <v>1048</v>
      </c>
      <c r="EB58" s="647" t="s">
        <v>1135</v>
      </c>
      <c r="EC58" s="647" t="s">
        <v>1134</v>
      </c>
      <c r="ED58" s="647" t="s">
        <v>1136</v>
      </c>
    </row>
    <row r="59" spans="1:134" x14ac:dyDescent="0.2">
      <c r="A59" s="749" t="s">
        <v>29</v>
      </c>
      <c r="B59" s="145">
        <v>52</v>
      </c>
      <c r="C59" s="770">
        <v>0</v>
      </c>
      <c r="D59" s="770">
        <v>0</v>
      </c>
      <c r="E59" s="770">
        <v>0</v>
      </c>
      <c r="F59" s="770">
        <v>4.7549999999999999</v>
      </c>
      <c r="G59" s="770">
        <v>0</v>
      </c>
      <c r="H59" s="786">
        <f t="shared" si="7"/>
        <v>4.7549999999999999</v>
      </c>
      <c r="I59" s="776">
        <v>0</v>
      </c>
      <c r="J59" s="776">
        <v>8.0000000000000002E-3</v>
      </c>
      <c r="K59" s="801">
        <v>3.4000000000000002E-2</v>
      </c>
      <c r="L59" s="802">
        <v>5.2999999999999999E-2</v>
      </c>
      <c r="M59" s="803">
        <v>0</v>
      </c>
      <c r="N59" s="777">
        <v>5.2999999999999999E-2</v>
      </c>
      <c r="O59" s="776">
        <v>0</v>
      </c>
      <c r="P59" s="803">
        <v>0</v>
      </c>
      <c r="Q59" s="781">
        <v>3.0000000000000001E-3</v>
      </c>
      <c r="R59" s="803">
        <v>0</v>
      </c>
      <c r="S59" s="778">
        <v>3.0000000000000001E-3</v>
      </c>
      <c r="T59" s="778">
        <v>0</v>
      </c>
      <c r="U59" s="804">
        <v>8.3689999999999998</v>
      </c>
      <c r="V59" s="772">
        <v>2.7829999999999999</v>
      </c>
      <c r="W59" s="783">
        <v>11.151999999999999</v>
      </c>
      <c r="X59" s="803">
        <v>0</v>
      </c>
      <c r="Y59" s="778">
        <v>11.151999999999999</v>
      </c>
      <c r="Z59" s="802">
        <v>2.5139999999999998</v>
      </c>
      <c r="AA59" s="803">
        <v>1.61</v>
      </c>
      <c r="AB59" s="803">
        <v>0</v>
      </c>
      <c r="AC59" s="778">
        <v>0.90400000000000003</v>
      </c>
      <c r="AD59" s="782">
        <v>0</v>
      </c>
      <c r="AE59" s="803">
        <v>8.89</v>
      </c>
      <c r="AF59" s="771">
        <f t="shared" si="6"/>
        <v>22.654</v>
      </c>
      <c r="AG59" s="805">
        <f t="shared" si="2"/>
        <v>27.408999999999999</v>
      </c>
      <c r="AH59" s="135">
        <f t="shared" si="4"/>
        <v>0</v>
      </c>
      <c r="AI59" s="132" t="str">
        <f t="shared" si="5"/>
        <v xml:space="preserve"> </v>
      </c>
      <c r="AS59" s="139" t="s">
        <v>244</v>
      </c>
      <c r="AT59" s="139" t="s">
        <v>243</v>
      </c>
      <c r="DS59" s="304"/>
      <c r="DT59" s="304"/>
      <c r="DU59" s="647" t="s">
        <v>571</v>
      </c>
      <c r="DV59" s="647" t="s">
        <v>1134</v>
      </c>
      <c r="DW59" s="647" t="s">
        <v>1134</v>
      </c>
      <c r="DX59" s="647" t="s">
        <v>1134</v>
      </c>
      <c r="DY59" s="647" t="s">
        <v>1134</v>
      </c>
      <c r="DZ59" s="647" t="s">
        <v>1134</v>
      </c>
      <c r="EA59" s="647" t="s">
        <v>244</v>
      </c>
      <c r="EB59" s="647" t="s">
        <v>1135</v>
      </c>
      <c r="EC59" s="647" t="s">
        <v>1134</v>
      </c>
      <c r="ED59" s="647" t="s">
        <v>1136</v>
      </c>
    </row>
    <row r="60" spans="1:134" x14ac:dyDescent="0.2">
      <c r="A60" s="749" t="s">
        <v>30</v>
      </c>
      <c r="B60" s="145">
        <v>53</v>
      </c>
      <c r="C60" s="770">
        <v>0</v>
      </c>
      <c r="D60" s="770">
        <v>0</v>
      </c>
      <c r="E60" s="770">
        <v>0</v>
      </c>
      <c r="F60" s="770">
        <v>12.879</v>
      </c>
      <c r="G60" s="770">
        <v>0</v>
      </c>
      <c r="H60" s="786">
        <f t="shared" si="7"/>
        <v>12.879</v>
      </c>
      <c r="I60" s="776">
        <v>0</v>
      </c>
      <c r="J60" s="776">
        <v>1.367</v>
      </c>
      <c r="K60" s="801">
        <v>109.673</v>
      </c>
      <c r="L60" s="802">
        <v>169.876</v>
      </c>
      <c r="M60" s="803">
        <v>0</v>
      </c>
      <c r="N60" s="777">
        <v>169.876</v>
      </c>
      <c r="O60" s="776">
        <v>0.19400000000000001</v>
      </c>
      <c r="P60" s="803">
        <v>0</v>
      </c>
      <c r="Q60" s="781">
        <v>1.1200000000000001</v>
      </c>
      <c r="R60" s="803">
        <v>0</v>
      </c>
      <c r="S60" s="778">
        <v>1.1200000000000001</v>
      </c>
      <c r="T60" s="778">
        <v>9.9000000000000005E-2</v>
      </c>
      <c r="U60" s="804">
        <v>174.61199999999999</v>
      </c>
      <c r="V60" s="772">
        <v>58.066000000000003</v>
      </c>
      <c r="W60" s="783">
        <v>232.678</v>
      </c>
      <c r="X60" s="803">
        <v>0.215</v>
      </c>
      <c r="Y60" s="778">
        <v>232.46299999999999</v>
      </c>
      <c r="Z60" s="802">
        <v>40.79</v>
      </c>
      <c r="AA60" s="803">
        <v>26.123000000000001</v>
      </c>
      <c r="AB60" s="803">
        <v>0</v>
      </c>
      <c r="AC60" s="778">
        <v>14.667</v>
      </c>
      <c r="AD60" s="782">
        <v>0.7</v>
      </c>
      <c r="AE60" s="803">
        <v>69.034000000000006</v>
      </c>
      <c r="AF60" s="771">
        <f t="shared" si="6"/>
        <v>625.53099999999995</v>
      </c>
      <c r="AG60" s="805">
        <f t="shared" si="2"/>
        <v>638.41</v>
      </c>
      <c r="AH60" s="135">
        <f t="shared" si="4"/>
        <v>0</v>
      </c>
      <c r="AI60" s="132" t="str">
        <f t="shared" si="5"/>
        <v xml:space="preserve"> </v>
      </c>
      <c r="AS60" s="139" t="s">
        <v>246</v>
      </c>
      <c r="AT60" s="139" t="s">
        <v>245</v>
      </c>
      <c r="DS60" s="304"/>
      <c r="DT60" s="304"/>
      <c r="DU60" s="647" t="s">
        <v>571</v>
      </c>
      <c r="DV60" s="647" t="s">
        <v>1134</v>
      </c>
      <c r="DW60" s="647" t="s">
        <v>1134</v>
      </c>
      <c r="DX60" s="647" t="s">
        <v>1134</v>
      </c>
      <c r="DY60" s="647" t="s">
        <v>1134</v>
      </c>
      <c r="DZ60" s="647" t="s">
        <v>1134</v>
      </c>
      <c r="EA60" s="647" t="s">
        <v>246</v>
      </c>
      <c r="EB60" s="647" t="s">
        <v>1135</v>
      </c>
      <c r="EC60" s="647" t="s">
        <v>1134</v>
      </c>
      <c r="ED60" s="647" t="s">
        <v>1136</v>
      </c>
    </row>
    <row r="61" spans="1:134" x14ac:dyDescent="0.2">
      <c r="A61" s="749" t="s">
        <v>31</v>
      </c>
      <c r="B61" s="145">
        <v>54</v>
      </c>
      <c r="C61" s="770">
        <v>0</v>
      </c>
      <c r="D61" s="770">
        <v>0</v>
      </c>
      <c r="E61" s="770">
        <v>0</v>
      </c>
      <c r="F61" s="770">
        <v>0</v>
      </c>
      <c r="G61" s="770">
        <v>0</v>
      </c>
      <c r="H61" s="786">
        <f t="shared" si="7"/>
        <v>0</v>
      </c>
      <c r="I61" s="776">
        <v>0</v>
      </c>
      <c r="J61" s="776">
        <v>0</v>
      </c>
      <c r="K61" s="801">
        <v>0</v>
      </c>
      <c r="L61" s="802">
        <v>0</v>
      </c>
      <c r="M61" s="803">
        <v>0</v>
      </c>
      <c r="N61" s="777">
        <v>0</v>
      </c>
      <c r="O61" s="776">
        <v>0</v>
      </c>
      <c r="P61" s="803">
        <v>0</v>
      </c>
      <c r="Q61" s="781">
        <v>0</v>
      </c>
      <c r="R61" s="803">
        <v>0</v>
      </c>
      <c r="S61" s="778">
        <v>0</v>
      </c>
      <c r="T61" s="778">
        <v>0</v>
      </c>
      <c r="U61" s="804">
        <v>0</v>
      </c>
      <c r="V61" s="772">
        <v>0</v>
      </c>
      <c r="W61" s="783">
        <v>0</v>
      </c>
      <c r="X61" s="803">
        <v>0</v>
      </c>
      <c r="Y61" s="778">
        <v>0</v>
      </c>
      <c r="Z61" s="802">
        <v>0</v>
      </c>
      <c r="AA61" s="803">
        <v>0</v>
      </c>
      <c r="AB61" s="803">
        <v>0</v>
      </c>
      <c r="AC61" s="778">
        <v>0</v>
      </c>
      <c r="AD61" s="782">
        <v>0</v>
      </c>
      <c r="AE61" s="803">
        <v>0</v>
      </c>
      <c r="AF61" s="771">
        <f t="shared" si="6"/>
        <v>0</v>
      </c>
      <c r="AG61" s="805">
        <f t="shared" si="2"/>
        <v>0</v>
      </c>
      <c r="AH61" s="135">
        <f t="shared" si="4"/>
        <v>0</v>
      </c>
      <c r="AI61" s="132" t="str">
        <f t="shared" si="5"/>
        <v xml:space="preserve"> </v>
      </c>
      <c r="AS61" s="139" t="s">
        <v>451</v>
      </c>
      <c r="AT61" s="139" t="s">
        <v>452</v>
      </c>
      <c r="DS61" s="304"/>
      <c r="DT61" s="304"/>
      <c r="DU61" s="647" t="s">
        <v>571</v>
      </c>
      <c r="DV61" s="647" t="s">
        <v>1134</v>
      </c>
      <c r="DW61" s="647" t="s">
        <v>1134</v>
      </c>
      <c r="DX61" s="647" t="s">
        <v>1134</v>
      </c>
      <c r="DY61" s="647" t="s">
        <v>1134</v>
      </c>
      <c r="DZ61" s="647" t="s">
        <v>1134</v>
      </c>
      <c r="EA61" s="647" t="s">
        <v>451</v>
      </c>
      <c r="EB61" s="647" t="s">
        <v>1135</v>
      </c>
      <c r="EC61" s="647" t="s">
        <v>1134</v>
      </c>
      <c r="ED61" s="647" t="s">
        <v>1136</v>
      </c>
    </row>
    <row r="62" spans="1:134" x14ac:dyDescent="0.2">
      <c r="A62" s="749" t="s">
        <v>558</v>
      </c>
      <c r="B62" s="145">
        <v>55</v>
      </c>
      <c r="C62" s="770">
        <v>0</v>
      </c>
      <c r="D62" s="770">
        <v>0</v>
      </c>
      <c r="E62" s="770">
        <v>0</v>
      </c>
      <c r="F62" s="770">
        <v>0</v>
      </c>
      <c r="G62" s="770">
        <v>0</v>
      </c>
      <c r="H62" s="786">
        <f t="shared" si="7"/>
        <v>0</v>
      </c>
      <c r="I62" s="776">
        <v>0</v>
      </c>
      <c r="J62" s="776">
        <v>0</v>
      </c>
      <c r="K62" s="801">
        <v>0</v>
      </c>
      <c r="L62" s="802">
        <v>0</v>
      </c>
      <c r="M62" s="803">
        <v>0</v>
      </c>
      <c r="N62" s="777">
        <v>0</v>
      </c>
      <c r="O62" s="776">
        <v>0</v>
      </c>
      <c r="P62" s="803">
        <v>0</v>
      </c>
      <c r="Q62" s="781">
        <v>0</v>
      </c>
      <c r="R62" s="803">
        <v>0</v>
      </c>
      <c r="S62" s="778">
        <v>0</v>
      </c>
      <c r="T62" s="778">
        <v>0</v>
      </c>
      <c r="U62" s="804">
        <v>0</v>
      </c>
      <c r="V62" s="772">
        <v>0</v>
      </c>
      <c r="W62" s="783">
        <v>0</v>
      </c>
      <c r="X62" s="803">
        <v>0</v>
      </c>
      <c r="Y62" s="778">
        <v>0</v>
      </c>
      <c r="Z62" s="802">
        <v>0</v>
      </c>
      <c r="AA62" s="803">
        <v>0</v>
      </c>
      <c r="AB62" s="803">
        <v>0</v>
      </c>
      <c r="AC62" s="778">
        <v>0</v>
      </c>
      <c r="AD62" s="782">
        <v>0</v>
      </c>
      <c r="AE62" s="803">
        <v>2.9000000000000001E-2</v>
      </c>
      <c r="AF62" s="771">
        <f t="shared" si="6"/>
        <v>2.9000000000000001E-2</v>
      </c>
      <c r="AG62" s="805">
        <f t="shared" si="2"/>
        <v>2.9000000000000001E-2</v>
      </c>
      <c r="AH62" s="135">
        <f t="shared" si="4"/>
        <v>0</v>
      </c>
      <c r="AI62" s="132" t="str">
        <f t="shared" si="5"/>
        <v xml:space="preserve"> </v>
      </c>
      <c r="AS62" s="139" t="s">
        <v>509</v>
      </c>
      <c r="AT62" s="139" t="s">
        <v>510</v>
      </c>
      <c r="DS62" s="304"/>
      <c r="DT62" s="304"/>
      <c r="DU62" s="647" t="s">
        <v>571</v>
      </c>
      <c r="DV62" s="647" t="s">
        <v>1134</v>
      </c>
      <c r="DW62" s="647" t="s">
        <v>1134</v>
      </c>
      <c r="DX62" s="647" t="s">
        <v>1134</v>
      </c>
      <c r="DY62" s="647" t="s">
        <v>1134</v>
      </c>
      <c r="DZ62" s="647" t="s">
        <v>1134</v>
      </c>
      <c r="EA62" s="647" t="s">
        <v>509</v>
      </c>
      <c r="EB62" s="647" t="s">
        <v>1135</v>
      </c>
      <c r="EC62" s="647" t="s">
        <v>1134</v>
      </c>
      <c r="ED62" s="647" t="s">
        <v>1136</v>
      </c>
    </row>
    <row r="63" spans="1:134" x14ac:dyDescent="0.2">
      <c r="A63" s="749" t="s">
        <v>32</v>
      </c>
      <c r="B63" s="145">
        <v>56</v>
      </c>
      <c r="C63" s="770">
        <v>0</v>
      </c>
      <c r="D63" s="770">
        <v>10.33</v>
      </c>
      <c r="E63" s="770">
        <v>0</v>
      </c>
      <c r="F63" s="770">
        <v>72.108999999999995</v>
      </c>
      <c r="G63" s="770">
        <v>0</v>
      </c>
      <c r="H63" s="786">
        <f t="shared" si="7"/>
        <v>82.438999999999993</v>
      </c>
      <c r="I63" s="776">
        <v>0</v>
      </c>
      <c r="J63" s="776">
        <v>33.256999999999998</v>
      </c>
      <c r="K63" s="801">
        <v>274.65499999999997</v>
      </c>
      <c r="L63" s="802">
        <v>425.42200000000003</v>
      </c>
      <c r="M63" s="803">
        <v>0</v>
      </c>
      <c r="N63" s="777">
        <v>425.42200000000003</v>
      </c>
      <c r="O63" s="776">
        <v>2.0539999999999998</v>
      </c>
      <c r="P63" s="803">
        <v>0</v>
      </c>
      <c r="Q63" s="781">
        <v>438.49599999999998</v>
      </c>
      <c r="R63" s="803">
        <v>0</v>
      </c>
      <c r="S63" s="778">
        <v>438.49599999999998</v>
      </c>
      <c r="T63" s="778">
        <v>38.49</v>
      </c>
      <c r="U63" s="804">
        <v>206.77799999999999</v>
      </c>
      <c r="V63" s="772">
        <v>68.762</v>
      </c>
      <c r="W63" s="783">
        <v>275.54000000000002</v>
      </c>
      <c r="X63" s="803">
        <v>0.94199999999999995</v>
      </c>
      <c r="Y63" s="778">
        <v>274.59800000000001</v>
      </c>
      <c r="Z63" s="802">
        <v>81.409000000000006</v>
      </c>
      <c r="AA63" s="803">
        <v>52.134999999999998</v>
      </c>
      <c r="AB63" s="803">
        <v>0</v>
      </c>
      <c r="AC63" s="778">
        <v>29.274000000000001</v>
      </c>
      <c r="AD63" s="782">
        <v>43.694000000000003</v>
      </c>
      <c r="AE63" s="803">
        <v>165.28</v>
      </c>
      <c r="AF63" s="771">
        <f t="shared" si="6"/>
        <v>1778.297</v>
      </c>
      <c r="AG63" s="805">
        <f t="shared" si="2"/>
        <v>1860.7360000000001</v>
      </c>
      <c r="AH63" s="135">
        <f t="shared" si="4"/>
        <v>0</v>
      </c>
      <c r="AI63" s="132" t="str">
        <f t="shared" si="5"/>
        <v xml:space="preserve"> </v>
      </c>
      <c r="AS63" s="139" t="s">
        <v>248</v>
      </c>
      <c r="AT63" s="139" t="s">
        <v>247</v>
      </c>
      <c r="DS63" s="304"/>
      <c r="DT63" s="304"/>
      <c r="DU63" s="647" t="s">
        <v>571</v>
      </c>
      <c r="DV63" s="647" t="s">
        <v>1134</v>
      </c>
      <c r="DW63" s="647" t="s">
        <v>1134</v>
      </c>
      <c r="DX63" s="647" t="s">
        <v>1134</v>
      </c>
      <c r="DY63" s="647" t="s">
        <v>1134</v>
      </c>
      <c r="DZ63" s="647" t="s">
        <v>1134</v>
      </c>
      <c r="EA63" s="647" t="s">
        <v>248</v>
      </c>
      <c r="EB63" s="647" t="s">
        <v>1135</v>
      </c>
      <c r="EC63" s="647" t="s">
        <v>1134</v>
      </c>
      <c r="ED63" s="647" t="s">
        <v>1136</v>
      </c>
    </row>
    <row r="64" spans="1:134" x14ac:dyDescent="0.2">
      <c r="A64" s="749" t="s">
        <v>974</v>
      </c>
      <c r="B64" s="145">
        <v>57</v>
      </c>
      <c r="C64" s="770">
        <v>0</v>
      </c>
      <c r="D64" s="770">
        <v>0</v>
      </c>
      <c r="E64" s="770">
        <v>0</v>
      </c>
      <c r="F64" s="770">
        <v>0</v>
      </c>
      <c r="G64" s="770">
        <v>0</v>
      </c>
      <c r="H64" s="786">
        <f t="shared" si="7"/>
        <v>0</v>
      </c>
      <c r="I64" s="776">
        <v>0</v>
      </c>
      <c r="J64" s="776">
        <v>0</v>
      </c>
      <c r="K64" s="801">
        <v>22.86</v>
      </c>
      <c r="L64" s="802">
        <v>35.408999999999999</v>
      </c>
      <c r="M64" s="803">
        <v>0</v>
      </c>
      <c r="N64" s="777">
        <v>35.408999999999999</v>
      </c>
      <c r="O64" s="776">
        <v>0</v>
      </c>
      <c r="P64" s="803">
        <v>0</v>
      </c>
      <c r="Q64" s="781">
        <v>0</v>
      </c>
      <c r="R64" s="803">
        <v>0</v>
      </c>
      <c r="S64" s="778">
        <v>0</v>
      </c>
      <c r="T64" s="778">
        <v>0</v>
      </c>
      <c r="U64" s="804">
        <v>0</v>
      </c>
      <c r="V64" s="772">
        <v>0</v>
      </c>
      <c r="W64" s="783">
        <v>0</v>
      </c>
      <c r="X64" s="803">
        <v>0</v>
      </c>
      <c r="Y64" s="778">
        <v>0</v>
      </c>
      <c r="Z64" s="802">
        <v>0</v>
      </c>
      <c r="AA64" s="803">
        <v>0</v>
      </c>
      <c r="AB64" s="803">
        <v>0</v>
      </c>
      <c r="AC64" s="778">
        <v>0</v>
      </c>
      <c r="AD64" s="782">
        <v>0</v>
      </c>
      <c r="AE64" s="803">
        <v>2.6629999999999998</v>
      </c>
      <c r="AF64" s="771">
        <f t="shared" si="6"/>
        <v>60.932000000000002</v>
      </c>
      <c r="AG64" s="805">
        <f t="shared" si="2"/>
        <v>60.932000000000002</v>
      </c>
      <c r="AH64" s="135">
        <f t="shared" si="4"/>
        <v>0</v>
      </c>
      <c r="AI64" s="132" t="str">
        <f t="shared" si="5"/>
        <v xml:space="preserve"> </v>
      </c>
      <c r="AS64" s="139" t="s">
        <v>1050</v>
      </c>
      <c r="AT64" s="139" t="s">
        <v>1051</v>
      </c>
      <c r="DS64" s="304"/>
      <c r="DT64" s="304"/>
      <c r="DU64" s="647" t="s">
        <v>571</v>
      </c>
      <c r="DV64" s="647" t="s">
        <v>1134</v>
      </c>
      <c r="DW64" s="647" t="s">
        <v>1134</v>
      </c>
      <c r="DX64" s="647" t="s">
        <v>1134</v>
      </c>
      <c r="DY64" s="647" t="s">
        <v>1134</v>
      </c>
      <c r="DZ64" s="647" t="s">
        <v>1134</v>
      </c>
      <c r="EA64" s="647" t="s">
        <v>1050</v>
      </c>
      <c r="EB64" s="647" t="s">
        <v>1135</v>
      </c>
      <c r="EC64" s="647" t="s">
        <v>1134</v>
      </c>
      <c r="ED64" s="647" t="s">
        <v>1136</v>
      </c>
    </row>
    <row r="65" spans="1:134" x14ac:dyDescent="0.2">
      <c r="A65" s="749" t="s">
        <v>946</v>
      </c>
      <c r="B65" s="145">
        <v>58</v>
      </c>
      <c r="C65" s="770">
        <v>0</v>
      </c>
      <c r="D65" s="770">
        <v>0</v>
      </c>
      <c r="E65" s="770">
        <v>0</v>
      </c>
      <c r="F65" s="770">
        <v>0</v>
      </c>
      <c r="G65" s="770">
        <v>0</v>
      </c>
      <c r="H65" s="786">
        <f t="shared" si="7"/>
        <v>0</v>
      </c>
      <c r="I65" s="776">
        <v>0</v>
      </c>
      <c r="J65" s="776">
        <v>0</v>
      </c>
      <c r="K65" s="801">
        <v>55.383000000000003</v>
      </c>
      <c r="L65" s="802">
        <v>85.786000000000001</v>
      </c>
      <c r="M65" s="803">
        <v>0</v>
      </c>
      <c r="N65" s="777">
        <v>85.786000000000001</v>
      </c>
      <c r="O65" s="776">
        <v>0</v>
      </c>
      <c r="P65" s="803">
        <v>0</v>
      </c>
      <c r="Q65" s="781">
        <v>0</v>
      </c>
      <c r="R65" s="803">
        <v>0</v>
      </c>
      <c r="S65" s="778">
        <v>0</v>
      </c>
      <c r="T65" s="778">
        <v>0</v>
      </c>
      <c r="U65" s="804">
        <v>98.126999999999995</v>
      </c>
      <c r="V65" s="772">
        <v>32.631</v>
      </c>
      <c r="W65" s="783">
        <v>130.75800000000001</v>
      </c>
      <c r="X65" s="803">
        <v>0</v>
      </c>
      <c r="Y65" s="778">
        <v>130.75800000000001</v>
      </c>
      <c r="Z65" s="802">
        <v>0</v>
      </c>
      <c r="AA65" s="803">
        <v>0</v>
      </c>
      <c r="AB65" s="803">
        <v>0</v>
      </c>
      <c r="AC65" s="778">
        <v>0</v>
      </c>
      <c r="AD65" s="782">
        <v>0</v>
      </c>
      <c r="AE65" s="803">
        <v>1.6E-2</v>
      </c>
      <c r="AF65" s="771">
        <f t="shared" si="6"/>
        <v>271.94299999999998</v>
      </c>
      <c r="AG65" s="805">
        <f t="shared" si="2"/>
        <v>271.94299999999998</v>
      </c>
      <c r="AH65" s="135">
        <f t="shared" si="4"/>
        <v>0</v>
      </c>
      <c r="AI65" s="132" t="str">
        <f t="shared" si="5"/>
        <v xml:space="preserve"> </v>
      </c>
      <c r="AS65" s="139" t="s">
        <v>947</v>
      </c>
      <c r="AT65" s="139" t="s">
        <v>948</v>
      </c>
      <c r="DS65" s="304"/>
      <c r="DT65" s="304"/>
      <c r="DU65" s="647" t="s">
        <v>571</v>
      </c>
      <c r="DV65" s="647" t="s">
        <v>1134</v>
      </c>
      <c r="DW65" s="647" t="s">
        <v>1134</v>
      </c>
      <c r="DX65" s="647" t="s">
        <v>1134</v>
      </c>
      <c r="DY65" s="647" t="s">
        <v>1134</v>
      </c>
      <c r="DZ65" s="647" t="s">
        <v>1134</v>
      </c>
      <c r="EA65" s="647" t="s">
        <v>947</v>
      </c>
      <c r="EB65" s="647" t="s">
        <v>1135</v>
      </c>
      <c r="EC65" s="647" t="s">
        <v>1134</v>
      </c>
      <c r="ED65" s="647" t="s">
        <v>1136</v>
      </c>
    </row>
    <row r="66" spans="1:134" x14ac:dyDescent="0.2">
      <c r="A66" s="749" t="s">
        <v>33</v>
      </c>
      <c r="B66" s="145">
        <v>59</v>
      </c>
      <c r="C66" s="770">
        <v>0</v>
      </c>
      <c r="D66" s="770">
        <v>0</v>
      </c>
      <c r="E66" s="770">
        <v>0</v>
      </c>
      <c r="F66" s="770">
        <v>6.2160000000000002</v>
      </c>
      <c r="G66" s="770">
        <v>0</v>
      </c>
      <c r="H66" s="786">
        <f t="shared" si="7"/>
        <v>6.2160000000000002</v>
      </c>
      <c r="I66" s="776">
        <v>0</v>
      </c>
      <c r="J66" s="776">
        <v>2E-3</v>
      </c>
      <c r="K66" s="801">
        <v>2.198</v>
      </c>
      <c r="L66" s="802">
        <v>3.4049999999999998</v>
      </c>
      <c r="M66" s="803">
        <v>0</v>
      </c>
      <c r="N66" s="777">
        <v>3.4049999999999998</v>
      </c>
      <c r="O66" s="776">
        <v>0</v>
      </c>
      <c r="P66" s="803">
        <v>0</v>
      </c>
      <c r="Q66" s="781">
        <v>1E-3</v>
      </c>
      <c r="R66" s="803">
        <v>0</v>
      </c>
      <c r="S66" s="778">
        <v>1E-3</v>
      </c>
      <c r="T66" s="778">
        <v>0</v>
      </c>
      <c r="U66" s="804">
        <v>27.611000000000001</v>
      </c>
      <c r="V66" s="772">
        <v>9.1820000000000004</v>
      </c>
      <c r="W66" s="783">
        <v>36.792000000000002</v>
      </c>
      <c r="X66" s="803">
        <v>0</v>
      </c>
      <c r="Y66" s="778">
        <v>36.792000000000002</v>
      </c>
      <c r="Z66" s="802">
        <v>20.408999999999999</v>
      </c>
      <c r="AA66" s="803">
        <v>13.07</v>
      </c>
      <c r="AB66" s="803">
        <v>0</v>
      </c>
      <c r="AC66" s="778">
        <v>7.3390000000000004</v>
      </c>
      <c r="AD66" s="782">
        <v>6.6820000000000004</v>
      </c>
      <c r="AE66" s="803">
        <v>1.7490000000000001</v>
      </c>
      <c r="AF66" s="771">
        <f t="shared" si="6"/>
        <v>71.238</v>
      </c>
      <c r="AG66" s="805">
        <f t="shared" si="2"/>
        <v>77.453999999999994</v>
      </c>
      <c r="AH66" s="135">
        <f t="shared" si="4"/>
        <v>0</v>
      </c>
      <c r="AI66" s="132" t="str">
        <f t="shared" si="5"/>
        <v xml:space="preserve"> </v>
      </c>
      <c r="AS66" s="139" t="s">
        <v>250</v>
      </c>
      <c r="AT66" s="139" t="s">
        <v>249</v>
      </c>
      <c r="DS66" s="304"/>
      <c r="DT66" s="304"/>
      <c r="DU66" s="647" t="s">
        <v>571</v>
      </c>
      <c r="DV66" s="647" t="s">
        <v>1134</v>
      </c>
      <c r="DW66" s="647" t="s">
        <v>1134</v>
      </c>
      <c r="DX66" s="647" t="s">
        <v>1134</v>
      </c>
      <c r="DY66" s="647" t="s">
        <v>1134</v>
      </c>
      <c r="DZ66" s="647" t="s">
        <v>1134</v>
      </c>
      <c r="EA66" s="647" t="s">
        <v>250</v>
      </c>
      <c r="EB66" s="647" t="s">
        <v>1135</v>
      </c>
      <c r="EC66" s="647" t="s">
        <v>1134</v>
      </c>
      <c r="ED66" s="647" t="s">
        <v>1136</v>
      </c>
    </row>
    <row r="67" spans="1:134" x14ac:dyDescent="0.2">
      <c r="A67" s="749" t="s">
        <v>975</v>
      </c>
      <c r="B67" s="145">
        <v>60</v>
      </c>
      <c r="C67" s="770">
        <v>0</v>
      </c>
      <c r="D67" s="770">
        <v>0</v>
      </c>
      <c r="E67" s="770">
        <v>0</v>
      </c>
      <c r="F67" s="770">
        <v>0</v>
      </c>
      <c r="G67" s="770">
        <v>0</v>
      </c>
      <c r="H67" s="786">
        <f t="shared" si="7"/>
        <v>0</v>
      </c>
      <c r="I67" s="776">
        <v>0</v>
      </c>
      <c r="J67" s="776">
        <v>0</v>
      </c>
      <c r="K67" s="801">
        <v>0</v>
      </c>
      <c r="L67" s="802">
        <v>0</v>
      </c>
      <c r="M67" s="803">
        <v>0</v>
      </c>
      <c r="N67" s="777">
        <v>0</v>
      </c>
      <c r="O67" s="776">
        <v>0</v>
      </c>
      <c r="P67" s="803">
        <v>0</v>
      </c>
      <c r="Q67" s="781">
        <v>0</v>
      </c>
      <c r="R67" s="803">
        <v>0</v>
      </c>
      <c r="S67" s="778">
        <v>0</v>
      </c>
      <c r="T67" s="778">
        <v>0</v>
      </c>
      <c r="U67" s="804">
        <v>0</v>
      </c>
      <c r="V67" s="772">
        <v>0</v>
      </c>
      <c r="W67" s="783">
        <v>0</v>
      </c>
      <c r="X67" s="803">
        <v>0</v>
      </c>
      <c r="Y67" s="778">
        <v>0</v>
      </c>
      <c r="Z67" s="802">
        <v>0</v>
      </c>
      <c r="AA67" s="803">
        <v>0</v>
      </c>
      <c r="AB67" s="803">
        <v>0</v>
      </c>
      <c r="AC67" s="778">
        <v>0</v>
      </c>
      <c r="AD67" s="782">
        <v>0</v>
      </c>
      <c r="AE67" s="803">
        <v>4.7E-2</v>
      </c>
      <c r="AF67" s="771">
        <f t="shared" si="6"/>
        <v>4.7E-2</v>
      </c>
      <c r="AG67" s="805">
        <f t="shared" si="2"/>
        <v>4.7E-2</v>
      </c>
      <c r="AH67" s="135">
        <f t="shared" si="4"/>
        <v>0</v>
      </c>
      <c r="AI67" s="132" t="str">
        <f t="shared" si="5"/>
        <v xml:space="preserve"> </v>
      </c>
      <c r="AS67" s="139" t="s">
        <v>1052</v>
      </c>
      <c r="AT67" s="139" t="s">
        <v>1053</v>
      </c>
      <c r="DS67" s="304"/>
      <c r="DT67" s="304"/>
      <c r="DU67" s="647" t="s">
        <v>571</v>
      </c>
      <c r="DV67" s="647" t="s">
        <v>1134</v>
      </c>
      <c r="DW67" s="647" t="s">
        <v>1134</v>
      </c>
      <c r="DX67" s="647" t="s">
        <v>1134</v>
      </c>
      <c r="DY67" s="647" t="s">
        <v>1134</v>
      </c>
      <c r="DZ67" s="647" t="s">
        <v>1134</v>
      </c>
      <c r="EA67" s="647" t="s">
        <v>1052</v>
      </c>
      <c r="EB67" s="647" t="s">
        <v>1135</v>
      </c>
      <c r="EC67" s="647" t="s">
        <v>1134</v>
      </c>
      <c r="ED67" s="647" t="s">
        <v>1136</v>
      </c>
    </row>
    <row r="68" spans="1:134" x14ac:dyDescent="0.2">
      <c r="A68" s="749" t="s">
        <v>976</v>
      </c>
      <c r="B68" s="145">
        <v>61</v>
      </c>
      <c r="C68" s="770">
        <v>0</v>
      </c>
      <c r="D68" s="770">
        <v>0</v>
      </c>
      <c r="E68" s="770">
        <v>0</v>
      </c>
      <c r="F68" s="770">
        <v>0</v>
      </c>
      <c r="G68" s="770">
        <v>0</v>
      </c>
      <c r="H68" s="786">
        <f t="shared" si="7"/>
        <v>0</v>
      </c>
      <c r="I68" s="776">
        <v>0</v>
      </c>
      <c r="J68" s="776">
        <v>0</v>
      </c>
      <c r="K68" s="801">
        <v>0</v>
      </c>
      <c r="L68" s="802">
        <v>0</v>
      </c>
      <c r="M68" s="803">
        <v>0</v>
      </c>
      <c r="N68" s="777">
        <v>0</v>
      </c>
      <c r="O68" s="776">
        <v>0</v>
      </c>
      <c r="P68" s="803">
        <v>0</v>
      </c>
      <c r="Q68" s="781">
        <v>0</v>
      </c>
      <c r="R68" s="803">
        <v>0</v>
      </c>
      <c r="S68" s="778">
        <v>0</v>
      </c>
      <c r="T68" s="778">
        <v>0</v>
      </c>
      <c r="U68" s="804">
        <v>0</v>
      </c>
      <c r="V68" s="772">
        <v>0</v>
      </c>
      <c r="W68" s="783">
        <v>0</v>
      </c>
      <c r="X68" s="803">
        <v>0</v>
      </c>
      <c r="Y68" s="778">
        <v>0</v>
      </c>
      <c r="Z68" s="802">
        <v>0</v>
      </c>
      <c r="AA68" s="803">
        <v>0</v>
      </c>
      <c r="AB68" s="803">
        <v>0</v>
      </c>
      <c r="AC68" s="778">
        <v>0</v>
      </c>
      <c r="AD68" s="782">
        <v>0</v>
      </c>
      <c r="AE68" s="803">
        <v>0</v>
      </c>
      <c r="AF68" s="771">
        <f t="shared" si="6"/>
        <v>0</v>
      </c>
      <c r="AG68" s="805">
        <f t="shared" si="2"/>
        <v>0</v>
      </c>
      <c r="AH68" s="135">
        <f t="shared" si="4"/>
        <v>0</v>
      </c>
      <c r="AI68" s="132" t="str">
        <f t="shared" si="5"/>
        <v xml:space="preserve"> </v>
      </c>
      <c r="AS68" s="139" t="s">
        <v>1054</v>
      </c>
      <c r="AT68" s="139" t="s">
        <v>1055</v>
      </c>
      <c r="DS68" s="304"/>
      <c r="DT68" s="304"/>
      <c r="DU68" s="647" t="s">
        <v>571</v>
      </c>
      <c r="DV68" s="647" t="s">
        <v>1134</v>
      </c>
      <c r="DW68" s="647" t="s">
        <v>1134</v>
      </c>
      <c r="DX68" s="647" t="s">
        <v>1134</v>
      </c>
      <c r="DY68" s="647" t="s">
        <v>1134</v>
      </c>
      <c r="DZ68" s="647" t="s">
        <v>1134</v>
      </c>
      <c r="EA68" s="647" t="s">
        <v>1054</v>
      </c>
      <c r="EB68" s="647" t="s">
        <v>1135</v>
      </c>
      <c r="EC68" s="647" t="s">
        <v>1134</v>
      </c>
      <c r="ED68" s="647" t="s">
        <v>1136</v>
      </c>
    </row>
    <row r="69" spans="1:134" x14ac:dyDescent="0.2">
      <c r="A69" s="749" t="s">
        <v>1425</v>
      </c>
      <c r="B69" s="145">
        <v>62</v>
      </c>
      <c r="C69" s="770">
        <v>0</v>
      </c>
      <c r="D69" s="770">
        <v>0</v>
      </c>
      <c r="E69" s="770">
        <v>0</v>
      </c>
      <c r="F69" s="770">
        <v>0</v>
      </c>
      <c r="G69" s="770">
        <v>0</v>
      </c>
      <c r="H69" s="786">
        <f t="shared" si="7"/>
        <v>0</v>
      </c>
      <c r="I69" s="776">
        <v>0</v>
      </c>
      <c r="J69" s="776">
        <v>0</v>
      </c>
      <c r="K69" s="801">
        <v>0</v>
      </c>
      <c r="L69" s="802">
        <v>0</v>
      </c>
      <c r="M69" s="803">
        <v>0</v>
      </c>
      <c r="N69" s="777">
        <v>0</v>
      </c>
      <c r="O69" s="776">
        <v>0</v>
      </c>
      <c r="P69" s="803">
        <v>0</v>
      </c>
      <c r="Q69" s="781">
        <v>0</v>
      </c>
      <c r="R69" s="803">
        <v>0</v>
      </c>
      <c r="S69" s="778">
        <v>0</v>
      </c>
      <c r="T69" s="778">
        <v>0</v>
      </c>
      <c r="U69" s="804">
        <v>0</v>
      </c>
      <c r="V69" s="772">
        <v>0</v>
      </c>
      <c r="W69" s="783">
        <v>0</v>
      </c>
      <c r="X69" s="803">
        <v>0</v>
      </c>
      <c r="Y69" s="778">
        <v>0</v>
      </c>
      <c r="Z69" s="802">
        <v>0</v>
      </c>
      <c r="AA69" s="803">
        <v>0</v>
      </c>
      <c r="AB69" s="803">
        <v>0</v>
      </c>
      <c r="AC69" s="778">
        <v>0</v>
      </c>
      <c r="AD69" s="782">
        <v>0</v>
      </c>
      <c r="AE69" s="803">
        <v>0</v>
      </c>
      <c r="AF69" s="771">
        <f t="shared" si="6"/>
        <v>0</v>
      </c>
      <c r="AG69" s="805">
        <f t="shared" si="2"/>
        <v>0</v>
      </c>
      <c r="AH69" s="135"/>
      <c r="AI69" s="132"/>
      <c r="AS69" s="1097" t="s">
        <v>1426</v>
      </c>
      <c r="AT69" s="1097" t="s">
        <v>1427</v>
      </c>
      <c r="DS69" s="304"/>
      <c r="DT69" s="304"/>
      <c r="DU69" s="647" t="s">
        <v>571</v>
      </c>
      <c r="DV69" s="647" t="s">
        <v>1134</v>
      </c>
      <c r="DW69" s="647" t="s">
        <v>1134</v>
      </c>
      <c r="DX69" s="647" t="s">
        <v>1134</v>
      </c>
      <c r="DY69" s="647" t="s">
        <v>1134</v>
      </c>
      <c r="DZ69" s="647" t="s">
        <v>1134</v>
      </c>
      <c r="EA69" s="647" t="s">
        <v>1426</v>
      </c>
      <c r="EB69" s="647" t="s">
        <v>1135</v>
      </c>
      <c r="EC69" s="647" t="s">
        <v>1134</v>
      </c>
      <c r="ED69" s="647" t="s">
        <v>1136</v>
      </c>
    </row>
    <row r="70" spans="1:134" x14ac:dyDescent="0.2">
      <c r="A70" s="749" t="s">
        <v>977</v>
      </c>
      <c r="B70" s="145">
        <v>63</v>
      </c>
      <c r="C70" s="770">
        <v>0</v>
      </c>
      <c r="D70" s="770">
        <v>0</v>
      </c>
      <c r="E70" s="770">
        <v>0</v>
      </c>
      <c r="F70" s="770">
        <v>0</v>
      </c>
      <c r="G70" s="770">
        <v>0</v>
      </c>
      <c r="H70" s="786">
        <f t="shared" si="7"/>
        <v>0</v>
      </c>
      <c r="I70" s="776">
        <v>0</v>
      </c>
      <c r="J70" s="776">
        <v>0</v>
      </c>
      <c r="K70" s="801">
        <v>0</v>
      </c>
      <c r="L70" s="802">
        <v>0</v>
      </c>
      <c r="M70" s="803">
        <v>0</v>
      </c>
      <c r="N70" s="777">
        <v>0</v>
      </c>
      <c r="O70" s="776">
        <v>0</v>
      </c>
      <c r="P70" s="803">
        <v>0</v>
      </c>
      <c r="Q70" s="781">
        <v>0</v>
      </c>
      <c r="R70" s="803">
        <v>0</v>
      </c>
      <c r="S70" s="778">
        <v>0</v>
      </c>
      <c r="T70" s="778">
        <v>0</v>
      </c>
      <c r="U70" s="804">
        <v>0</v>
      </c>
      <c r="V70" s="772">
        <v>0</v>
      </c>
      <c r="W70" s="783">
        <v>0</v>
      </c>
      <c r="X70" s="803">
        <v>0</v>
      </c>
      <c r="Y70" s="778">
        <v>0</v>
      </c>
      <c r="Z70" s="802">
        <v>0</v>
      </c>
      <c r="AA70" s="803">
        <v>0</v>
      </c>
      <c r="AB70" s="803">
        <v>0</v>
      </c>
      <c r="AC70" s="778">
        <v>0</v>
      </c>
      <c r="AD70" s="782">
        <v>0</v>
      </c>
      <c r="AE70" s="803">
        <v>0</v>
      </c>
      <c r="AF70" s="771">
        <f t="shared" si="6"/>
        <v>0</v>
      </c>
      <c r="AG70" s="805">
        <f t="shared" si="2"/>
        <v>0</v>
      </c>
      <c r="AH70" s="135">
        <f t="shared" si="4"/>
        <v>0</v>
      </c>
      <c r="AI70" s="132" t="str">
        <f t="shared" si="5"/>
        <v xml:space="preserve"> </v>
      </c>
      <c r="AS70" s="139" t="s">
        <v>1056</v>
      </c>
      <c r="AT70" s="139" t="s">
        <v>1057</v>
      </c>
      <c r="DS70" s="304"/>
      <c r="DT70" s="304"/>
      <c r="DU70" s="647" t="s">
        <v>571</v>
      </c>
      <c r="DV70" s="647" t="s">
        <v>1134</v>
      </c>
      <c r="DW70" s="647" t="s">
        <v>1134</v>
      </c>
      <c r="DX70" s="647" t="s">
        <v>1134</v>
      </c>
      <c r="DY70" s="647" t="s">
        <v>1134</v>
      </c>
      <c r="DZ70" s="647" t="s">
        <v>1134</v>
      </c>
      <c r="EA70" s="647" t="s">
        <v>1056</v>
      </c>
      <c r="EB70" s="647" t="s">
        <v>1135</v>
      </c>
      <c r="EC70" s="647" t="s">
        <v>1134</v>
      </c>
      <c r="ED70" s="647" t="s">
        <v>1136</v>
      </c>
    </row>
    <row r="71" spans="1:134" x14ac:dyDescent="0.2">
      <c r="A71" s="749" t="s">
        <v>978</v>
      </c>
      <c r="B71" s="145">
        <v>64</v>
      </c>
      <c r="C71" s="770">
        <v>0</v>
      </c>
      <c r="D71" s="770">
        <v>0</v>
      </c>
      <c r="E71" s="770">
        <v>0</v>
      </c>
      <c r="F71" s="770">
        <v>0</v>
      </c>
      <c r="G71" s="770">
        <v>0</v>
      </c>
      <c r="H71" s="786">
        <f t="shared" si="7"/>
        <v>0</v>
      </c>
      <c r="I71" s="776">
        <v>0</v>
      </c>
      <c r="J71" s="776">
        <v>0</v>
      </c>
      <c r="K71" s="801">
        <v>0</v>
      </c>
      <c r="L71" s="802">
        <v>0</v>
      </c>
      <c r="M71" s="803">
        <v>0</v>
      </c>
      <c r="N71" s="777">
        <v>0</v>
      </c>
      <c r="O71" s="776">
        <v>0</v>
      </c>
      <c r="P71" s="803">
        <v>0</v>
      </c>
      <c r="Q71" s="781">
        <v>0</v>
      </c>
      <c r="R71" s="803">
        <v>0</v>
      </c>
      <c r="S71" s="778">
        <v>0</v>
      </c>
      <c r="T71" s="778">
        <v>0</v>
      </c>
      <c r="U71" s="804">
        <v>0</v>
      </c>
      <c r="V71" s="772">
        <v>0</v>
      </c>
      <c r="W71" s="783">
        <v>0</v>
      </c>
      <c r="X71" s="803">
        <v>0</v>
      </c>
      <c r="Y71" s="778">
        <v>0</v>
      </c>
      <c r="Z71" s="802">
        <v>0</v>
      </c>
      <c r="AA71" s="803">
        <v>0</v>
      </c>
      <c r="AB71" s="803">
        <v>0</v>
      </c>
      <c r="AC71" s="778">
        <v>0</v>
      </c>
      <c r="AD71" s="782">
        <v>0</v>
      </c>
      <c r="AE71" s="803">
        <v>1.9E-2</v>
      </c>
      <c r="AF71" s="771">
        <f t="shared" si="6"/>
        <v>1.9E-2</v>
      </c>
      <c r="AG71" s="805">
        <f t="shared" si="2"/>
        <v>1.9E-2</v>
      </c>
      <c r="AH71" s="135">
        <f t="shared" si="4"/>
        <v>0</v>
      </c>
      <c r="AI71" s="132" t="str">
        <f t="shared" si="5"/>
        <v xml:space="preserve"> </v>
      </c>
      <c r="AS71" s="139" t="s">
        <v>453</v>
      </c>
      <c r="AT71" s="139" t="s">
        <v>454</v>
      </c>
      <c r="DS71" s="304"/>
      <c r="DT71" s="304"/>
      <c r="DU71" s="647" t="s">
        <v>571</v>
      </c>
      <c r="DV71" s="647" t="s">
        <v>1134</v>
      </c>
      <c r="DW71" s="647" t="s">
        <v>1134</v>
      </c>
      <c r="DX71" s="647" t="s">
        <v>1134</v>
      </c>
      <c r="DY71" s="647" t="s">
        <v>1134</v>
      </c>
      <c r="DZ71" s="647" t="s">
        <v>1134</v>
      </c>
      <c r="EA71" s="647" t="s">
        <v>453</v>
      </c>
      <c r="EB71" s="647" t="s">
        <v>1135</v>
      </c>
      <c r="EC71" s="647" t="s">
        <v>1134</v>
      </c>
      <c r="ED71" s="647" t="s">
        <v>1136</v>
      </c>
    </row>
    <row r="72" spans="1:134" x14ac:dyDescent="0.2">
      <c r="A72" s="749" t="s">
        <v>34</v>
      </c>
      <c r="B72" s="145">
        <v>65</v>
      </c>
      <c r="C72" s="770">
        <v>0</v>
      </c>
      <c r="D72" s="770">
        <v>0</v>
      </c>
      <c r="E72" s="770">
        <v>0</v>
      </c>
      <c r="F72" s="770">
        <v>0.91900000000000004</v>
      </c>
      <c r="G72" s="770">
        <v>0</v>
      </c>
      <c r="H72" s="786">
        <f t="shared" si="7"/>
        <v>0.91900000000000004</v>
      </c>
      <c r="I72" s="776">
        <v>0</v>
      </c>
      <c r="J72" s="776">
        <v>1E-3</v>
      </c>
      <c r="K72" s="801">
        <v>0</v>
      </c>
      <c r="L72" s="802">
        <v>0</v>
      </c>
      <c r="M72" s="803">
        <v>0</v>
      </c>
      <c r="N72" s="777">
        <v>0</v>
      </c>
      <c r="O72" s="776">
        <v>0</v>
      </c>
      <c r="P72" s="803">
        <v>0</v>
      </c>
      <c r="Q72" s="781">
        <v>1E-3</v>
      </c>
      <c r="R72" s="803">
        <v>0</v>
      </c>
      <c r="S72" s="778">
        <v>1E-3</v>
      </c>
      <c r="T72" s="778">
        <v>0</v>
      </c>
      <c r="U72" s="804">
        <v>2E-3</v>
      </c>
      <c r="V72" s="772">
        <v>1E-3</v>
      </c>
      <c r="W72" s="783">
        <v>3.0000000000000001E-3</v>
      </c>
      <c r="X72" s="803">
        <v>0</v>
      </c>
      <c r="Y72" s="778">
        <v>3.0000000000000001E-3</v>
      </c>
      <c r="Z72" s="802">
        <v>1.0999999999999999E-2</v>
      </c>
      <c r="AA72" s="803">
        <v>7.0000000000000001E-3</v>
      </c>
      <c r="AB72" s="803">
        <v>0</v>
      </c>
      <c r="AC72" s="778">
        <v>4.0000000000000001E-3</v>
      </c>
      <c r="AD72" s="782">
        <v>0</v>
      </c>
      <c r="AE72" s="803">
        <v>1.1180000000000001</v>
      </c>
      <c r="AF72" s="771">
        <f t="shared" si="6"/>
        <v>1.1339999999999999</v>
      </c>
      <c r="AG72" s="805">
        <f t="shared" ref="AG72:AG135" si="8">ROUND(SUM(H72,AF72),3)</f>
        <v>2.0529999999999999</v>
      </c>
      <c r="AH72" s="135">
        <f t="shared" si="4"/>
        <v>0</v>
      </c>
      <c r="AI72" s="132" t="str">
        <f t="shared" si="5"/>
        <v xml:space="preserve"> </v>
      </c>
      <c r="AS72" s="139" t="s">
        <v>252</v>
      </c>
      <c r="AT72" s="139" t="s">
        <v>251</v>
      </c>
      <c r="DS72" s="304"/>
      <c r="DT72" s="304"/>
      <c r="DU72" s="647" t="s">
        <v>571</v>
      </c>
      <c r="DV72" s="647" t="s">
        <v>1134</v>
      </c>
      <c r="DW72" s="647" t="s">
        <v>1134</v>
      </c>
      <c r="DX72" s="647" t="s">
        <v>1134</v>
      </c>
      <c r="DY72" s="647" t="s">
        <v>1134</v>
      </c>
      <c r="DZ72" s="647" t="s">
        <v>1134</v>
      </c>
      <c r="EA72" s="647" t="s">
        <v>252</v>
      </c>
      <c r="EB72" s="647" t="s">
        <v>1135</v>
      </c>
      <c r="EC72" s="647" t="s">
        <v>1134</v>
      </c>
      <c r="ED72" s="647" t="s">
        <v>1136</v>
      </c>
    </row>
    <row r="73" spans="1:134" x14ac:dyDescent="0.2">
      <c r="A73" s="749" t="s">
        <v>35</v>
      </c>
      <c r="B73" s="145">
        <v>66</v>
      </c>
      <c r="C73" s="770">
        <v>0</v>
      </c>
      <c r="D73" s="770">
        <v>0</v>
      </c>
      <c r="E73" s="770">
        <v>0</v>
      </c>
      <c r="F73" s="770">
        <v>0</v>
      </c>
      <c r="G73" s="770">
        <v>0</v>
      </c>
      <c r="H73" s="786">
        <f t="shared" si="7"/>
        <v>0</v>
      </c>
      <c r="I73" s="776">
        <v>0</v>
      </c>
      <c r="J73" s="776">
        <v>0.30199999999999999</v>
      </c>
      <c r="K73" s="801">
        <v>0</v>
      </c>
      <c r="L73" s="802">
        <v>0</v>
      </c>
      <c r="M73" s="803">
        <v>0</v>
      </c>
      <c r="N73" s="777">
        <v>0</v>
      </c>
      <c r="O73" s="776">
        <v>2.1000000000000001E-2</v>
      </c>
      <c r="P73" s="803">
        <v>0</v>
      </c>
      <c r="Q73" s="781">
        <v>0</v>
      </c>
      <c r="R73" s="803">
        <v>0</v>
      </c>
      <c r="S73" s="778">
        <v>0</v>
      </c>
      <c r="T73" s="778">
        <v>0</v>
      </c>
      <c r="U73" s="804">
        <v>0</v>
      </c>
      <c r="V73" s="772">
        <v>0</v>
      </c>
      <c r="W73" s="783">
        <v>0</v>
      </c>
      <c r="X73" s="803">
        <v>0</v>
      </c>
      <c r="Y73" s="778">
        <v>0</v>
      </c>
      <c r="Z73" s="802">
        <v>0</v>
      </c>
      <c r="AA73" s="803">
        <v>0</v>
      </c>
      <c r="AB73" s="803">
        <v>0</v>
      </c>
      <c r="AC73" s="778">
        <v>0</v>
      </c>
      <c r="AD73" s="782">
        <v>2.899</v>
      </c>
      <c r="AE73" s="803">
        <v>0.17199999999999999</v>
      </c>
      <c r="AF73" s="771">
        <f t="shared" si="6"/>
        <v>3.3940000000000001</v>
      </c>
      <c r="AG73" s="805">
        <f t="shared" si="8"/>
        <v>3.3940000000000001</v>
      </c>
      <c r="AH73" s="135">
        <f t="shared" si="4"/>
        <v>0</v>
      </c>
      <c r="AI73" s="132" t="str">
        <f t="shared" si="5"/>
        <v xml:space="preserve"> </v>
      </c>
      <c r="AS73" s="139" t="s">
        <v>254</v>
      </c>
      <c r="AT73" s="139" t="s">
        <v>253</v>
      </c>
      <c r="DS73" s="304"/>
      <c r="DT73" s="304"/>
      <c r="DU73" s="647" t="s">
        <v>571</v>
      </c>
      <c r="DV73" s="647" t="s">
        <v>1134</v>
      </c>
      <c r="DW73" s="647" t="s">
        <v>1134</v>
      </c>
      <c r="DX73" s="647" t="s">
        <v>1134</v>
      </c>
      <c r="DY73" s="647" t="s">
        <v>1134</v>
      </c>
      <c r="DZ73" s="647" t="s">
        <v>1134</v>
      </c>
      <c r="EA73" s="647" t="s">
        <v>254</v>
      </c>
      <c r="EB73" s="647" t="s">
        <v>1135</v>
      </c>
      <c r="EC73" s="647" t="s">
        <v>1134</v>
      </c>
      <c r="ED73" s="647" t="s">
        <v>1136</v>
      </c>
    </row>
    <row r="74" spans="1:134" x14ac:dyDescent="0.2">
      <c r="A74" s="749" t="s">
        <v>36</v>
      </c>
      <c r="B74" s="145">
        <v>67</v>
      </c>
      <c r="C74" s="770">
        <v>0</v>
      </c>
      <c r="D74" s="770">
        <v>0</v>
      </c>
      <c r="E74" s="770">
        <v>0</v>
      </c>
      <c r="F74" s="770">
        <v>0.125</v>
      </c>
      <c r="G74" s="770">
        <v>0</v>
      </c>
      <c r="H74" s="786">
        <f t="shared" si="7"/>
        <v>0.125</v>
      </c>
      <c r="I74" s="776">
        <v>0</v>
      </c>
      <c r="J74" s="776">
        <v>0</v>
      </c>
      <c r="K74" s="801">
        <v>0</v>
      </c>
      <c r="L74" s="802">
        <v>0</v>
      </c>
      <c r="M74" s="803">
        <v>0</v>
      </c>
      <c r="N74" s="777">
        <v>0</v>
      </c>
      <c r="O74" s="776">
        <v>0</v>
      </c>
      <c r="P74" s="803">
        <v>0</v>
      </c>
      <c r="Q74" s="781">
        <v>0</v>
      </c>
      <c r="R74" s="803">
        <v>0</v>
      </c>
      <c r="S74" s="778">
        <v>0</v>
      </c>
      <c r="T74" s="778">
        <v>0</v>
      </c>
      <c r="U74" s="804">
        <v>0</v>
      </c>
      <c r="V74" s="772">
        <v>0</v>
      </c>
      <c r="W74" s="783">
        <v>0</v>
      </c>
      <c r="X74" s="803">
        <v>0</v>
      </c>
      <c r="Y74" s="778">
        <v>0</v>
      </c>
      <c r="Z74" s="802">
        <v>0</v>
      </c>
      <c r="AA74" s="803">
        <v>0</v>
      </c>
      <c r="AB74" s="803">
        <v>0</v>
      </c>
      <c r="AC74" s="778">
        <v>0</v>
      </c>
      <c r="AD74" s="782">
        <v>0</v>
      </c>
      <c r="AE74" s="803">
        <v>2.3370000000000002</v>
      </c>
      <c r="AF74" s="771">
        <f t="shared" si="6"/>
        <v>2.3370000000000002</v>
      </c>
      <c r="AG74" s="805">
        <f t="shared" si="8"/>
        <v>2.4620000000000002</v>
      </c>
      <c r="AH74" s="135">
        <f t="shared" si="4"/>
        <v>0</v>
      </c>
      <c r="AI74" s="132" t="str">
        <f t="shared" si="5"/>
        <v xml:space="preserve"> </v>
      </c>
      <c r="AS74" s="139" t="s">
        <v>455</v>
      </c>
      <c r="AT74" s="139" t="s">
        <v>456</v>
      </c>
      <c r="DS74" s="304"/>
      <c r="DT74" s="304"/>
      <c r="DU74" s="647" t="s">
        <v>571</v>
      </c>
      <c r="DV74" s="647" t="s">
        <v>1134</v>
      </c>
      <c r="DW74" s="647" t="s">
        <v>1134</v>
      </c>
      <c r="DX74" s="647" t="s">
        <v>1134</v>
      </c>
      <c r="DY74" s="647" t="s">
        <v>1134</v>
      </c>
      <c r="DZ74" s="647" t="s">
        <v>1134</v>
      </c>
      <c r="EA74" s="647" t="s">
        <v>455</v>
      </c>
      <c r="EB74" s="647" t="s">
        <v>1135</v>
      </c>
      <c r="EC74" s="647" t="s">
        <v>1134</v>
      </c>
      <c r="ED74" s="647" t="s">
        <v>1136</v>
      </c>
    </row>
    <row r="75" spans="1:134" x14ac:dyDescent="0.2">
      <c r="A75" s="749" t="s">
        <v>37</v>
      </c>
      <c r="B75" s="145">
        <v>68</v>
      </c>
      <c r="C75" s="770">
        <v>0</v>
      </c>
      <c r="D75" s="770">
        <v>0</v>
      </c>
      <c r="E75" s="770">
        <v>0</v>
      </c>
      <c r="F75" s="770">
        <v>0</v>
      </c>
      <c r="G75" s="770">
        <v>0</v>
      </c>
      <c r="H75" s="786">
        <f t="shared" si="7"/>
        <v>0</v>
      </c>
      <c r="I75" s="776">
        <v>0</v>
      </c>
      <c r="J75" s="776">
        <v>0</v>
      </c>
      <c r="K75" s="801">
        <v>0</v>
      </c>
      <c r="L75" s="802">
        <v>0</v>
      </c>
      <c r="M75" s="803">
        <v>0</v>
      </c>
      <c r="N75" s="777">
        <v>0</v>
      </c>
      <c r="O75" s="776">
        <v>0</v>
      </c>
      <c r="P75" s="803">
        <v>0</v>
      </c>
      <c r="Q75" s="781">
        <v>2E-3</v>
      </c>
      <c r="R75" s="803">
        <v>0</v>
      </c>
      <c r="S75" s="778">
        <v>2E-3</v>
      </c>
      <c r="T75" s="778">
        <v>0</v>
      </c>
      <c r="U75" s="804">
        <v>0</v>
      </c>
      <c r="V75" s="772">
        <v>0</v>
      </c>
      <c r="W75" s="783">
        <v>0</v>
      </c>
      <c r="X75" s="803">
        <v>0</v>
      </c>
      <c r="Y75" s="778">
        <v>0</v>
      </c>
      <c r="Z75" s="802">
        <v>0</v>
      </c>
      <c r="AA75" s="803">
        <v>0</v>
      </c>
      <c r="AB75" s="803">
        <v>0</v>
      </c>
      <c r="AC75" s="778">
        <v>0</v>
      </c>
      <c r="AD75" s="782">
        <v>0</v>
      </c>
      <c r="AE75" s="803">
        <v>5.8000000000000003E-2</v>
      </c>
      <c r="AF75" s="771">
        <f t="shared" si="6"/>
        <v>0.06</v>
      </c>
      <c r="AG75" s="805">
        <f t="shared" si="8"/>
        <v>0.06</v>
      </c>
      <c r="AH75" s="135">
        <f t="shared" ref="AH75:AH138" si="9">IF(ROUND(H75-SUM(C75:G75),3)=0,0,1)+IF(ROUND(AF75-SUM(I75:L75,O75:Q75,T75,W75,Z75,AD75:AE75),3)=0,0,1)+IF(ROUND(AG75-SUM(AF75,H75),3)=0,0,1)</f>
        <v>0</v>
      </c>
      <c r="AI75" s="132" t="str">
        <f t="shared" ref="AI75:AI138" si="10">IF(AH75=0," ",IF(AH75=1,"A total is not equal to the sum of its components: ",AH75&amp;" totals are not equal to the sum of their components: "))&amp;IF(AH75=0,"",IF(H75-SUM(C75:G75)=0,"","Total (column F). ")&amp;IF(AF75-SUM(I75:L75,O75:Q75,T75,W75,Z75,AD75:AE75)=0,"","Total products. ")&amp;IF(AG75-SUM(AF75,H75)=0,"","Total oil."))</f>
        <v xml:space="preserve"> </v>
      </c>
      <c r="AS75" s="139" t="s">
        <v>457</v>
      </c>
      <c r="AT75" s="139" t="s">
        <v>458</v>
      </c>
      <c r="DS75" s="304"/>
      <c r="DT75" s="304"/>
      <c r="DU75" s="647" t="s">
        <v>571</v>
      </c>
      <c r="DV75" s="647" t="s">
        <v>1134</v>
      </c>
      <c r="DW75" s="647" t="s">
        <v>1134</v>
      </c>
      <c r="DX75" s="647" t="s">
        <v>1134</v>
      </c>
      <c r="DY75" s="647" t="s">
        <v>1134</v>
      </c>
      <c r="DZ75" s="647" t="s">
        <v>1134</v>
      </c>
      <c r="EA75" s="647" t="s">
        <v>457</v>
      </c>
      <c r="EB75" s="647" t="s">
        <v>1135</v>
      </c>
      <c r="EC75" s="647" t="s">
        <v>1134</v>
      </c>
      <c r="ED75" s="647" t="s">
        <v>1136</v>
      </c>
    </row>
    <row r="76" spans="1:134" x14ac:dyDescent="0.2">
      <c r="A76" s="749" t="s">
        <v>979</v>
      </c>
      <c r="B76" s="145">
        <v>69</v>
      </c>
      <c r="C76" s="770">
        <v>0</v>
      </c>
      <c r="D76" s="770">
        <v>0</v>
      </c>
      <c r="E76" s="770">
        <v>0</v>
      </c>
      <c r="F76" s="770">
        <v>0</v>
      </c>
      <c r="G76" s="770">
        <v>0</v>
      </c>
      <c r="H76" s="786">
        <f t="shared" si="7"/>
        <v>0</v>
      </c>
      <c r="I76" s="776">
        <v>0</v>
      </c>
      <c r="J76" s="776">
        <v>0</v>
      </c>
      <c r="K76" s="801">
        <v>0</v>
      </c>
      <c r="L76" s="802">
        <v>0</v>
      </c>
      <c r="M76" s="803">
        <v>0</v>
      </c>
      <c r="N76" s="777">
        <v>0</v>
      </c>
      <c r="O76" s="776">
        <v>0</v>
      </c>
      <c r="P76" s="803">
        <v>0</v>
      </c>
      <c r="Q76" s="781">
        <v>0</v>
      </c>
      <c r="R76" s="803">
        <v>0</v>
      </c>
      <c r="S76" s="778">
        <v>0</v>
      </c>
      <c r="T76" s="778">
        <v>0</v>
      </c>
      <c r="U76" s="804">
        <v>0</v>
      </c>
      <c r="V76" s="772">
        <v>0</v>
      </c>
      <c r="W76" s="783">
        <v>0</v>
      </c>
      <c r="X76" s="803">
        <v>0</v>
      </c>
      <c r="Y76" s="778">
        <v>0</v>
      </c>
      <c r="Z76" s="802">
        <v>0</v>
      </c>
      <c r="AA76" s="803">
        <v>0</v>
      </c>
      <c r="AB76" s="803">
        <v>0</v>
      </c>
      <c r="AC76" s="778">
        <v>0</v>
      </c>
      <c r="AD76" s="782">
        <v>0</v>
      </c>
      <c r="AE76" s="803">
        <v>2E-3</v>
      </c>
      <c r="AF76" s="771">
        <f t="shared" si="6"/>
        <v>2E-3</v>
      </c>
      <c r="AG76" s="805">
        <f t="shared" si="8"/>
        <v>2E-3</v>
      </c>
      <c r="AH76" s="135">
        <f t="shared" si="9"/>
        <v>0</v>
      </c>
      <c r="AI76" s="132" t="str">
        <f t="shared" si="10"/>
        <v xml:space="preserve"> </v>
      </c>
      <c r="AS76" s="139" t="s">
        <v>459</v>
      </c>
      <c r="AT76" s="139" t="s">
        <v>460</v>
      </c>
      <c r="DS76" s="304"/>
      <c r="DT76" s="304"/>
      <c r="DU76" s="647" t="s">
        <v>571</v>
      </c>
      <c r="DV76" s="647" t="s">
        <v>1134</v>
      </c>
      <c r="DW76" s="647" t="s">
        <v>1134</v>
      </c>
      <c r="DX76" s="647" t="s">
        <v>1134</v>
      </c>
      <c r="DY76" s="647" t="s">
        <v>1134</v>
      </c>
      <c r="DZ76" s="647" t="s">
        <v>1134</v>
      </c>
      <c r="EA76" s="647" t="s">
        <v>459</v>
      </c>
      <c r="EB76" s="647" t="s">
        <v>1135</v>
      </c>
      <c r="EC76" s="647" t="s">
        <v>1134</v>
      </c>
      <c r="ED76" s="647" t="s">
        <v>1136</v>
      </c>
    </row>
    <row r="77" spans="1:134" x14ac:dyDescent="0.2">
      <c r="A77" s="749" t="s">
        <v>38</v>
      </c>
      <c r="B77" s="145">
        <v>70</v>
      </c>
      <c r="C77" s="770">
        <v>0</v>
      </c>
      <c r="D77" s="770">
        <v>0</v>
      </c>
      <c r="E77" s="770">
        <v>0</v>
      </c>
      <c r="F77" s="770">
        <v>0</v>
      </c>
      <c r="G77" s="770">
        <v>0</v>
      </c>
      <c r="H77" s="786">
        <f t="shared" si="7"/>
        <v>0</v>
      </c>
      <c r="I77" s="776">
        <v>0</v>
      </c>
      <c r="J77" s="776">
        <v>0</v>
      </c>
      <c r="K77" s="801">
        <v>0</v>
      </c>
      <c r="L77" s="802">
        <v>0</v>
      </c>
      <c r="M77" s="803">
        <v>0</v>
      </c>
      <c r="N77" s="777">
        <v>0</v>
      </c>
      <c r="O77" s="776">
        <v>0</v>
      </c>
      <c r="P77" s="803">
        <v>0</v>
      </c>
      <c r="Q77" s="781">
        <v>0</v>
      </c>
      <c r="R77" s="803">
        <v>0</v>
      </c>
      <c r="S77" s="778">
        <v>0</v>
      </c>
      <c r="T77" s="778">
        <v>0</v>
      </c>
      <c r="U77" s="804">
        <v>0</v>
      </c>
      <c r="V77" s="772">
        <v>0</v>
      </c>
      <c r="W77" s="783">
        <v>0</v>
      </c>
      <c r="X77" s="803">
        <v>0</v>
      </c>
      <c r="Y77" s="778">
        <v>0</v>
      </c>
      <c r="Z77" s="802">
        <v>0</v>
      </c>
      <c r="AA77" s="803">
        <v>0</v>
      </c>
      <c r="AB77" s="803">
        <v>0</v>
      </c>
      <c r="AC77" s="778">
        <v>0</v>
      </c>
      <c r="AD77" s="782">
        <v>0</v>
      </c>
      <c r="AE77" s="803">
        <v>0.372</v>
      </c>
      <c r="AF77" s="771">
        <f t="shared" si="6"/>
        <v>0.372</v>
      </c>
      <c r="AG77" s="805">
        <f t="shared" si="8"/>
        <v>0.372</v>
      </c>
      <c r="AH77" s="135">
        <f t="shared" si="9"/>
        <v>0</v>
      </c>
      <c r="AI77" s="132" t="str">
        <f t="shared" si="10"/>
        <v xml:space="preserve"> </v>
      </c>
      <c r="AS77" s="139" t="s">
        <v>461</v>
      </c>
      <c r="AT77" s="139" t="s">
        <v>462</v>
      </c>
      <c r="DS77" s="304"/>
      <c r="DT77" s="304"/>
      <c r="DU77" s="647" t="s">
        <v>571</v>
      </c>
      <c r="DV77" s="647" t="s">
        <v>1134</v>
      </c>
      <c r="DW77" s="647" t="s">
        <v>1134</v>
      </c>
      <c r="DX77" s="647" t="s">
        <v>1134</v>
      </c>
      <c r="DY77" s="647" t="s">
        <v>1134</v>
      </c>
      <c r="DZ77" s="647" t="s">
        <v>1134</v>
      </c>
      <c r="EA77" s="647" t="s">
        <v>461</v>
      </c>
      <c r="EB77" s="647" t="s">
        <v>1135</v>
      </c>
      <c r="EC77" s="647" t="s">
        <v>1134</v>
      </c>
      <c r="ED77" s="647" t="s">
        <v>1136</v>
      </c>
    </row>
    <row r="78" spans="1:134" x14ac:dyDescent="0.2">
      <c r="A78" s="749" t="s">
        <v>39</v>
      </c>
      <c r="B78" s="145">
        <v>71</v>
      </c>
      <c r="C78" s="770">
        <v>0</v>
      </c>
      <c r="D78" s="770">
        <v>0</v>
      </c>
      <c r="E78" s="770">
        <v>0</v>
      </c>
      <c r="F78" s="770">
        <v>0.16700000000000001</v>
      </c>
      <c r="G78" s="770">
        <v>0</v>
      </c>
      <c r="H78" s="786">
        <f t="shared" si="7"/>
        <v>0.16700000000000001</v>
      </c>
      <c r="I78" s="776">
        <v>0</v>
      </c>
      <c r="J78" s="776">
        <v>7.53</v>
      </c>
      <c r="K78" s="801">
        <v>7.5999999999999998E-2</v>
      </c>
      <c r="L78" s="802">
        <v>0.11600000000000001</v>
      </c>
      <c r="M78" s="803">
        <v>0</v>
      </c>
      <c r="N78" s="777">
        <v>0.11600000000000001</v>
      </c>
      <c r="O78" s="776">
        <v>7.0000000000000007E-2</v>
      </c>
      <c r="P78" s="803">
        <v>0</v>
      </c>
      <c r="Q78" s="781">
        <v>0.32800000000000001</v>
      </c>
      <c r="R78" s="803">
        <v>0</v>
      </c>
      <c r="S78" s="778">
        <v>0.32800000000000001</v>
      </c>
      <c r="T78" s="778">
        <v>2.9000000000000001E-2</v>
      </c>
      <c r="U78" s="804">
        <v>68.611999999999995</v>
      </c>
      <c r="V78" s="772">
        <v>22.815999999999999</v>
      </c>
      <c r="W78" s="783">
        <v>91.427999999999997</v>
      </c>
      <c r="X78" s="803">
        <v>0</v>
      </c>
      <c r="Y78" s="778">
        <v>91.427999999999997</v>
      </c>
      <c r="Z78" s="802">
        <v>0</v>
      </c>
      <c r="AA78" s="803">
        <v>0</v>
      </c>
      <c r="AB78" s="803">
        <v>0</v>
      </c>
      <c r="AC78" s="778">
        <v>0</v>
      </c>
      <c r="AD78" s="782">
        <v>0</v>
      </c>
      <c r="AE78" s="803">
        <v>12.526</v>
      </c>
      <c r="AF78" s="771">
        <f t="shared" si="6"/>
        <v>112.10299999999999</v>
      </c>
      <c r="AG78" s="805">
        <f t="shared" si="8"/>
        <v>112.27</v>
      </c>
      <c r="AH78" s="135">
        <f t="shared" si="9"/>
        <v>0</v>
      </c>
      <c r="AI78" s="132" t="str">
        <f t="shared" si="10"/>
        <v xml:space="preserve"> </v>
      </c>
      <c r="AS78" s="139" t="s">
        <v>256</v>
      </c>
      <c r="AT78" s="139" t="s">
        <v>255</v>
      </c>
      <c r="DS78" s="304"/>
      <c r="DT78" s="304"/>
      <c r="DU78" s="647" t="s">
        <v>571</v>
      </c>
      <c r="DV78" s="647" t="s">
        <v>1134</v>
      </c>
      <c r="DW78" s="647" t="s">
        <v>1134</v>
      </c>
      <c r="DX78" s="647" t="s">
        <v>1134</v>
      </c>
      <c r="DY78" s="647" t="s">
        <v>1134</v>
      </c>
      <c r="DZ78" s="647" t="s">
        <v>1134</v>
      </c>
      <c r="EA78" s="647" t="s">
        <v>256</v>
      </c>
      <c r="EB78" s="647" t="s">
        <v>1135</v>
      </c>
      <c r="EC78" s="647" t="s">
        <v>1134</v>
      </c>
      <c r="ED78" s="647" t="s">
        <v>1136</v>
      </c>
    </row>
    <row r="79" spans="1:134" x14ac:dyDescent="0.2">
      <c r="A79" s="749" t="s">
        <v>97</v>
      </c>
      <c r="B79" s="145">
        <v>72</v>
      </c>
      <c r="C79" s="770">
        <v>0</v>
      </c>
      <c r="D79" s="770">
        <v>0</v>
      </c>
      <c r="E79" s="770">
        <v>0</v>
      </c>
      <c r="F79" s="770">
        <v>0.29399999999999998</v>
      </c>
      <c r="G79" s="770">
        <v>0</v>
      </c>
      <c r="H79" s="786">
        <f t="shared" si="7"/>
        <v>0.29399999999999998</v>
      </c>
      <c r="I79" s="776">
        <v>0</v>
      </c>
      <c r="J79" s="776">
        <v>0</v>
      </c>
      <c r="K79" s="801">
        <v>0</v>
      </c>
      <c r="L79" s="802">
        <v>0</v>
      </c>
      <c r="M79" s="803">
        <v>0</v>
      </c>
      <c r="N79" s="777">
        <v>0</v>
      </c>
      <c r="O79" s="776">
        <v>0</v>
      </c>
      <c r="P79" s="803">
        <v>0</v>
      </c>
      <c r="Q79" s="781">
        <v>0</v>
      </c>
      <c r="R79" s="803">
        <v>0</v>
      </c>
      <c r="S79" s="778">
        <v>0</v>
      </c>
      <c r="T79" s="778">
        <v>0</v>
      </c>
      <c r="U79" s="804">
        <v>0</v>
      </c>
      <c r="V79" s="772">
        <v>0</v>
      </c>
      <c r="W79" s="783">
        <v>0</v>
      </c>
      <c r="X79" s="803">
        <v>0</v>
      </c>
      <c r="Y79" s="778">
        <v>0</v>
      </c>
      <c r="Z79" s="802">
        <v>0</v>
      </c>
      <c r="AA79" s="803">
        <v>0</v>
      </c>
      <c r="AB79" s="803">
        <v>0</v>
      </c>
      <c r="AC79" s="778">
        <v>0</v>
      </c>
      <c r="AD79" s="782">
        <v>0</v>
      </c>
      <c r="AE79" s="803">
        <v>0.78100000000000003</v>
      </c>
      <c r="AF79" s="771">
        <f t="shared" si="6"/>
        <v>0.78100000000000003</v>
      </c>
      <c r="AG79" s="805">
        <f t="shared" si="8"/>
        <v>1.075</v>
      </c>
      <c r="AH79" s="135">
        <f t="shared" si="9"/>
        <v>0</v>
      </c>
      <c r="AI79" s="132" t="str">
        <f t="shared" si="10"/>
        <v xml:space="preserve"> </v>
      </c>
      <c r="AS79" s="139" t="s">
        <v>572</v>
      </c>
      <c r="AT79" s="139" t="s">
        <v>573</v>
      </c>
      <c r="DS79" s="304"/>
      <c r="DT79" s="304"/>
      <c r="DU79" s="647" t="s">
        <v>571</v>
      </c>
      <c r="DV79" s="647" t="s">
        <v>1134</v>
      </c>
      <c r="DW79" s="647" t="s">
        <v>1134</v>
      </c>
      <c r="DX79" s="647" t="s">
        <v>1134</v>
      </c>
      <c r="DY79" s="647" t="s">
        <v>1134</v>
      </c>
      <c r="DZ79" s="647" t="s">
        <v>1134</v>
      </c>
      <c r="EA79" s="647" t="s">
        <v>572</v>
      </c>
      <c r="EB79" s="647" t="s">
        <v>1135</v>
      </c>
      <c r="EC79" s="647" t="s">
        <v>1134</v>
      </c>
      <c r="ED79" s="647" t="s">
        <v>1136</v>
      </c>
    </row>
    <row r="80" spans="1:134" x14ac:dyDescent="0.2">
      <c r="A80" s="749" t="s">
        <v>40</v>
      </c>
      <c r="B80" s="145">
        <v>73</v>
      </c>
      <c r="C80" s="770">
        <v>0</v>
      </c>
      <c r="D80" s="770">
        <v>0</v>
      </c>
      <c r="E80" s="770">
        <v>0</v>
      </c>
      <c r="F80" s="770">
        <v>0.13200000000000001</v>
      </c>
      <c r="G80" s="770">
        <v>0</v>
      </c>
      <c r="H80" s="786">
        <f t="shared" si="7"/>
        <v>0.13200000000000001</v>
      </c>
      <c r="I80" s="776">
        <v>0</v>
      </c>
      <c r="J80" s="776">
        <v>1E-3</v>
      </c>
      <c r="K80" s="801">
        <v>0.41199999999999998</v>
      </c>
      <c r="L80" s="802">
        <v>0.64</v>
      </c>
      <c r="M80" s="803">
        <v>0</v>
      </c>
      <c r="N80" s="777">
        <v>0.64</v>
      </c>
      <c r="O80" s="776">
        <v>0.13500000000000001</v>
      </c>
      <c r="P80" s="803">
        <v>0</v>
      </c>
      <c r="Q80" s="781">
        <v>0.215</v>
      </c>
      <c r="R80" s="803">
        <v>0</v>
      </c>
      <c r="S80" s="778">
        <v>0.215</v>
      </c>
      <c r="T80" s="778">
        <v>1.9E-2</v>
      </c>
      <c r="U80" s="804">
        <v>41.526000000000003</v>
      </c>
      <c r="V80" s="772">
        <v>13.808999999999999</v>
      </c>
      <c r="W80" s="783">
        <v>55.335999999999999</v>
      </c>
      <c r="X80" s="803">
        <v>0</v>
      </c>
      <c r="Y80" s="778">
        <v>55.335999999999999</v>
      </c>
      <c r="Z80" s="802">
        <v>14.61</v>
      </c>
      <c r="AA80" s="803">
        <v>9.3559999999999999</v>
      </c>
      <c r="AB80" s="803">
        <v>0</v>
      </c>
      <c r="AC80" s="778">
        <v>5.2539999999999996</v>
      </c>
      <c r="AD80" s="782">
        <v>0</v>
      </c>
      <c r="AE80" s="803">
        <v>15.212999999999999</v>
      </c>
      <c r="AF80" s="771">
        <f t="shared" si="6"/>
        <v>86.581000000000003</v>
      </c>
      <c r="AG80" s="805">
        <f t="shared" si="8"/>
        <v>86.712999999999994</v>
      </c>
      <c r="AH80" s="135">
        <f t="shared" si="9"/>
        <v>0</v>
      </c>
      <c r="AI80" s="132" t="str">
        <f t="shared" si="10"/>
        <v xml:space="preserve"> </v>
      </c>
      <c r="AS80" s="139" t="s">
        <v>258</v>
      </c>
      <c r="AT80" s="139" t="s">
        <v>257</v>
      </c>
      <c r="DS80" s="304"/>
      <c r="DT80" s="304"/>
      <c r="DU80" s="647" t="s">
        <v>571</v>
      </c>
      <c r="DV80" s="647" t="s">
        <v>1134</v>
      </c>
      <c r="DW80" s="647" t="s">
        <v>1134</v>
      </c>
      <c r="DX80" s="647" t="s">
        <v>1134</v>
      </c>
      <c r="DY80" s="647" t="s">
        <v>1134</v>
      </c>
      <c r="DZ80" s="647" t="s">
        <v>1134</v>
      </c>
      <c r="EA80" s="647" t="s">
        <v>258</v>
      </c>
      <c r="EB80" s="647" t="s">
        <v>1135</v>
      </c>
      <c r="EC80" s="647" t="s">
        <v>1134</v>
      </c>
      <c r="ED80" s="647" t="s">
        <v>1136</v>
      </c>
    </row>
    <row r="81" spans="1:134" x14ac:dyDescent="0.2">
      <c r="A81" s="749" t="s">
        <v>980</v>
      </c>
      <c r="B81" s="145">
        <v>74</v>
      </c>
      <c r="C81" s="770">
        <v>0</v>
      </c>
      <c r="D81" s="770">
        <v>0</v>
      </c>
      <c r="E81" s="770">
        <v>0</v>
      </c>
      <c r="F81" s="770">
        <v>2E-3</v>
      </c>
      <c r="G81" s="770">
        <v>0</v>
      </c>
      <c r="H81" s="786">
        <f t="shared" si="7"/>
        <v>2E-3</v>
      </c>
      <c r="I81" s="776">
        <v>0</v>
      </c>
      <c r="J81" s="776">
        <v>0</v>
      </c>
      <c r="K81" s="801">
        <v>4.0000000000000001E-3</v>
      </c>
      <c r="L81" s="802">
        <v>5.0000000000000001E-3</v>
      </c>
      <c r="M81" s="803">
        <v>0</v>
      </c>
      <c r="N81" s="777">
        <v>5.0000000000000001E-3</v>
      </c>
      <c r="O81" s="776">
        <v>0</v>
      </c>
      <c r="P81" s="803">
        <v>0</v>
      </c>
      <c r="Q81" s="781">
        <v>0</v>
      </c>
      <c r="R81" s="803">
        <v>0</v>
      </c>
      <c r="S81" s="778">
        <v>0</v>
      </c>
      <c r="T81" s="778">
        <v>0</v>
      </c>
      <c r="U81" s="804">
        <v>0</v>
      </c>
      <c r="V81" s="772">
        <v>0</v>
      </c>
      <c r="W81" s="783">
        <v>0</v>
      </c>
      <c r="X81" s="803">
        <v>0</v>
      </c>
      <c r="Y81" s="778">
        <v>0</v>
      </c>
      <c r="Z81" s="802">
        <v>0</v>
      </c>
      <c r="AA81" s="803">
        <v>0</v>
      </c>
      <c r="AB81" s="803">
        <v>0</v>
      </c>
      <c r="AC81" s="778">
        <v>0</v>
      </c>
      <c r="AD81" s="782">
        <v>0</v>
      </c>
      <c r="AE81" s="803">
        <v>0.40400000000000003</v>
      </c>
      <c r="AF81" s="771">
        <f t="shared" si="6"/>
        <v>0.41299999999999998</v>
      </c>
      <c r="AG81" s="805">
        <f t="shared" si="8"/>
        <v>0.41499999999999998</v>
      </c>
      <c r="AH81" s="135">
        <f t="shared" si="9"/>
        <v>0</v>
      </c>
      <c r="AI81" s="132" t="str">
        <f t="shared" si="10"/>
        <v xml:space="preserve"> </v>
      </c>
      <c r="AS81" s="139" t="s">
        <v>1058</v>
      </c>
      <c r="AT81" s="139" t="s">
        <v>1059</v>
      </c>
      <c r="DS81" s="304"/>
      <c r="DT81" s="304"/>
      <c r="DU81" s="647" t="s">
        <v>571</v>
      </c>
      <c r="DV81" s="647" t="s">
        <v>1134</v>
      </c>
      <c r="DW81" s="647" t="s">
        <v>1134</v>
      </c>
      <c r="DX81" s="647" t="s">
        <v>1134</v>
      </c>
      <c r="DY81" s="647" t="s">
        <v>1134</v>
      </c>
      <c r="DZ81" s="647" t="s">
        <v>1134</v>
      </c>
      <c r="EA81" s="647" t="s">
        <v>1058</v>
      </c>
      <c r="EB81" s="647" t="s">
        <v>1135</v>
      </c>
      <c r="EC81" s="647" t="s">
        <v>1134</v>
      </c>
      <c r="ED81" s="647" t="s">
        <v>1136</v>
      </c>
    </row>
    <row r="82" spans="1:134" x14ac:dyDescent="0.2">
      <c r="A82" s="749" t="s">
        <v>41</v>
      </c>
      <c r="B82" s="145">
        <v>75</v>
      </c>
      <c r="C82" s="770">
        <v>0</v>
      </c>
      <c r="D82" s="770">
        <v>0</v>
      </c>
      <c r="E82" s="770">
        <v>0</v>
      </c>
      <c r="F82" s="770">
        <v>8.0000000000000002E-3</v>
      </c>
      <c r="G82" s="770">
        <v>0</v>
      </c>
      <c r="H82" s="786">
        <f t="shared" si="7"/>
        <v>8.0000000000000002E-3</v>
      </c>
      <c r="I82" s="776">
        <v>0</v>
      </c>
      <c r="J82" s="776">
        <v>0</v>
      </c>
      <c r="K82" s="801">
        <v>0</v>
      </c>
      <c r="L82" s="802">
        <v>0</v>
      </c>
      <c r="M82" s="803">
        <v>0</v>
      </c>
      <c r="N82" s="777">
        <v>0</v>
      </c>
      <c r="O82" s="776">
        <v>0</v>
      </c>
      <c r="P82" s="803">
        <v>0</v>
      </c>
      <c r="Q82" s="781">
        <v>0</v>
      </c>
      <c r="R82" s="803">
        <v>0</v>
      </c>
      <c r="S82" s="778">
        <v>0</v>
      </c>
      <c r="T82" s="778">
        <v>0</v>
      </c>
      <c r="U82" s="804">
        <v>0</v>
      </c>
      <c r="V82" s="772">
        <v>0</v>
      </c>
      <c r="W82" s="783">
        <v>0</v>
      </c>
      <c r="X82" s="803">
        <v>0</v>
      </c>
      <c r="Y82" s="778">
        <v>0</v>
      </c>
      <c r="Z82" s="802">
        <v>0</v>
      </c>
      <c r="AA82" s="803">
        <v>0</v>
      </c>
      <c r="AB82" s="803">
        <v>0</v>
      </c>
      <c r="AC82" s="778">
        <v>0</v>
      </c>
      <c r="AD82" s="782">
        <v>0</v>
      </c>
      <c r="AE82" s="803">
        <v>0.28499999999999998</v>
      </c>
      <c r="AF82" s="771">
        <f t="shared" si="6"/>
        <v>0.28499999999999998</v>
      </c>
      <c r="AG82" s="805">
        <f t="shared" si="8"/>
        <v>0.29299999999999998</v>
      </c>
      <c r="AH82" s="135">
        <f t="shared" si="9"/>
        <v>0</v>
      </c>
      <c r="AI82" s="132" t="str">
        <f t="shared" si="10"/>
        <v xml:space="preserve"> </v>
      </c>
      <c r="AS82" s="139" t="s">
        <v>260</v>
      </c>
      <c r="AT82" s="139" t="s">
        <v>259</v>
      </c>
      <c r="DS82" s="304"/>
      <c r="DT82" s="304"/>
      <c r="DU82" s="647" t="s">
        <v>571</v>
      </c>
      <c r="DV82" s="647" t="s">
        <v>1134</v>
      </c>
      <c r="DW82" s="647" t="s">
        <v>1134</v>
      </c>
      <c r="DX82" s="647" t="s">
        <v>1134</v>
      </c>
      <c r="DY82" s="647" t="s">
        <v>1134</v>
      </c>
      <c r="DZ82" s="647" t="s">
        <v>1134</v>
      </c>
      <c r="EA82" s="647" t="s">
        <v>260</v>
      </c>
      <c r="EB82" s="647" t="s">
        <v>1135</v>
      </c>
      <c r="EC82" s="647" t="s">
        <v>1134</v>
      </c>
      <c r="ED82" s="647" t="s">
        <v>1136</v>
      </c>
    </row>
    <row r="83" spans="1:134" x14ac:dyDescent="0.2">
      <c r="A83" s="749" t="s">
        <v>981</v>
      </c>
      <c r="B83" s="145">
        <v>76</v>
      </c>
      <c r="C83" s="770">
        <v>0</v>
      </c>
      <c r="D83" s="770">
        <v>0</v>
      </c>
      <c r="E83" s="770">
        <v>0</v>
      </c>
      <c r="F83" s="770">
        <v>0</v>
      </c>
      <c r="G83" s="770">
        <v>0</v>
      </c>
      <c r="H83" s="786">
        <f t="shared" si="7"/>
        <v>0</v>
      </c>
      <c r="I83" s="776">
        <v>0</v>
      </c>
      <c r="J83" s="776">
        <v>0</v>
      </c>
      <c r="K83" s="801">
        <v>0</v>
      </c>
      <c r="L83" s="802">
        <v>0</v>
      </c>
      <c r="M83" s="803">
        <v>0</v>
      </c>
      <c r="N83" s="777">
        <v>0</v>
      </c>
      <c r="O83" s="776">
        <v>0.20300000000000001</v>
      </c>
      <c r="P83" s="803">
        <v>0</v>
      </c>
      <c r="Q83" s="781">
        <v>0</v>
      </c>
      <c r="R83" s="803">
        <v>0</v>
      </c>
      <c r="S83" s="778">
        <v>0</v>
      </c>
      <c r="T83" s="778">
        <v>0</v>
      </c>
      <c r="U83" s="804">
        <v>0</v>
      </c>
      <c r="V83" s="772">
        <v>0</v>
      </c>
      <c r="W83" s="783">
        <v>0</v>
      </c>
      <c r="X83" s="803">
        <v>0</v>
      </c>
      <c r="Y83" s="778">
        <v>0</v>
      </c>
      <c r="Z83" s="802">
        <v>0</v>
      </c>
      <c r="AA83" s="803">
        <v>0</v>
      </c>
      <c r="AB83" s="803">
        <v>0</v>
      </c>
      <c r="AC83" s="778">
        <v>0</v>
      </c>
      <c r="AD83" s="782">
        <v>0</v>
      </c>
      <c r="AE83" s="803">
        <v>0.112</v>
      </c>
      <c r="AF83" s="771">
        <f t="shared" si="6"/>
        <v>0.315</v>
      </c>
      <c r="AG83" s="805">
        <f t="shared" si="8"/>
        <v>0.315</v>
      </c>
      <c r="AH83" s="135">
        <f t="shared" si="9"/>
        <v>0</v>
      </c>
      <c r="AI83" s="132" t="str">
        <f t="shared" si="10"/>
        <v xml:space="preserve"> </v>
      </c>
      <c r="AS83" s="139" t="s">
        <v>1060</v>
      </c>
      <c r="AT83" s="139" t="s">
        <v>1061</v>
      </c>
      <c r="DS83" s="304"/>
      <c r="DT83" s="304"/>
      <c r="DU83" s="647" t="s">
        <v>571</v>
      </c>
      <c r="DV83" s="647" t="s">
        <v>1134</v>
      </c>
      <c r="DW83" s="647" t="s">
        <v>1134</v>
      </c>
      <c r="DX83" s="647" t="s">
        <v>1134</v>
      </c>
      <c r="DY83" s="647" t="s">
        <v>1134</v>
      </c>
      <c r="DZ83" s="647" t="s">
        <v>1134</v>
      </c>
      <c r="EA83" s="647" t="s">
        <v>1060</v>
      </c>
      <c r="EB83" s="647" t="s">
        <v>1135</v>
      </c>
      <c r="EC83" s="647" t="s">
        <v>1134</v>
      </c>
      <c r="ED83" s="647" t="s">
        <v>1136</v>
      </c>
    </row>
    <row r="84" spans="1:134" x14ac:dyDescent="0.2">
      <c r="A84" s="749" t="s">
        <v>559</v>
      </c>
      <c r="B84" s="145">
        <v>77</v>
      </c>
      <c r="C84" s="770">
        <v>0</v>
      </c>
      <c r="D84" s="770">
        <v>0</v>
      </c>
      <c r="E84" s="770">
        <v>0</v>
      </c>
      <c r="F84" s="770">
        <v>0</v>
      </c>
      <c r="G84" s="770">
        <v>0</v>
      </c>
      <c r="H84" s="786">
        <f t="shared" si="7"/>
        <v>0</v>
      </c>
      <c r="I84" s="776">
        <v>0</v>
      </c>
      <c r="J84" s="776">
        <v>0</v>
      </c>
      <c r="K84" s="801">
        <v>0.17499999999999999</v>
      </c>
      <c r="L84" s="802">
        <v>0.27100000000000002</v>
      </c>
      <c r="M84" s="803">
        <v>0</v>
      </c>
      <c r="N84" s="777">
        <v>0.27100000000000002</v>
      </c>
      <c r="O84" s="776">
        <v>0</v>
      </c>
      <c r="P84" s="803">
        <v>0</v>
      </c>
      <c r="Q84" s="781">
        <v>0</v>
      </c>
      <c r="R84" s="803">
        <v>0</v>
      </c>
      <c r="S84" s="778">
        <v>0</v>
      </c>
      <c r="T84" s="778">
        <v>0</v>
      </c>
      <c r="U84" s="804">
        <v>0.14000000000000001</v>
      </c>
      <c r="V84" s="772">
        <v>4.5999999999999999E-2</v>
      </c>
      <c r="W84" s="783">
        <v>0.186</v>
      </c>
      <c r="X84" s="803">
        <v>0</v>
      </c>
      <c r="Y84" s="778">
        <v>0.186</v>
      </c>
      <c r="Z84" s="802">
        <v>0</v>
      </c>
      <c r="AA84" s="803">
        <v>0</v>
      </c>
      <c r="AB84" s="803">
        <v>0</v>
      </c>
      <c r="AC84" s="778">
        <v>0</v>
      </c>
      <c r="AD84" s="782">
        <v>0</v>
      </c>
      <c r="AE84" s="803">
        <v>0.33400000000000002</v>
      </c>
      <c r="AF84" s="771">
        <f t="shared" si="6"/>
        <v>0.96599999999999997</v>
      </c>
      <c r="AG84" s="805">
        <f t="shared" si="8"/>
        <v>0.96599999999999997</v>
      </c>
      <c r="AH84" s="135">
        <f t="shared" si="9"/>
        <v>0</v>
      </c>
      <c r="AI84" s="132" t="str">
        <f t="shared" si="10"/>
        <v xml:space="preserve"> </v>
      </c>
      <c r="AS84" s="139" t="s">
        <v>511</v>
      </c>
      <c r="AT84" s="139" t="s">
        <v>512</v>
      </c>
      <c r="DS84" s="304"/>
      <c r="DT84" s="304"/>
      <c r="DU84" s="647" t="s">
        <v>571</v>
      </c>
      <c r="DV84" s="647" t="s">
        <v>1134</v>
      </c>
      <c r="DW84" s="647" t="s">
        <v>1134</v>
      </c>
      <c r="DX84" s="647" t="s">
        <v>1134</v>
      </c>
      <c r="DY84" s="647" t="s">
        <v>1134</v>
      </c>
      <c r="DZ84" s="647" t="s">
        <v>1134</v>
      </c>
      <c r="EA84" s="647" t="s">
        <v>511</v>
      </c>
      <c r="EB84" s="647" t="s">
        <v>1135</v>
      </c>
      <c r="EC84" s="647" t="s">
        <v>1134</v>
      </c>
      <c r="ED84" s="647" t="s">
        <v>1136</v>
      </c>
    </row>
    <row r="85" spans="1:134" x14ac:dyDescent="0.2">
      <c r="A85" s="749" t="s">
        <v>982</v>
      </c>
      <c r="B85" s="145">
        <v>78</v>
      </c>
      <c r="C85" s="770">
        <v>0</v>
      </c>
      <c r="D85" s="770">
        <v>0</v>
      </c>
      <c r="E85" s="770">
        <v>0</v>
      </c>
      <c r="F85" s="770">
        <v>0</v>
      </c>
      <c r="G85" s="770">
        <v>0</v>
      </c>
      <c r="H85" s="786">
        <f t="shared" si="7"/>
        <v>0</v>
      </c>
      <c r="I85" s="776">
        <v>0</v>
      </c>
      <c r="J85" s="776">
        <v>0</v>
      </c>
      <c r="K85" s="801">
        <v>0</v>
      </c>
      <c r="L85" s="802">
        <v>0</v>
      </c>
      <c r="M85" s="803">
        <v>0</v>
      </c>
      <c r="N85" s="777">
        <v>0</v>
      </c>
      <c r="O85" s="776">
        <v>6.5000000000000002E-2</v>
      </c>
      <c r="P85" s="803">
        <v>0</v>
      </c>
      <c r="Q85" s="781">
        <v>0</v>
      </c>
      <c r="R85" s="803">
        <v>0</v>
      </c>
      <c r="S85" s="778">
        <v>0</v>
      </c>
      <c r="T85" s="778">
        <v>0</v>
      </c>
      <c r="U85" s="804">
        <v>0</v>
      </c>
      <c r="V85" s="772">
        <v>0</v>
      </c>
      <c r="W85" s="783">
        <v>0</v>
      </c>
      <c r="X85" s="803">
        <v>0</v>
      </c>
      <c r="Y85" s="778">
        <v>0</v>
      </c>
      <c r="Z85" s="802">
        <v>0</v>
      </c>
      <c r="AA85" s="803">
        <v>0</v>
      </c>
      <c r="AB85" s="803">
        <v>0</v>
      </c>
      <c r="AC85" s="778">
        <v>0</v>
      </c>
      <c r="AD85" s="782">
        <v>0</v>
      </c>
      <c r="AE85" s="803">
        <v>7.9960000000000004</v>
      </c>
      <c r="AF85" s="771">
        <f t="shared" si="6"/>
        <v>8.0609999999999999</v>
      </c>
      <c r="AG85" s="805">
        <f t="shared" si="8"/>
        <v>8.0609999999999999</v>
      </c>
      <c r="AH85" s="135">
        <f t="shared" si="9"/>
        <v>0</v>
      </c>
      <c r="AI85" s="132" t="str">
        <f t="shared" si="10"/>
        <v xml:space="preserve"> </v>
      </c>
      <c r="AS85" s="139" t="s">
        <v>1062</v>
      </c>
      <c r="AT85" s="139" t="s">
        <v>1063</v>
      </c>
      <c r="DS85" s="304"/>
      <c r="DT85" s="304"/>
      <c r="DU85" s="647" t="s">
        <v>571</v>
      </c>
      <c r="DV85" s="647" t="s">
        <v>1134</v>
      </c>
      <c r="DW85" s="647" t="s">
        <v>1134</v>
      </c>
      <c r="DX85" s="647" t="s">
        <v>1134</v>
      </c>
      <c r="DY85" s="647" t="s">
        <v>1134</v>
      </c>
      <c r="DZ85" s="647" t="s">
        <v>1134</v>
      </c>
      <c r="EA85" s="647" t="s">
        <v>1062</v>
      </c>
      <c r="EB85" s="647" t="s">
        <v>1135</v>
      </c>
      <c r="EC85" s="647" t="s">
        <v>1134</v>
      </c>
      <c r="ED85" s="647" t="s">
        <v>1136</v>
      </c>
    </row>
    <row r="86" spans="1:134" x14ac:dyDescent="0.2">
      <c r="A86" s="749" t="s">
        <v>42</v>
      </c>
      <c r="B86" s="145">
        <v>79</v>
      </c>
      <c r="C86" s="770">
        <v>0</v>
      </c>
      <c r="D86" s="770">
        <v>0</v>
      </c>
      <c r="E86" s="770">
        <v>0</v>
      </c>
      <c r="F86" s="770">
        <v>8.0000000000000002E-3</v>
      </c>
      <c r="G86" s="770">
        <v>0</v>
      </c>
      <c r="H86" s="786">
        <f t="shared" si="7"/>
        <v>8.0000000000000002E-3</v>
      </c>
      <c r="I86" s="776">
        <v>0</v>
      </c>
      <c r="J86" s="776">
        <v>0</v>
      </c>
      <c r="K86" s="801">
        <v>0</v>
      </c>
      <c r="L86" s="802">
        <v>0</v>
      </c>
      <c r="M86" s="803">
        <v>0</v>
      </c>
      <c r="N86" s="777">
        <v>0</v>
      </c>
      <c r="O86" s="776">
        <v>0</v>
      </c>
      <c r="P86" s="803">
        <v>0</v>
      </c>
      <c r="Q86" s="781">
        <v>0</v>
      </c>
      <c r="R86" s="803">
        <v>0</v>
      </c>
      <c r="S86" s="778">
        <v>0</v>
      </c>
      <c r="T86" s="778">
        <v>0</v>
      </c>
      <c r="U86" s="804">
        <v>0</v>
      </c>
      <c r="V86" s="772">
        <v>0</v>
      </c>
      <c r="W86" s="783">
        <v>0</v>
      </c>
      <c r="X86" s="803">
        <v>0</v>
      </c>
      <c r="Y86" s="778">
        <v>0</v>
      </c>
      <c r="Z86" s="802">
        <v>0</v>
      </c>
      <c r="AA86" s="803">
        <v>0</v>
      </c>
      <c r="AB86" s="803">
        <v>0</v>
      </c>
      <c r="AC86" s="778">
        <v>0</v>
      </c>
      <c r="AD86" s="782">
        <v>0</v>
      </c>
      <c r="AE86" s="803">
        <v>0.24399999999999999</v>
      </c>
      <c r="AF86" s="771">
        <f t="shared" si="6"/>
        <v>0.24399999999999999</v>
      </c>
      <c r="AG86" s="805">
        <f t="shared" si="8"/>
        <v>0.252</v>
      </c>
      <c r="AH86" s="135">
        <f t="shared" si="9"/>
        <v>0</v>
      </c>
      <c r="AI86" s="132" t="str">
        <f t="shared" si="10"/>
        <v xml:space="preserve"> </v>
      </c>
      <c r="AS86" s="139" t="s">
        <v>262</v>
      </c>
      <c r="AT86" s="139" t="s">
        <v>261</v>
      </c>
      <c r="DS86" s="304"/>
      <c r="DT86" s="304"/>
      <c r="DU86" s="647" t="s">
        <v>571</v>
      </c>
      <c r="DV86" s="647" t="s">
        <v>1134</v>
      </c>
      <c r="DW86" s="647" t="s">
        <v>1134</v>
      </c>
      <c r="DX86" s="647" t="s">
        <v>1134</v>
      </c>
      <c r="DY86" s="647" t="s">
        <v>1134</v>
      </c>
      <c r="DZ86" s="647" t="s">
        <v>1134</v>
      </c>
      <c r="EA86" s="647" t="s">
        <v>262</v>
      </c>
      <c r="EB86" s="647" t="s">
        <v>1135</v>
      </c>
      <c r="EC86" s="647" t="s">
        <v>1134</v>
      </c>
      <c r="ED86" s="647" t="s">
        <v>1136</v>
      </c>
    </row>
    <row r="87" spans="1:134" x14ac:dyDescent="0.2">
      <c r="A87" s="749" t="s">
        <v>983</v>
      </c>
      <c r="B87" s="145">
        <v>80</v>
      </c>
      <c r="C87" s="770">
        <v>0</v>
      </c>
      <c r="D87" s="770">
        <v>0</v>
      </c>
      <c r="E87" s="770">
        <v>0</v>
      </c>
      <c r="F87" s="770">
        <v>0</v>
      </c>
      <c r="G87" s="770">
        <v>0</v>
      </c>
      <c r="H87" s="786">
        <f t="shared" si="7"/>
        <v>0</v>
      </c>
      <c r="I87" s="776">
        <v>0</v>
      </c>
      <c r="J87" s="776">
        <v>0</v>
      </c>
      <c r="K87" s="801">
        <v>0</v>
      </c>
      <c r="L87" s="802">
        <v>0</v>
      </c>
      <c r="M87" s="803">
        <v>0</v>
      </c>
      <c r="N87" s="777">
        <v>0</v>
      </c>
      <c r="O87" s="776">
        <v>0</v>
      </c>
      <c r="P87" s="803">
        <v>0</v>
      </c>
      <c r="Q87" s="781">
        <v>0</v>
      </c>
      <c r="R87" s="803">
        <v>0</v>
      </c>
      <c r="S87" s="778">
        <v>0</v>
      </c>
      <c r="T87" s="778">
        <v>0</v>
      </c>
      <c r="U87" s="804">
        <v>0</v>
      </c>
      <c r="V87" s="772">
        <v>0</v>
      </c>
      <c r="W87" s="783">
        <v>0</v>
      </c>
      <c r="X87" s="803">
        <v>0</v>
      </c>
      <c r="Y87" s="778">
        <v>0</v>
      </c>
      <c r="Z87" s="802">
        <v>0</v>
      </c>
      <c r="AA87" s="803">
        <v>0</v>
      </c>
      <c r="AB87" s="803">
        <v>0</v>
      </c>
      <c r="AC87" s="778">
        <v>0</v>
      </c>
      <c r="AD87" s="782">
        <v>0</v>
      </c>
      <c r="AE87" s="803">
        <v>0</v>
      </c>
      <c r="AF87" s="771">
        <f t="shared" si="6"/>
        <v>0</v>
      </c>
      <c r="AG87" s="805">
        <f t="shared" si="8"/>
        <v>0</v>
      </c>
      <c r="AH87" s="135">
        <f t="shared" si="9"/>
        <v>0</v>
      </c>
      <c r="AI87" s="132" t="str">
        <f t="shared" si="10"/>
        <v xml:space="preserve"> </v>
      </c>
      <c r="AS87" s="139" t="s">
        <v>929</v>
      </c>
      <c r="AT87" s="139" t="s">
        <v>928</v>
      </c>
      <c r="DS87" s="304"/>
      <c r="DT87" s="304"/>
      <c r="DU87" s="647" t="s">
        <v>571</v>
      </c>
      <c r="DV87" s="647" t="s">
        <v>1134</v>
      </c>
      <c r="DW87" s="647" t="s">
        <v>1134</v>
      </c>
      <c r="DX87" s="647" t="s">
        <v>1134</v>
      </c>
      <c r="DY87" s="647" t="s">
        <v>1134</v>
      </c>
      <c r="DZ87" s="647" t="s">
        <v>1134</v>
      </c>
      <c r="EA87" s="647" t="s">
        <v>929</v>
      </c>
      <c r="EB87" s="647" t="s">
        <v>1135</v>
      </c>
      <c r="EC87" s="647" t="s">
        <v>1134</v>
      </c>
      <c r="ED87" s="647" t="s">
        <v>1136</v>
      </c>
    </row>
    <row r="88" spans="1:134" x14ac:dyDescent="0.2">
      <c r="A88" s="749" t="s">
        <v>43</v>
      </c>
      <c r="B88" s="145">
        <v>81</v>
      </c>
      <c r="C88" s="770">
        <v>0</v>
      </c>
      <c r="D88" s="770">
        <v>0</v>
      </c>
      <c r="E88" s="770">
        <v>0</v>
      </c>
      <c r="F88" s="770">
        <v>0</v>
      </c>
      <c r="G88" s="770">
        <v>0</v>
      </c>
      <c r="H88" s="786">
        <f t="shared" si="7"/>
        <v>0</v>
      </c>
      <c r="I88" s="776">
        <v>0</v>
      </c>
      <c r="J88" s="776">
        <v>0</v>
      </c>
      <c r="K88" s="801">
        <v>0</v>
      </c>
      <c r="L88" s="802">
        <v>0</v>
      </c>
      <c r="M88" s="803">
        <v>0</v>
      </c>
      <c r="N88" s="777">
        <v>0</v>
      </c>
      <c r="O88" s="776">
        <v>0</v>
      </c>
      <c r="P88" s="803">
        <v>0</v>
      </c>
      <c r="Q88" s="781">
        <v>0</v>
      </c>
      <c r="R88" s="803">
        <v>0</v>
      </c>
      <c r="S88" s="778">
        <v>0</v>
      </c>
      <c r="T88" s="778">
        <v>0</v>
      </c>
      <c r="U88" s="804">
        <v>0</v>
      </c>
      <c r="V88" s="772">
        <v>0</v>
      </c>
      <c r="W88" s="783">
        <v>0</v>
      </c>
      <c r="X88" s="803">
        <v>0</v>
      </c>
      <c r="Y88" s="778">
        <v>0</v>
      </c>
      <c r="Z88" s="802">
        <v>0</v>
      </c>
      <c r="AA88" s="803">
        <v>0</v>
      </c>
      <c r="AB88" s="803">
        <v>0</v>
      </c>
      <c r="AC88" s="778">
        <v>0</v>
      </c>
      <c r="AD88" s="782">
        <v>0</v>
      </c>
      <c r="AE88" s="803">
        <v>5.6000000000000001E-2</v>
      </c>
      <c r="AF88" s="771">
        <f t="shared" si="6"/>
        <v>5.6000000000000001E-2</v>
      </c>
      <c r="AG88" s="805">
        <f t="shared" si="8"/>
        <v>5.6000000000000001E-2</v>
      </c>
      <c r="AH88" s="135">
        <f t="shared" si="9"/>
        <v>0</v>
      </c>
      <c r="AI88" s="132" t="str">
        <f t="shared" si="10"/>
        <v xml:space="preserve"> </v>
      </c>
      <c r="AS88" s="139" t="s">
        <v>463</v>
      </c>
      <c r="AT88" s="139" t="s">
        <v>464</v>
      </c>
      <c r="DS88" s="304"/>
      <c r="DT88" s="304"/>
      <c r="DU88" s="647" t="s">
        <v>571</v>
      </c>
      <c r="DV88" s="647" t="s">
        <v>1134</v>
      </c>
      <c r="DW88" s="647" t="s">
        <v>1134</v>
      </c>
      <c r="DX88" s="647" t="s">
        <v>1134</v>
      </c>
      <c r="DY88" s="647" t="s">
        <v>1134</v>
      </c>
      <c r="DZ88" s="647" t="s">
        <v>1134</v>
      </c>
      <c r="EA88" s="647" t="s">
        <v>463</v>
      </c>
      <c r="EB88" s="647" t="s">
        <v>1135</v>
      </c>
      <c r="EC88" s="647" t="s">
        <v>1134</v>
      </c>
      <c r="ED88" s="647" t="s">
        <v>1136</v>
      </c>
    </row>
    <row r="89" spans="1:134" x14ac:dyDescent="0.2">
      <c r="A89" s="749" t="s">
        <v>560</v>
      </c>
      <c r="B89" s="145">
        <v>82</v>
      </c>
      <c r="C89" s="770">
        <v>0</v>
      </c>
      <c r="D89" s="770">
        <v>0</v>
      </c>
      <c r="E89" s="770">
        <v>0</v>
      </c>
      <c r="F89" s="770">
        <v>0</v>
      </c>
      <c r="G89" s="770">
        <v>0</v>
      </c>
      <c r="H89" s="786">
        <f t="shared" si="7"/>
        <v>0</v>
      </c>
      <c r="I89" s="776">
        <v>0</v>
      </c>
      <c r="J89" s="776">
        <v>0</v>
      </c>
      <c r="K89" s="801">
        <v>0</v>
      </c>
      <c r="L89" s="802">
        <v>0</v>
      </c>
      <c r="M89" s="803">
        <v>0</v>
      </c>
      <c r="N89" s="777">
        <v>0</v>
      </c>
      <c r="O89" s="776">
        <v>0</v>
      </c>
      <c r="P89" s="803">
        <v>0</v>
      </c>
      <c r="Q89" s="781">
        <v>0</v>
      </c>
      <c r="R89" s="803">
        <v>0</v>
      </c>
      <c r="S89" s="778">
        <v>0</v>
      </c>
      <c r="T89" s="778">
        <v>0</v>
      </c>
      <c r="U89" s="804">
        <v>0</v>
      </c>
      <c r="V89" s="772">
        <v>0</v>
      </c>
      <c r="W89" s="783">
        <v>0</v>
      </c>
      <c r="X89" s="803">
        <v>0</v>
      </c>
      <c r="Y89" s="778">
        <v>0</v>
      </c>
      <c r="Z89" s="802">
        <v>0</v>
      </c>
      <c r="AA89" s="803">
        <v>0</v>
      </c>
      <c r="AB89" s="803">
        <v>0</v>
      </c>
      <c r="AC89" s="778">
        <v>0</v>
      </c>
      <c r="AD89" s="782">
        <v>0</v>
      </c>
      <c r="AE89" s="803">
        <v>0</v>
      </c>
      <c r="AF89" s="771">
        <f t="shared" si="6"/>
        <v>0</v>
      </c>
      <c r="AG89" s="805">
        <f t="shared" si="8"/>
        <v>0</v>
      </c>
      <c r="AH89" s="135">
        <f t="shared" si="9"/>
        <v>0</v>
      </c>
      <c r="AI89" s="132" t="str">
        <f t="shared" si="10"/>
        <v xml:space="preserve"> </v>
      </c>
      <c r="AS89" s="139" t="s">
        <v>513</v>
      </c>
      <c r="AT89" s="139" t="s">
        <v>514</v>
      </c>
      <c r="DS89" s="304"/>
      <c r="DT89" s="304"/>
      <c r="DU89" s="647" t="s">
        <v>571</v>
      </c>
      <c r="DV89" s="647" t="s">
        <v>1134</v>
      </c>
      <c r="DW89" s="647" t="s">
        <v>1134</v>
      </c>
      <c r="DX89" s="647" t="s">
        <v>1134</v>
      </c>
      <c r="DY89" s="647" t="s">
        <v>1134</v>
      </c>
      <c r="DZ89" s="647" t="s">
        <v>1134</v>
      </c>
      <c r="EA89" s="647" t="s">
        <v>513</v>
      </c>
      <c r="EB89" s="647" t="s">
        <v>1135</v>
      </c>
      <c r="EC89" s="647" t="s">
        <v>1134</v>
      </c>
      <c r="ED89" s="647" t="s">
        <v>1136</v>
      </c>
    </row>
    <row r="90" spans="1:134" x14ac:dyDescent="0.2">
      <c r="A90" s="749" t="s">
        <v>984</v>
      </c>
      <c r="B90" s="145">
        <v>83</v>
      </c>
      <c r="C90" s="770">
        <v>0</v>
      </c>
      <c r="D90" s="770">
        <v>0</v>
      </c>
      <c r="E90" s="770">
        <v>0</v>
      </c>
      <c r="F90" s="770">
        <v>0</v>
      </c>
      <c r="G90" s="770">
        <v>0</v>
      </c>
      <c r="H90" s="786">
        <f t="shared" si="7"/>
        <v>0</v>
      </c>
      <c r="I90" s="776">
        <v>0</v>
      </c>
      <c r="J90" s="776">
        <v>0</v>
      </c>
      <c r="K90" s="801">
        <v>0</v>
      </c>
      <c r="L90" s="802">
        <v>0</v>
      </c>
      <c r="M90" s="803">
        <v>0</v>
      </c>
      <c r="N90" s="777">
        <v>0</v>
      </c>
      <c r="O90" s="776">
        <v>0</v>
      </c>
      <c r="P90" s="803">
        <v>0</v>
      </c>
      <c r="Q90" s="781">
        <v>0</v>
      </c>
      <c r="R90" s="803">
        <v>0</v>
      </c>
      <c r="S90" s="778">
        <v>0</v>
      </c>
      <c r="T90" s="778">
        <v>0</v>
      </c>
      <c r="U90" s="804">
        <v>0</v>
      </c>
      <c r="V90" s="772">
        <v>0</v>
      </c>
      <c r="W90" s="783">
        <v>0</v>
      </c>
      <c r="X90" s="803">
        <v>0</v>
      </c>
      <c r="Y90" s="778">
        <v>0</v>
      </c>
      <c r="Z90" s="802">
        <v>0</v>
      </c>
      <c r="AA90" s="803">
        <v>0</v>
      </c>
      <c r="AB90" s="803">
        <v>0</v>
      </c>
      <c r="AC90" s="778">
        <v>0</v>
      </c>
      <c r="AD90" s="782">
        <v>0</v>
      </c>
      <c r="AE90" s="803">
        <v>0</v>
      </c>
      <c r="AF90" s="771">
        <f t="shared" si="6"/>
        <v>0</v>
      </c>
      <c r="AG90" s="805">
        <f t="shared" si="8"/>
        <v>0</v>
      </c>
      <c r="AH90" s="135">
        <f t="shared" si="9"/>
        <v>0</v>
      </c>
      <c r="AI90" s="132" t="str">
        <f t="shared" si="10"/>
        <v xml:space="preserve"> </v>
      </c>
      <c r="AS90" s="139" t="s">
        <v>1064</v>
      </c>
      <c r="AT90" s="1086" t="s">
        <v>1400</v>
      </c>
      <c r="DS90" s="304"/>
      <c r="DT90" s="304"/>
      <c r="DU90" s="647" t="s">
        <v>571</v>
      </c>
      <c r="DV90" s="647" t="s">
        <v>1134</v>
      </c>
      <c r="DW90" s="647" t="s">
        <v>1134</v>
      </c>
      <c r="DX90" s="647" t="s">
        <v>1134</v>
      </c>
      <c r="DY90" s="647" t="s">
        <v>1134</v>
      </c>
      <c r="DZ90" s="647" t="s">
        <v>1134</v>
      </c>
      <c r="EA90" s="647" t="s">
        <v>1064</v>
      </c>
      <c r="EB90" s="647" t="s">
        <v>1135</v>
      </c>
      <c r="EC90" s="647" t="s">
        <v>1134</v>
      </c>
      <c r="ED90" s="647" t="s">
        <v>1136</v>
      </c>
    </row>
    <row r="91" spans="1:134" x14ac:dyDescent="0.2">
      <c r="A91" s="749" t="s">
        <v>561</v>
      </c>
      <c r="B91" s="145">
        <v>84</v>
      </c>
      <c r="C91" s="770">
        <v>0</v>
      </c>
      <c r="D91" s="770">
        <v>0</v>
      </c>
      <c r="E91" s="770">
        <v>0</v>
      </c>
      <c r="F91" s="770">
        <v>0</v>
      </c>
      <c r="G91" s="770">
        <v>0</v>
      </c>
      <c r="H91" s="786">
        <f t="shared" si="7"/>
        <v>0</v>
      </c>
      <c r="I91" s="776">
        <v>0</v>
      </c>
      <c r="J91" s="776">
        <v>1E-3</v>
      </c>
      <c r="K91" s="801">
        <v>8.1709999999999994</v>
      </c>
      <c r="L91" s="802">
        <v>12.656000000000001</v>
      </c>
      <c r="M91" s="803">
        <v>0</v>
      </c>
      <c r="N91" s="777">
        <v>12.656000000000001</v>
      </c>
      <c r="O91" s="776">
        <v>0</v>
      </c>
      <c r="P91" s="803">
        <v>0</v>
      </c>
      <c r="Q91" s="781">
        <v>2E-3</v>
      </c>
      <c r="R91" s="803">
        <v>0</v>
      </c>
      <c r="S91" s="778">
        <v>2E-3</v>
      </c>
      <c r="T91" s="778">
        <v>0</v>
      </c>
      <c r="U91" s="804">
        <v>0</v>
      </c>
      <c r="V91" s="772">
        <v>0</v>
      </c>
      <c r="W91" s="783">
        <v>0</v>
      </c>
      <c r="X91" s="803">
        <v>0</v>
      </c>
      <c r="Y91" s="778">
        <v>0</v>
      </c>
      <c r="Z91" s="802">
        <v>6.0000000000000001E-3</v>
      </c>
      <c r="AA91" s="803">
        <v>4.0000000000000001E-3</v>
      </c>
      <c r="AB91" s="803">
        <v>0</v>
      </c>
      <c r="AC91" s="778">
        <v>2E-3</v>
      </c>
      <c r="AD91" s="782">
        <v>0</v>
      </c>
      <c r="AE91" s="803">
        <v>0.23200000000000001</v>
      </c>
      <c r="AF91" s="771">
        <f t="shared" si="6"/>
        <v>21.068000000000001</v>
      </c>
      <c r="AG91" s="805">
        <f t="shared" si="8"/>
        <v>21.068000000000001</v>
      </c>
      <c r="AH91" s="135">
        <f t="shared" si="9"/>
        <v>0</v>
      </c>
      <c r="AI91" s="132" t="str">
        <f t="shared" si="10"/>
        <v xml:space="preserve"> </v>
      </c>
      <c r="AS91" s="139" t="s">
        <v>515</v>
      </c>
      <c r="AT91" s="139" t="s">
        <v>516</v>
      </c>
      <c r="DS91" s="304"/>
      <c r="DT91" s="304"/>
      <c r="DU91" s="647" t="s">
        <v>571</v>
      </c>
      <c r="DV91" s="647" t="s">
        <v>1134</v>
      </c>
      <c r="DW91" s="647" t="s">
        <v>1134</v>
      </c>
      <c r="DX91" s="647" t="s">
        <v>1134</v>
      </c>
      <c r="DY91" s="647" t="s">
        <v>1134</v>
      </c>
      <c r="DZ91" s="647" t="s">
        <v>1134</v>
      </c>
      <c r="EA91" s="647" t="s">
        <v>515</v>
      </c>
      <c r="EB91" s="647" t="s">
        <v>1135</v>
      </c>
      <c r="EC91" s="647" t="s">
        <v>1134</v>
      </c>
      <c r="ED91" s="647" t="s">
        <v>1136</v>
      </c>
    </row>
    <row r="92" spans="1:134" x14ac:dyDescent="0.2">
      <c r="A92" s="749" t="s">
        <v>70</v>
      </c>
      <c r="B92" s="145">
        <v>85</v>
      </c>
      <c r="C92" s="770">
        <v>0</v>
      </c>
      <c r="D92" s="770">
        <v>0</v>
      </c>
      <c r="E92" s="770">
        <v>0</v>
      </c>
      <c r="F92" s="770">
        <v>0</v>
      </c>
      <c r="G92" s="770">
        <v>0</v>
      </c>
      <c r="H92" s="786">
        <f t="shared" si="7"/>
        <v>0</v>
      </c>
      <c r="I92" s="776">
        <v>0</v>
      </c>
      <c r="J92" s="776">
        <v>0</v>
      </c>
      <c r="K92" s="801">
        <v>0</v>
      </c>
      <c r="L92" s="802">
        <v>0</v>
      </c>
      <c r="M92" s="803">
        <v>0</v>
      </c>
      <c r="N92" s="777">
        <v>0</v>
      </c>
      <c r="O92" s="776">
        <v>0</v>
      </c>
      <c r="P92" s="803">
        <v>0</v>
      </c>
      <c r="Q92" s="781">
        <v>0</v>
      </c>
      <c r="R92" s="803">
        <v>0</v>
      </c>
      <c r="S92" s="778">
        <v>0</v>
      </c>
      <c r="T92" s="778">
        <v>0</v>
      </c>
      <c r="U92" s="804">
        <v>0</v>
      </c>
      <c r="V92" s="772">
        <v>0</v>
      </c>
      <c r="W92" s="783">
        <v>0</v>
      </c>
      <c r="X92" s="803">
        <v>0</v>
      </c>
      <c r="Y92" s="778">
        <v>0</v>
      </c>
      <c r="Z92" s="802">
        <v>0</v>
      </c>
      <c r="AA92" s="803">
        <v>0</v>
      </c>
      <c r="AB92" s="803">
        <v>0</v>
      </c>
      <c r="AC92" s="778">
        <v>0</v>
      </c>
      <c r="AD92" s="782">
        <v>0</v>
      </c>
      <c r="AE92" s="803">
        <v>0.308</v>
      </c>
      <c r="AF92" s="771">
        <f t="shared" si="6"/>
        <v>0.308</v>
      </c>
      <c r="AG92" s="805">
        <f t="shared" si="8"/>
        <v>0.308</v>
      </c>
      <c r="AH92" s="135">
        <f t="shared" si="9"/>
        <v>0</v>
      </c>
      <c r="AI92" s="132" t="str">
        <f t="shared" si="10"/>
        <v xml:space="preserve"> </v>
      </c>
      <c r="AS92" s="139" t="s">
        <v>574</v>
      </c>
      <c r="AT92" s="139" t="s">
        <v>575</v>
      </c>
      <c r="DS92" s="304"/>
      <c r="DT92" s="304"/>
      <c r="DU92" s="647" t="s">
        <v>571</v>
      </c>
      <c r="DV92" s="647" t="s">
        <v>1134</v>
      </c>
      <c r="DW92" s="647" t="s">
        <v>1134</v>
      </c>
      <c r="DX92" s="647" t="s">
        <v>1134</v>
      </c>
      <c r="DY92" s="647" t="s">
        <v>1134</v>
      </c>
      <c r="DZ92" s="647" t="s">
        <v>1134</v>
      </c>
      <c r="EA92" s="647" t="s">
        <v>574</v>
      </c>
      <c r="EB92" s="647" t="s">
        <v>1135</v>
      </c>
      <c r="EC92" s="647" t="s">
        <v>1134</v>
      </c>
      <c r="ED92" s="647" t="s">
        <v>1136</v>
      </c>
    </row>
    <row r="93" spans="1:134" x14ac:dyDescent="0.2">
      <c r="A93" s="749" t="s">
        <v>985</v>
      </c>
      <c r="B93" s="145">
        <v>86</v>
      </c>
      <c r="C93" s="770">
        <v>0</v>
      </c>
      <c r="D93" s="770">
        <v>0</v>
      </c>
      <c r="E93" s="770">
        <v>0</v>
      </c>
      <c r="F93" s="770">
        <v>2E-3</v>
      </c>
      <c r="G93" s="770">
        <v>0</v>
      </c>
      <c r="H93" s="786">
        <f t="shared" si="7"/>
        <v>2E-3</v>
      </c>
      <c r="I93" s="776">
        <v>0</v>
      </c>
      <c r="J93" s="776">
        <v>0</v>
      </c>
      <c r="K93" s="801">
        <v>0</v>
      </c>
      <c r="L93" s="802">
        <v>0</v>
      </c>
      <c r="M93" s="803">
        <v>0</v>
      </c>
      <c r="N93" s="777">
        <v>0</v>
      </c>
      <c r="O93" s="776">
        <v>0</v>
      </c>
      <c r="P93" s="803">
        <v>0</v>
      </c>
      <c r="Q93" s="781">
        <v>0</v>
      </c>
      <c r="R93" s="803">
        <v>0</v>
      </c>
      <c r="S93" s="778">
        <v>0</v>
      </c>
      <c r="T93" s="778">
        <v>0</v>
      </c>
      <c r="U93" s="804">
        <v>18.914000000000001</v>
      </c>
      <c r="V93" s="772">
        <v>6.29</v>
      </c>
      <c r="W93" s="783">
        <v>25.204000000000001</v>
      </c>
      <c r="X93" s="803">
        <v>0</v>
      </c>
      <c r="Y93" s="778">
        <v>25.204000000000001</v>
      </c>
      <c r="Z93" s="802">
        <v>0</v>
      </c>
      <c r="AA93" s="803">
        <v>0</v>
      </c>
      <c r="AB93" s="803">
        <v>0</v>
      </c>
      <c r="AC93" s="778">
        <v>0</v>
      </c>
      <c r="AD93" s="782">
        <v>0</v>
      </c>
      <c r="AE93" s="803">
        <v>2E-3</v>
      </c>
      <c r="AF93" s="771">
        <f t="shared" si="6"/>
        <v>25.206</v>
      </c>
      <c r="AG93" s="805">
        <f t="shared" si="8"/>
        <v>25.207999999999998</v>
      </c>
      <c r="AH93" s="135">
        <f t="shared" si="9"/>
        <v>0</v>
      </c>
      <c r="AI93" s="132" t="str">
        <f t="shared" si="10"/>
        <v xml:space="preserve"> </v>
      </c>
      <c r="AS93" s="139" t="s">
        <v>1065</v>
      </c>
      <c r="AT93" s="139" t="s">
        <v>1066</v>
      </c>
      <c r="DS93" s="304"/>
      <c r="DT93" s="304"/>
      <c r="DU93" s="647" t="s">
        <v>571</v>
      </c>
      <c r="DV93" s="647" t="s">
        <v>1134</v>
      </c>
      <c r="DW93" s="647" t="s">
        <v>1134</v>
      </c>
      <c r="DX93" s="647" t="s">
        <v>1134</v>
      </c>
      <c r="DY93" s="647" t="s">
        <v>1134</v>
      </c>
      <c r="DZ93" s="647" t="s">
        <v>1134</v>
      </c>
      <c r="EA93" s="647" t="s">
        <v>1065</v>
      </c>
      <c r="EB93" s="647" t="s">
        <v>1135</v>
      </c>
      <c r="EC93" s="647" t="s">
        <v>1134</v>
      </c>
      <c r="ED93" s="647" t="s">
        <v>1136</v>
      </c>
    </row>
    <row r="94" spans="1:134" x14ac:dyDescent="0.2">
      <c r="A94" s="749" t="s">
        <v>921</v>
      </c>
      <c r="B94" s="145">
        <v>87</v>
      </c>
      <c r="C94" s="770">
        <v>0</v>
      </c>
      <c r="D94" s="770">
        <v>0</v>
      </c>
      <c r="E94" s="770">
        <v>0</v>
      </c>
      <c r="F94" s="770">
        <v>0</v>
      </c>
      <c r="G94" s="770">
        <v>0</v>
      </c>
      <c r="H94" s="786">
        <f t="shared" si="7"/>
        <v>0</v>
      </c>
      <c r="I94" s="776">
        <v>0</v>
      </c>
      <c r="J94" s="776">
        <v>0</v>
      </c>
      <c r="K94" s="801">
        <v>59.917999999999999</v>
      </c>
      <c r="L94" s="802">
        <v>92.808999999999997</v>
      </c>
      <c r="M94" s="803">
        <v>0</v>
      </c>
      <c r="N94" s="777">
        <v>92.808999999999997</v>
      </c>
      <c r="O94" s="776">
        <v>0</v>
      </c>
      <c r="P94" s="803">
        <v>0</v>
      </c>
      <c r="Q94" s="781">
        <v>0</v>
      </c>
      <c r="R94" s="803">
        <v>0</v>
      </c>
      <c r="S94" s="778">
        <v>0</v>
      </c>
      <c r="T94" s="778">
        <v>0</v>
      </c>
      <c r="U94" s="804">
        <v>87.153000000000006</v>
      </c>
      <c r="V94" s="772">
        <v>28.981999999999999</v>
      </c>
      <c r="W94" s="783">
        <v>116.13500000000001</v>
      </c>
      <c r="X94" s="803">
        <v>0</v>
      </c>
      <c r="Y94" s="778">
        <v>116.13500000000001</v>
      </c>
      <c r="Z94" s="802">
        <v>0</v>
      </c>
      <c r="AA94" s="803">
        <v>0</v>
      </c>
      <c r="AB94" s="803">
        <v>0</v>
      </c>
      <c r="AC94" s="778">
        <v>0</v>
      </c>
      <c r="AD94" s="782">
        <v>0</v>
      </c>
      <c r="AE94" s="803">
        <v>4.3999999999999997E-2</v>
      </c>
      <c r="AF94" s="771">
        <f t="shared" si="6"/>
        <v>268.90600000000001</v>
      </c>
      <c r="AG94" s="805">
        <f t="shared" si="8"/>
        <v>268.90600000000001</v>
      </c>
      <c r="AH94" s="135">
        <f t="shared" si="9"/>
        <v>0</v>
      </c>
      <c r="AI94" s="132" t="str">
        <f t="shared" si="10"/>
        <v xml:space="preserve"> </v>
      </c>
      <c r="AS94" s="139" t="s">
        <v>465</v>
      </c>
      <c r="AT94" s="139" t="s">
        <v>466</v>
      </c>
      <c r="DS94" s="304"/>
      <c r="DT94" s="304"/>
      <c r="DU94" s="647" t="s">
        <v>571</v>
      </c>
      <c r="DV94" s="647" t="s">
        <v>1134</v>
      </c>
      <c r="DW94" s="647" t="s">
        <v>1134</v>
      </c>
      <c r="DX94" s="647" t="s">
        <v>1134</v>
      </c>
      <c r="DY94" s="647" t="s">
        <v>1134</v>
      </c>
      <c r="DZ94" s="647" t="s">
        <v>1134</v>
      </c>
      <c r="EA94" s="647" t="s">
        <v>465</v>
      </c>
      <c r="EB94" s="647" t="s">
        <v>1135</v>
      </c>
      <c r="EC94" s="647" t="s">
        <v>1134</v>
      </c>
      <c r="ED94" s="647" t="s">
        <v>1136</v>
      </c>
    </row>
    <row r="95" spans="1:134" x14ac:dyDescent="0.2">
      <c r="A95" s="749" t="s">
        <v>935</v>
      </c>
      <c r="B95" s="145">
        <v>88</v>
      </c>
      <c r="C95" s="770">
        <v>0</v>
      </c>
      <c r="D95" s="770">
        <v>0</v>
      </c>
      <c r="E95" s="770">
        <v>0</v>
      </c>
      <c r="F95" s="770">
        <v>0</v>
      </c>
      <c r="G95" s="770">
        <v>0</v>
      </c>
      <c r="H95" s="786">
        <f t="shared" si="7"/>
        <v>0</v>
      </c>
      <c r="I95" s="776">
        <v>0</v>
      </c>
      <c r="J95" s="776">
        <v>0</v>
      </c>
      <c r="K95" s="801">
        <v>0</v>
      </c>
      <c r="L95" s="802">
        <v>0</v>
      </c>
      <c r="M95" s="803">
        <v>0</v>
      </c>
      <c r="N95" s="777">
        <v>0</v>
      </c>
      <c r="O95" s="776">
        <v>0</v>
      </c>
      <c r="P95" s="803">
        <v>0</v>
      </c>
      <c r="Q95" s="781">
        <v>0</v>
      </c>
      <c r="R95" s="803">
        <v>0</v>
      </c>
      <c r="S95" s="778">
        <v>0</v>
      </c>
      <c r="T95" s="778">
        <v>0</v>
      </c>
      <c r="U95" s="804">
        <v>0</v>
      </c>
      <c r="V95" s="772">
        <v>0</v>
      </c>
      <c r="W95" s="783">
        <v>0</v>
      </c>
      <c r="X95" s="803">
        <v>0</v>
      </c>
      <c r="Y95" s="778">
        <v>0</v>
      </c>
      <c r="Z95" s="802">
        <v>0</v>
      </c>
      <c r="AA95" s="803">
        <v>0</v>
      </c>
      <c r="AB95" s="803">
        <v>0</v>
      </c>
      <c r="AC95" s="778">
        <v>0</v>
      </c>
      <c r="AD95" s="782">
        <v>0</v>
      </c>
      <c r="AE95" s="803">
        <v>1E-3</v>
      </c>
      <c r="AF95" s="771">
        <f t="shared" si="6"/>
        <v>1E-3</v>
      </c>
      <c r="AG95" s="805">
        <f t="shared" si="8"/>
        <v>1E-3</v>
      </c>
      <c r="AH95" s="135">
        <f t="shared" si="9"/>
        <v>0</v>
      </c>
      <c r="AI95" s="132" t="str">
        <f t="shared" si="10"/>
        <v xml:space="preserve"> </v>
      </c>
      <c r="AS95" s="139" t="s">
        <v>934</v>
      </c>
      <c r="AT95" s="139" t="s">
        <v>1067</v>
      </c>
      <c r="DS95" s="304"/>
      <c r="DT95" s="304"/>
      <c r="DU95" s="647" t="s">
        <v>571</v>
      </c>
      <c r="DV95" s="647" t="s">
        <v>1134</v>
      </c>
      <c r="DW95" s="647" t="s">
        <v>1134</v>
      </c>
      <c r="DX95" s="647" t="s">
        <v>1134</v>
      </c>
      <c r="DY95" s="647" t="s">
        <v>1134</v>
      </c>
      <c r="DZ95" s="647" t="s">
        <v>1134</v>
      </c>
      <c r="EA95" s="647" t="s">
        <v>934</v>
      </c>
      <c r="EB95" s="647" t="s">
        <v>1135</v>
      </c>
      <c r="EC95" s="647" t="s">
        <v>1134</v>
      </c>
      <c r="ED95" s="647" t="s">
        <v>1136</v>
      </c>
    </row>
    <row r="96" spans="1:134" x14ac:dyDescent="0.2">
      <c r="A96" s="749" t="s">
        <v>562</v>
      </c>
      <c r="B96" s="145">
        <v>89</v>
      </c>
      <c r="C96" s="770">
        <v>0</v>
      </c>
      <c r="D96" s="770">
        <v>0</v>
      </c>
      <c r="E96" s="770">
        <v>0</v>
      </c>
      <c r="F96" s="770">
        <v>3.6999999999999998E-2</v>
      </c>
      <c r="G96" s="770">
        <v>0</v>
      </c>
      <c r="H96" s="786">
        <f t="shared" si="7"/>
        <v>3.6999999999999998E-2</v>
      </c>
      <c r="I96" s="776">
        <v>0</v>
      </c>
      <c r="J96" s="776">
        <v>0</v>
      </c>
      <c r="K96" s="801">
        <v>4.0000000000000001E-3</v>
      </c>
      <c r="L96" s="802">
        <v>4.0000000000000001E-3</v>
      </c>
      <c r="M96" s="803">
        <v>0</v>
      </c>
      <c r="N96" s="777">
        <v>4.0000000000000001E-3</v>
      </c>
      <c r="O96" s="776">
        <v>0</v>
      </c>
      <c r="P96" s="803">
        <v>0</v>
      </c>
      <c r="Q96" s="781">
        <v>1E-3</v>
      </c>
      <c r="R96" s="803">
        <v>0</v>
      </c>
      <c r="S96" s="778">
        <v>1E-3</v>
      </c>
      <c r="T96" s="778">
        <v>0</v>
      </c>
      <c r="U96" s="804">
        <v>1.482</v>
      </c>
      <c r="V96" s="772">
        <v>0.49299999999999999</v>
      </c>
      <c r="W96" s="783">
        <v>1.9750000000000001</v>
      </c>
      <c r="X96" s="803">
        <v>0</v>
      </c>
      <c r="Y96" s="778">
        <v>1.9750000000000001</v>
      </c>
      <c r="Z96" s="802">
        <v>0.06</v>
      </c>
      <c r="AA96" s="803">
        <v>3.7999999999999999E-2</v>
      </c>
      <c r="AB96" s="803">
        <v>0</v>
      </c>
      <c r="AC96" s="778">
        <v>2.1999999999999999E-2</v>
      </c>
      <c r="AD96" s="782">
        <v>0</v>
      </c>
      <c r="AE96" s="803">
        <v>3.9420000000000002</v>
      </c>
      <c r="AF96" s="771">
        <f t="shared" si="6"/>
        <v>5.9859999999999998</v>
      </c>
      <c r="AG96" s="805">
        <f t="shared" si="8"/>
        <v>6.0229999999999997</v>
      </c>
      <c r="AH96" s="135">
        <f t="shared" si="9"/>
        <v>0</v>
      </c>
      <c r="AI96" s="132" t="str">
        <f t="shared" si="10"/>
        <v xml:space="preserve"> </v>
      </c>
      <c r="AS96" s="139" t="s">
        <v>517</v>
      </c>
      <c r="AT96" s="139" t="s">
        <v>518</v>
      </c>
      <c r="DS96" s="304"/>
      <c r="DT96" s="304"/>
      <c r="DU96" s="647" t="s">
        <v>571</v>
      </c>
      <c r="DV96" s="647" t="s">
        <v>1134</v>
      </c>
      <c r="DW96" s="647" t="s">
        <v>1134</v>
      </c>
      <c r="DX96" s="647" t="s">
        <v>1134</v>
      </c>
      <c r="DY96" s="647" t="s">
        <v>1134</v>
      </c>
      <c r="DZ96" s="647" t="s">
        <v>1134</v>
      </c>
      <c r="EA96" s="647" t="s">
        <v>517</v>
      </c>
      <c r="EB96" s="647" t="s">
        <v>1135</v>
      </c>
      <c r="EC96" s="647" t="s">
        <v>1134</v>
      </c>
      <c r="ED96" s="647" t="s">
        <v>1136</v>
      </c>
    </row>
    <row r="97" spans="1:134" x14ac:dyDescent="0.2">
      <c r="A97" s="749" t="s">
        <v>44</v>
      </c>
      <c r="B97" s="145">
        <v>90</v>
      </c>
      <c r="C97" s="770">
        <v>0</v>
      </c>
      <c r="D97" s="770">
        <v>0</v>
      </c>
      <c r="E97" s="770">
        <v>0</v>
      </c>
      <c r="F97" s="770">
        <v>2E-3</v>
      </c>
      <c r="G97" s="770">
        <v>0</v>
      </c>
      <c r="H97" s="786">
        <f t="shared" si="7"/>
        <v>2E-3</v>
      </c>
      <c r="I97" s="776">
        <v>0</v>
      </c>
      <c r="J97" s="776">
        <v>0</v>
      </c>
      <c r="K97" s="801">
        <v>0.55300000000000005</v>
      </c>
      <c r="L97" s="802">
        <v>0.85499999999999998</v>
      </c>
      <c r="M97" s="803">
        <v>0</v>
      </c>
      <c r="N97" s="777">
        <v>0.85499999999999998</v>
      </c>
      <c r="O97" s="776">
        <v>0</v>
      </c>
      <c r="P97" s="803">
        <v>0</v>
      </c>
      <c r="Q97" s="781">
        <v>23.66</v>
      </c>
      <c r="R97" s="803">
        <v>0</v>
      </c>
      <c r="S97" s="778">
        <v>23.66</v>
      </c>
      <c r="T97" s="778">
        <v>2.077</v>
      </c>
      <c r="U97" s="804">
        <v>2.8050000000000002</v>
      </c>
      <c r="V97" s="772">
        <v>0.93300000000000005</v>
      </c>
      <c r="W97" s="783">
        <v>3.738</v>
      </c>
      <c r="X97" s="803">
        <v>9.6000000000000002E-2</v>
      </c>
      <c r="Y97" s="778">
        <v>3.6419999999999999</v>
      </c>
      <c r="Z97" s="802">
        <v>3.9E-2</v>
      </c>
      <c r="AA97" s="803">
        <v>2.5000000000000001E-2</v>
      </c>
      <c r="AB97" s="803">
        <v>0</v>
      </c>
      <c r="AC97" s="778">
        <v>1.4E-2</v>
      </c>
      <c r="AD97" s="782">
        <v>0</v>
      </c>
      <c r="AE97" s="803">
        <v>7.9020000000000001</v>
      </c>
      <c r="AF97" s="771">
        <f t="shared" si="6"/>
        <v>38.823999999999998</v>
      </c>
      <c r="AG97" s="805">
        <f t="shared" si="8"/>
        <v>38.826000000000001</v>
      </c>
      <c r="AH97" s="135">
        <f t="shared" si="9"/>
        <v>0</v>
      </c>
      <c r="AI97" s="132" t="str">
        <f t="shared" si="10"/>
        <v xml:space="preserve"> </v>
      </c>
      <c r="AS97" s="139" t="s">
        <v>264</v>
      </c>
      <c r="AT97" s="139" t="s">
        <v>263</v>
      </c>
      <c r="DS97" s="304"/>
      <c r="DT97" s="304"/>
      <c r="DU97" s="647" t="s">
        <v>571</v>
      </c>
      <c r="DV97" s="647" t="s">
        <v>1134</v>
      </c>
      <c r="DW97" s="647" t="s">
        <v>1134</v>
      </c>
      <c r="DX97" s="647" t="s">
        <v>1134</v>
      </c>
      <c r="DY97" s="647" t="s">
        <v>1134</v>
      </c>
      <c r="DZ97" s="647" t="s">
        <v>1134</v>
      </c>
      <c r="EA97" s="647" t="s">
        <v>264</v>
      </c>
      <c r="EB97" s="647" t="s">
        <v>1135</v>
      </c>
      <c r="EC97" s="647" t="s">
        <v>1134</v>
      </c>
      <c r="ED97" s="647" t="s">
        <v>1136</v>
      </c>
    </row>
    <row r="98" spans="1:134" x14ac:dyDescent="0.2">
      <c r="A98" s="749" t="s">
        <v>986</v>
      </c>
      <c r="B98" s="145">
        <v>91</v>
      </c>
      <c r="C98" s="770">
        <v>0</v>
      </c>
      <c r="D98" s="770">
        <v>0</v>
      </c>
      <c r="E98" s="770">
        <v>0</v>
      </c>
      <c r="F98" s="770">
        <v>0</v>
      </c>
      <c r="G98" s="770">
        <v>0</v>
      </c>
      <c r="H98" s="786">
        <f t="shared" si="7"/>
        <v>0</v>
      </c>
      <c r="I98" s="776">
        <v>0</v>
      </c>
      <c r="J98" s="776">
        <v>0</v>
      </c>
      <c r="K98" s="801">
        <v>0</v>
      </c>
      <c r="L98" s="802">
        <v>0</v>
      </c>
      <c r="M98" s="803">
        <v>0</v>
      </c>
      <c r="N98" s="777">
        <v>0</v>
      </c>
      <c r="O98" s="776">
        <v>0</v>
      </c>
      <c r="P98" s="803">
        <v>0</v>
      </c>
      <c r="Q98" s="781">
        <v>0</v>
      </c>
      <c r="R98" s="803">
        <v>0</v>
      </c>
      <c r="S98" s="778">
        <v>0</v>
      </c>
      <c r="T98" s="778">
        <v>0</v>
      </c>
      <c r="U98" s="804">
        <v>0</v>
      </c>
      <c r="V98" s="772">
        <v>0</v>
      </c>
      <c r="W98" s="783">
        <v>0</v>
      </c>
      <c r="X98" s="803">
        <v>0</v>
      </c>
      <c r="Y98" s="778">
        <v>0</v>
      </c>
      <c r="Z98" s="802">
        <v>0</v>
      </c>
      <c r="AA98" s="803">
        <v>0</v>
      </c>
      <c r="AB98" s="803">
        <v>0</v>
      </c>
      <c r="AC98" s="778">
        <v>0</v>
      </c>
      <c r="AD98" s="782">
        <v>0</v>
      </c>
      <c r="AE98" s="803">
        <v>0</v>
      </c>
      <c r="AF98" s="771">
        <f t="shared" si="6"/>
        <v>0</v>
      </c>
      <c r="AG98" s="805">
        <f t="shared" si="8"/>
        <v>0</v>
      </c>
      <c r="AH98" s="135">
        <f t="shared" si="9"/>
        <v>0</v>
      </c>
      <c r="AI98" s="132" t="str">
        <f t="shared" si="10"/>
        <v xml:space="preserve"> </v>
      </c>
      <c r="AS98" s="139" t="s">
        <v>1068</v>
      </c>
      <c r="AT98" s="139" t="s">
        <v>1069</v>
      </c>
      <c r="DS98" s="304"/>
      <c r="DT98" s="304"/>
      <c r="DU98" s="647" t="s">
        <v>571</v>
      </c>
      <c r="DV98" s="647" t="s">
        <v>1134</v>
      </c>
      <c r="DW98" s="647" t="s">
        <v>1134</v>
      </c>
      <c r="DX98" s="647" t="s">
        <v>1134</v>
      </c>
      <c r="DY98" s="647" t="s">
        <v>1134</v>
      </c>
      <c r="DZ98" s="647" t="s">
        <v>1134</v>
      </c>
      <c r="EA98" s="647" t="s">
        <v>1068</v>
      </c>
      <c r="EB98" s="647" t="s">
        <v>1135</v>
      </c>
      <c r="EC98" s="647" t="s">
        <v>1134</v>
      </c>
      <c r="ED98" s="647" t="s">
        <v>1136</v>
      </c>
    </row>
    <row r="99" spans="1:134" x14ac:dyDescent="0.2">
      <c r="A99" s="749" t="s">
        <v>45</v>
      </c>
      <c r="B99" s="145">
        <v>92</v>
      </c>
      <c r="C99" s="770">
        <v>0</v>
      </c>
      <c r="D99" s="770">
        <v>0</v>
      </c>
      <c r="E99" s="770">
        <v>0</v>
      </c>
      <c r="F99" s="770">
        <v>0</v>
      </c>
      <c r="G99" s="770">
        <v>0</v>
      </c>
      <c r="H99" s="786">
        <f t="shared" si="7"/>
        <v>0</v>
      </c>
      <c r="I99" s="776">
        <v>0</v>
      </c>
      <c r="J99" s="776">
        <v>0</v>
      </c>
      <c r="K99" s="801">
        <v>1E-3</v>
      </c>
      <c r="L99" s="802">
        <v>3.0000000000000001E-3</v>
      </c>
      <c r="M99" s="803">
        <v>0</v>
      </c>
      <c r="N99" s="777">
        <v>3.0000000000000001E-3</v>
      </c>
      <c r="O99" s="776">
        <v>0</v>
      </c>
      <c r="P99" s="803">
        <v>0</v>
      </c>
      <c r="Q99" s="781">
        <v>0</v>
      </c>
      <c r="R99" s="803">
        <v>0</v>
      </c>
      <c r="S99" s="778">
        <v>0</v>
      </c>
      <c r="T99" s="778">
        <v>0</v>
      </c>
      <c r="U99" s="804">
        <v>0</v>
      </c>
      <c r="V99" s="772">
        <v>0</v>
      </c>
      <c r="W99" s="783">
        <v>0</v>
      </c>
      <c r="X99" s="803">
        <v>0</v>
      </c>
      <c r="Y99" s="778">
        <v>0</v>
      </c>
      <c r="Z99" s="802">
        <v>356.911</v>
      </c>
      <c r="AA99" s="803">
        <v>228.57</v>
      </c>
      <c r="AB99" s="803">
        <v>0</v>
      </c>
      <c r="AC99" s="778">
        <v>128.34100000000001</v>
      </c>
      <c r="AD99" s="782">
        <v>0</v>
      </c>
      <c r="AE99" s="803">
        <v>16.276</v>
      </c>
      <c r="AF99" s="771">
        <f t="shared" si="6"/>
        <v>373.19099999999997</v>
      </c>
      <c r="AG99" s="805">
        <f t="shared" si="8"/>
        <v>373.19099999999997</v>
      </c>
      <c r="AH99" s="135">
        <f t="shared" si="9"/>
        <v>0</v>
      </c>
      <c r="AI99" s="132" t="str">
        <f t="shared" si="10"/>
        <v xml:space="preserve"> </v>
      </c>
      <c r="AS99" s="139" t="s">
        <v>467</v>
      </c>
      <c r="AT99" s="139" t="s">
        <v>468</v>
      </c>
      <c r="DS99" s="304"/>
      <c r="DT99" s="304"/>
      <c r="DU99" s="647" t="s">
        <v>571</v>
      </c>
      <c r="DV99" s="647" t="s">
        <v>1134</v>
      </c>
      <c r="DW99" s="647" t="s">
        <v>1134</v>
      </c>
      <c r="DX99" s="647" t="s">
        <v>1134</v>
      </c>
      <c r="DY99" s="647" t="s">
        <v>1134</v>
      </c>
      <c r="DZ99" s="647" t="s">
        <v>1134</v>
      </c>
      <c r="EA99" s="647" t="s">
        <v>467</v>
      </c>
      <c r="EB99" s="647" t="s">
        <v>1135</v>
      </c>
      <c r="EC99" s="647" t="s">
        <v>1134</v>
      </c>
      <c r="ED99" s="647" t="s">
        <v>1136</v>
      </c>
    </row>
    <row r="100" spans="1:134" x14ac:dyDescent="0.2">
      <c r="A100" s="749" t="s">
        <v>151</v>
      </c>
      <c r="B100" s="145">
        <v>93</v>
      </c>
      <c r="C100" s="770">
        <v>0</v>
      </c>
      <c r="D100" s="770">
        <v>0</v>
      </c>
      <c r="E100" s="770">
        <v>0</v>
      </c>
      <c r="F100" s="770">
        <v>0</v>
      </c>
      <c r="G100" s="770">
        <v>0</v>
      </c>
      <c r="H100" s="786">
        <f t="shared" si="7"/>
        <v>0</v>
      </c>
      <c r="I100" s="776">
        <v>0</v>
      </c>
      <c r="J100" s="776">
        <v>0</v>
      </c>
      <c r="K100" s="801">
        <v>5.0000000000000001E-3</v>
      </c>
      <c r="L100" s="802">
        <v>8.0000000000000002E-3</v>
      </c>
      <c r="M100" s="803">
        <v>0</v>
      </c>
      <c r="N100" s="777">
        <v>8.0000000000000002E-3</v>
      </c>
      <c r="O100" s="776">
        <v>0</v>
      </c>
      <c r="P100" s="803">
        <v>0</v>
      </c>
      <c r="Q100" s="781">
        <v>0</v>
      </c>
      <c r="R100" s="803">
        <v>0</v>
      </c>
      <c r="S100" s="778">
        <v>0</v>
      </c>
      <c r="T100" s="778">
        <v>0</v>
      </c>
      <c r="U100" s="804">
        <v>2.5999999999999999E-2</v>
      </c>
      <c r="V100" s="772">
        <v>8.0000000000000002E-3</v>
      </c>
      <c r="W100" s="783">
        <v>3.4000000000000002E-2</v>
      </c>
      <c r="X100" s="803">
        <v>0</v>
      </c>
      <c r="Y100" s="778">
        <v>3.4000000000000002E-2</v>
      </c>
      <c r="Z100" s="802">
        <v>8.9999999999999993E-3</v>
      </c>
      <c r="AA100" s="803">
        <v>6.0000000000000001E-3</v>
      </c>
      <c r="AB100" s="803">
        <v>0</v>
      </c>
      <c r="AC100" s="778">
        <v>3.0000000000000001E-3</v>
      </c>
      <c r="AD100" s="782">
        <v>0</v>
      </c>
      <c r="AE100" s="803">
        <v>1.2999999999999999E-2</v>
      </c>
      <c r="AF100" s="771">
        <f t="shared" si="6"/>
        <v>6.9000000000000006E-2</v>
      </c>
      <c r="AG100" s="805">
        <f t="shared" si="8"/>
        <v>6.9000000000000006E-2</v>
      </c>
      <c r="AH100" s="135">
        <f t="shared" si="9"/>
        <v>0</v>
      </c>
      <c r="AI100" s="132" t="str">
        <f t="shared" si="10"/>
        <v xml:space="preserve"> </v>
      </c>
      <c r="AS100" s="139" t="s">
        <v>469</v>
      </c>
      <c r="AT100" s="139" t="s">
        <v>470</v>
      </c>
      <c r="DS100" s="304"/>
      <c r="DT100" s="304"/>
      <c r="DU100" s="647" t="s">
        <v>571</v>
      </c>
      <c r="DV100" s="647" t="s">
        <v>1134</v>
      </c>
      <c r="DW100" s="647" t="s">
        <v>1134</v>
      </c>
      <c r="DX100" s="647" t="s">
        <v>1134</v>
      </c>
      <c r="DY100" s="647" t="s">
        <v>1134</v>
      </c>
      <c r="DZ100" s="647" t="s">
        <v>1134</v>
      </c>
      <c r="EA100" s="647" t="s">
        <v>469</v>
      </c>
      <c r="EB100" s="647" t="s">
        <v>1135</v>
      </c>
      <c r="EC100" s="647" t="s">
        <v>1134</v>
      </c>
      <c r="ED100" s="647" t="s">
        <v>1136</v>
      </c>
    </row>
    <row r="101" spans="1:134" x14ac:dyDescent="0.2">
      <c r="A101" s="749" t="s">
        <v>987</v>
      </c>
      <c r="B101" s="145">
        <v>94</v>
      </c>
      <c r="C101" s="770">
        <v>0</v>
      </c>
      <c r="D101" s="770">
        <v>0</v>
      </c>
      <c r="E101" s="770">
        <v>0</v>
      </c>
      <c r="F101" s="770">
        <v>0</v>
      </c>
      <c r="G101" s="770">
        <v>0</v>
      </c>
      <c r="H101" s="786">
        <f t="shared" si="7"/>
        <v>0</v>
      </c>
      <c r="I101" s="776">
        <v>0</v>
      </c>
      <c r="J101" s="776">
        <v>0</v>
      </c>
      <c r="K101" s="801">
        <v>0</v>
      </c>
      <c r="L101" s="802">
        <v>0</v>
      </c>
      <c r="M101" s="803">
        <v>0</v>
      </c>
      <c r="N101" s="777">
        <v>0</v>
      </c>
      <c r="O101" s="776">
        <v>0</v>
      </c>
      <c r="P101" s="803">
        <v>0</v>
      </c>
      <c r="Q101" s="781">
        <v>0</v>
      </c>
      <c r="R101" s="803">
        <v>0</v>
      </c>
      <c r="S101" s="778">
        <v>0</v>
      </c>
      <c r="T101" s="778">
        <v>0</v>
      </c>
      <c r="U101" s="804">
        <v>0</v>
      </c>
      <c r="V101" s="772">
        <v>0</v>
      </c>
      <c r="W101" s="783">
        <v>0</v>
      </c>
      <c r="X101" s="803">
        <v>0</v>
      </c>
      <c r="Y101" s="778">
        <v>0</v>
      </c>
      <c r="Z101" s="802">
        <v>0</v>
      </c>
      <c r="AA101" s="803">
        <v>0</v>
      </c>
      <c r="AB101" s="803">
        <v>0</v>
      </c>
      <c r="AC101" s="778">
        <v>0</v>
      </c>
      <c r="AD101" s="782">
        <v>0</v>
      </c>
      <c r="AE101" s="803">
        <v>0</v>
      </c>
      <c r="AF101" s="771">
        <f t="shared" si="6"/>
        <v>0</v>
      </c>
      <c r="AG101" s="805">
        <f t="shared" si="8"/>
        <v>0</v>
      </c>
      <c r="AH101" s="135">
        <f t="shared" si="9"/>
        <v>0</v>
      </c>
      <c r="AI101" s="132" t="str">
        <f t="shared" si="10"/>
        <v xml:space="preserve"> </v>
      </c>
      <c r="AS101" s="139" t="s">
        <v>1070</v>
      </c>
      <c r="AT101" s="139" t="s">
        <v>1071</v>
      </c>
      <c r="DS101" s="304"/>
      <c r="DT101" s="304"/>
      <c r="DU101" s="647" t="s">
        <v>571</v>
      </c>
      <c r="DV101" s="647" t="s">
        <v>1134</v>
      </c>
      <c r="DW101" s="647" t="s">
        <v>1134</v>
      </c>
      <c r="DX101" s="647" t="s">
        <v>1134</v>
      </c>
      <c r="DY101" s="647" t="s">
        <v>1134</v>
      </c>
      <c r="DZ101" s="647" t="s">
        <v>1134</v>
      </c>
      <c r="EA101" s="647" t="s">
        <v>1070</v>
      </c>
      <c r="EB101" s="647" t="s">
        <v>1135</v>
      </c>
      <c r="EC101" s="647" t="s">
        <v>1134</v>
      </c>
      <c r="ED101" s="647" t="s">
        <v>1136</v>
      </c>
    </row>
    <row r="102" spans="1:134" x14ac:dyDescent="0.2">
      <c r="A102" s="749" t="s">
        <v>988</v>
      </c>
      <c r="B102" s="145">
        <v>95</v>
      </c>
      <c r="C102" s="770">
        <v>0</v>
      </c>
      <c r="D102" s="770">
        <v>0</v>
      </c>
      <c r="E102" s="770">
        <v>0</v>
      </c>
      <c r="F102" s="770">
        <v>3.1E-2</v>
      </c>
      <c r="G102" s="770">
        <v>0</v>
      </c>
      <c r="H102" s="786">
        <f t="shared" si="7"/>
        <v>3.1E-2</v>
      </c>
      <c r="I102" s="776">
        <v>0</v>
      </c>
      <c r="J102" s="776">
        <v>0</v>
      </c>
      <c r="K102" s="801">
        <v>0</v>
      </c>
      <c r="L102" s="802">
        <v>0</v>
      </c>
      <c r="M102" s="803">
        <v>0</v>
      </c>
      <c r="N102" s="777">
        <v>0</v>
      </c>
      <c r="O102" s="776">
        <v>0</v>
      </c>
      <c r="P102" s="803">
        <v>0</v>
      </c>
      <c r="Q102" s="781">
        <v>0</v>
      </c>
      <c r="R102" s="803">
        <v>0</v>
      </c>
      <c r="S102" s="778">
        <v>0</v>
      </c>
      <c r="T102" s="778">
        <v>0</v>
      </c>
      <c r="U102" s="804">
        <v>0</v>
      </c>
      <c r="V102" s="772">
        <v>0</v>
      </c>
      <c r="W102" s="783">
        <v>0</v>
      </c>
      <c r="X102" s="803">
        <v>0</v>
      </c>
      <c r="Y102" s="778">
        <v>0</v>
      </c>
      <c r="Z102" s="802">
        <v>0</v>
      </c>
      <c r="AA102" s="803">
        <v>0</v>
      </c>
      <c r="AB102" s="803">
        <v>0</v>
      </c>
      <c r="AC102" s="778">
        <v>0</v>
      </c>
      <c r="AD102" s="782">
        <v>0</v>
      </c>
      <c r="AE102" s="803">
        <v>3.7999999999999999E-2</v>
      </c>
      <c r="AF102" s="771">
        <f>ROUND(SUM(I102:L102,O102:Q102,T102,W102,Z102,AD102:AE102),3)</f>
        <v>3.7999999999999999E-2</v>
      </c>
      <c r="AG102" s="805">
        <f t="shared" si="8"/>
        <v>6.9000000000000006E-2</v>
      </c>
      <c r="AH102" s="135">
        <f t="shared" si="9"/>
        <v>0</v>
      </c>
      <c r="AI102" s="132" t="str">
        <f t="shared" si="10"/>
        <v xml:space="preserve"> </v>
      </c>
      <c r="AS102" s="139" t="s">
        <v>1072</v>
      </c>
      <c r="AT102" s="139" t="s">
        <v>1073</v>
      </c>
      <c r="DS102" s="304"/>
      <c r="DT102" s="304"/>
      <c r="DU102" s="647" t="s">
        <v>571</v>
      </c>
      <c r="DV102" s="647" t="s">
        <v>1134</v>
      </c>
      <c r="DW102" s="647" t="s">
        <v>1134</v>
      </c>
      <c r="DX102" s="647" t="s">
        <v>1134</v>
      </c>
      <c r="DY102" s="647" t="s">
        <v>1134</v>
      </c>
      <c r="DZ102" s="647" t="s">
        <v>1134</v>
      </c>
      <c r="EA102" s="647" t="s">
        <v>1072</v>
      </c>
      <c r="EB102" s="647" t="s">
        <v>1135</v>
      </c>
      <c r="EC102" s="647" t="s">
        <v>1134</v>
      </c>
      <c r="ED102" s="647" t="s">
        <v>1136</v>
      </c>
    </row>
    <row r="103" spans="1:134" x14ac:dyDescent="0.2">
      <c r="A103" s="749" t="s">
        <v>989</v>
      </c>
      <c r="B103" s="145">
        <v>96</v>
      </c>
      <c r="C103" s="770">
        <v>0</v>
      </c>
      <c r="D103" s="770">
        <v>0</v>
      </c>
      <c r="E103" s="770">
        <v>0</v>
      </c>
      <c r="F103" s="770">
        <v>0</v>
      </c>
      <c r="G103" s="770">
        <v>0</v>
      </c>
      <c r="H103" s="786">
        <f t="shared" si="7"/>
        <v>0</v>
      </c>
      <c r="I103" s="776">
        <v>0</v>
      </c>
      <c r="J103" s="776">
        <v>0</v>
      </c>
      <c r="K103" s="801">
        <v>0</v>
      </c>
      <c r="L103" s="802">
        <v>0</v>
      </c>
      <c r="M103" s="803">
        <v>0</v>
      </c>
      <c r="N103" s="777">
        <v>0</v>
      </c>
      <c r="O103" s="776">
        <v>0</v>
      </c>
      <c r="P103" s="803">
        <v>0</v>
      </c>
      <c r="Q103" s="781">
        <v>0</v>
      </c>
      <c r="R103" s="803">
        <v>0</v>
      </c>
      <c r="S103" s="778">
        <v>0</v>
      </c>
      <c r="T103" s="778">
        <v>0</v>
      </c>
      <c r="U103" s="804">
        <v>0</v>
      </c>
      <c r="V103" s="772">
        <v>0</v>
      </c>
      <c r="W103" s="783">
        <v>0</v>
      </c>
      <c r="X103" s="803">
        <v>0</v>
      </c>
      <c r="Y103" s="778">
        <v>0</v>
      </c>
      <c r="Z103" s="802">
        <v>0</v>
      </c>
      <c r="AA103" s="803">
        <v>0</v>
      </c>
      <c r="AB103" s="803">
        <v>0</v>
      </c>
      <c r="AC103" s="778">
        <v>0</v>
      </c>
      <c r="AD103" s="782">
        <v>0</v>
      </c>
      <c r="AE103" s="803">
        <v>4.0000000000000001E-3</v>
      </c>
      <c r="AF103" s="771">
        <f t="shared" ref="AF103:AF166" si="11">ROUND(SUM(I103:K103,L103,O103:Q103,T103,W103,Z103,AD103:AE103),3)</f>
        <v>4.0000000000000001E-3</v>
      </c>
      <c r="AG103" s="805">
        <f t="shared" si="8"/>
        <v>4.0000000000000001E-3</v>
      </c>
      <c r="AH103" s="135">
        <f t="shared" si="9"/>
        <v>0</v>
      </c>
      <c r="AI103" s="132" t="str">
        <f t="shared" si="10"/>
        <v xml:space="preserve"> </v>
      </c>
      <c r="AS103" s="139" t="s">
        <v>1074</v>
      </c>
      <c r="AT103" s="139" t="s">
        <v>1075</v>
      </c>
      <c r="DS103" s="304"/>
      <c r="DT103" s="304"/>
      <c r="DU103" s="647" t="s">
        <v>571</v>
      </c>
      <c r="DV103" s="647" t="s">
        <v>1134</v>
      </c>
      <c r="DW103" s="647" t="s">
        <v>1134</v>
      </c>
      <c r="DX103" s="647" t="s">
        <v>1134</v>
      </c>
      <c r="DY103" s="647" t="s">
        <v>1134</v>
      </c>
      <c r="DZ103" s="647" t="s">
        <v>1134</v>
      </c>
      <c r="EA103" s="647" t="s">
        <v>1074</v>
      </c>
      <c r="EB103" s="647" t="s">
        <v>1135</v>
      </c>
      <c r="EC103" s="647" t="s">
        <v>1134</v>
      </c>
      <c r="ED103" s="647" t="s">
        <v>1136</v>
      </c>
    </row>
    <row r="104" spans="1:134" x14ac:dyDescent="0.2">
      <c r="A104" s="749" t="s">
        <v>46</v>
      </c>
      <c r="B104" s="145">
        <v>97</v>
      </c>
      <c r="C104" s="770">
        <v>0</v>
      </c>
      <c r="D104" s="770">
        <v>0</v>
      </c>
      <c r="E104" s="770">
        <v>0</v>
      </c>
      <c r="F104" s="770">
        <v>1.9E-2</v>
      </c>
      <c r="G104" s="770">
        <v>0</v>
      </c>
      <c r="H104" s="786">
        <f t="shared" si="7"/>
        <v>1.9E-2</v>
      </c>
      <c r="I104" s="776">
        <v>0</v>
      </c>
      <c r="J104" s="776">
        <v>0</v>
      </c>
      <c r="K104" s="801">
        <v>0</v>
      </c>
      <c r="L104" s="802">
        <v>0</v>
      </c>
      <c r="M104" s="803">
        <v>0</v>
      </c>
      <c r="N104" s="777">
        <v>0</v>
      </c>
      <c r="O104" s="776">
        <v>0</v>
      </c>
      <c r="P104" s="803">
        <v>0</v>
      </c>
      <c r="Q104" s="781">
        <v>0</v>
      </c>
      <c r="R104" s="803">
        <v>0</v>
      </c>
      <c r="S104" s="778">
        <v>0</v>
      </c>
      <c r="T104" s="778">
        <v>0</v>
      </c>
      <c r="U104" s="804">
        <v>0</v>
      </c>
      <c r="V104" s="772">
        <v>0</v>
      </c>
      <c r="W104" s="783">
        <v>0</v>
      </c>
      <c r="X104" s="803">
        <v>0</v>
      </c>
      <c r="Y104" s="778">
        <v>0</v>
      </c>
      <c r="Z104" s="802">
        <v>0</v>
      </c>
      <c r="AA104" s="803">
        <v>0</v>
      </c>
      <c r="AB104" s="803">
        <v>0</v>
      </c>
      <c r="AC104" s="778">
        <v>0</v>
      </c>
      <c r="AD104" s="782">
        <v>0</v>
      </c>
      <c r="AE104" s="803">
        <v>0.38600000000000001</v>
      </c>
      <c r="AF104" s="771">
        <f t="shared" si="11"/>
        <v>0.38600000000000001</v>
      </c>
      <c r="AG104" s="805">
        <f t="shared" si="8"/>
        <v>0.40500000000000003</v>
      </c>
      <c r="AH104" s="135">
        <f t="shared" si="9"/>
        <v>0</v>
      </c>
      <c r="AI104" s="132" t="str">
        <f t="shared" si="10"/>
        <v xml:space="preserve"> </v>
      </c>
      <c r="AS104" s="139" t="s">
        <v>266</v>
      </c>
      <c r="AT104" s="139" t="s">
        <v>265</v>
      </c>
      <c r="DS104" s="304"/>
      <c r="DT104" s="304"/>
      <c r="DU104" s="647" t="s">
        <v>571</v>
      </c>
      <c r="DV104" s="647" t="s">
        <v>1134</v>
      </c>
      <c r="DW104" s="647" t="s">
        <v>1134</v>
      </c>
      <c r="DX104" s="647" t="s">
        <v>1134</v>
      </c>
      <c r="DY104" s="647" t="s">
        <v>1134</v>
      </c>
      <c r="DZ104" s="647" t="s">
        <v>1134</v>
      </c>
      <c r="EA104" s="647" t="s">
        <v>266</v>
      </c>
      <c r="EB104" s="647" t="s">
        <v>1135</v>
      </c>
      <c r="EC104" s="647" t="s">
        <v>1134</v>
      </c>
      <c r="ED104" s="647" t="s">
        <v>1136</v>
      </c>
    </row>
    <row r="105" spans="1:134" x14ac:dyDescent="0.2">
      <c r="A105" s="749" t="s">
        <v>990</v>
      </c>
      <c r="B105" s="145">
        <v>98</v>
      </c>
      <c r="C105" s="770">
        <v>0</v>
      </c>
      <c r="D105" s="770">
        <v>0</v>
      </c>
      <c r="E105" s="770">
        <v>0</v>
      </c>
      <c r="F105" s="770">
        <v>0</v>
      </c>
      <c r="G105" s="770">
        <v>0</v>
      </c>
      <c r="H105" s="786">
        <f t="shared" ref="H105:H168" si="12">ROUND(SUM(C105:G105),3)</f>
        <v>0</v>
      </c>
      <c r="I105" s="776">
        <v>0</v>
      </c>
      <c r="J105" s="776">
        <v>0</v>
      </c>
      <c r="K105" s="801">
        <v>0</v>
      </c>
      <c r="L105" s="802">
        <v>0</v>
      </c>
      <c r="M105" s="803">
        <v>0</v>
      </c>
      <c r="N105" s="777">
        <v>0</v>
      </c>
      <c r="O105" s="776">
        <v>0</v>
      </c>
      <c r="P105" s="803">
        <v>0</v>
      </c>
      <c r="Q105" s="781">
        <v>0</v>
      </c>
      <c r="R105" s="803">
        <v>0</v>
      </c>
      <c r="S105" s="778">
        <v>0</v>
      </c>
      <c r="T105" s="778">
        <v>0</v>
      </c>
      <c r="U105" s="804">
        <v>0</v>
      </c>
      <c r="V105" s="772">
        <v>0</v>
      </c>
      <c r="W105" s="783">
        <v>0</v>
      </c>
      <c r="X105" s="803">
        <v>0</v>
      </c>
      <c r="Y105" s="778">
        <v>0</v>
      </c>
      <c r="Z105" s="802">
        <v>0</v>
      </c>
      <c r="AA105" s="803">
        <v>0</v>
      </c>
      <c r="AB105" s="803">
        <v>0</v>
      </c>
      <c r="AC105" s="778">
        <v>0</v>
      </c>
      <c r="AD105" s="782">
        <v>0</v>
      </c>
      <c r="AE105" s="803">
        <v>5.6000000000000001E-2</v>
      </c>
      <c r="AF105" s="771">
        <f t="shared" si="11"/>
        <v>5.6000000000000001E-2</v>
      </c>
      <c r="AG105" s="805">
        <f t="shared" si="8"/>
        <v>5.6000000000000001E-2</v>
      </c>
      <c r="AH105" s="135">
        <f t="shared" si="9"/>
        <v>0</v>
      </c>
      <c r="AI105" s="132" t="str">
        <f t="shared" si="10"/>
        <v xml:space="preserve"> </v>
      </c>
      <c r="AS105" s="139" t="s">
        <v>519</v>
      </c>
      <c r="AT105" s="139" t="s">
        <v>520</v>
      </c>
      <c r="DS105" s="304"/>
      <c r="DT105" s="304"/>
      <c r="DU105" s="647" t="s">
        <v>571</v>
      </c>
      <c r="DV105" s="647" t="s">
        <v>1134</v>
      </c>
      <c r="DW105" s="647" t="s">
        <v>1134</v>
      </c>
      <c r="DX105" s="647" t="s">
        <v>1134</v>
      </c>
      <c r="DY105" s="647" t="s">
        <v>1134</v>
      </c>
      <c r="DZ105" s="647" t="s">
        <v>1134</v>
      </c>
      <c r="EA105" s="647" t="s">
        <v>519</v>
      </c>
      <c r="EB105" s="647" t="s">
        <v>1135</v>
      </c>
      <c r="EC105" s="647" t="s">
        <v>1134</v>
      </c>
      <c r="ED105" s="647" t="s">
        <v>1136</v>
      </c>
    </row>
    <row r="106" spans="1:134" ht="12.75" customHeight="1" x14ac:dyDescent="0.2">
      <c r="A106" s="749" t="s">
        <v>991</v>
      </c>
      <c r="B106" s="145">
        <v>99</v>
      </c>
      <c r="C106" s="770">
        <v>0</v>
      </c>
      <c r="D106" s="770">
        <v>0</v>
      </c>
      <c r="E106" s="770">
        <v>0</v>
      </c>
      <c r="F106" s="770">
        <v>0</v>
      </c>
      <c r="G106" s="770">
        <v>0</v>
      </c>
      <c r="H106" s="786">
        <f t="shared" si="12"/>
        <v>0</v>
      </c>
      <c r="I106" s="776">
        <v>0</v>
      </c>
      <c r="J106" s="776">
        <v>0</v>
      </c>
      <c r="K106" s="801">
        <v>0</v>
      </c>
      <c r="L106" s="802">
        <v>0</v>
      </c>
      <c r="M106" s="803">
        <v>0</v>
      </c>
      <c r="N106" s="777">
        <v>0</v>
      </c>
      <c r="O106" s="776">
        <v>0</v>
      </c>
      <c r="P106" s="803">
        <v>0</v>
      </c>
      <c r="Q106" s="781">
        <v>0</v>
      </c>
      <c r="R106" s="803">
        <v>0</v>
      </c>
      <c r="S106" s="778">
        <v>0</v>
      </c>
      <c r="T106" s="778">
        <v>0</v>
      </c>
      <c r="U106" s="804">
        <v>0</v>
      </c>
      <c r="V106" s="772">
        <v>0</v>
      </c>
      <c r="W106" s="783">
        <v>0</v>
      </c>
      <c r="X106" s="803">
        <v>0</v>
      </c>
      <c r="Y106" s="778">
        <v>0</v>
      </c>
      <c r="Z106" s="802">
        <v>0</v>
      </c>
      <c r="AA106" s="803">
        <v>0</v>
      </c>
      <c r="AB106" s="803">
        <v>0</v>
      </c>
      <c r="AC106" s="778">
        <v>0</v>
      </c>
      <c r="AD106" s="782">
        <v>0</v>
      </c>
      <c r="AE106" s="803">
        <v>3.7999999999999999E-2</v>
      </c>
      <c r="AF106" s="771">
        <f t="shared" si="11"/>
        <v>3.7999999999999999E-2</v>
      </c>
      <c r="AG106" s="805">
        <f t="shared" si="8"/>
        <v>3.7999999999999999E-2</v>
      </c>
      <c r="AH106" s="135">
        <f t="shared" si="9"/>
        <v>0</v>
      </c>
      <c r="AI106" s="132" t="str">
        <f t="shared" si="10"/>
        <v xml:space="preserve"> </v>
      </c>
      <c r="AS106" s="139" t="s">
        <v>1076</v>
      </c>
      <c r="AT106" s="139" t="s">
        <v>1077</v>
      </c>
      <c r="DS106" s="304"/>
      <c r="DT106" s="304"/>
      <c r="DU106" s="647" t="s">
        <v>571</v>
      </c>
      <c r="DV106" s="647" t="s">
        <v>1134</v>
      </c>
      <c r="DW106" s="647" t="s">
        <v>1134</v>
      </c>
      <c r="DX106" s="647" t="s">
        <v>1134</v>
      </c>
      <c r="DY106" s="647" t="s">
        <v>1134</v>
      </c>
      <c r="DZ106" s="647" t="s">
        <v>1134</v>
      </c>
      <c r="EA106" s="647" t="s">
        <v>1076</v>
      </c>
      <c r="EB106" s="647" t="s">
        <v>1135</v>
      </c>
      <c r="EC106" s="647" t="s">
        <v>1134</v>
      </c>
      <c r="ED106" s="647" t="s">
        <v>1136</v>
      </c>
    </row>
    <row r="107" spans="1:134" ht="12.75" customHeight="1" x14ac:dyDescent="0.2">
      <c r="A107" s="749" t="s">
        <v>568</v>
      </c>
      <c r="B107" s="145">
        <v>100</v>
      </c>
      <c r="C107" s="770">
        <v>0</v>
      </c>
      <c r="D107" s="770">
        <v>0</v>
      </c>
      <c r="E107" s="770">
        <v>0</v>
      </c>
      <c r="F107" s="770">
        <v>0</v>
      </c>
      <c r="G107" s="770">
        <v>0</v>
      </c>
      <c r="H107" s="786">
        <f t="shared" si="12"/>
        <v>0</v>
      </c>
      <c r="I107" s="776">
        <v>0</v>
      </c>
      <c r="J107" s="776">
        <v>0</v>
      </c>
      <c r="K107" s="801">
        <v>0</v>
      </c>
      <c r="L107" s="802">
        <v>0</v>
      </c>
      <c r="M107" s="803">
        <v>0</v>
      </c>
      <c r="N107" s="777">
        <v>0</v>
      </c>
      <c r="O107" s="776">
        <v>0</v>
      </c>
      <c r="P107" s="803">
        <v>0</v>
      </c>
      <c r="Q107" s="781">
        <v>0</v>
      </c>
      <c r="R107" s="803">
        <v>0</v>
      </c>
      <c r="S107" s="778">
        <v>0</v>
      </c>
      <c r="T107" s="778">
        <v>0</v>
      </c>
      <c r="U107" s="804">
        <v>0</v>
      </c>
      <c r="V107" s="772">
        <v>0</v>
      </c>
      <c r="W107" s="783">
        <v>0</v>
      </c>
      <c r="X107" s="803">
        <v>0</v>
      </c>
      <c r="Y107" s="778">
        <v>0</v>
      </c>
      <c r="Z107" s="802">
        <v>0</v>
      </c>
      <c r="AA107" s="803">
        <v>0</v>
      </c>
      <c r="AB107" s="803">
        <v>0</v>
      </c>
      <c r="AC107" s="778">
        <v>0</v>
      </c>
      <c r="AD107" s="782">
        <v>0</v>
      </c>
      <c r="AE107" s="803">
        <v>0</v>
      </c>
      <c r="AF107" s="771">
        <f t="shared" si="11"/>
        <v>0</v>
      </c>
      <c r="AG107" s="805">
        <f t="shared" si="8"/>
        <v>0</v>
      </c>
      <c r="AH107" s="135">
        <f t="shared" si="9"/>
        <v>0</v>
      </c>
      <c r="AI107" s="132" t="str">
        <f t="shared" si="10"/>
        <v xml:space="preserve"> </v>
      </c>
      <c r="AS107" s="139" t="s">
        <v>542</v>
      </c>
      <c r="AT107" s="139" t="s">
        <v>543</v>
      </c>
      <c r="DS107" s="304"/>
      <c r="DT107" s="304"/>
      <c r="DU107" s="647" t="s">
        <v>571</v>
      </c>
      <c r="DV107" s="647" t="s">
        <v>1134</v>
      </c>
      <c r="DW107" s="647" t="s">
        <v>1134</v>
      </c>
      <c r="DX107" s="647" t="s">
        <v>1134</v>
      </c>
      <c r="DY107" s="647" t="s">
        <v>1134</v>
      </c>
      <c r="DZ107" s="647" t="s">
        <v>1134</v>
      </c>
      <c r="EA107" s="647" t="s">
        <v>542</v>
      </c>
      <c r="EB107" s="647" t="s">
        <v>1135</v>
      </c>
      <c r="EC107" s="647" t="s">
        <v>1134</v>
      </c>
      <c r="ED107" s="647" t="s">
        <v>1136</v>
      </c>
    </row>
    <row r="108" spans="1:134" x14ac:dyDescent="0.2">
      <c r="A108" s="749" t="s">
        <v>677</v>
      </c>
      <c r="B108" s="145">
        <v>101</v>
      </c>
      <c r="C108" s="770">
        <v>0</v>
      </c>
      <c r="D108" s="770">
        <v>0</v>
      </c>
      <c r="E108" s="770">
        <v>0</v>
      </c>
      <c r="F108" s="770">
        <v>2.7E-2</v>
      </c>
      <c r="G108" s="770">
        <v>0</v>
      </c>
      <c r="H108" s="786">
        <f t="shared" si="12"/>
        <v>2.7E-2</v>
      </c>
      <c r="I108" s="776">
        <v>0</v>
      </c>
      <c r="J108" s="776">
        <v>0</v>
      </c>
      <c r="K108" s="801">
        <v>29.725999999999999</v>
      </c>
      <c r="L108" s="802">
        <v>46.042999999999999</v>
      </c>
      <c r="M108" s="803">
        <v>0</v>
      </c>
      <c r="N108" s="777">
        <v>46.042999999999999</v>
      </c>
      <c r="O108" s="776">
        <v>2.3E-2</v>
      </c>
      <c r="P108" s="803">
        <v>0</v>
      </c>
      <c r="Q108" s="781">
        <v>0</v>
      </c>
      <c r="R108" s="803">
        <v>0</v>
      </c>
      <c r="S108" s="778">
        <v>0</v>
      </c>
      <c r="T108" s="778">
        <v>0</v>
      </c>
      <c r="U108" s="804">
        <v>10.244</v>
      </c>
      <c r="V108" s="772">
        <v>3.407</v>
      </c>
      <c r="W108" s="783">
        <v>13.651</v>
      </c>
      <c r="X108" s="803">
        <v>0</v>
      </c>
      <c r="Y108" s="778">
        <v>13.651</v>
      </c>
      <c r="Z108" s="802">
        <v>0</v>
      </c>
      <c r="AA108" s="803">
        <v>0</v>
      </c>
      <c r="AB108" s="803">
        <v>0</v>
      </c>
      <c r="AC108" s="778">
        <v>0</v>
      </c>
      <c r="AD108" s="782">
        <v>0.20599999999999999</v>
      </c>
      <c r="AE108" s="803">
        <v>6.8049999999999997</v>
      </c>
      <c r="AF108" s="771">
        <f t="shared" si="11"/>
        <v>96.453999999999994</v>
      </c>
      <c r="AG108" s="805">
        <f t="shared" si="8"/>
        <v>96.480999999999995</v>
      </c>
      <c r="AH108" s="135">
        <f t="shared" si="9"/>
        <v>0</v>
      </c>
      <c r="AI108" s="132" t="str">
        <f t="shared" si="10"/>
        <v xml:space="preserve"> </v>
      </c>
      <c r="AS108" s="139" t="s">
        <v>882</v>
      </c>
      <c r="AT108" s="139" t="s">
        <v>883</v>
      </c>
      <c r="DS108" s="304"/>
      <c r="DT108" s="304"/>
      <c r="DU108" s="647" t="s">
        <v>571</v>
      </c>
      <c r="DV108" s="647" t="s">
        <v>1134</v>
      </c>
      <c r="DW108" s="647" t="s">
        <v>1134</v>
      </c>
      <c r="DX108" s="647" t="s">
        <v>1134</v>
      </c>
      <c r="DY108" s="647" t="s">
        <v>1134</v>
      </c>
      <c r="DZ108" s="647" t="s">
        <v>1134</v>
      </c>
      <c r="EA108" s="647" t="s">
        <v>882</v>
      </c>
      <c r="EB108" s="647" t="s">
        <v>1135</v>
      </c>
      <c r="EC108" s="647" t="s">
        <v>1134</v>
      </c>
      <c r="ED108" s="647" t="s">
        <v>1136</v>
      </c>
    </row>
    <row r="109" spans="1:134" x14ac:dyDescent="0.2">
      <c r="A109" s="749" t="s">
        <v>992</v>
      </c>
      <c r="B109" s="145">
        <v>102</v>
      </c>
      <c r="C109" s="770">
        <v>0</v>
      </c>
      <c r="D109" s="770">
        <v>0</v>
      </c>
      <c r="E109" s="770">
        <v>0</v>
      </c>
      <c r="F109" s="770">
        <v>0</v>
      </c>
      <c r="G109" s="770">
        <v>0</v>
      </c>
      <c r="H109" s="786">
        <f t="shared" si="12"/>
        <v>0</v>
      </c>
      <c r="I109" s="776">
        <v>0</v>
      </c>
      <c r="J109" s="776">
        <v>0</v>
      </c>
      <c r="K109" s="801">
        <v>0</v>
      </c>
      <c r="L109" s="802">
        <v>0</v>
      </c>
      <c r="M109" s="803">
        <v>0</v>
      </c>
      <c r="N109" s="777">
        <v>0</v>
      </c>
      <c r="O109" s="776">
        <v>0</v>
      </c>
      <c r="P109" s="803">
        <v>0</v>
      </c>
      <c r="Q109" s="781">
        <v>0</v>
      </c>
      <c r="R109" s="803">
        <v>0</v>
      </c>
      <c r="S109" s="778">
        <v>0</v>
      </c>
      <c r="T109" s="778">
        <v>0</v>
      </c>
      <c r="U109" s="804">
        <v>0</v>
      </c>
      <c r="V109" s="772">
        <v>0</v>
      </c>
      <c r="W109" s="783">
        <v>0</v>
      </c>
      <c r="X109" s="803">
        <v>0</v>
      </c>
      <c r="Y109" s="778">
        <v>0</v>
      </c>
      <c r="Z109" s="802">
        <v>0</v>
      </c>
      <c r="AA109" s="803">
        <v>0</v>
      </c>
      <c r="AB109" s="803">
        <v>0</v>
      </c>
      <c r="AC109" s="778">
        <v>0</v>
      </c>
      <c r="AD109" s="782">
        <v>0</v>
      </c>
      <c r="AE109" s="803">
        <v>2E-3</v>
      </c>
      <c r="AF109" s="771">
        <f t="shared" si="11"/>
        <v>2E-3</v>
      </c>
      <c r="AG109" s="805">
        <f t="shared" si="8"/>
        <v>2E-3</v>
      </c>
      <c r="AH109" s="135">
        <f t="shared" si="9"/>
        <v>0</v>
      </c>
      <c r="AI109" s="132" t="str">
        <f t="shared" si="10"/>
        <v xml:space="preserve"> </v>
      </c>
      <c r="AJ109" s="2"/>
      <c r="AL109" s="141"/>
      <c r="AS109" s="130" t="s">
        <v>1078</v>
      </c>
      <c r="AT109" s="130" t="s">
        <v>1079</v>
      </c>
      <c r="DS109" s="304"/>
      <c r="DT109" s="304"/>
      <c r="DU109" s="647" t="s">
        <v>571</v>
      </c>
      <c r="DV109" s="647" t="s">
        <v>1134</v>
      </c>
      <c r="DW109" s="647" t="s">
        <v>1134</v>
      </c>
      <c r="DX109" s="647" t="s">
        <v>1134</v>
      </c>
      <c r="DY109" s="647" t="s">
        <v>1134</v>
      </c>
      <c r="DZ109" s="647" t="s">
        <v>1134</v>
      </c>
      <c r="EA109" s="647" t="s">
        <v>1078</v>
      </c>
      <c r="EB109" s="647" t="s">
        <v>1135</v>
      </c>
      <c r="EC109" s="647" t="s">
        <v>1134</v>
      </c>
      <c r="ED109" s="647" t="s">
        <v>1136</v>
      </c>
    </row>
    <row r="110" spans="1:134" x14ac:dyDescent="0.2">
      <c r="A110" s="749" t="s">
        <v>993</v>
      </c>
      <c r="B110" s="145">
        <v>103</v>
      </c>
      <c r="C110" s="770">
        <v>0</v>
      </c>
      <c r="D110" s="770">
        <v>0</v>
      </c>
      <c r="E110" s="770">
        <v>0</v>
      </c>
      <c r="F110" s="770">
        <v>0</v>
      </c>
      <c r="G110" s="770">
        <v>0</v>
      </c>
      <c r="H110" s="786">
        <f t="shared" si="12"/>
        <v>0</v>
      </c>
      <c r="I110" s="776">
        <v>0</v>
      </c>
      <c r="J110" s="776">
        <v>0</v>
      </c>
      <c r="K110" s="801">
        <v>0</v>
      </c>
      <c r="L110" s="802">
        <v>0</v>
      </c>
      <c r="M110" s="803">
        <v>0</v>
      </c>
      <c r="N110" s="777">
        <v>0</v>
      </c>
      <c r="O110" s="776">
        <v>0</v>
      </c>
      <c r="P110" s="803">
        <v>0</v>
      </c>
      <c r="Q110" s="781">
        <v>0</v>
      </c>
      <c r="R110" s="803">
        <v>0</v>
      </c>
      <c r="S110" s="778">
        <v>0</v>
      </c>
      <c r="T110" s="778">
        <v>0</v>
      </c>
      <c r="U110" s="804">
        <v>0</v>
      </c>
      <c r="V110" s="772">
        <v>0</v>
      </c>
      <c r="W110" s="783">
        <v>0</v>
      </c>
      <c r="X110" s="803">
        <v>0</v>
      </c>
      <c r="Y110" s="778">
        <v>0</v>
      </c>
      <c r="Z110" s="802">
        <v>0</v>
      </c>
      <c r="AA110" s="803">
        <v>0</v>
      </c>
      <c r="AB110" s="803">
        <v>0</v>
      </c>
      <c r="AC110" s="778">
        <v>0</v>
      </c>
      <c r="AD110" s="782">
        <v>0</v>
      </c>
      <c r="AE110" s="803">
        <v>0</v>
      </c>
      <c r="AF110" s="771">
        <f t="shared" si="11"/>
        <v>0</v>
      </c>
      <c r="AG110" s="805">
        <f t="shared" si="8"/>
        <v>0</v>
      </c>
      <c r="AH110" s="135">
        <f t="shared" si="9"/>
        <v>0</v>
      </c>
      <c r="AI110" s="132" t="str">
        <f t="shared" si="10"/>
        <v xml:space="preserve"> </v>
      </c>
      <c r="AS110" s="139" t="s">
        <v>1080</v>
      </c>
      <c r="AT110" s="139" t="s">
        <v>1081</v>
      </c>
      <c r="DS110" s="304"/>
      <c r="DT110" s="304"/>
      <c r="DU110" s="647" t="s">
        <v>571</v>
      </c>
      <c r="DV110" s="647" t="s">
        <v>1134</v>
      </c>
      <c r="DW110" s="647" t="s">
        <v>1134</v>
      </c>
      <c r="DX110" s="647" t="s">
        <v>1134</v>
      </c>
      <c r="DY110" s="647" t="s">
        <v>1134</v>
      </c>
      <c r="DZ110" s="647" t="s">
        <v>1134</v>
      </c>
      <c r="EA110" s="647" t="s">
        <v>1080</v>
      </c>
      <c r="EB110" s="647" t="s">
        <v>1135</v>
      </c>
      <c r="EC110" s="647" t="s">
        <v>1134</v>
      </c>
      <c r="ED110" s="647" t="s">
        <v>1136</v>
      </c>
    </row>
    <row r="111" spans="1:134" x14ac:dyDescent="0.2">
      <c r="A111" s="749" t="s">
        <v>994</v>
      </c>
      <c r="B111" s="145">
        <v>104</v>
      </c>
      <c r="C111" s="770">
        <v>0</v>
      </c>
      <c r="D111" s="770">
        <v>0</v>
      </c>
      <c r="E111" s="770">
        <v>0</v>
      </c>
      <c r="F111" s="770">
        <v>0</v>
      </c>
      <c r="G111" s="770">
        <v>0</v>
      </c>
      <c r="H111" s="786">
        <f t="shared" si="12"/>
        <v>0</v>
      </c>
      <c r="I111" s="776">
        <v>0</v>
      </c>
      <c r="J111" s="776">
        <v>0</v>
      </c>
      <c r="K111" s="801">
        <v>0</v>
      </c>
      <c r="L111" s="802">
        <v>0</v>
      </c>
      <c r="M111" s="803">
        <v>0</v>
      </c>
      <c r="N111" s="777">
        <v>0</v>
      </c>
      <c r="O111" s="776">
        <v>0</v>
      </c>
      <c r="P111" s="803">
        <v>0</v>
      </c>
      <c r="Q111" s="781">
        <v>0</v>
      </c>
      <c r="R111" s="803">
        <v>0</v>
      </c>
      <c r="S111" s="778">
        <v>0</v>
      </c>
      <c r="T111" s="778">
        <v>0</v>
      </c>
      <c r="U111" s="804">
        <v>0</v>
      </c>
      <c r="V111" s="772">
        <v>0</v>
      </c>
      <c r="W111" s="783">
        <v>0</v>
      </c>
      <c r="X111" s="803">
        <v>0</v>
      </c>
      <c r="Y111" s="778">
        <v>0</v>
      </c>
      <c r="Z111" s="802">
        <v>0</v>
      </c>
      <c r="AA111" s="803">
        <v>0</v>
      </c>
      <c r="AB111" s="803">
        <v>0</v>
      </c>
      <c r="AC111" s="778">
        <v>0</v>
      </c>
      <c r="AD111" s="782">
        <v>0</v>
      </c>
      <c r="AE111" s="803">
        <v>0</v>
      </c>
      <c r="AF111" s="771">
        <f t="shared" si="11"/>
        <v>0</v>
      </c>
      <c r="AG111" s="805">
        <f t="shared" si="8"/>
        <v>0</v>
      </c>
      <c r="AH111" s="135">
        <f t="shared" si="9"/>
        <v>0</v>
      </c>
      <c r="AI111" s="132" t="str">
        <f t="shared" si="10"/>
        <v xml:space="preserve"> </v>
      </c>
      <c r="AS111" s="139" t="s">
        <v>1082</v>
      </c>
      <c r="AT111" s="139" t="s">
        <v>1083</v>
      </c>
      <c r="DS111" s="304"/>
      <c r="DT111" s="304"/>
      <c r="DU111" s="647" t="s">
        <v>571</v>
      </c>
      <c r="DV111" s="647" t="s">
        <v>1134</v>
      </c>
      <c r="DW111" s="647" t="s">
        <v>1134</v>
      </c>
      <c r="DX111" s="647" t="s">
        <v>1134</v>
      </c>
      <c r="DY111" s="647" t="s">
        <v>1134</v>
      </c>
      <c r="DZ111" s="647" t="s">
        <v>1134</v>
      </c>
      <c r="EA111" s="647" t="s">
        <v>1082</v>
      </c>
      <c r="EB111" s="647" t="s">
        <v>1135</v>
      </c>
      <c r="EC111" s="647" t="s">
        <v>1134</v>
      </c>
      <c r="ED111" s="647" t="s">
        <v>1136</v>
      </c>
    </row>
    <row r="112" spans="1:134" x14ac:dyDescent="0.2">
      <c r="A112" s="749" t="s">
        <v>995</v>
      </c>
      <c r="B112" s="145">
        <v>105</v>
      </c>
      <c r="C112" s="770">
        <v>0</v>
      </c>
      <c r="D112" s="770">
        <v>0</v>
      </c>
      <c r="E112" s="770">
        <v>0</v>
      </c>
      <c r="F112" s="770">
        <v>0</v>
      </c>
      <c r="G112" s="770">
        <v>0</v>
      </c>
      <c r="H112" s="786">
        <f t="shared" si="12"/>
        <v>0</v>
      </c>
      <c r="I112" s="776">
        <v>0</v>
      </c>
      <c r="J112" s="776">
        <v>0</v>
      </c>
      <c r="K112" s="801">
        <v>0</v>
      </c>
      <c r="L112" s="802">
        <v>0</v>
      </c>
      <c r="M112" s="803">
        <v>0</v>
      </c>
      <c r="N112" s="777">
        <v>0</v>
      </c>
      <c r="O112" s="776">
        <v>0</v>
      </c>
      <c r="P112" s="803">
        <v>0</v>
      </c>
      <c r="Q112" s="781">
        <v>0</v>
      </c>
      <c r="R112" s="803">
        <v>0</v>
      </c>
      <c r="S112" s="778">
        <v>0</v>
      </c>
      <c r="T112" s="778">
        <v>0</v>
      </c>
      <c r="U112" s="804">
        <v>0</v>
      </c>
      <c r="V112" s="772">
        <v>0</v>
      </c>
      <c r="W112" s="783">
        <v>0</v>
      </c>
      <c r="X112" s="803">
        <v>0</v>
      </c>
      <c r="Y112" s="778">
        <v>0</v>
      </c>
      <c r="Z112" s="802">
        <v>0</v>
      </c>
      <c r="AA112" s="803">
        <v>0</v>
      </c>
      <c r="AB112" s="803">
        <v>0</v>
      </c>
      <c r="AC112" s="778">
        <v>0</v>
      </c>
      <c r="AD112" s="782">
        <v>0</v>
      </c>
      <c r="AE112" s="803">
        <v>0</v>
      </c>
      <c r="AF112" s="771">
        <f t="shared" si="11"/>
        <v>0</v>
      </c>
      <c r="AG112" s="805">
        <f t="shared" si="8"/>
        <v>0</v>
      </c>
      <c r="AH112" s="135">
        <f t="shared" si="9"/>
        <v>0</v>
      </c>
      <c r="AI112" s="132" t="str">
        <f t="shared" si="10"/>
        <v xml:space="preserve"> </v>
      </c>
      <c r="AS112" s="139" t="s">
        <v>1084</v>
      </c>
      <c r="AT112" s="139" t="s">
        <v>1085</v>
      </c>
      <c r="DS112" s="304"/>
      <c r="DT112" s="304"/>
      <c r="DU112" s="647" t="s">
        <v>571</v>
      </c>
      <c r="DV112" s="647" t="s">
        <v>1134</v>
      </c>
      <c r="DW112" s="647" t="s">
        <v>1134</v>
      </c>
      <c r="DX112" s="647" t="s">
        <v>1134</v>
      </c>
      <c r="DY112" s="647" t="s">
        <v>1134</v>
      </c>
      <c r="DZ112" s="647" t="s">
        <v>1134</v>
      </c>
      <c r="EA112" s="647" t="s">
        <v>1084</v>
      </c>
      <c r="EB112" s="647" t="s">
        <v>1135</v>
      </c>
      <c r="EC112" s="647" t="s">
        <v>1134</v>
      </c>
      <c r="ED112" s="647" t="s">
        <v>1136</v>
      </c>
    </row>
    <row r="113" spans="1:134" x14ac:dyDescent="0.2">
      <c r="A113" s="749" t="s">
        <v>47</v>
      </c>
      <c r="B113" s="145">
        <v>106</v>
      </c>
      <c r="C113" s="770">
        <v>0</v>
      </c>
      <c r="D113" s="770">
        <v>0</v>
      </c>
      <c r="E113" s="770">
        <v>0</v>
      </c>
      <c r="F113" s="770">
        <v>0</v>
      </c>
      <c r="G113" s="770">
        <v>0</v>
      </c>
      <c r="H113" s="786">
        <f t="shared" si="12"/>
        <v>0</v>
      </c>
      <c r="I113" s="776">
        <v>0</v>
      </c>
      <c r="J113" s="776">
        <v>0</v>
      </c>
      <c r="K113" s="801">
        <v>0</v>
      </c>
      <c r="L113" s="802">
        <v>0</v>
      </c>
      <c r="M113" s="803">
        <v>0</v>
      </c>
      <c r="N113" s="777">
        <v>0</v>
      </c>
      <c r="O113" s="776">
        <v>0</v>
      </c>
      <c r="P113" s="803">
        <v>0</v>
      </c>
      <c r="Q113" s="781">
        <v>0</v>
      </c>
      <c r="R113" s="803">
        <v>0</v>
      </c>
      <c r="S113" s="778">
        <v>0</v>
      </c>
      <c r="T113" s="778">
        <v>0</v>
      </c>
      <c r="U113" s="804">
        <v>0</v>
      </c>
      <c r="V113" s="772">
        <v>0</v>
      </c>
      <c r="W113" s="783">
        <v>0</v>
      </c>
      <c r="X113" s="803">
        <v>0</v>
      </c>
      <c r="Y113" s="778">
        <v>0</v>
      </c>
      <c r="Z113" s="802">
        <v>0</v>
      </c>
      <c r="AA113" s="803">
        <v>0</v>
      </c>
      <c r="AB113" s="803">
        <v>0</v>
      </c>
      <c r="AC113" s="778">
        <v>0</v>
      </c>
      <c r="AD113" s="782">
        <v>0</v>
      </c>
      <c r="AE113" s="803">
        <v>0</v>
      </c>
      <c r="AF113" s="771">
        <f t="shared" si="11"/>
        <v>0</v>
      </c>
      <c r="AG113" s="805">
        <f t="shared" si="8"/>
        <v>0</v>
      </c>
      <c r="AH113" s="135">
        <f t="shared" si="9"/>
        <v>0</v>
      </c>
      <c r="AI113" s="132" t="str">
        <f t="shared" si="10"/>
        <v xml:space="preserve"> </v>
      </c>
      <c r="AS113" s="139" t="s">
        <v>268</v>
      </c>
      <c r="AT113" s="139" t="s">
        <v>267</v>
      </c>
      <c r="DS113" s="304"/>
      <c r="DT113" s="304"/>
      <c r="DU113" s="647" t="s">
        <v>571</v>
      </c>
      <c r="DV113" s="647" t="s">
        <v>1134</v>
      </c>
      <c r="DW113" s="647" t="s">
        <v>1134</v>
      </c>
      <c r="DX113" s="647" t="s">
        <v>1134</v>
      </c>
      <c r="DY113" s="647" t="s">
        <v>1134</v>
      </c>
      <c r="DZ113" s="647" t="s">
        <v>1134</v>
      </c>
      <c r="EA113" s="647" t="s">
        <v>268</v>
      </c>
      <c r="EB113" s="647" t="s">
        <v>1135</v>
      </c>
      <c r="EC113" s="647" t="s">
        <v>1134</v>
      </c>
      <c r="ED113" s="647" t="s">
        <v>1136</v>
      </c>
    </row>
    <row r="114" spans="1:134" x14ac:dyDescent="0.2">
      <c r="A114" s="749" t="s">
        <v>996</v>
      </c>
      <c r="B114" s="145">
        <v>107</v>
      </c>
      <c r="C114" s="770">
        <v>0</v>
      </c>
      <c r="D114" s="770">
        <v>0</v>
      </c>
      <c r="E114" s="770">
        <v>0</v>
      </c>
      <c r="F114" s="770">
        <v>0</v>
      </c>
      <c r="G114" s="770">
        <v>0</v>
      </c>
      <c r="H114" s="786">
        <f t="shared" si="12"/>
        <v>0</v>
      </c>
      <c r="I114" s="776">
        <v>0</v>
      </c>
      <c r="J114" s="776">
        <v>0</v>
      </c>
      <c r="K114" s="801">
        <v>0</v>
      </c>
      <c r="L114" s="802">
        <v>0</v>
      </c>
      <c r="M114" s="803">
        <v>0</v>
      </c>
      <c r="N114" s="777">
        <v>0</v>
      </c>
      <c r="O114" s="776">
        <v>0</v>
      </c>
      <c r="P114" s="803">
        <v>0</v>
      </c>
      <c r="Q114" s="781">
        <v>0</v>
      </c>
      <c r="R114" s="803">
        <v>0</v>
      </c>
      <c r="S114" s="778">
        <v>0</v>
      </c>
      <c r="T114" s="778">
        <v>0</v>
      </c>
      <c r="U114" s="804">
        <v>0</v>
      </c>
      <c r="V114" s="772">
        <v>0</v>
      </c>
      <c r="W114" s="783">
        <v>0</v>
      </c>
      <c r="X114" s="803">
        <v>0</v>
      </c>
      <c r="Y114" s="778">
        <v>0</v>
      </c>
      <c r="Z114" s="802">
        <v>0</v>
      </c>
      <c r="AA114" s="803">
        <v>0</v>
      </c>
      <c r="AB114" s="803">
        <v>0</v>
      </c>
      <c r="AC114" s="778">
        <v>0</v>
      </c>
      <c r="AD114" s="782">
        <v>0</v>
      </c>
      <c r="AE114" s="803">
        <v>1.6E-2</v>
      </c>
      <c r="AF114" s="771">
        <f t="shared" si="11"/>
        <v>1.6E-2</v>
      </c>
      <c r="AG114" s="805">
        <f t="shared" si="8"/>
        <v>1.6E-2</v>
      </c>
      <c r="AH114" s="135">
        <f t="shared" si="9"/>
        <v>0</v>
      </c>
      <c r="AI114" s="132" t="str">
        <f t="shared" si="10"/>
        <v xml:space="preserve"> </v>
      </c>
      <c r="AS114" s="139" t="s">
        <v>1086</v>
      </c>
      <c r="AT114" s="139" t="s">
        <v>1087</v>
      </c>
      <c r="DS114" s="304"/>
      <c r="DT114" s="304"/>
      <c r="DU114" s="647" t="s">
        <v>571</v>
      </c>
      <c r="DV114" s="647" t="s">
        <v>1134</v>
      </c>
      <c r="DW114" s="647" t="s">
        <v>1134</v>
      </c>
      <c r="DX114" s="647" t="s">
        <v>1134</v>
      </c>
      <c r="DY114" s="647" t="s">
        <v>1134</v>
      </c>
      <c r="DZ114" s="647" t="s">
        <v>1134</v>
      </c>
      <c r="EA114" s="647" t="s">
        <v>1086</v>
      </c>
      <c r="EB114" s="647" t="s">
        <v>1135</v>
      </c>
      <c r="EC114" s="647" t="s">
        <v>1134</v>
      </c>
      <c r="ED114" s="647" t="s">
        <v>1136</v>
      </c>
    </row>
    <row r="115" spans="1:134" x14ac:dyDescent="0.2">
      <c r="A115" s="749" t="s">
        <v>48</v>
      </c>
      <c r="B115" s="145">
        <v>108</v>
      </c>
      <c r="C115" s="770">
        <v>0</v>
      </c>
      <c r="D115" s="770">
        <v>0</v>
      </c>
      <c r="E115" s="770">
        <v>0</v>
      </c>
      <c r="F115" s="770">
        <v>0</v>
      </c>
      <c r="G115" s="770">
        <v>0</v>
      </c>
      <c r="H115" s="786">
        <f t="shared" si="12"/>
        <v>0</v>
      </c>
      <c r="I115" s="776">
        <v>0</v>
      </c>
      <c r="J115" s="776">
        <v>0</v>
      </c>
      <c r="K115" s="801">
        <v>0</v>
      </c>
      <c r="L115" s="802">
        <v>0</v>
      </c>
      <c r="M115" s="803">
        <v>0</v>
      </c>
      <c r="N115" s="777">
        <v>0</v>
      </c>
      <c r="O115" s="776">
        <v>0</v>
      </c>
      <c r="P115" s="803">
        <v>0</v>
      </c>
      <c r="Q115" s="781">
        <v>0</v>
      </c>
      <c r="R115" s="803">
        <v>0</v>
      </c>
      <c r="S115" s="778">
        <v>0</v>
      </c>
      <c r="T115" s="778">
        <v>0</v>
      </c>
      <c r="U115" s="804">
        <v>0</v>
      </c>
      <c r="V115" s="772">
        <v>0</v>
      </c>
      <c r="W115" s="783">
        <v>0</v>
      </c>
      <c r="X115" s="803">
        <v>0</v>
      </c>
      <c r="Y115" s="778">
        <v>0</v>
      </c>
      <c r="Z115" s="802">
        <v>0</v>
      </c>
      <c r="AA115" s="803">
        <v>0</v>
      </c>
      <c r="AB115" s="803">
        <v>0</v>
      </c>
      <c r="AC115" s="778">
        <v>0</v>
      </c>
      <c r="AD115" s="782">
        <v>0</v>
      </c>
      <c r="AE115" s="803">
        <v>5.0000000000000001E-3</v>
      </c>
      <c r="AF115" s="771">
        <f t="shared" si="11"/>
        <v>5.0000000000000001E-3</v>
      </c>
      <c r="AG115" s="805">
        <f t="shared" si="8"/>
        <v>5.0000000000000001E-3</v>
      </c>
      <c r="AH115" s="135">
        <f t="shared" si="9"/>
        <v>0</v>
      </c>
      <c r="AI115" s="132" t="str">
        <f t="shared" si="10"/>
        <v xml:space="preserve"> </v>
      </c>
      <c r="AS115" s="139" t="s">
        <v>269</v>
      </c>
      <c r="AT115" s="139" t="s">
        <v>269</v>
      </c>
      <c r="DS115" s="304"/>
      <c r="DT115" s="304"/>
      <c r="DU115" s="647" t="s">
        <v>571</v>
      </c>
      <c r="DV115" s="647" t="s">
        <v>1134</v>
      </c>
      <c r="DW115" s="647" t="s">
        <v>1134</v>
      </c>
      <c r="DX115" s="647" t="s">
        <v>1134</v>
      </c>
      <c r="DY115" s="647" t="s">
        <v>1134</v>
      </c>
      <c r="DZ115" s="647" t="s">
        <v>1134</v>
      </c>
      <c r="EA115" s="647" t="s">
        <v>269</v>
      </c>
      <c r="EB115" s="647" t="s">
        <v>1135</v>
      </c>
      <c r="EC115" s="647" t="s">
        <v>1134</v>
      </c>
      <c r="ED115" s="647" t="s">
        <v>1136</v>
      </c>
    </row>
    <row r="116" spans="1:134" x14ac:dyDescent="0.2">
      <c r="A116" s="749" t="s">
        <v>1362</v>
      </c>
      <c r="B116" s="145">
        <v>109</v>
      </c>
      <c r="C116" s="770">
        <v>0</v>
      </c>
      <c r="D116" s="770">
        <v>0</v>
      </c>
      <c r="E116" s="770">
        <v>0</v>
      </c>
      <c r="F116" s="770">
        <v>0</v>
      </c>
      <c r="G116" s="770">
        <v>0</v>
      </c>
      <c r="H116" s="786">
        <f t="shared" si="12"/>
        <v>0</v>
      </c>
      <c r="I116" s="776">
        <v>0</v>
      </c>
      <c r="J116" s="776">
        <v>0</v>
      </c>
      <c r="K116" s="801">
        <v>0</v>
      </c>
      <c r="L116" s="802">
        <v>0</v>
      </c>
      <c r="M116" s="803">
        <v>0</v>
      </c>
      <c r="N116" s="777">
        <v>0</v>
      </c>
      <c r="O116" s="776">
        <v>0</v>
      </c>
      <c r="P116" s="803">
        <v>0</v>
      </c>
      <c r="Q116" s="781">
        <v>0</v>
      </c>
      <c r="R116" s="803">
        <v>0</v>
      </c>
      <c r="S116" s="778">
        <v>0</v>
      </c>
      <c r="T116" s="778">
        <v>0</v>
      </c>
      <c r="U116" s="804">
        <v>0</v>
      </c>
      <c r="V116" s="772">
        <v>0</v>
      </c>
      <c r="W116" s="783">
        <v>0</v>
      </c>
      <c r="X116" s="803">
        <v>0</v>
      </c>
      <c r="Y116" s="778">
        <v>0</v>
      </c>
      <c r="Z116" s="802">
        <v>0</v>
      </c>
      <c r="AA116" s="803">
        <v>0</v>
      </c>
      <c r="AB116" s="803">
        <v>0</v>
      </c>
      <c r="AC116" s="778">
        <v>0</v>
      </c>
      <c r="AD116" s="782">
        <v>0</v>
      </c>
      <c r="AE116" s="803">
        <v>0</v>
      </c>
      <c r="AF116" s="771">
        <f t="shared" si="11"/>
        <v>0</v>
      </c>
      <c r="AG116" s="805">
        <f t="shared" si="8"/>
        <v>0</v>
      </c>
      <c r="AH116" s="135">
        <f t="shared" si="9"/>
        <v>0</v>
      </c>
      <c r="AI116" s="132" t="str">
        <f t="shared" si="10"/>
        <v xml:space="preserve"> </v>
      </c>
      <c r="AS116" s="130" t="s">
        <v>1363</v>
      </c>
      <c r="AT116" s="130" t="s">
        <v>1364</v>
      </c>
      <c r="DS116" s="304"/>
      <c r="DT116" s="304"/>
      <c r="DU116" s="647" t="s">
        <v>571</v>
      </c>
      <c r="DV116" s="647" t="s">
        <v>1134</v>
      </c>
      <c r="DW116" s="647" t="s">
        <v>1134</v>
      </c>
      <c r="DX116" s="647" t="s">
        <v>1134</v>
      </c>
      <c r="DY116" s="647" t="s">
        <v>1134</v>
      </c>
      <c r="DZ116" s="647" t="s">
        <v>1134</v>
      </c>
      <c r="EA116" s="647" t="s">
        <v>1363</v>
      </c>
      <c r="EB116" s="647" t="s">
        <v>1135</v>
      </c>
      <c r="EC116" s="647" t="s">
        <v>1134</v>
      </c>
      <c r="ED116" s="647" t="s">
        <v>1136</v>
      </c>
    </row>
    <row r="117" spans="1:134" x14ac:dyDescent="0.2">
      <c r="A117" s="749" t="s">
        <v>49</v>
      </c>
      <c r="B117" s="145">
        <v>110</v>
      </c>
      <c r="C117" s="770">
        <v>0</v>
      </c>
      <c r="D117" s="770">
        <v>0</v>
      </c>
      <c r="E117" s="770">
        <v>0</v>
      </c>
      <c r="F117" s="770">
        <v>1.736</v>
      </c>
      <c r="G117" s="770">
        <v>0</v>
      </c>
      <c r="H117" s="786">
        <f t="shared" si="12"/>
        <v>1.736</v>
      </c>
      <c r="I117" s="776">
        <v>0</v>
      </c>
      <c r="J117" s="776">
        <v>0</v>
      </c>
      <c r="K117" s="801">
        <v>6.4000000000000001E-2</v>
      </c>
      <c r="L117" s="802">
        <v>9.9000000000000005E-2</v>
      </c>
      <c r="M117" s="803">
        <v>0</v>
      </c>
      <c r="N117" s="777">
        <v>9.9000000000000005E-2</v>
      </c>
      <c r="O117" s="776">
        <v>0</v>
      </c>
      <c r="P117" s="803">
        <v>0</v>
      </c>
      <c r="Q117" s="781">
        <v>0</v>
      </c>
      <c r="R117" s="803">
        <v>0</v>
      </c>
      <c r="S117" s="778">
        <v>0</v>
      </c>
      <c r="T117" s="778">
        <v>0</v>
      </c>
      <c r="U117" s="804">
        <v>0</v>
      </c>
      <c r="V117" s="772">
        <v>0</v>
      </c>
      <c r="W117" s="783">
        <v>0</v>
      </c>
      <c r="X117" s="803">
        <v>0</v>
      </c>
      <c r="Y117" s="778">
        <v>0</v>
      </c>
      <c r="Z117" s="802">
        <v>0</v>
      </c>
      <c r="AA117" s="803">
        <v>0</v>
      </c>
      <c r="AB117" s="803">
        <v>0</v>
      </c>
      <c r="AC117" s="778">
        <v>0</v>
      </c>
      <c r="AD117" s="782">
        <v>0</v>
      </c>
      <c r="AE117" s="803">
        <v>9.0990000000000002</v>
      </c>
      <c r="AF117" s="771">
        <f t="shared" si="11"/>
        <v>9.2620000000000005</v>
      </c>
      <c r="AG117" s="805">
        <f t="shared" si="8"/>
        <v>10.997999999999999</v>
      </c>
      <c r="AH117" s="135">
        <f t="shared" si="9"/>
        <v>0</v>
      </c>
      <c r="AI117" s="132" t="str">
        <f t="shared" si="10"/>
        <v xml:space="preserve"> </v>
      </c>
      <c r="AS117" s="139" t="s">
        <v>471</v>
      </c>
      <c r="AT117" s="139" t="s">
        <v>472</v>
      </c>
      <c r="DS117" s="304"/>
      <c r="DT117" s="304"/>
      <c r="DU117" s="647" t="s">
        <v>571</v>
      </c>
      <c r="DV117" s="647" t="s">
        <v>1134</v>
      </c>
      <c r="DW117" s="647" t="s">
        <v>1134</v>
      </c>
      <c r="DX117" s="647" t="s">
        <v>1134</v>
      </c>
      <c r="DY117" s="647" t="s">
        <v>1134</v>
      </c>
      <c r="DZ117" s="647" t="s">
        <v>1134</v>
      </c>
      <c r="EA117" s="647" t="s">
        <v>471</v>
      </c>
      <c r="EB117" s="647" t="s">
        <v>1135</v>
      </c>
      <c r="EC117" s="647" t="s">
        <v>1134</v>
      </c>
      <c r="ED117" s="647" t="s">
        <v>1136</v>
      </c>
    </row>
    <row r="118" spans="1:134" x14ac:dyDescent="0.2">
      <c r="A118" s="751" t="s">
        <v>1365</v>
      </c>
      <c r="B118" s="145">
        <v>111</v>
      </c>
      <c r="C118" s="770">
        <v>0</v>
      </c>
      <c r="D118" s="770">
        <v>0</v>
      </c>
      <c r="E118" s="770">
        <v>0</v>
      </c>
      <c r="F118" s="770">
        <v>0</v>
      </c>
      <c r="G118" s="770">
        <v>0</v>
      </c>
      <c r="H118" s="786">
        <f t="shared" si="12"/>
        <v>0</v>
      </c>
      <c r="I118" s="776">
        <v>0</v>
      </c>
      <c r="J118" s="776">
        <v>0</v>
      </c>
      <c r="K118" s="801">
        <v>0</v>
      </c>
      <c r="L118" s="802">
        <v>0</v>
      </c>
      <c r="M118" s="803">
        <v>0</v>
      </c>
      <c r="N118" s="777">
        <v>0</v>
      </c>
      <c r="O118" s="776">
        <v>0</v>
      </c>
      <c r="P118" s="803">
        <v>0</v>
      </c>
      <c r="Q118" s="781">
        <v>0</v>
      </c>
      <c r="R118" s="803">
        <v>0</v>
      </c>
      <c r="S118" s="778">
        <v>0</v>
      </c>
      <c r="T118" s="778">
        <v>0</v>
      </c>
      <c r="U118" s="804">
        <v>0</v>
      </c>
      <c r="V118" s="772">
        <v>0</v>
      </c>
      <c r="W118" s="783">
        <v>0</v>
      </c>
      <c r="X118" s="803">
        <v>0</v>
      </c>
      <c r="Y118" s="778">
        <v>0</v>
      </c>
      <c r="Z118" s="802">
        <v>0</v>
      </c>
      <c r="AA118" s="803">
        <v>0</v>
      </c>
      <c r="AB118" s="803">
        <v>0</v>
      </c>
      <c r="AC118" s="778">
        <v>0</v>
      </c>
      <c r="AD118" s="782">
        <v>0</v>
      </c>
      <c r="AE118" s="803">
        <v>3.7999999999999999E-2</v>
      </c>
      <c r="AF118" s="771">
        <f t="shared" si="11"/>
        <v>3.7999999999999999E-2</v>
      </c>
      <c r="AG118" s="805">
        <f t="shared" si="8"/>
        <v>3.7999999999999999E-2</v>
      </c>
      <c r="AH118" s="135">
        <f t="shared" si="9"/>
        <v>0</v>
      </c>
      <c r="AI118" s="132" t="str">
        <f t="shared" si="10"/>
        <v xml:space="preserve"> </v>
      </c>
      <c r="AS118" s="139" t="s">
        <v>541</v>
      </c>
      <c r="AT118" s="1086" t="s">
        <v>1402</v>
      </c>
      <c r="DS118" s="304"/>
      <c r="DT118" s="304"/>
      <c r="DU118" s="647" t="s">
        <v>571</v>
      </c>
      <c r="DV118" s="647" t="s">
        <v>1134</v>
      </c>
      <c r="DW118" s="647" t="s">
        <v>1134</v>
      </c>
      <c r="DX118" s="647" t="s">
        <v>1134</v>
      </c>
      <c r="DY118" s="647" t="s">
        <v>1134</v>
      </c>
      <c r="DZ118" s="647" t="s">
        <v>1134</v>
      </c>
      <c r="EA118" s="647" t="s">
        <v>541</v>
      </c>
      <c r="EB118" s="647" t="s">
        <v>1135</v>
      </c>
      <c r="EC118" s="647" t="s">
        <v>1134</v>
      </c>
      <c r="ED118" s="647" t="s">
        <v>1136</v>
      </c>
    </row>
    <row r="119" spans="1:134" x14ac:dyDescent="0.2">
      <c r="A119" s="749" t="s">
        <v>50</v>
      </c>
      <c r="B119" s="145">
        <v>112</v>
      </c>
      <c r="C119" s="770">
        <v>0</v>
      </c>
      <c r="D119" s="770">
        <v>0</v>
      </c>
      <c r="E119" s="770">
        <v>0</v>
      </c>
      <c r="F119" s="770">
        <v>3.9E-2</v>
      </c>
      <c r="G119" s="770">
        <v>0</v>
      </c>
      <c r="H119" s="786">
        <f t="shared" si="12"/>
        <v>3.9E-2</v>
      </c>
      <c r="I119" s="776">
        <v>0</v>
      </c>
      <c r="J119" s="776">
        <v>6.0000000000000001E-3</v>
      </c>
      <c r="K119" s="801">
        <v>3.5999999999999997E-2</v>
      </c>
      <c r="L119" s="802">
        <v>5.5E-2</v>
      </c>
      <c r="M119" s="803">
        <v>0</v>
      </c>
      <c r="N119" s="777">
        <v>5.5E-2</v>
      </c>
      <c r="O119" s="776">
        <v>0</v>
      </c>
      <c r="P119" s="803">
        <v>0</v>
      </c>
      <c r="Q119" s="781">
        <v>42.478999999999999</v>
      </c>
      <c r="R119" s="803">
        <v>0</v>
      </c>
      <c r="S119" s="778">
        <v>42.478999999999999</v>
      </c>
      <c r="T119" s="778">
        <v>3.7290000000000001</v>
      </c>
      <c r="U119" s="804">
        <v>17.652000000000001</v>
      </c>
      <c r="V119" s="772">
        <v>5.8710000000000004</v>
      </c>
      <c r="W119" s="783">
        <v>23.523</v>
      </c>
      <c r="X119" s="803">
        <v>0</v>
      </c>
      <c r="Y119" s="778">
        <v>23.523</v>
      </c>
      <c r="Z119" s="802">
        <v>82.411000000000001</v>
      </c>
      <c r="AA119" s="803">
        <v>52.777000000000001</v>
      </c>
      <c r="AB119" s="803">
        <v>0</v>
      </c>
      <c r="AC119" s="778">
        <v>29.634</v>
      </c>
      <c r="AD119" s="782">
        <v>1.623</v>
      </c>
      <c r="AE119" s="803">
        <v>25.324000000000002</v>
      </c>
      <c r="AF119" s="771">
        <f t="shared" si="11"/>
        <v>179.18600000000001</v>
      </c>
      <c r="AG119" s="805">
        <f t="shared" si="8"/>
        <v>179.22499999999999</v>
      </c>
      <c r="AH119" s="135">
        <f t="shared" si="9"/>
        <v>0</v>
      </c>
      <c r="AI119" s="132" t="str">
        <f t="shared" si="10"/>
        <v xml:space="preserve"> </v>
      </c>
      <c r="AS119" s="139" t="s">
        <v>271</v>
      </c>
      <c r="AT119" s="139" t="s">
        <v>270</v>
      </c>
      <c r="DS119" s="304"/>
      <c r="DT119" s="304"/>
      <c r="DU119" s="647" t="s">
        <v>571</v>
      </c>
      <c r="DV119" s="647" t="s">
        <v>1134</v>
      </c>
      <c r="DW119" s="647" t="s">
        <v>1134</v>
      </c>
      <c r="DX119" s="647" t="s">
        <v>1134</v>
      </c>
      <c r="DY119" s="647" t="s">
        <v>1134</v>
      </c>
      <c r="DZ119" s="647" t="s">
        <v>1134</v>
      </c>
      <c r="EA119" s="647" t="s">
        <v>271</v>
      </c>
      <c r="EB119" s="647" t="s">
        <v>1135</v>
      </c>
      <c r="EC119" s="647" t="s">
        <v>1134</v>
      </c>
      <c r="ED119" s="647" t="s">
        <v>1136</v>
      </c>
    </row>
    <row r="120" spans="1:134" x14ac:dyDescent="0.2">
      <c r="A120" s="749" t="s">
        <v>51</v>
      </c>
      <c r="B120" s="145">
        <v>113</v>
      </c>
      <c r="C120" s="770">
        <v>0</v>
      </c>
      <c r="D120" s="770">
        <v>0</v>
      </c>
      <c r="E120" s="770">
        <v>0</v>
      </c>
      <c r="F120" s="770">
        <v>0</v>
      </c>
      <c r="G120" s="770">
        <v>0</v>
      </c>
      <c r="H120" s="786">
        <f t="shared" si="12"/>
        <v>0</v>
      </c>
      <c r="I120" s="776">
        <v>0</v>
      </c>
      <c r="J120" s="776">
        <v>0</v>
      </c>
      <c r="K120" s="801">
        <v>0</v>
      </c>
      <c r="L120" s="802">
        <v>0</v>
      </c>
      <c r="M120" s="803">
        <v>0</v>
      </c>
      <c r="N120" s="777">
        <v>0</v>
      </c>
      <c r="O120" s="776">
        <v>0.112</v>
      </c>
      <c r="P120" s="803">
        <v>0</v>
      </c>
      <c r="Q120" s="781">
        <v>0</v>
      </c>
      <c r="R120" s="803">
        <v>0</v>
      </c>
      <c r="S120" s="778">
        <v>0</v>
      </c>
      <c r="T120" s="778">
        <v>0</v>
      </c>
      <c r="U120" s="804">
        <v>0</v>
      </c>
      <c r="V120" s="772">
        <v>0</v>
      </c>
      <c r="W120" s="783">
        <v>0</v>
      </c>
      <c r="X120" s="803">
        <v>0</v>
      </c>
      <c r="Y120" s="778">
        <v>0</v>
      </c>
      <c r="Z120" s="802">
        <v>0</v>
      </c>
      <c r="AA120" s="803">
        <v>0</v>
      </c>
      <c r="AB120" s="803">
        <v>0</v>
      </c>
      <c r="AC120" s="778">
        <v>0</v>
      </c>
      <c r="AD120" s="782">
        <v>0</v>
      </c>
      <c r="AE120" s="803">
        <v>0</v>
      </c>
      <c r="AF120" s="771">
        <f t="shared" si="11"/>
        <v>0.112</v>
      </c>
      <c r="AG120" s="805">
        <f t="shared" si="8"/>
        <v>0.112</v>
      </c>
      <c r="AH120" s="135">
        <f t="shared" si="9"/>
        <v>0</v>
      </c>
      <c r="AI120" s="132" t="str">
        <f t="shared" si="10"/>
        <v xml:space="preserve"> </v>
      </c>
      <c r="AS120" s="139" t="s">
        <v>473</v>
      </c>
      <c r="AT120" s="139" t="s">
        <v>474</v>
      </c>
      <c r="DS120" s="304"/>
      <c r="DT120" s="304"/>
      <c r="DU120" s="647" t="s">
        <v>571</v>
      </c>
      <c r="DV120" s="647" t="s">
        <v>1134</v>
      </c>
      <c r="DW120" s="647" t="s">
        <v>1134</v>
      </c>
      <c r="DX120" s="647" t="s">
        <v>1134</v>
      </c>
      <c r="DY120" s="647" t="s">
        <v>1134</v>
      </c>
      <c r="DZ120" s="647" t="s">
        <v>1134</v>
      </c>
      <c r="EA120" s="647" t="s">
        <v>473</v>
      </c>
      <c r="EB120" s="647" t="s">
        <v>1135</v>
      </c>
      <c r="EC120" s="647" t="s">
        <v>1134</v>
      </c>
      <c r="ED120" s="647" t="s">
        <v>1136</v>
      </c>
    </row>
    <row r="121" spans="1:134" x14ac:dyDescent="0.2">
      <c r="A121" s="749" t="s">
        <v>52</v>
      </c>
      <c r="B121" s="145">
        <v>114</v>
      </c>
      <c r="C121" s="770">
        <v>0</v>
      </c>
      <c r="D121" s="770">
        <v>0</v>
      </c>
      <c r="E121" s="770">
        <v>0</v>
      </c>
      <c r="F121" s="770">
        <v>0</v>
      </c>
      <c r="G121" s="770">
        <v>0</v>
      </c>
      <c r="H121" s="786">
        <f t="shared" si="12"/>
        <v>0</v>
      </c>
      <c r="I121" s="776">
        <v>0</v>
      </c>
      <c r="J121" s="776">
        <v>0</v>
      </c>
      <c r="K121" s="801">
        <v>0</v>
      </c>
      <c r="L121" s="802">
        <v>0</v>
      </c>
      <c r="M121" s="803">
        <v>0</v>
      </c>
      <c r="N121" s="777">
        <v>0</v>
      </c>
      <c r="O121" s="776">
        <v>0</v>
      </c>
      <c r="P121" s="803">
        <v>0</v>
      </c>
      <c r="Q121" s="781">
        <v>0</v>
      </c>
      <c r="R121" s="803">
        <v>0</v>
      </c>
      <c r="S121" s="778">
        <v>0</v>
      </c>
      <c r="T121" s="778">
        <v>0</v>
      </c>
      <c r="U121" s="804">
        <v>0</v>
      </c>
      <c r="V121" s="772">
        <v>0</v>
      </c>
      <c r="W121" s="783">
        <v>0</v>
      </c>
      <c r="X121" s="803">
        <v>0</v>
      </c>
      <c r="Y121" s="778">
        <v>0</v>
      </c>
      <c r="Z121" s="802">
        <v>0</v>
      </c>
      <c r="AA121" s="803">
        <v>0</v>
      </c>
      <c r="AB121" s="803">
        <v>0</v>
      </c>
      <c r="AC121" s="778">
        <v>0</v>
      </c>
      <c r="AD121" s="782">
        <v>0</v>
      </c>
      <c r="AE121" s="803">
        <v>0.20100000000000001</v>
      </c>
      <c r="AF121" s="771">
        <f t="shared" si="11"/>
        <v>0.20100000000000001</v>
      </c>
      <c r="AG121" s="805">
        <f t="shared" si="8"/>
        <v>0.20100000000000001</v>
      </c>
      <c r="AH121" s="135">
        <f t="shared" si="9"/>
        <v>0</v>
      </c>
      <c r="AI121" s="132" t="str">
        <f t="shared" si="10"/>
        <v xml:space="preserve"> </v>
      </c>
      <c r="AS121" s="143" t="s">
        <v>475</v>
      </c>
      <c r="AT121" s="143" t="s">
        <v>476</v>
      </c>
      <c r="DS121" s="304"/>
      <c r="DT121" s="304"/>
      <c r="DU121" s="647" t="s">
        <v>571</v>
      </c>
      <c r="DV121" s="647" t="s">
        <v>1134</v>
      </c>
      <c r="DW121" s="647" t="s">
        <v>1134</v>
      </c>
      <c r="DX121" s="647" t="s">
        <v>1134</v>
      </c>
      <c r="DY121" s="647" t="s">
        <v>1134</v>
      </c>
      <c r="DZ121" s="647" t="s">
        <v>1134</v>
      </c>
      <c r="EA121" s="647" t="s">
        <v>1179</v>
      </c>
      <c r="EB121" s="647" t="s">
        <v>1135</v>
      </c>
      <c r="EC121" s="647" t="s">
        <v>1134</v>
      </c>
      <c r="ED121" s="647" t="s">
        <v>1136</v>
      </c>
    </row>
    <row r="122" spans="1:134" x14ac:dyDescent="0.2">
      <c r="A122" s="749" t="s">
        <v>997</v>
      </c>
      <c r="B122" s="145">
        <v>115</v>
      </c>
      <c r="C122" s="770">
        <v>0</v>
      </c>
      <c r="D122" s="770">
        <v>0</v>
      </c>
      <c r="E122" s="770">
        <v>0</v>
      </c>
      <c r="F122" s="770">
        <v>0</v>
      </c>
      <c r="G122" s="770">
        <v>0</v>
      </c>
      <c r="H122" s="786">
        <f t="shared" si="12"/>
        <v>0</v>
      </c>
      <c r="I122" s="776">
        <v>0</v>
      </c>
      <c r="J122" s="776">
        <v>0</v>
      </c>
      <c r="K122" s="801">
        <v>0</v>
      </c>
      <c r="L122" s="802">
        <v>0</v>
      </c>
      <c r="M122" s="803">
        <v>0</v>
      </c>
      <c r="N122" s="777">
        <v>0</v>
      </c>
      <c r="O122" s="776">
        <v>0</v>
      </c>
      <c r="P122" s="803">
        <v>0</v>
      </c>
      <c r="Q122" s="781">
        <v>0</v>
      </c>
      <c r="R122" s="803">
        <v>0</v>
      </c>
      <c r="S122" s="778">
        <v>0</v>
      </c>
      <c r="T122" s="778">
        <v>0</v>
      </c>
      <c r="U122" s="804">
        <v>0</v>
      </c>
      <c r="V122" s="772">
        <v>0</v>
      </c>
      <c r="W122" s="783">
        <v>0</v>
      </c>
      <c r="X122" s="803">
        <v>0</v>
      </c>
      <c r="Y122" s="778">
        <v>0</v>
      </c>
      <c r="Z122" s="802">
        <v>0</v>
      </c>
      <c r="AA122" s="803">
        <v>0</v>
      </c>
      <c r="AB122" s="803">
        <v>0</v>
      </c>
      <c r="AC122" s="778">
        <v>0</v>
      </c>
      <c r="AD122" s="782">
        <v>0</v>
      </c>
      <c r="AE122" s="803">
        <v>2E-3</v>
      </c>
      <c r="AF122" s="771">
        <f t="shared" si="11"/>
        <v>2E-3</v>
      </c>
      <c r="AG122" s="805">
        <f t="shared" si="8"/>
        <v>2E-3</v>
      </c>
      <c r="AH122" s="135">
        <f t="shared" si="9"/>
        <v>0</v>
      </c>
      <c r="AI122" s="132" t="str">
        <f t="shared" si="10"/>
        <v xml:space="preserve"> </v>
      </c>
      <c r="AS122" s="143" t="s">
        <v>603</v>
      </c>
      <c r="AT122" s="143" t="s">
        <v>478</v>
      </c>
      <c r="DS122" s="304"/>
      <c r="DT122" s="304"/>
      <c r="DU122" s="647" t="s">
        <v>571</v>
      </c>
      <c r="DV122" s="647" t="s">
        <v>1134</v>
      </c>
      <c r="DW122" s="647" t="s">
        <v>1134</v>
      </c>
      <c r="DX122" s="647" t="s">
        <v>1134</v>
      </c>
      <c r="DY122" s="647" t="s">
        <v>1134</v>
      </c>
      <c r="DZ122" s="647" t="s">
        <v>1134</v>
      </c>
      <c r="EA122" s="647" t="s">
        <v>1180</v>
      </c>
      <c r="EB122" s="647" t="s">
        <v>1135</v>
      </c>
      <c r="EC122" s="647" t="s">
        <v>1134</v>
      </c>
      <c r="ED122" s="647" t="s">
        <v>1136</v>
      </c>
    </row>
    <row r="123" spans="1:134" x14ac:dyDescent="0.2">
      <c r="A123" s="749" t="s">
        <v>53</v>
      </c>
      <c r="B123" s="145">
        <v>116</v>
      </c>
      <c r="C123" s="770">
        <v>0</v>
      </c>
      <c r="D123" s="770">
        <v>0</v>
      </c>
      <c r="E123" s="770">
        <v>0</v>
      </c>
      <c r="F123" s="770">
        <v>0</v>
      </c>
      <c r="G123" s="770">
        <v>0</v>
      </c>
      <c r="H123" s="786">
        <f t="shared" si="12"/>
        <v>0</v>
      </c>
      <c r="I123" s="776">
        <v>0</v>
      </c>
      <c r="J123" s="776">
        <v>0</v>
      </c>
      <c r="K123" s="801">
        <v>0</v>
      </c>
      <c r="L123" s="802">
        <v>0</v>
      </c>
      <c r="M123" s="803">
        <v>0</v>
      </c>
      <c r="N123" s="777">
        <v>0</v>
      </c>
      <c r="O123" s="776">
        <v>0</v>
      </c>
      <c r="P123" s="803">
        <v>0</v>
      </c>
      <c r="Q123" s="781">
        <v>0</v>
      </c>
      <c r="R123" s="803">
        <v>0</v>
      </c>
      <c r="S123" s="778">
        <v>0</v>
      </c>
      <c r="T123" s="778">
        <v>0</v>
      </c>
      <c r="U123" s="804">
        <v>0</v>
      </c>
      <c r="V123" s="772">
        <v>0</v>
      </c>
      <c r="W123" s="783">
        <v>0</v>
      </c>
      <c r="X123" s="803">
        <v>0</v>
      </c>
      <c r="Y123" s="778">
        <v>0</v>
      </c>
      <c r="Z123" s="802">
        <v>0</v>
      </c>
      <c r="AA123" s="803">
        <v>0</v>
      </c>
      <c r="AB123" s="803">
        <v>0</v>
      </c>
      <c r="AC123" s="778">
        <v>0</v>
      </c>
      <c r="AD123" s="782">
        <v>0</v>
      </c>
      <c r="AE123" s="803">
        <v>6.5000000000000002E-2</v>
      </c>
      <c r="AF123" s="771">
        <f t="shared" si="11"/>
        <v>6.5000000000000002E-2</v>
      </c>
      <c r="AG123" s="805">
        <f t="shared" si="8"/>
        <v>6.5000000000000002E-2</v>
      </c>
      <c r="AH123" s="135">
        <f t="shared" si="9"/>
        <v>0</v>
      </c>
      <c r="AI123" s="132" t="str">
        <f t="shared" si="10"/>
        <v xml:space="preserve"> </v>
      </c>
      <c r="AS123" s="143" t="s">
        <v>480</v>
      </c>
      <c r="AT123" s="144" t="s">
        <v>477</v>
      </c>
      <c r="DS123" s="304"/>
      <c r="DT123" s="304"/>
      <c r="DU123" s="647" t="s">
        <v>571</v>
      </c>
      <c r="DV123" s="647" t="s">
        <v>1134</v>
      </c>
      <c r="DW123" s="647" t="s">
        <v>1134</v>
      </c>
      <c r="DX123" s="647" t="s">
        <v>1134</v>
      </c>
      <c r="DY123" s="647" t="s">
        <v>1134</v>
      </c>
      <c r="DZ123" s="647" t="s">
        <v>1134</v>
      </c>
      <c r="EA123" s="647" t="s">
        <v>1181</v>
      </c>
      <c r="EB123" s="647" t="s">
        <v>1135</v>
      </c>
      <c r="EC123" s="647" t="s">
        <v>1134</v>
      </c>
      <c r="ED123" s="647" t="s">
        <v>1136</v>
      </c>
    </row>
    <row r="124" spans="1:134" x14ac:dyDescent="0.2">
      <c r="A124" s="749" t="s">
        <v>614</v>
      </c>
      <c r="B124" s="145">
        <v>117</v>
      </c>
      <c r="C124" s="770">
        <v>0</v>
      </c>
      <c r="D124" s="770">
        <v>0</v>
      </c>
      <c r="E124" s="770">
        <v>0</v>
      </c>
      <c r="F124" s="770">
        <v>0</v>
      </c>
      <c r="G124" s="770">
        <v>0</v>
      </c>
      <c r="H124" s="786">
        <f t="shared" si="12"/>
        <v>0</v>
      </c>
      <c r="I124" s="776">
        <v>0</v>
      </c>
      <c r="J124" s="776">
        <v>0</v>
      </c>
      <c r="K124" s="801">
        <v>0</v>
      </c>
      <c r="L124" s="802">
        <v>0</v>
      </c>
      <c r="M124" s="803">
        <v>0</v>
      </c>
      <c r="N124" s="777">
        <v>0</v>
      </c>
      <c r="O124" s="776">
        <v>0</v>
      </c>
      <c r="P124" s="803">
        <v>0</v>
      </c>
      <c r="Q124" s="781">
        <v>0</v>
      </c>
      <c r="R124" s="803">
        <v>0</v>
      </c>
      <c r="S124" s="778">
        <v>0</v>
      </c>
      <c r="T124" s="778">
        <v>0</v>
      </c>
      <c r="U124" s="804">
        <v>0</v>
      </c>
      <c r="V124" s="772">
        <v>0</v>
      </c>
      <c r="W124" s="783">
        <v>0</v>
      </c>
      <c r="X124" s="803">
        <v>0</v>
      </c>
      <c r="Y124" s="778">
        <v>0</v>
      </c>
      <c r="Z124" s="802">
        <v>0</v>
      </c>
      <c r="AA124" s="803">
        <v>0</v>
      </c>
      <c r="AB124" s="803">
        <v>0</v>
      </c>
      <c r="AC124" s="778">
        <v>0</v>
      </c>
      <c r="AD124" s="782">
        <v>0</v>
      </c>
      <c r="AE124" s="803">
        <v>0</v>
      </c>
      <c r="AF124" s="771">
        <f t="shared" si="11"/>
        <v>0</v>
      </c>
      <c r="AG124" s="805">
        <f t="shared" si="8"/>
        <v>0</v>
      </c>
      <c r="AH124" s="135">
        <f t="shared" si="9"/>
        <v>0</v>
      </c>
      <c r="AI124" s="132" t="str">
        <f t="shared" si="10"/>
        <v xml:space="preserve"> </v>
      </c>
      <c r="AS124" s="144" t="s">
        <v>1382</v>
      </c>
      <c r="AT124" s="1086" t="s">
        <v>1401</v>
      </c>
      <c r="DS124" s="304"/>
      <c r="DT124" s="304"/>
      <c r="DU124" s="647" t="s">
        <v>571</v>
      </c>
      <c r="DV124" s="647" t="s">
        <v>1134</v>
      </c>
      <c r="DW124" s="647" t="s">
        <v>1134</v>
      </c>
      <c r="DX124" s="647" t="s">
        <v>1134</v>
      </c>
      <c r="DY124" s="647" t="s">
        <v>1134</v>
      </c>
      <c r="DZ124" s="647" t="s">
        <v>1134</v>
      </c>
      <c r="EA124" s="647" t="s">
        <v>1182</v>
      </c>
      <c r="EB124" s="647" t="s">
        <v>1135</v>
      </c>
      <c r="EC124" s="647" t="s">
        <v>1134</v>
      </c>
      <c r="ED124" s="647" t="s">
        <v>1136</v>
      </c>
    </row>
    <row r="125" spans="1:134" x14ac:dyDescent="0.2">
      <c r="A125" s="751" t="s">
        <v>601</v>
      </c>
      <c r="B125" s="145">
        <v>118</v>
      </c>
      <c r="C125" s="770">
        <v>0</v>
      </c>
      <c r="D125" s="770">
        <v>0</v>
      </c>
      <c r="E125" s="770">
        <v>0</v>
      </c>
      <c r="F125" s="770">
        <v>0</v>
      </c>
      <c r="G125" s="770">
        <v>0</v>
      </c>
      <c r="H125" s="786">
        <f t="shared" si="12"/>
        <v>0</v>
      </c>
      <c r="I125" s="776">
        <v>0</v>
      </c>
      <c r="J125" s="776">
        <v>0</v>
      </c>
      <c r="K125" s="801">
        <v>0</v>
      </c>
      <c r="L125" s="802">
        <v>0</v>
      </c>
      <c r="M125" s="803">
        <v>0</v>
      </c>
      <c r="N125" s="777">
        <v>0</v>
      </c>
      <c r="O125" s="776">
        <v>0</v>
      </c>
      <c r="P125" s="803">
        <v>0</v>
      </c>
      <c r="Q125" s="781">
        <v>0</v>
      </c>
      <c r="R125" s="803">
        <v>0</v>
      </c>
      <c r="S125" s="778">
        <v>0</v>
      </c>
      <c r="T125" s="778">
        <v>0</v>
      </c>
      <c r="U125" s="804">
        <v>0</v>
      </c>
      <c r="V125" s="772">
        <v>0</v>
      </c>
      <c r="W125" s="783">
        <v>0</v>
      </c>
      <c r="X125" s="803">
        <v>0</v>
      </c>
      <c r="Y125" s="778">
        <v>0</v>
      </c>
      <c r="Z125" s="802">
        <v>0</v>
      </c>
      <c r="AA125" s="803">
        <v>0</v>
      </c>
      <c r="AB125" s="803">
        <v>0</v>
      </c>
      <c r="AC125" s="778">
        <v>0</v>
      </c>
      <c r="AD125" s="782">
        <v>0</v>
      </c>
      <c r="AE125" s="803">
        <v>0</v>
      </c>
      <c r="AF125" s="771">
        <f t="shared" si="11"/>
        <v>0</v>
      </c>
      <c r="AG125" s="805">
        <f t="shared" si="8"/>
        <v>0</v>
      </c>
      <c r="AH125" s="135">
        <f t="shared" si="9"/>
        <v>0</v>
      </c>
      <c r="AI125" s="132" t="str">
        <f t="shared" si="10"/>
        <v xml:space="preserve"> </v>
      </c>
      <c r="AS125" s="143" t="s">
        <v>605</v>
      </c>
      <c r="AT125" s="143" t="s">
        <v>479</v>
      </c>
      <c r="DS125" s="304"/>
      <c r="DT125" s="304"/>
      <c r="DU125" s="647" t="s">
        <v>571</v>
      </c>
      <c r="DV125" s="647" t="s">
        <v>1134</v>
      </c>
      <c r="DW125" s="647" t="s">
        <v>1134</v>
      </c>
      <c r="DX125" s="647" t="s">
        <v>1134</v>
      </c>
      <c r="DY125" s="647" t="s">
        <v>1134</v>
      </c>
      <c r="DZ125" s="647" t="s">
        <v>1134</v>
      </c>
      <c r="EA125" s="647" t="s">
        <v>1183</v>
      </c>
      <c r="EB125" s="647" t="s">
        <v>1135</v>
      </c>
      <c r="EC125" s="647" t="s">
        <v>1134</v>
      </c>
      <c r="ED125" s="647" t="s">
        <v>1136</v>
      </c>
    </row>
    <row r="126" spans="1:134" x14ac:dyDescent="0.2">
      <c r="A126" s="751" t="s">
        <v>998</v>
      </c>
      <c r="B126" s="145">
        <v>119</v>
      </c>
      <c r="C126" s="770">
        <v>0</v>
      </c>
      <c r="D126" s="770">
        <v>0</v>
      </c>
      <c r="E126" s="770">
        <v>0</v>
      </c>
      <c r="F126" s="770">
        <v>0</v>
      </c>
      <c r="G126" s="770">
        <v>0</v>
      </c>
      <c r="H126" s="786">
        <f t="shared" si="12"/>
        <v>0</v>
      </c>
      <c r="I126" s="776">
        <v>0</v>
      </c>
      <c r="J126" s="776">
        <v>0</v>
      </c>
      <c r="K126" s="801">
        <v>1.0999999999999999E-2</v>
      </c>
      <c r="L126" s="802">
        <v>1.4999999999999999E-2</v>
      </c>
      <c r="M126" s="803">
        <v>0</v>
      </c>
      <c r="N126" s="777">
        <v>1.4999999999999999E-2</v>
      </c>
      <c r="O126" s="776">
        <v>0</v>
      </c>
      <c r="P126" s="803">
        <v>0</v>
      </c>
      <c r="Q126" s="781">
        <v>0</v>
      </c>
      <c r="R126" s="803">
        <v>0</v>
      </c>
      <c r="S126" s="778">
        <v>0</v>
      </c>
      <c r="T126" s="778">
        <v>0</v>
      </c>
      <c r="U126" s="804">
        <v>0</v>
      </c>
      <c r="V126" s="772">
        <v>0</v>
      </c>
      <c r="W126" s="783">
        <v>0</v>
      </c>
      <c r="X126" s="803">
        <v>0</v>
      </c>
      <c r="Y126" s="778">
        <v>0</v>
      </c>
      <c r="Z126" s="802">
        <v>0</v>
      </c>
      <c r="AA126" s="803">
        <v>0</v>
      </c>
      <c r="AB126" s="803">
        <v>0</v>
      </c>
      <c r="AC126" s="778">
        <v>0</v>
      </c>
      <c r="AD126" s="782">
        <v>0</v>
      </c>
      <c r="AE126" s="803">
        <v>0.11700000000000001</v>
      </c>
      <c r="AF126" s="771">
        <f t="shared" si="11"/>
        <v>0.14299999999999999</v>
      </c>
      <c r="AG126" s="805">
        <f t="shared" si="8"/>
        <v>0.14299999999999999</v>
      </c>
      <c r="AH126" s="135">
        <f t="shared" si="9"/>
        <v>0</v>
      </c>
      <c r="AI126" s="132" t="str">
        <f t="shared" si="10"/>
        <v xml:space="preserve"> </v>
      </c>
      <c r="AS126" s="143" t="s">
        <v>604</v>
      </c>
      <c r="AT126" s="143" t="s">
        <v>602</v>
      </c>
      <c r="DS126" s="304"/>
      <c r="DT126" s="304"/>
      <c r="DU126" s="647" t="s">
        <v>571</v>
      </c>
      <c r="DV126" s="647" t="s">
        <v>1134</v>
      </c>
      <c r="DW126" s="647" t="s">
        <v>1134</v>
      </c>
      <c r="DX126" s="647" t="s">
        <v>1134</v>
      </c>
      <c r="DY126" s="647" t="s">
        <v>1134</v>
      </c>
      <c r="DZ126" s="647" t="s">
        <v>1134</v>
      </c>
      <c r="EA126" s="647" t="s">
        <v>1184</v>
      </c>
      <c r="EB126" s="647" t="s">
        <v>1135</v>
      </c>
      <c r="EC126" s="647" t="s">
        <v>1134</v>
      </c>
      <c r="ED126" s="647" t="s">
        <v>1136</v>
      </c>
    </row>
    <row r="127" spans="1:134" x14ac:dyDescent="0.2">
      <c r="A127" s="751" t="s">
        <v>71</v>
      </c>
      <c r="B127" s="145">
        <v>120</v>
      </c>
      <c r="C127" s="770">
        <v>0</v>
      </c>
      <c r="D127" s="770">
        <v>0</v>
      </c>
      <c r="E127" s="770">
        <v>0</v>
      </c>
      <c r="F127" s="770">
        <v>0</v>
      </c>
      <c r="G127" s="770">
        <v>0</v>
      </c>
      <c r="H127" s="786">
        <f t="shared" si="12"/>
        <v>0</v>
      </c>
      <c r="I127" s="776">
        <v>0</v>
      </c>
      <c r="J127" s="776">
        <v>0</v>
      </c>
      <c r="K127" s="801">
        <v>0</v>
      </c>
      <c r="L127" s="802">
        <v>0</v>
      </c>
      <c r="M127" s="803">
        <v>0</v>
      </c>
      <c r="N127" s="777">
        <v>0</v>
      </c>
      <c r="O127" s="776">
        <v>0</v>
      </c>
      <c r="P127" s="803">
        <v>0</v>
      </c>
      <c r="Q127" s="781">
        <v>0</v>
      </c>
      <c r="R127" s="803">
        <v>0</v>
      </c>
      <c r="S127" s="778">
        <v>0</v>
      </c>
      <c r="T127" s="778">
        <v>0</v>
      </c>
      <c r="U127" s="804">
        <v>0</v>
      </c>
      <c r="V127" s="772">
        <v>0</v>
      </c>
      <c r="W127" s="783">
        <v>0</v>
      </c>
      <c r="X127" s="803">
        <v>0</v>
      </c>
      <c r="Y127" s="778">
        <v>0</v>
      </c>
      <c r="Z127" s="802">
        <v>0</v>
      </c>
      <c r="AA127" s="803">
        <v>0</v>
      </c>
      <c r="AB127" s="803">
        <v>0</v>
      </c>
      <c r="AC127" s="778">
        <v>0</v>
      </c>
      <c r="AD127" s="782">
        <v>0</v>
      </c>
      <c r="AE127" s="803">
        <v>0.752</v>
      </c>
      <c r="AF127" s="771">
        <f t="shared" si="11"/>
        <v>0.752</v>
      </c>
      <c r="AG127" s="805">
        <f t="shared" si="8"/>
        <v>0.752</v>
      </c>
      <c r="AH127" s="135">
        <f t="shared" si="9"/>
        <v>0</v>
      </c>
      <c r="AI127" s="132" t="str">
        <f t="shared" si="10"/>
        <v xml:space="preserve"> </v>
      </c>
      <c r="AS127" s="139" t="s">
        <v>576</v>
      </c>
      <c r="AT127" s="139" t="s">
        <v>577</v>
      </c>
      <c r="DS127" s="304"/>
      <c r="DT127" s="304"/>
      <c r="DU127" s="647" t="s">
        <v>571</v>
      </c>
      <c r="DV127" s="647" t="s">
        <v>1134</v>
      </c>
      <c r="DW127" s="647" t="s">
        <v>1134</v>
      </c>
      <c r="DX127" s="647" t="s">
        <v>1134</v>
      </c>
      <c r="DY127" s="647" t="s">
        <v>1134</v>
      </c>
      <c r="DZ127" s="647" t="s">
        <v>1134</v>
      </c>
      <c r="EA127" s="647" t="s">
        <v>576</v>
      </c>
      <c r="EB127" s="647" t="s">
        <v>1135</v>
      </c>
      <c r="EC127" s="647" t="s">
        <v>1134</v>
      </c>
      <c r="ED127" s="647" t="s">
        <v>1136</v>
      </c>
    </row>
    <row r="128" spans="1:134" x14ac:dyDescent="0.2">
      <c r="A128" s="749" t="s">
        <v>999</v>
      </c>
      <c r="B128" s="145">
        <v>121</v>
      </c>
      <c r="C128" s="770">
        <v>0</v>
      </c>
      <c r="D128" s="770">
        <v>0</v>
      </c>
      <c r="E128" s="770">
        <v>0</v>
      </c>
      <c r="F128" s="770">
        <v>0</v>
      </c>
      <c r="G128" s="770">
        <v>0</v>
      </c>
      <c r="H128" s="786">
        <f t="shared" si="12"/>
        <v>0</v>
      </c>
      <c r="I128" s="776">
        <v>0</v>
      </c>
      <c r="J128" s="776">
        <v>0</v>
      </c>
      <c r="K128" s="801">
        <v>0</v>
      </c>
      <c r="L128" s="802">
        <v>0</v>
      </c>
      <c r="M128" s="803">
        <v>0</v>
      </c>
      <c r="N128" s="777">
        <v>0</v>
      </c>
      <c r="O128" s="776">
        <v>0</v>
      </c>
      <c r="P128" s="803">
        <v>0</v>
      </c>
      <c r="Q128" s="781">
        <v>0</v>
      </c>
      <c r="R128" s="803">
        <v>0</v>
      </c>
      <c r="S128" s="778">
        <v>0</v>
      </c>
      <c r="T128" s="778">
        <v>0</v>
      </c>
      <c r="U128" s="804">
        <v>0</v>
      </c>
      <c r="V128" s="772">
        <v>0</v>
      </c>
      <c r="W128" s="783">
        <v>0</v>
      </c>
      <c r="X128" s="803">
        <v>0</v>
      </c>
      <c r="Y128" s="778">
        <v>0</v>
      </c>
      <c r="Z128" s="802">
        <v>0</v>
      </c>
      <c r="AA128" s="803">
        <v>0</v>
      </c>
      <c r="AB128" s="803">
        <v>0</v>
      </c>
      <c r="AC128" s="778">
        <v>0</v>
      </c>
      <c r="AD128" s="782">
        <v>0</v>
      </c>
      <c r="AE128" s="803">
        <v>3.3000000000000002E-2</v>
      </c>
      <c r="AF128" s="771">
        <f t="shared" si="11"/>
        <v>3.3000000000000002E-2</v>
      </c>
      <c r="AG128" s="805">
        <f t="shared" si="8"/>
        <v>3.3000000000000002E-2</v>
      </c>
      <c r="AH128" s="135">
        <f t="shared" si="9"/>
        <v>0</v>
      </c>
      <c r="AI128" s="132" t="str">
        <f t="shared" si="10"/>
        <v xml:space="preserve"> </v>
      </c>
      <c r="AS128" s="139" t="s">
        <v>1088</v>
      </c>
      <c r="AT128" s="139" t="s">
        <v>1089</v>
      </c>
      <c r="DS128" s="304"/>
      <c r="DT128" s="304"/>
      <c r="DU128" s="647" t="s">
        <v>571</v>
      </c>
      <c r="DV128" s="647" t="s">
        <v>1134</v>
      </c>
      <c r="DW128" s="647" t="s">
        <v>1134</v>
      </c>
      <c r="DX128" s="647" t="s">
        <v>1134</v>
      </c>
      <c r="DY128" s="647" t="s">
        <v>1134</v>
      </c>
      <c r="DZ128" s="647" t="s">
        <v>1134</v>
      </c>
      <c r="EA128" s="647" t="s">
        <v>1088</v>
      </c>
      <c r="EB128" s="647" t="s">
        <v>1135</v>
      </c>
      <c r="EC128" s="647" t="s">
        <v>1134</v>
      </c>
      <c r="ED128" s="647" t="s">
        <v>1136</v>
      </c>
    </row>
    <row r="129" spans="1:134" x14ac:dyDescent="0.2">
      <c r="A129" s="749" t="s">
        <v>54</v>
      </c>
      <c r="B129" s="145">
        <v>122</v>
      </c>
      <c r="C129" s="770">
        <v>0</v>
      </c>
      <c r="D129" s="770">
        <v>0</v>
      </c>
      <c r="E129" s="770">
        <v>0</v>
      </c>
      <c r="F129" s="770">
        <v>0</v>
      </c>
      <c r="G129" s="770">
        <v>0</v>
      </c>
      <c r="H129" s="786">
        <f t="shared" si="12"/>
        <v>0</v>
      </c>
      <c r="I129" s="776">
        <v>0</v>
      </c>
      <c r="J129" s="776">
        <v>0</v>
      </c>
      <c r="K129" s="801">
        <v>0</v>
      </c>
      <c r="L129" s="802">
        <v>0</v>
      </c>
      <c r="M129" s="803">
        <v>0</v>
      </c>
      <c r="N129" s="777">
        <v>0</v>
      </c>
      <c r="O129" s="776">
        <v>0</v>
      </c>
      <c r="P129" s="803">
        <v>0</v>
      </c>
      <c r="Q129" s="781">
        <v>0</v>
      </c>
      <c r="R129" s="803">
        <v>0</v>
      </c>
      <c r="S129" s="778">
        <v>0</v>
      </c>
      <c r="T129" s="778">
        <v>0</v>
      </c>
      <c r="U129" s="804">
        <v>0</v>
      </c>
      <c r="V129" s="772">
        <v>0</v>
      </c>
      <c r="W129" s="783">
        <v>0</v>
      </c>
      <c r="X129" s="803">
        <v>0</v>
      </c>
      <c r="Y129" s="778">
        <v>0</v>
      </c>
      <c r="Z129" s="802">
        <v>0</v>
      </c>
      <c r="AA129" s="803">
        <v>0</v>
      </c>
      <c r="AB129" s="803">
        <v>0</v>
      </c>
      <c r="AC129" s="778">
        <v>0</v>
      </c>
      <c r="AD129" s="782">
        <v>0</v>
      </c>
      <c r="AE129" s="803">
        <v>0</v>
      </c>
      <c r="AF129" s="771">
        <f t="shared" si="11"/>
        <v>0</v>
      </c>
      <c r="AG129" s="805">
        <f t="shared" si="8"/>
        <v>0</v>
      </c>
      <c r="AH129" s="135">
        <f t="shared" si="9"/>
        <v>0</v>
      </c>
      <c r="AI129" s="132" t="str">
        <f t="shared" si="10"/>
        <v xml:space="preserve"> </v>
      </c>
      <c r="AS129" s="139" t="s">
        <v>481</v>
      </c>
      <c r="AT129" s="139" t="s">
        <v>482</v>
      </c>
      <c r="DS129" s="304"/>
      <c r="DT129" s="304"/>
      <c r="DU129" s="647" t="s">
        <v>571</v>
      </c>
      <c r="DV129" s="647" t="s">
        <v>1134</v>
      </c>
      <c r="DW129" s="647" t="s">
        <v>1134</v>
      </c>
      <c r="DX129" s="647" t="s">
        <v>1134</v>
      </c>
      <c r="DY129" s="647" t="s">
        <v>1134</v>
      </c>
      <c r="DZ129" s="647" t="s">
        <v>1134</v>
      </c>
      <c r="EA129" s="647" t="s">
        <v>481</v>
      </c>
      <c r="EB129" s="647" t="s">
        <v>1135</v>
      </c>
      <c r="EC129" s="647" t="s">
        <v>1134</v>
      </c>
      <c r="ED129" s="647" t="s">
        <v>1136</v>
      </c>
    </row>
    <row r="130" spans="1:134" x14ac:dyDescent="0.2">
      <c r="A130" s="749" t="s">
        <v>55</v>
      </c>
      <c r="B130" s="145">
        <v>123</v>
      </c>
      <c r="C130" s="770">
        <v>0</v>
      </c>
      <c r="D130" s="770">
        <v>0</v>
      </c>
      <c r="E130" s="770">
        <v>0</v>
      </c>
      <c r="F130" s="770">
        <v>0</v>
      </c>
      <c r="G130" s="770">
        <v>0</v>
      </c>
      <c r="H130" s="786">
        <f t="shared" si="12"/>
        <v>0</v>
      </c>
      <c r="I130" s="776">
        <v>0</v>
      </c>
      <c r="J130" s="776">
        <v>0</v>
      </c>
      <c r="K130" s="801">
        <v>0</v>
      </c>
      <c r="L130" s="802">
        <v>0</v>
      </c>
      <c r="M130" s="803">
        <v>0</v>
      </c>
      <c r="N130" s="777">
        <v>0</v>
      </c>
      <c r="O130" s="776">
        <v>0</v>
      </c>
      <c r="P130" s="803">
        <v>0</v>
      </c>
      <c r="Q130" s="781">
        <v>0</v>
      </c>
      <c r="R130" s="803">
        <v>0</v>
      </c>
      <c r="S130" s="778">
        <v>0</v>
      </c>
      <c r="T130" s="778">
        <v>0</v>
      </c>
      <c r="U130" s="804">
        <v>0</v>
      </c>
      <c r="V130" s="772">
        <v>0</v>
      </c>
      <c r="W130" s="783">
        <v>0</v>
      </c>
      <c r="X130" s="803">
        <v>0</v>
      </c>
      <c r="Y130" s="778">
        <v>0</v>
      </c>
      <c r="Z130" s="802">
        <v>0</v>
      </c>
      <c r="AA130" s="803">
        <v>0</v>
      </c>
      <c r="AB130" s="803">
        <v>0</v>
      </c>
      <c r="AC130" s="778">
        <v>0</v>
      </c>
      <c r="AD130" s="782">
        <v>0</v>
      </c>
      <c r="AE130" s="803">
        <v>0.14299999999999999</v>
      </c>
      <c r="AF130" s="771">
        <f t="shared" si="11"/>
        <v>0.14299999999999999</v>
      </c>
      <c r="AG130" s="805">
        <f t="shared" si="8"/>
        <v>0.14299999999999999</v>
      </c>
      <c r="AH130" s="135">
        <f t="shared" si="9"/>
        <v>0</v>
      </c>
      <c r="AI130" s="132" t="str">
        <f t="shared" si="10"/>
        <v xml:space="preserve"> </v>
      </c>
      <c r="AS130" s="139" t="s">
        <v>483</v>
      </c>
      <c r="AT130" s="139" t="s">
        <v>484</v>
      </c>
      <c r="DS130" s="304"/>
      <c r="DT130" s="304"/>
      <c r="DU130" s="647" t="s">
        <v>571</v>
      </c>
      <c r="DV130" s="647" t="s">
        <v>1134</v>
      </c>
      <c r="DW130" s="647" t="s">
        <v>1134</v>
      </c>
      <c r="DX130" s="647" t="s">
        <v>1134</v>
      </c>
      <c r="DY130" s="647" t="s">
        <v>1134</v>
      </c>
      <c r="DZ130" s="647" t="s">
        <v>1134</v>
      </c>
      <c r="EA130" s="647" t="s">
        <v>483</v>
      </c>
      <c r="EB130" s="647" t="s">
        <v>1135</v>
      </c>
      <c r="EC130" s="647" t="s">
        <v>1134</v>
      </c>
      <c r="ED130" s="647" t="s">
        <v>1136</v>
      </c>
    </row>
    <row r="131" spans="1:134" x14ac:dyDescent="0.2">
      <c r="A131" s="749" t="s">
        <v>98</v>
      </c>
      <c r="B131" s="145">
        <v>124</v>
      </c>
      <c r="C131" s="770">
        <v>0</v>
      </c>
      <c r="D131" s="770">
        <v>0</v>
      </c>
      <c r="E131" s="770">
        <v>0</v>
      </c>
      <c r="F131" s="770">
        <v>8.0000000000000002E-3</v>
      </c>
      <c r="G131" s="770">
        <v>0</v>
      </c>
      <c r="H131" s="786">
        <f t="shared" si="12"/>
        <v>8.0000000000000002E-3</v>
      </c>
      <c r="I131" s="776">
        <v>0</v>
      </c>
      <c r="J131" s="776">
        <v>0</v>
      </c>
      <c r="K131" s="801">
        <v>0</v>
      </c>
      <c r="L131" s="802">
        <v>0</v>
      </c>
      <c r="M131" s="803">
        <v>0</v>
      </c>
      <c r="N131" s="777">
        <v>0</v>
      </c>
      <c r="O131" s="776">
        <v>0</v>
      </c>
      <c r="P131" s="803">
        <v>0</v>
      </c>
      <c r="Q131" s="781">
        <v>0</v>
      </c>
      <c r="R131" s="803">
        <v>0</v>
      </c>
      <c r="S131" s="778">
        <v>0</v>
      </c>
      <c r="T131" s="778">
        <v>0</v>
      </c>
      <c r="U131" s="804">
        <v>0</v>
      </c>
      <c r="V131" s="772">
        <v>0</v>
      </c>
      <c r="W131" s="783">
        <v>0</v>
      </c>
      <c r="X131" s="803">
        <v>0</v>
      </c>
      <c r="Y131" s="778">
        <v>0</v>
      </c>
      <c r="Z131" s="802">
        <v>0</v>
      </c>
      <c r="AA131" s="803">
        <v>0</v>
      </c>
      <c r="AB131" s="803">
        <v>0</v>
      </c>
      <c r="AC131" s="778">
        <v>0</v>
      </c>
      <c r="AD131" s="782">
        <v>0</v>
      </c>
      <c r="AE131" s="803">
        <v>1.7999999999999999E-2</v>
      </c>
      <c r="AF131" s="771">
        <f t="shared" si="11"/>
        <v>1.7999999999999999E-2</v>
      </c>
      <c r="AG131" s="805">
        <f t="shared" si="8"/>
        <v>2.5999999999999999E-2</v>
      </c>
      <c r="AH131" s="135">
        <f t="shared" si="9"/>
        <v>0</v>
      </c>
      <c r="AI131" s="132" t="str">
        <f t="shared" si="10"/>
        <v xml:space="preserve"> </v>
      </c>
      <c r="AS131" s="139" t="s">
        <v>578</v>
      </c>
      <c r="AT131" s="139" t="s">
        <v>619</v>
      </c>
      <c r="DS131" s="304"/>
      <c r="DT131" s="304"/>
      <c r="DU131" s="647" t="s">
        <v>571</v>
      </c>
      <c r="DV131" s="647" t="s">
        <v>1134</v>
      </c>
      <c r="DW131" s="647" t="s">
        <v>1134</v>
      </c>
      <c r="DX131" s="647" t="s">
        <v>1134</v>
      </c>
      <c r="DY131" s="647" t="s">
        <v>1134</v>
      </c>
      <c r="DZ131" s="647" t="s">
        <v>1134</v>
      </c>
      <c r="EA131" s="647" t="s">
        <v>578</v>
      </c>
      <c r="EB131" s="647" t="s">
        <v>1135</v>
      </c>
      <c r="EC131" s="647" t="s">
        <v>1134</v>
      </c>
      <c r="ED131" s="647" t="s">
        <v>1136</v>
      </c>
    </row>
    <row r="132" spans="1:134" x14ac:dyDescent="0.2">
      <c r="A132" s="749" t="s">
        <v>56</v>
      </c>
      <c r="B132" s="145">
        <v>125</v>
      </c>
      <c r="C132" s="770">
        <v>0</v>
      </c>
      <c r="D132" s="770">
        <v>0</v>
      </c>
      <c r="E132" s="770">
        <v>0</v>
      </c>
      <c r="F132" s="770">
        <v>17.428000000000001</v>
      </c>
      <c r="G132" s="770">
        <v>0</v>
      </c>
      <c r="H132" s="786">
        <f t="shared" si="12"/>
        <v>17.428000000000001</v>
      </c>
      <c r="I132" s="776">
        <v>0</v>
      </c>
      <c r="J132" s="776">
        <v>21.584</v>
      </c>
      <c r="K132" s="801">
        <v>0.39100000000000001</v>
      </c>
      <c r="L132" s="802">
        <v>0.60499999999999998</v>
      </c>
      <c r="M132" s="803">
        <v>0</v>
      </c>
      <c r="N132" s="777">
        <v>0.60499999999999998</v>
      </c>
      <c r="O132" s="776">
        <v>0</v>
      </c>
      <c r="P132" s="803">
        <v>0</v>
      </c>
      <c r="Q132" s="781">
        <v>0.13600000000000001</v>
      </c>
      <c r="R132" s="803">
        <v>0</v>
      </c>
      <c r="S132" s="778">
        <v>0.13600000000000001</v>
      </c>
      <c r="T132" s="778">
        <v>1.2E-2</v>
      </c>
      <c r="U132" s="804">
        <v>15.811</v>
      </c>
      <c r="V132" s="772">
        <v>5.2569999999999997</v>
      </c>
      <c r="W132" s="783">
        <v>21.068000000000001</v>
      </c>
      <c r="X132" s="803">
        <v>0</v>
      </c>
      <c r="Y132" s="778">
        <v>21.068000000000001</v>
      </c>
      <c r="Z132" s="802">
        <v>1.958</v>
      </c>
      <c r="AA132" s="803">
        <v>1.254</v>
      </c>
      <c r="AB132" s="803">
        <v>0</v>
      </c>
      <c r="AC132" s="778">
        <v>0.70399999999999996</v>
      </c>
      <c r="AD132" s="782">
        <v>1.31</v>
      </c>
      <c r="AE132" s="803">
        <v>12.544</v>
      </c>
      <c r="AF132" s="771">
        <f t="shared" si="11"/>
        <v>59.607999999999997</v>
      </c>
      <c r="AG132" s="805">
        <f t="shared" si="8"/>
        <v>77.036000000000001</v>
      </c>
      <c r="AH132" s="135">
        <f t="shared" si="9"/>
        <v>0</v>
      </c>
      <c r="AI132" s="132" t="str">
        <f t="shared" si="10"/>
        <v xml:space="preserve"> </v>
      </c>
      <c r="AS132" s="139" t="s">
        <v>273</v>
      </c>
      <c r="AT132" s="139" t="s">
        <v>272</v>
      </c>
      <c r="DS132" s="304"/>
      <c r="DT132" s="304"/>
      <c r="DU132" s="647" t="s">
        <v>571</v>
      </c>
      <c r="DV132" s="647" t="s">
        <v>1134</v>
      </c>
      <c r="DW132" s="647" t="s">
        <v>1134</v>
      </c>
      <c r="DX132" s="647" t="s">
        <v>1134</v>
      </c>
      <c r="DY132" s="647" t="s">
        <v>1134</v>
      </c>
      <c r="DZ132" s="647" t="s">
        <v>1134</v>
      </c>
      <c r="EA132" s="647" t="s">
        <v>273</v>
      </c>
      <c r="EB132" s="647" t="s">
        <v>1135</v>
      </c>
      <c r="EC132" s="647" t="s">
        <v>1134</v>
      </c>
      <c r="ED132" s="647" t="s">
        <v>1136</v>
      </c>
    </row>
    <row r="133" spans="1:134" x14ac:dyDescent="0.2">
      <c r="A133" s="749" t="s">
        <v>57</v>
      </c>
      <c r="B133" s="145">
        <v>126</v>
      </c>
      <c r="C133" s="770">
        <v>0</v>
      </c>
      <c r="D133" s="770">
        <v>0</v>
      </c>
      <c r="E133" s="770">
        <v>0</v>
      </c>
      <c r="F133" s="770">
        <v>2.7E-2</v>
      </c>
      <c r="G133" s="770">
        <v>0</v>
      </c>
      <c r="H133" s="786">
        <f t="shared" si="12"/>
        <v>2.7E-2</v>
      </c>
      <c r="I133" s="776">
        <v>0</v>
      </c>
      <c r="J133" s="776">
        <v>2E-3</v>
      </c>
      <c r="K133" s="801">
        <v>8.8819999999999997</v>
      </c>
      <c r="L133" s="802">
        <v>13.759</v>
      </c>
      <c r="M133" s="803">
        <v>0</v>
      </c>
      <c r="N133" s="777">
        <v>13.759</v>
      </c>
      <c r="O133" s="776">
        <v>3.5999999999999997E-2</v>
      </c>
      <c r="P133" s="803">
        <v>0</v>
      </c>
      <c r="Q133" s="781">
        <v>44.134999999999998</v>
      </c>
      <c r="R133" s="803">
        <v>0</v>
      </c>
      <c r="S133" s="778">
        <v>44.134999999999998</v>
      </c>
      <c r="T133" s="778">
        <v>3.8740000000000001</v>
      </c>
      <c r="U133" s="804">
        <v>24.875</v>
      </c>
      <c r="V133" s="772">
        <v>8.2720000000000002</v>
      </c>
      <c r="W133" s="783">
        <v>33.146999999999998</v>
      </c>
      <c r="X133" s="803">
        <v>0</v>
      </c>
      <c r="Y133" s="778">
        <v>33.146999999999998</v>
      </c>
      <c r="Z133" s="802">
        <v>7.5999999999999998E-2</v>
      </c>
      <c r="AA133" s="803">
        <v>4.9000000000000002E-2</v>
      </c>
      <c r="AB133" s="803">
        <v>0</v>
      </c>
      <c r="AC133" s="778">
        <v>2.7E-2</v>
      </c>
      <c r="AD133" s="782">
        <v>0</v>
      </c>
      <c r="AE133" s="803">
        <v>1.1399999999999999</v>
      </c>
      <c r="AF133" s="771">
        <f t="shared" si="11"/>
        <v>105.051</v>
      </c>
      <c r="AG133" s="805">
        <f t="shared" si="8"/>
        <v>105.078</v>
      </c>
      <c r="AH133" s="135">
        <f t="shared" si="9"/>
        <v>0</v>
      </c>
      <c r="AI133" s="132" t="str">
        <f t="shared" si="10"/>
        <v xml:space="preserve"> </v>
      </c>
      <c r="AS133" s="139" t="s">
        <v>275</v>
      </c>
      <c r="AT133" s="139" t="s">
        <v>274</v>
      </c>
      <c r="DS133" s="304"/>
      <c r="DT133" s="304"/>
      <c r="DU133" s="647" t="s">
        <v>571</v>
      </c>
      <c r="DV133" s="647" t="s">
        <v>1134</v>
      </c>
      <c r="DW133" s="647" t="s">
        <v>1134</v>
      </c>
      <c r="DX133" s="647" t="s">
        <v>1134</v>
      </c>
      <c r="DY133" s="647" t="s">
        <v>1134</v>
      </c>
      <c r="DZ133" s="647" t="s">
        <v>1134</v>
      </c>
      <c r="EA133" s="647" t="s">
        <v>275</v>
      </c>
      <c r="EB133" s="647" t="s">
        <v>1135</v>
      </c>
      <c r="EC133" s="647" t="s">
        <v>1134</v>
      </c>
      <c r="ED133" s="647" t="s">
        <v>1136</v>
      </c>
    </row>
    <row r="134" spans="1:134" x14ac:dyDescent="0.2">
      <c r="A134" s="751" t="s">
        <v>58</v>
      </c>
      <c r="B134" s="145">
        <v>127</v>
      </c>
      <c r="C134" s="770">
        <v>0</v>
      </c>
      <c r="D134" s="770">
        <v>0</v>
      </c>
      <c r="E134" s="770">
        <v>0</v>
      </c>
      <c r="F134" s="770">
        <v>0</v>
      </c>
      <c r="G134" s="770">
        <v>0</v>
      </c>
      <c r="H134" s="786">
        <f t="shared" si="12"/>
        <v>0</v>
      </c>
      <c r="I134" s="776">
        <v>0</v>
      </c>
      <c r="J134" s="776">
        <v>0</v>
      </c>
      <c r="K134" s="801">
        <v>0</v>
      </c>
      <c r="L134" s="802">
        <v>0</v>
      </c>
      <c r="M134" s="803">
        <v>0</v>
      </c>
      <c r="N134" s="777">
        <v>0</v>
      </c>
      <c r="O134" s="776">
        <v>0.109</v>
      </c>
      <c r="P134" s="803">
        <v>0</v>
      </c>
      <c r="Q134" s="781">
        <v>0</v>
      </c>
      <c r="R134" s="803">
        <v>0</v>
      </c>
      <c r="S134" s="778">
        <v>0</v>
      </c>
      <c r="T134" s="778">
        <v>0</v>
      </c>
      <c r="U134" s="804">
        <v>0</v>
      </c>
      <c r="V134" s="772">
        <v>0</v>
      </c>
      <c r="W134" s="783">
        <v>0</v>
      </c>
      <c r="X134" s="803">
        <v>0</v>
      </c>
      <c r="Y134" s="778">
        <v>0</v>
      </c>
      <c r="Z134" s="802">
        <v>0</v>
      </c>
      <c r="AA134" s="803">
        <v>0</v>
      </c>
      <c r="AB134" s="803">
        <v>0</v>
      </c>
      <c r="AC134" s="778">
        <v>0</v>
      </c>
      <c r="AD134" s="782">
        <v>0</v>
      </c>
      <c r="AE134" s="803">
        <v>3.3000000000000002E-2</v>
      </c>
      <c r="AF134" s="771">
        <f t="shared" si="11"/>
        <v>0.14199999999999999</v>
      </c>
      <c r="AG134" s="805">
        <f t="shared" si="8"/>
        <v>0.14199999999999999</v>
      </c>
      <c r="AH134" s="135">
        <f t="shared" si="9"/>
        <v>0</v>
      </c>
      <c r="AI134" s="132" t="str">
        <f t="shared" si="10"/>
        <v xml:space="preserve"> </v>
      </c>
      <c r="AS134" s="139" t="s">
        <v>485</v>
      </c>
      <c r="AT134" s="139" t="s">
        <v>486</v>
      </c>
      <c r="DS134" s="304"/>
      <c r="DT134" s="304"/>
      <c r="DU134" s="647" t="s">
        <v>571</v>
      </c>
      <c r="DV134" s="647" t="s">
        <v>1134</v>
      </c>
      <c r="DW134" s="647" t="s">
        <v>1134</v>
      </c>
      <c r="DX134" s="647" t="s">
        <v>1134</v>
      </c>
      <c r="DY134" s="647" t="s">
        <v>1134</v>
      </c>
      <c r="DZ134" s="647" t="s">
        <v>1134</v>
      </c>
      <c r="EA134" s="647" t="s">
        <v>485</v>
      </c>
      <c r="EB134" s="647" t="s">
        <v>1135</v>
      </c>
      <c r="EC134" s="647" t="s">
        <v>1134</v>
      </c>
      <c r="ED134" s="647" t="s">
        <v>1136</v>
      </c>
    </row>
    <row r="135" spans="1:134" x14ac:dyDescent="0.2">
      <c r="A135" s="749" t="s">
        <v>59</v>
      </c>
      <c r="B135" s="145">
        <v>128</v>
      </c>
      <c r="C135" s="770">
        <v>0</v>
      </c>
      <c r="D135" s="770">
        <v>0</v>
      </c>
      <c r="E135" s="770">
        <v>0</v>
      </c>
      <c r="F135" s="770">
        <v>1.51</v>
      </c>
      <c r="G135" s="770">
        <v>0</v>
      </c>
      <c r="H135" s="786">
        <f t="shared" si="12"/>
        <v>1.51</v>
      </c>
      <c r="I135" s="776">
        <v>0</v>
      </c>
      <c r="J135" s="776">
        <v>1E-3</v>
      </c>
      <c r="K135" s="801">
        <v>5.0000000000000001E-3</v>
      </c>
      <c r="L135" s="802">
        <v>8.0000000000000002E-3</v>
      </c>
      <c r="M135" s="803">
        <v>0</v>
      </c>
      <c r="N135" s="777">
        <v>8.0000000000000002E-3</v>
      </c>
      <c r="O135" s="776">
        <v>0</v>
      </c>
      <c r="P135" s="803">
        <v>0</v>
      </c>
      <c r="Q135" s="781">
        <v>14.519</v>
      </c>
      <c r="R135" s="803">
        <v>0</v>
      </c>
      <c r="S135" s="778">
        <v>14.519</v>
      </c>
      <c r="T135" s="778">
        <v>1.2749999999999999</v>
      </c>
      <c r="U135" s="804">
        <v>3.0000000000000001E-3</v>
      </c>
      <c r="V135" s="772">
        <v>2E-3</v>
      </c>
      <c r="W135" s="783">
        <v>5.0000000000000001E-3</v>
      </c>
      <c r="X135" s="803">
        <v>0</v>
      </c>
      <c r="Y135" s="778">
        <v>5.0000000000000001E-3</v>
      </c>
      <c r="Z135" s="802">
        <v>6.7000000000000004E-2</v>
      </c>
      <c r="AA135" s="803">
        <v>4.2999999999999997E-2</v>
      </c>
      <c r="AB135" s="803">
        <v>0</v>
      </c>
      <c r="AC135" s="778">
        <v>2.4E-2</v>
      </c>
      <c r="AD135" s="782">
        <v>0</v>
      </c>
      <c r="AE135" s="803">
        <v>0.83199999999999996</v>
      </c>
      <c r="AF135" s="771">
        <f t="shared" si="11"/>
        <v>16.712</v>
      </c>
      <c r="AG135" s="805">
        <f t="shared" si="8"/>
        <v>18.222000000000001</v>
      </c>
      <c r="AH135" s="135">
        <f t="shared" si="9"/>
        <v>0</v>
      </c>
      <c r="AI135" s="132" t="str">
        <f t="shared" si="10"/>
        <v xml:space="preserve"> </v>
      </c>
      <c r="AS135" s="139" t="s">
        <v>487</v>
      </c>
      <c r="AT135" s="139" t="s">
        <v>488</v>
      </c>
      <c r="DS135" s="304"/>
      <c r="DT135" s="304"/>
      <c r="DU135" s="647" t="s">
        <v>571</v>
      </c>
      <c r="DV135" s="647" t="s">
        <v>1134</v>
      </c>
      <c r="DW135" s="647" t="s">
        <v>1134</v>
      </c>
      <c r="DX135" s="647" t="s">
        <v>1134</v>
      </c>
      <c r="DY135" s="647" t="s">
        <v>1134</v>
      </c>
      <c r="DZ135" s="647" t="s">
        <v>1134</v>
      </c>
      <c r="EA135" s="647" t="s">
        <v>487</v>
      </c>
      <c r="EB135" s="647" t="s">
        <v>1135</v>
      </c>
      <c r="EC135" s="647" t="s">
        <v>1134</v>
      </c>
      <c r="ED135" s="647" t="s">
        <v>1136</v>
      </c>
    </row>
    <row r="136" spans="1:134" x14ac:dyDescent="0.2">
      <c r="A136" s="749" t="s">
        <v>621</v>
      </c>
      <c r="B136" s="145">
        <v>129</v>
      </c>
      <c r="C136" s="770">
        <v>0</v>
      </c>
      <c r="D136" s="770">
        <v>0</v>
      </c>
      <c r="E136" s="770">
        <v>0</v>
      </c>
      <c r="F136" s="770">
        <v>0</v>
      </c>
      <c r="G136" s="770">
        <v>0</v>
      </c>
      <c r="H136" s="786">
        <f t="shared" si="12"/>
        <v>0</v>
      </c>
      <c r="I136" s="776">
        <v>0</v>
      </c>
      <c r="J136" s="776">
        <v>0</v>
      </c>
      <c r="K136" s="801">
        <v>0</v>
      </c>
      <c r="L136" s="802">
        <v>0</v>
      </c>
      <c r="M136" s="803">
        <v>0</v>
      </c>
      <c r="N136" s="777">
        <v>0</v>
      </c>
      <c r="O136" s="776">
        <v>0</v>
      </c>
      <c r="P136" s="803">
        <v>0</v>
      </c>
      <c r="Q136" s="781">
        <v>0</v>
      </c>
      <c r="R136" s="803">
        <v>0</v>
      </c>
      <c r="S136" s="778">
        <v>0</v>
      </c>
      <c r="T136" s="778">
        <v>0</v>
      </c>
      <c r="U136" s="804">
        <v>0</v>
      </c>
      <c r="V136" s="772">
        <v>0</v>
      </c>
      <c r="W136" s="783">
        <v>0</v>
      </c>
      <c r="X136" s="803">
        <v>0</v>
      </c>
      <c r="Y136" s="778">
        <v>0</v>
      </c>
      <c r="Z136" s="802">
        <v>0</v>
      </c>
      <c r="AA136" s="803">
        <v>0</v>
      </c>
      <c r="AB136" s="803">
        <v>0</v>
      </c>
      <c r="AC136" s="778">
        <v>0</v>
      </c>
      <c r="AD136" s="782">
        <v>0</v>
      </c>
      <c r="AE136" s="803">
        <v>0</v>
      </c>
      <c r="AF136" s="771">
        <f t="shared" si="11"/>
        <v>0</v>
      </c>
      <c r="AG136" s="805">
        <f t="shared" ref="AG136:AG173" si="13">ROUND(SUM(H136,AF136),3)</f>
        <v>0</v>
      </c>
      <c r="AH136" s="135">
        <f t="shared" si="9"/>
        <v>0</v>
      </c>
      <c r="AI136" s="132" t="str">
        <f t="shared" si="10"/>
        <v xml:space="preserve"> </v>
      </c>
      <c r="AS136" s="139" t="s">
        <v>521</v>
      </c>
      <c r="AT136" s="139" t="s">
        <v>522</v>
      </c>
      <c r="DS136" s="304"/>
      <c r="DT136" s="304"/>
      <c r="DU136" s="647" t="s">
        <v>571</v>
      </c>
      <c r="DV136" s="647" t="s">
        <v>1134</v>
      </c>
      <c r="DW136" s="647" t="s">
        <v>1134</v>
      </c>
      <c r="DX136" s="647" t="s">
        <v>1134</v>
      </c>
      <c r="DY136" s="647" t="s">
        <v>1134</v>
      </c>
      <c r="DZ136" s="647" t="s">
        <v>1134</v>
      </c>
      <c r="EA136" s="647" t="s">
        <v>521</v>
      </c>
      <c r="EB136" s="647" t="s">
        <v>1135</v>
      </c>
      <c r="EC136" s="647" t="s">
        <v>1134</v>
      </c>
      <c r="ED136" s="647" t="s">
        <v>1136</v>
      </c>
    </row>
    <row r="137" spans="1:134" x14ac:dyDescent="0.2">
      <c r="A137" s="749" t="s">
        <v>1000</v>
      </c>
      <c r="B137" s="145">
        <v>130</v>
      </c>
      <c r="C137" s="770">
        <v>0</v>
      </c>
      <c r="D137" s="770">
        <v>0</v>
      </c>
      <c r="E137" s="770">
        <v>0</v>
      </c>
      <c r="F137" s="770">
        <v>0</v>
      </c>
      <c r="G137" s="770">
        <v>0</v>
      </c>
      <c r="H137" s="786">
        <f t="shared" si="12"/>
        <v>0</v>
      </c>
      <c r="I137" s="776">
        <v>0</v>
      </c>
      <c r="J137" s="776">
        <v>0</v>
      </c>
      <c r="K137" s="801">
        <v>0</v>
      </c>
      <c r="L137" s="802">
        <v>0</v>
      </c>
      <c r="M137" s="803">
        <v>0</v>
      </c>
      <c r="N137" s="777">
        <v>0</v>
      </c>
      <c r="O137" s="776">
        <v>0</v>
      </c>
      <c r="P137" s="803">
        <v>0</v>
      </c>
      <c r="Q137" s="781">
        <v>0</v>
      </c>
      <c r="R137" s="803">
        <v>0</v>
      </c>
      <c r="S137" s="778">
        <v>0</v>
      </c>
      <c r="T137" s="778">
        <v>0</v>
      </c>
      <c r="U137" s="804">
        <v>0</v>
      </c>
      <c r="V137" s="772">
        <v>0</v>
      </c>
      <c r="W137" s="783">
        <v>0</v>
      </c>
      <c r="X137" s="803">
        <v>0</v>
      </c>
      <c r="Y137" s="778">
        <v>0</v>
      </c>
      <c r="Z137" s="802">
        <v>0</v>
      </c>
      <c r="AA137" s="803">
        <v>0</v>
      </c>
      <c r="AB137" s="803">
        <v>0</v>
      </c>
      <c r="AC137" s="778">
        <v>0</v>
      </c>
      <c r="AD137" s="782">
        <v>0</v>
      </c>
      <c r="AE137" s="803">
        <v>0</v>
      </c>
      <c r="AF137" s="771">
        <f t="shared" si="11"/>
        <v>0</v>
      </c>
      <c r="AG137" s="805">
        <f t="shared" si="13"/>
        <v>0</v>
      </c>
      <c r="AH137" s="135">
        <f t="shared" si="9"/>
        <v>0</v>
      </c>
      <c r="AI137" s="132" t="str">
        <f t="shared" si="10"/>
        <v xml:space="preserve"> </v>
      </c>
      <c r="AS137" s="139" t="s">
        <v>1090</v>
      </c>
      <c r="AT137" s="139" t="s">
        <v>1091</v>
      </c>
      <c r="DS137" s="304"/>
      <c r="DT137" s="304"/>
      <c r="DU137" s="647" t="s">
        <v>571</v>
      </c>
      <c r="DV137" s="647" t="s">
        <v>1134</v>
      </c>
      <c r="DW137" s="647" t="s">
        <v>1134</v>
      </c>
      <c r="DX137" s="647" t="s">
        <v>1134</v>
      </c>
      <c r="DY137" s="647" t="s">
        <v>1134</v>
      </c>
      <c r="DZ137" s="647" t="s">
        <v>1134</v>
      </c>
      <c r="EA137" s="647" t="s">
        <v>1090</v>
      </c>
      <c r="EB137" s="647" t="s">
        <v>1135</v>
      </c>
      <c r="EC137" s="647" t="s">
        <v>1134</v>
      </c>
      <c r="ED137" s="647" t="s">
        <v>1136</v>
      </c>
    </row>
    <row r="138" spans="1:134" x14ac:dyDescent="0.2">
      <c r="A138" s="749" t="s">
        <v>60</v>
      </c>
      <c r="B138" s="145">
        <v>131</v>
      </c>
      <c r="C138" s="770">
        <v>0</v>
      </c>
      <c r="D138" s="770">
        <v>0</v>
      </c>
      <c r="E138" s="770">
        <v>0</v>
      </c>
      <c r="F138" s="770">
        <v>0.16200000000000001</v>
      </c>
      <c r="G138" s="770">
        <v>0</v>
      </c>
      <c r="H138" s="786">
        <f t="shared" si="12"/>
        <v>0.16200000000000001</v>
      </c>
      <c r="I138" s="776">
        <v>0</v>
      </c>
      <c r="J138" s="776">
        <v>0</v>
      </c>
      <c r="K138" s="801">
        <v>37.506</v>
      </c>
      <c r="L138" s="802">
        <v>58.095999999999997</v>
      </c>
      <c r="M138" s="803">
        <v>0</v>
      </c>
      <c r="N138" s="777">
        <v>58.095999999999997</v>
      </c>
      <c r="O138" s="776">
        <v>0</v>
      </c>
      <c r="P138" s="803">
        <v>0</v>
      </c>
      <c r="Q138" s="781">
        <v>1.9E-2</v>
      </c>
      <c r="R138" s="803">
        <v>0</v>
      </c>
      <c r="S138" s="778">
        <v>1.9E-2</v>
      </c>
      <c r="T138" s="778">
        <v>2E-3</v>
      </c>
      <c r="U138" s="804">
        <v>0</v>
      </c>
      <c r="V138" s="772">
        <v>0</v>
      </c>
      <c r="W138" s="783">
        <v>0</v>
      </c>
      <c r="X138" s="803">
        <v>0</v>
      </c>
      <c r="Y138" s="778">
        <v>0</v>
      </c>
      <c r="Z138" s="802">
        <v>0</v>
      </c>
      <c r="AA138" s="803">
        <v>0</v>
      </c>
      <c r="AB138" s="803">
        <v>0</v>
      </c>
      <c r="AC138" s="778">
        <v>0</v>
      </c>
      <c r="AD138" s="782">
        <v>0</v>
      </c>
      <c r="AE138" s="803">
        <v>1.425</v>
      </c>
      <c r="AF138" s="771">
        <f t="shared" si="11"/>
        <v>97.048000000000002</v>
      </c>
      <c r="AG138" s="805">
        <f t="shared" si="13"/>
        <v>97.21</v>
      </c>
      <c r="AH138" s="135">
        <f t="shared" si="9"/>
        <v>0</v>
      </c>
      <c r="AI138" s="132" t="str">
        <f t="shared" si="10"/>
        <v xml:space="preserve"> </v>
      </c>
      <c r="AS138" s="139" t="s">
        <v>489</v>
      </c>
      <c r="AT138" s="139" t="s">
        <v>490</v>
      </c>
      <c r="DS138" s="304"/>
      <c r="DT138" s="304"/>
      <c r="DU138" s="647" t="s">
        <v>571</v>
      </c>
      <c r="DV138" s="647" t="s">
        <v>1134</v>
      </c>
      <c r="DW138" s="647" t="s">
        <v>1134</v>
      </c>
      <c r="DX138" s="647" t="s">
        <v>1134</v>
      </c>
      <c r="DY138" s="647" t="s">
        <v>1134</v>
      </c>
      <c r="DZ138" s="647" t="s">
        <v>1134</v>
      </c>
      <c r="EA138" s="647" t="s">
        <v>489</v>
      </c>
      <c r="EB138" s="647" t="s">
        <v>1135</v>
      </c>
      <c r="EC138" s="647" t="s">
        <v>1134</v>
      </c>
      <c r="ED138" s="647" t="s">
        <v>1136</v>
      </c>
    </row>
    <row r="139" spans="1:134" x14ac:dyDescent="0.2">
      <c r="A139" s="749" t="s">
        <v>1001</v>
      </c>
      <c r="B139" s="145">
        <v>132</v>
      </c>
      <c r="C139" s="770">
        <v>0</v>
      </c>
      <c r="D139" s="770">
        <v>0</v>
      </c>
      <c r="E139" s="770">
        <v>0</v>
      </c>
      <c r="F139" s="770">
        <v>0.01</v>
      </c>
      <c r="G139" s="770">
        <v>0</v>
      </c>
      <c r="H139" s="786">
        <f t="shared" si="12"/>
        <v>0.01</v>
      </c>
      <c r="I139" s="776">
        <v>0</v>
      </c>
      <c r="J139" s="776">
        <v>0</v>
      </c>
      <c r="K139" s="801">
        <v>0</v>
      </c>
      <c r="L139" s="802">
        <v>0</v>
      </c>
      <c r="M139" s="803">
        <v>0</v>
      </c>
      <c r="N139" s="777">
        <v>0</v>
      </c>
      <c r="O139" s="776">
        <v>0</v>
      </c>
      <c r="P139" s="803">
        <v>0</v>
      </c>
      <c r="Q139" s="781">
        <v>0</v>
      </c>
      <c r="R139" s="803">
        <v>0</v>
      </c>
      <c r="S139" s="778">
        <v>0</v>
      </c>
      <c r="T139" s="778">
        <v>0</v>
      </c>
      <c r="U139" s="804">
        <v>0</v>
      </c>
      <c r="V139" s="772">
        <v>0</v>
      </c>
      <c r="W139" s="783">
        <v>0</v>
      </c>
      <c r="X139" s="803">
        <v>0</v>
      </c>
      <c r="Y139" s="778">
        <v>0</v>
      </c>
      <c r="Z139" s="802">
        <v>0</v>
      </c>
      <c r="AA139" s="803">
        <v>0</v>
      </c>
      <c r="AB139" s="803">
        <v>0</v>
      </c>
      <c r="AC139" s="778">
        <v>0</v>
      </c>
      <c r="AD139" s="782">
        <v>0</v>
      </c>
      <c r="AE139" s="803">
        <v>0.115</v>
      </c>
      <c r="AF139" s="771">
        <f t="shared" si="11"/>
        <v>0.115</v>
      </c>
      <c r="AG139" s="805">
        <f t="shared" si="13"/>
        <v>0.125</v>
      </c>
      <c r="AH139" s="135">
        <f t="shared" ref="AH139:AH173" si="14">IF(ROUND(H139-SUM(C139:G139),3)=0,0,1)+IF(ROUND(AF139-SUM(I139:L139,O139:Q139,T139,W139,Z139,AD139:AE139),3)=0,0,1)+IF(ROUND(AG139-SUM(AF139,H139),3)=0,0,1)</f>
        <v>0</v>
      </c>
      <c r="AI139" s="132" t="str">
        <f t="shared" ref="AI139:AI173" si="15">IF(AH139=0," ",IF(AH139=1,"A total is not equal to the sum of its components: ",AH139&amp;" totals are not equal to the sum of their components: "))&amp;IF(AH139=0,"",IF(H139-SUM(C139:G139)=0,"","Total (column F). ")&amp;IF(AF139-SUM(I139:L139,O139:Q139,T139,W139,Z139,AD139:AE139)=0,"","Total products. ")&amp;IF(AG139-SUM(AF139,H139)=0,"","Total oil."))</f>
        <v xml:space="preserve"> </v>
      </c>
      <c r="AS139" s="139" t="s">
        <v>1092</v>
      </c>
      <c r="AT139" s="139" t="s">
        <v>1093</v>
      </c>
      <c r="DS139" s="304"/>
      <c r="DT139" s="304"/>
      <c r="DU139" s="647" t="s">
        <v>571</v>
      </c>
      <c r="DV139" s="647" t="s">
        <v>1134</v>
      </c>
      <c r="DW139" s="647" t="s">
        <v>1134</v>
      </c>
      <c r="DX139" s="647" t="s">
        <v>1134</v>
      </c>
      <c r="DY139" s="647" t="s">
        <v>1134</v>
      </c>
      <c r="DZ139" s="647" t="s">
        <v>1134</v>
      </c>
      <c r="EA139" s="647" t="s">
        <v>1092</v>
      </c>
      <c r="EB139" s="647" t="s">
        <v>1135</v>
      </c>
      <c r="EC139" s="647" t="s">
        <v>1134</v>
      </c>
      <c r="ED139" s="647" t="s">
        <v>1136</v>
      </c>
    </row>
    <row r="140" spans="1:134" x14ac:dyDescent="0.2">
      <c r="A140" s="749" t="s">
        <v>569</v>
      </c>
      <c r="B140" s="145">
        <v>133</v>
      </c>
      <c r="C140" s="770">
        <v>0</v>
      </c>
      <c r="D140" s="770">
        <v>0</v>
      </c>
      <c r="E140" s="770">
        <v>0</v>
      </c>
      <c r="F140" s="770">
        <v>0.13</v>
      </c>
      <c r="G140" s="770">
        <v>0</v>
      </c>
      <c r="H140" s="786">
        <f t="shared" si="12"/>
        <v>0.13</v>
      </c>
      <c r="I140" s="776">
        <v>0</v>
      </c>
      <c r="J140" s="776">
        <v>0</v>
      </c>
      <c r="K140" s="801">
        <v>0.02</v>
      </c>
      <c r="L140" s="802">
        <v>3.3000000000000002E-2</v>
      </c>
      <c r="M140" s="803">
        <v>0</v>
      </c>
      <c r="N140" s="777">
        <v>3.3000000000000002E-2</v>
      </c>
      <c r="O140" s="776">
        <v>0</v>
      </c>
      <c r="P140" s="803">
        <v>0</v>
      </c>
      <c r="Q140" s="781">
        <v>0</v>
      </c>
      <c r="R140" s="803">
        <v>0</v>
      </c>
      <c r="S140" s="778">
        <v>0</v>
      </c>
      <c r="T140" s="778">
        <v>0</v>
      </c>
      <c r="U140" s="804">
        <v>0</v>
      </c>
      <c r="V140" s="772">
        <v>0</v>
      </c>
      <c r="W140" s="783">
        <v>0</v>
      </c>
      <c r="X140" s="803">
        <v>0</v>
      </c>
      <c r="Y140" s="778">
        <v>0</v>
      </c>
      <c r="Z140" s="802">
        <v>0</v>
      </c>
      <c r="AA140" s="803">
        <v>0</v>
      </c>
      <c r="AB140" s="803">
        <v>0</v>
      </c>
      <c r="AC140" s="778">
        <v>0</v>
      </c>
      <c r="AD140" s="782">
        <v>0</v>
      </c>
      <c r="AE140" s="803">
        <v>1.1870000000000001</v>
      </c>
      <c r="AF140" s="771">
        <f t="shared" si="11"/>
        <v>1.24</v>
      </c>
      <c r="AG140" s="805">
        <f t="shared" si="13"/>
        <v>1.37</v>
      </c>
      <c r="AH140" s="135">
        <f t="shared" si="14"/>
        <v>0</v>
      </c>
      <c r="AI140" s="132" t="str">
        <f t="shared" si="15"/>
        <v xml:space="preserve"> </v>
      </c>
      <c r="AS140" s="139" t="s">
        <v>544</v>
      </c>
      <c r="AT140" s="139" t="s">
        <v>545</v>
      </c>
      <c r="DS140" s="304"/>
      <c r="DT140" s="304"/>
      <c r="DU140" s="647" t="s">
        <v>571</v>
      </c>
      <c r="DV140" s="647" t="s">
        <v>1134</v>
      </c>
      <c r="DW140" s="647" t="s">
        <v>1134</v>
      </c>
      <c r="DX140" s="647" t="s">
        <v>1134</v>
      </c>
      <c r="DY140" s="647" t="s">
        <v>1134</v>
      </c>
      <c r="DZ140" s="647" t="s">
        <v>1134</v>
      </c>
      <c r="EA140" s="647" t="s">
        <v>544</v>
      </c>
      <c r="EB140" s="647" t="s">
        <v>1135</v>
      </c>
      <c r="EC140" s="647" t="s">
        <v>1134</v>
      </c>
      <c r="ED140" s="647" t="s">
        <v>1136</v>
      </c>
    </row>
    <row r="141" spans="1:134" x14ac:dyDescent="0.2">
      <c r="A141" s="749" t="s">
        <v>1002</v>
      </c>
      <c r="B141" s="145">
        <v>134</v>
      </c>
      <c r="C141" s="770">
        <v>0</v>
      </c>
      <c r="D141" s="770">
        <v>0</v>
      </c>
      <c r="E141" s="770">
        <v>0</v>
      </c>
      <c r="F141" s="770">
        <v>0</v>
      </c>
      <c r="G141" s="770">
        <v>0</v>
      </c>
      <c r="H141" s="786">
        <f t="shared" si="12"/>
        <v>0</v>
      </c>
      <c r="I141" s="776">
        <v>0</v>
      </c>
      <c r="J141" s="776">
        <v>0</v>
      </c>
      <c r="K141" s="801">
        <v>0</v>
      </c>
      <c r="L141" s="802">
        <v>0</v>
      </c>
      <c r="M141" s="803">
        <v>0</v>
      </c>
      <c r="N141" s="777">
        <v>0</v>
      </c>
      <c r="O141" s="776">
        <v>0</v>
      </c>
      <c r="P141" s="803">
        <v>0</v>
      </c>
      <c r="Q141" s="781">
        <v>0</v>
      </c>
      <c r="R141" s="803">
        <v>0</v>
      </c>
      <c r="S141" s="778">
        <v>0</v>
      </c>
      <c r="T141" s="778">
        <v>0</v>
      </c>
      <c r="U141" s="804">
        <v>0</v>
      </c>
      <c r="V141" s="772">
        <v>0</v>
      </c>
      <c r="W141" s="783">
        <v>0</v>
      </c>
      <c r="X141" s="803">
        <v>0</v>
      </c>
      <c r="Y141" s="778">
        <v>0</v>
      </c>
      <c r="Z141" s="802">
        <v>0</v>
      </c>
      <c r="AA141" s="803">
        <v>0</v>
      </c>
      <c r="AB141" s="803">
        <v>0</v>
      </c>
      <c r="AC141" s="778">
        <v>0</v>
      </c>
      <c r="AD141" s="782">
        <v>0</v>
      </c>
      <c r="AE141" s="803">
        <v>0</v>
      </c>
      <c r="AF141" s="771">
        <f t="shared" si="11"/>
        <v>0</v>
      </c>
      <c r="AG141" s="805">
        <f t="shared" si="13"/>
        <v>0</v>
      </c>
      <c r="AH141" s="135">
        <f t="shared" si="14"/>
        <v>0</v>
      </c>
      <c r="AI141" s="132" t="str">
        <f t="shared" si="15"/>
        <v xml:space="preserve"> </v>
      </c>
      <c r="AS141" s="139" t="s">
        <v>1094</v>
      </c>
      <c r="AT141" s="139" t="s">
        <v>1095</v>
      </c>
      <c r="DS141" s="304"/>
      <c r="DT141" s="304"/>
      <c r="DU141" s="647" t="s">
        <v>571</v>
      </c>
      <c r="DV141" s="647" t="s">
        <v>1134</v>
      </c>
      <c r="DW141" s="647" t="s">
        <v>1134</v>
      </c>
      <c r="DX141" s="647" t="s">
        <v>1134</v>
      </c>
      <c r="DY141" s="647" t="s">
        <v>1134</v>
      </c>
      <c r="DZ141" s="647" t="s">
        <v>1134</v>
      </c>
      <c r="EA141" s="647" t="s">
        <v>1094</v>
      </c>
      <c r="EB141" s="647" t="s">
        <v>1135</v>
      </c>
      <c r="EC141" s="647" t="s">
        <v>1134</v>
      </c>
      <c r="ED141" s="647" t="s">
        <v>1136</v>
      </c>
    </row>
    <row r="142" spans="1:134" x14ac:dyDescent="0.2">
      <c r="A142" s="749" t="s">
        <v>61</v>
      </c>
      <c r="B142" s="145">
        <v>135</v>
      </c>
      <c r="C142" s="770">
        <v>0</v>
      </c>
      <c r="D142" s="770">
        <v>0</v>
      </c>
      <c r="E142" s="770">
        <v>0</v>
      </c>
      <c r="F142" s="770">
        <v>5.6000000000000001E-2</v>
      </c>
      <c r="G142" s="770">
        <v>0</v>
      </c>
      <c r="H142" s="786">
        <f t="shared" si="12"/>
        <v>5.6000000000000001E-2</v>
      </c>
      <c r="I142" s="776">
        <v>0</v>
      </c>
      <c r="J142" s="776">
        <v>0</v>
      </c>
      <c r="K142" s="801">
        <v>0</v>
      </c>
      <c r="L142" s="802">
        <v>0</v>
      </c>
      <c r="M142" s="803">
        <v>0</v>
      </c>
      <c r="N142" s="777">
        <v>0</v>
      </c>
      <c r="O142" s="776">
        <v>2.3E-2</v>
      </c>
      <c r="P142" s="803">
        <v>0</v>
      </c>
      <c r="Q142" s="781">
        <v>0</v>
      </c>
      <c r="R142" s="803">
        <v>0</v>
      </c>
      <c r="S142" s="778">
        <v>0</v>
      </c>
      <c r="T142" s="778">
        <v>0</v>
      </c>
      <c r="U142" s="804">
        <v>0</v>
      </c>
      <c r="V142" s="772">
        <v>0</v>
      </c>
      <c r="W142" s="783">
        <v>0</v>
      </c>
      <c r="X142" s="803">
        <v>0</v>
      </c>
      <c r="Y142" s="778">
        <v>0</v>
      </c>
      <c r="Z142" s="802">
        <v>0</v>
      </c>
      <c r="AA142" s="803">
        <v>0</v>
      </c>
      <c r="AB142" s="803">
        <v>0</v>
      </c>
      <c r="AC142" s="778">
        <v>0</v>
      </c>
      <c r="AD142" s="782">
        <v>0</v>
      </c>
      <c r="AE142" s="803">
        <v>0.34599999999999997</v>
      </c>
      <c r="AF142" s="771">
        <f t="shared" si="11"/>
        <v>0.36899999999999999</v>
      </c>
      <c r="AG142" s="805">
        <f t="shared" si="13"/>
        <v>0.42499999999999999</v>
      </c>
      <c r="AH142" s="135">
        <f t="shared" si="14"/>
        <v>0</v>
      </c>
      <c r="AI142" s="132" t="str">
        <f t="shared" si="15"/>
        <v xml:space="preserve"> </v>
      </c>
      <c r="AS142" s="139" t="s">
        <v>491</v>
      </c>
      <c r="AT142" s="139" t="s">
        <v>492</v>
      </c>
      <c r="DS142" s="304"/>
      <c r="DT142" s="304"/>
      <c r="DU142" s="647" t="s">
        <v>571</v>
      </c>
      <c r="DV142" s="647" t="s">
        <v>1134</v>
      </c>
      <c r="DW142" s="647" t="s">
        <v>1134</v>
      </c>
      <c r="DX142" s="647" t="s">
        <v>1134</v>
      </c>
      <c r="DY142" s="647" t="s">
        <v>1134</v>
      </c>
      <c r="DZ142" s="647" t="s">
        <v>1134</v>
      </c>
      <c r="EA142" s="647" t="s">
        <v>491</v>
      </c>
      <c r="EB142" s="647" t="s">
        <v>1135</v>
      </c>
      <c r="EC142" s="647" t="s">
        <v>1134</v>
      </c>
      <c r="ED142" s="647" t="s">
        <v>1136</v>
      </c>
    </row>
    <row r="143" spans="1:134" x14ac:dyDescent="0.2">
      <c r="A143" s="749" t="s">
        <v>99</v>
      </c>
      <c r="B143" s="145">
        <v>136</v>
      </c>
      <c r="C143" s="770">
        <v>0</v>
      </c>
      <c r="D143" s="770">
        <v>0</v>
      </c>
      <c r="E143" s="770">
        <v>0</v>
      </c>
      <c r="F143" s="770">
        <v>2E-3</v>
      </c>
      <c r="G143" s="770">
        <v>0</v>
      </c>
      <c r="H143" s="786">
        <f t="shared" si="12"/>
        <v>2E-3</v>
      </c>
      <c r="I143" s="776">
        <v>0</v>
      </c>
      <c r="J143" s="776">
        <v>1E-3</v>
      </c>
      <c r="K143" s="801">
        <v>0.06</v>
      </c>
      <c r="L143" s="802">
        <v>9.2999999999999999E-2</v>
      </c>
      <c r="M143" s="803">
        <v>0</v>
      </c>
      <c r="N143" s="777">
        <v>9.2999999999999999E-2</v>
      </c>
      <c r="O143" s="776">
        <v>0</v>
      </c>
      <c r="P143" s="803">
        <v>0</v>
      </c>
      <c r="Q143" s="781">
        <v>0</v>
      </c>
      <c r="R143" s="803">
        <v>0</v>
      </c>
      <c r="S143" s="778">
        <v>0</v>
      </c>
      <c r="T143" s="778">
        <v>0</v>
      </c>
      <c r="U143" s="804">
        <v>1E-3</v>
      </c>
      <c r="V143" s="772">
        <v>0</v>
      </c>
      <c r="W143" s="783">
        <v>1E-3</v>
      </c>
      <c r="X143" s="803">
        <v>0</v>
      </c>
      <c r="Y143" s="778">
        <v>1E-3</v>
      </c>
      <c r="Z143" s="802">
        <v>1.0999999999999999E-2</v>
      </c>
      <c r="AA143" s="803">
        <v>7.0000000000000001E-3</v>
      </c>
      <c r="AB143" s="803">
        <v>0</v>
      </c>
      <c r="AC143" s="778">
        <v>4.0000000000000001E-3</v>
      </c>
      <c r="AD143" s="782">
        <v>0</v>
      </c>
      <c r="AE143" s="803">
        <v>0.48099999999999998</v>
      </c>
      <c r="AF143" s="771">
        <f t="shared" si="11"/>
        <v>0.64700000000000002</v>
      </c>
      <c r="AG143" s="805">
        <f t="shared" si="13"/>
        <v>0.64900000000000002</v>
      </c>
      <c r="AH143" s="135">
        <f t="shared" si="14"/>
        <v>0</v>
      </c>
      <c r="AI143" s="132" t="str">
        <f t="shared" si="15"/>
        <v xml:space="preserve"> </v>
      </c>
      <c r="AS143" s="139" t="s">
        <v>277</v>
      </c>
      <c r="AT143" s="139" t="s">
        <v>276</v>
      </c>
      <c r="DS143" s="304"/>
      <c r="DT143" s="304"/>
      <c r="DU143" s="647" t="s">
        <v>571</v>
      </c>
      <c r="DV143" s="647" t="s">
        <v>1134</v>
      </c>
      <c r="DW143" s="647" t="s">
        <v>1134</v>
      </c>
      <c r="DX143" s="647" t="s">
        <v>1134</v>
      </c>
      <c r="DY143" s="647" t="s">
        <v>1134</v>
      </c>
      <c r="DZ143" s="647" t="s">
        <v>1134</v>
      </c>
      <c r="EA143" s="647" t="s">
        <v>277</v>
      </c>
      <c r="EB143" s="647" t="s">
        <v>1135</v>
      </c>
      <c r="EC143" s="647" t="s">
        <v>1134</v>
      </c>
      <c r="ED143" s="647" t="s">
        <v>1136</v>
      </c>
    </row>
    <row r="144" spans="1:134" x14ac:dyDescent="0.2">
      <c r="A144" s="749" t="s">
        <v>570</v>
      </c>
      <c r="B144" s="145">
        <v>137</v>
      </c>
      <c r="C144" s="770">
        <v>0</v>
      </c>
      <c r="D144" s="770">
        <v>0</v>
      </c>
      <c r="E144" s="770">
        <v>0</v>
      </c>
      <c r="F144" s="770">
        <v>1.4E-2</v>
      </c>
      <c r="G144" s="770">
        <v>0</v>
      </c>
      <c r="H144" s="786">
        <f t="shared" si="12"/>
        <v>1.4E-2</v>
      </c>
      <c r="I144" s="776">
        <v>0</v>
      </c>
      <c r="J144" s="776">
        <v>0</v>
      </c>
      <c r="K144" s="801">
        <v>5.0000000000000001E-3</v>
      </c>
      <c r="L144" s="802">
        <v>8.0000000000000002E-3</v>
      </c>
      <c r="M144" s="803">
        <v>0</v>
      </c>
      <c r="N144" s="777">
        <v>8.0000000000000002E-3</v>
      </c>
      <c r="O144" s="776">
        <v>0</v>
      </c>
      <c r="P144" s="803">
        <v>0</v>
      </c>
      <c r="Q144" s="781">
        <v>3.0000000000000001E-3</v>
      </c>
      <c r="R144" s="803">
        <v>0</v>
      </c>
      <c r="S144" s="778">
        <v>3.0000000000000001E-3</v>
      </c>
      <c r="T144" s="778">
        <v>0</v>
      </c>
      <c r="U144" s="804">
        <v>1E-3</v>
      </c>
      <c r="V144" s="772">
        <v>0</v>
      </c>
      <c r="W144" s="783">
        <v>1E-3</v>
      </c>
      <c r="X144" s="803">
        <v>0</v>
      </c>
      <c r="Y144" s="778">
        <v>1E-3</v>
      </c>
      <c r="Z144" s="802">
        <v>7.0000000000000001E-3</v>
      </c>
      <c r="AA144" s="803">
        <v>5.0000000000000001E-3</v>
      </c>
      <c r="AB144" s="803">
        <v>0</v>
      </c>
      <c r="AC144" s="778">
        <v>2E-3</v>
      </c>
      <c r="AD144" s="782">
        <v>0</v>
      </c>
      <c r="AE144" s="803">
        <v>0.16700000000000001</v>
      </c>
      <c r="AF144" s="771">
        <f t="shared" si="11"/>
        <v>0.191</v>
      </c>
      <c r="AG144" s="805">
        <f t="shared" si="13"/>
        <v>0.20499999999999999</v>
      </c>
      <c r="AH144" s="135">
        <f t="shared" si="14"/>
        <v>0</v>
      </c>
      <c r="AI144" s="132" t="str">
        <f t="shared" si="15"/>
        <v xml:space="preserve"> </v>
      </c>
      <c r="AS144" s="139" t="s">
        <v>546</v>
      </c>
      <c r="AT144" s="139" t="s">
        <v>547</v>
      </c>
      <c r="DS144" s="304"/>
      <c r="DT144" s="304"/>
      <c r="DU144" s="647" t="s">
        <v>571</v>
      </c>
      <c r="DV144" s="647" t="s">
        <v>1134</v>
      </c>
      <c r="DW144" s="647" t="s">
        <v>1134</v>
      </c>
      <c r="DX144" s="647" t="s">
        <v>1134</v>
      </c>
      <c r="DY144" s="647" t="s">
        <v>1134</v>
      </c>
      <c r="DZ144" s="647" t="s">
        <v>1134</v>
      </c>
      <c r="EA144" s="647" t="s">
        <v>546</v>
      </c>
      <c r="EB144" s="647" t="s">
        <v>1135</v>
      </c>
      <c r="EC144" s="647" t="s">
        <v>1134</v>
      </c>
      <c r="ED144" s="647" t="s">
        <v>1136</v>
      </c>
    </row>
    <row r="145" spans="1:134" x14ac:dyDescent="0.2">
      <c r="A145" s="749" t="s">
        <v>72</v>
      </c>
      <c r="B145" s="145">
        <v>138</v>
      </c>
      <c r="C145" s="770">
        <v>0</v>
      </c>
      <c r="D145" s="770">
        <v>0</v>
      </c>
      <c r="E145" s="770">
        <v>0</v>
      </c>
      <c r="F145" s="770">
        <v>3.5000000000000003E-2</v>
      </c>
      <c r="G145" s="770">
        <v>0</v>
      </c>
      <c r="H145" s="786">
        <f t="shared" si="12"/>
        <v>3.5000000000000003E-2</v>
      </c>
      <c r="I145" s="776">
        <v>0</v>
      </c>
      <c r="J145" s="776">
        <v>0</v>
      </c>
      <c r="K145" s="801">
        <v>0</v>
      </c>
      <c r="L145" s="802">
        <v>0</v>
      </c>
      <c r="M145" s="803">
        <v>0</v>
      </c>
      <c r="N145" s="777">
        <v>0</v>
      </c>
      <c r="O145" s="776">
        <v>0</v>
      </c>
      <c r="P145" s="803">
        <v>0</v>
      </c>
      <c r="Q145" s="781">
        <v>3.7999999999999999E-2</v>
      </c>
      <c r="R145" s="803">
        <v>0</v>
      </c>
      <c r="S145" s="778">
        <v>3.7999999999999999E-2</v>
      </c>
      <c r="T145" s="778">
        <v>3.0000000000000001E-3</v>
      </c>
      <c r="U145" s="804">
        <v>0</v>
      </c>
      <c r="V145" s="772">
        <v>0</v>
      </c>
      <c r="W145" s="783">
        <v>0</v>
      </c>
      <c r="X145" s="803">
        <v>0</v>
      </c>
      <c r="Y145" s="778">
        <v>0</v>
      </c>
      <c r="Z145" s="802">
        <v>0</v>
      </c>
      <c r="AA145" s="803">
        <v>0</v>
      </c>
      <c r="AB145" s="803">
        <v>0</v>
      </c>
      <c r="AC145" s="778">
        <v>0</v>
      </c>
      <c r="AD145" s="782">
        <v>0</v>
      </c>
      <c r="AE145" s="803">
        <v>5.0490000000000004</v>
      </c>
      <c r="AF145" s="771">
        <f t="shared" si="11"/>
        <v>5.09</v>
      </c>
      <c r="AG145" s="805">
        <f t="shared" si="13"/>
        <v>5.125</v>
      </c>
      <c r="AH145" s="135">
        <f t="shared" si="14"/>
        <v>0</v>
      </c>
      <c r="AI145" s="132" t="str">
        <f t="shared" si="15"/>
        <v xml:space="preserve"> </v>
      </c>
      <c r="AS145" s="139" t="s">
        <v>579</v>
      </c>
      <c r="AT145" s="139" t="s">
        <v>580</v>
      </c>
      <c r="DS145" s="304"/>
      <c r="DT145" s="304"/>
      <c r="DU145" s="647" t="s">
        <v>571</v>
      </c>
      <c r="DV145" s="647" t="s">
        <v>1134</v>
      </c>
      <c r="DW145" s="647" t="s">
        <v>1134</v>
      </c>
      <c r="DX145" s="647" t="s">
        <v>1134</v>
      </c>
      <c r="DY145" s="647" t="s">
        <v>1134</v>
      </c>
      <c r="DZ145" s="647" t="s">
        <v>1134</v>
      </c>
      <c r="EA145" s="647" t="s">
        <v>579</v>
      </c>
      <c r="EB145" s="647" t="s">
        <v>1135</v>
      </c>
      <c r="EC145" s="647" t="s">
        <v>1134</v>
      </c>
      <c r="ED145" s="647" t="s">
        <v>1136</v>
      </c>
    </row>
    <row r="146" spans="1:134" x14ac:dyDescent="0.2">
      <c r="A146" s="749" t="s">
        <v>1003</v>
      </c>
      <c r="B146" s="145">
        <v>139</v>
      </c>
      <c r="C146" s="770">
        <v>0</v>
      </c>
      <c r="D146" s="770">
        <v>0</v>
      </c>
      <c r="E146" s="770">
        <v>0</v>
      </c>
      <c r="F146" s="770">
        <v>0</v>
      </c>
      <c r="G146" s="770">
        <v>0</v>
      </c>
      <c r="H146" s="786">
        <f t="shared" si="12"/>
        <v>0</v>
      </c>
      <c r="I146" s="776">
        <v>0</v>
      </c>
      <c r="J146" s="776">
        <v>0</v>
      </c>
      <c r="K146" s="801">
        <v>0</v>
      </c>
      <c r="L146" s="802">
        <v>0</v>
      </c>
      <c r="M146" s="803">
        <v>0</v>
      </c>
      <c r="N146" s="777">
        <v>0</v>
      </c>
      <c r="O146" s="776">
        <v>0</v>
      </c>
      <c r="P146" s="803">
        <v>0</v>
      </c>
      <c r="Q146" s="781">
        <v>0</v>
      </c>
      <c r="R146" s="803">
        <v>0</v>
      </c>
      <c r="S146" s="778">
        <v>0</v>
      </c>
      <c r="T146" s="778">
        <v>0</v>
      </c>
      <c r="U146" s="804">
        <v>0</v>
      </c>
      <c r="V146" s="772">
        <v>0</v>
      </c>
      <c r="W146" s="783">
        <v>0</v>
      </c>
      <c r="X146" s="803">
        <v>0</v>
      </c>
      <c r="Y146" s="778">
        <v>0</v>
      </c>
      <c r="Z146" s="802">
        <v>0</v>
      </c>
      <c r="AA146" s="803">
        <v>0</v>
      </c>
      <c r="AB146" s="803">
        <v>0</v>
      </c>
      <c r="AC146" s="778">
        <v>0</v>
      </c>
      <c r="AD146" s="782">
        <v>0</v>
      </c>
      <c r="AE146" s="803">
        <v>0</v>
      </c>
      <c r="AF146" s="771">
        <f t="shared" si="11"/>
        <v>0</v>
      </c>
      <c r="AG146" s="805">
        <f t="shared" si="13"/>
        <v>0</v>
      </c>
      <c r="AH146" s="135">
        <f t="shared" si="14"/>
        <v>0</v>
      </c>
      <c r="AI146" s="132" t="str">
        <f t="shared" si="15"/>
        <v xml:space="preserve"> </v>
      </c>
      <c r="AS146" s="139" t="s">
        <v>1096</v>
      </c>
      <c r="AT146" s="139" t="s">
        <v>1097</v>
      </c>
      <c r="DS146" s="304"/>
      <c r="DT146" s="304"/>
      <c r="DU146" s="647" t="s">
        <v>571</v>
      </c>
      <c r="DV146" s="647" t="s">
        <v>1134</v>
      </c>
      <c r="DW146" s="647" t="s">
        <v>1134</v>
      </c>
      <c r="DX146" s="647" t="s">
        <v>1134</v>
      </c>
      <c r="DY146" s="647" t="s">
        <v>1134</v>
      </c>
      <c r="DZ146" s="647" t="s">
        <v>1134</v>
      </c>
      <c r="EA146" s="647" t="s">
        <v>1096</v>
      </c>
      <c r="EB146" s="647" t="s">
        <v>1135</v>
      </c>
      <c r="EC146" s="647" t="s">
        <v>1134</v>
      </c>
      <c r="ED146" s="647" t="s">
        <v>1136</v>
      </c>
    </row>
    <row r="147" spans="1:134" x14ac:dyDescent="0.2">
      <c r="A147" s="749" t="s">
        <v>62</v>
      </c>
      <c r="B147" s="145">
        <v>140</v>
      </c>
      <c r="C147" s="770">
        <v>0</v>
      </c>
      <c r="D147" s="770">
        <v>0</v>
      </c>
      <c r="E147" s="770">
        <v>0</v>
      </c>
      <c r="F147" s="770">
        <v>4.5469999999999997</v>
      </c>
      <c r="G147" s="770">
        <v>0</v>
      </c>
      <c r="H147" s="786">
        <f t="shared" si="12"/>
        <v>4.5469999999999997</v>
      </c>
      <c r="I147" s="776">
        <v>0</v>
      </c>
      <c r="J147" s="776">
        <v>0.60199999999999998</v>
      </c>
      <c r="K147" s="801">
        <v>14.744</v>
      </c>
      <c r="L147" s="802">
        <v>22.838999999999999</v>
      </c>
      <c r="M147" s="803">
        <v>0</v>
      </c>
      <c r="N147" s="777">
        <v>22.838999999999999</v>
      </c>
      <c r="O147" s="776">
        <v>0</v>
      </c>
      <c r="P147" s="803">
        <v>0</v>
      </c>
      <c r="Q147" s="781">
        <v>0.126</v>
      </c>
      <c r="R147" s="803">
        <v>0</v>
      </c>
      <c r="S147" s="778">
        <v>0.126</v>
      </c>
      <c r="T147" s="778">
        <v>1.0999999999999999E-2</v>
      </c>
      <c r="U147" s="804">
        <v>100.925</v>
      </c>
      <c r="V147" s="772">
        <v>33.561999999999998</v>
      </c>
      <c r="W147" s="783">
        <v>134.48699999999999</v>
      </c>
      <c r="X147" s="803">
        <v>0</v>
      </c>
      <c r="Y147" s="778">
        <v>134.48699999999999</v>
      </c>
      <c r="Z147" s="802">
        <v>413.7</v>
      </c>
      <c r="AA147" s="803">
        <v>264.93799999999999</v>
      </c>
      <c r="AB147" s="803">
        <v>0</v>
      </c>
      <c r="AC147" s="778">
        <v>148.762</v>
      </c>
      <c r="AD147" s="782">
        <v>0.21</v>
      </c>
      <c r="AE147" s="803">
        <v>33.753999999999998</v>
      </c>
      <c r="AF147" s="771">
        <f t="shared" si="11"/>
        <v>620.47299999999996</v>
      </c>
      <c r="AG147" s="805">
        <f t="shared" si="13"/>
        <v>625.02</v>
      </c>
      <c r="AH147" s="135">
        <f t="shared" si="14"/>
        <v>0</v>
      </c>
      <c r="AI147" s="132" t="str">
        <f t="shared" si="15"/>
        <v xml:space="preserve"> </v>
      </c>
      <c r="AS147" s="139" t="s">
        <v>279</v>
      </c>
      <c r="AT147" s="139" t="s">
        <v>278</v>
      </c>
      <c r="DS147" s="304"/>
      <c r="DT147" s="304"/>
      <c r="DU147" s="647" t="s">
        <v>571</v>
      </c>
      <c r="DV147" s="647" t="s">
        <v>1134</v>
      </c>
      <c r="DW147" s="647" t="s">
        <v>1134</v>
      </c>
      <c r="DX147" s="647" t="s">
        <v>1134</v>
      </c>
      <c r="DY147" s="647" t="s">
        <v>1134</v>
      </c>
      <c r="DZ147" s="647" t="s">
        <v>1134</v>
      </c>
      <c r="EA147" s="647" t="s">
        <v>279</v>
      </c>
      <c r="EB147" s="647" t="s">
        <v>1135</v>
      </c>
      <c r="EC147" s="647" t="s">
        <v>1134</v>
      </c>
      <c r="ED147" s="647" t="s">
        <v>1136</v>
      </c>
    </row>
    <row r="148" spans="1:134" x14ac:dyDescent="0.2">
      <c r="A148" s="749" t="s">
        <v>1004</v>
      </c>
      <c r="B148" s="145">
        <v>141</v>
      </c>
      <c r="C148" s="770">
        <v>0</v>
      </c>
      <c r="D148" s="770">
        <v>0</v>
      </c>
      <c r="E148" s="770">
        <v>0</v>
      </c>
      <c r="F148" s="770">
        <v>0</v>
      </c>
      <c r="G148" s="770">
        <v>0</v>
      </c>
      <c r="H148" s="786">
        <f t="shared" si="12"/>
        <v>0</v>
      </c>
      <c r="I148" s="776">
        <v>0</v>
      </c>
      <c r="J148" s="776">
        <v>0</v>
      </c>
      <c r="K148" s="801">
        <v>0</v>
      </c>
      <c r="L148" s="802">
        <v>0</v>
      </c>
      <c r="M148" s="803">
        <v>0</v>
      </c>
      <c r="N148" s="777">
        <v>0</v>
      </c>
      <c r="O148" s="776">
        <v>0</v>
      </c>
      <c r="P148" s="803">
        <v>0</v>
      </c>
      <c r="Q148" s="781">
        <v>0</v>
      </c>
      <c r="R148" s="803">
        <v>0</v>
      </c>
      <c r="S148" s="778">
        <v>0</v>
      </c>
      <c r="T148" s="778">
        <v>0</v>
      </c>
      <c r="U148" s="804">
        <v>0</v>
      </c>
      <c r="V148" s="772">
        <v>0</v>
      </c>
      <c r="W148" s="783">
        <v>0</v>
      </c>
      <c r="X148" s="803">
        <v>0</v>
      </c>
      <c r="Y148" s="778">
        <v>0</v>
      </c>
      <c r="Z148" s="802">
        <v>0</v>
      </c>
      <c r="AA148" s="803">
        <v>0</v>
      </c>
      <c r="AB148" s="803">
        <v>0</v>
      </c>
      <c r="AC148" s="778">
        <v>0</v>
      </c>
      <c r="AD148" s="782">
        <v>0</v>
      </c>
      <c r="AE148" s="803">
        <v>2E-3</v>
      </c>
      <c r="AF148" s="771">
        <f t="shared" si="11"/>
        <v>2E-3</v>
      </c>
      <c r="AG148" s="805">
        <f t="shared" si="13"/>
        <v>2E-3</v>
      </c>
      <c r="AH148" s="135">
        <f t="shared" si="14"/>
        <v>0</v>
      </c>
      <c r="AI148" s="132" t="str">
        <f t="shared" si="15"/>
        <v xml:space="preserve"> </v>
      </c>
      <c r="AS148" s="139" t="s">
        <v>1098</v>
      </c>
      <c r="AT148" s="139" t="s">
        <v>1099</v>
      </c>
      <c r="DS148" s="304"/>
      <c r="DT148" s="304"/>
      <c r="DU148" s="647" t="s">
        <v>571</v>
      </c>
      <c r="DV148" s="647" t="s">
        <v>1134</v>
      </c>
      <c r="DW148" s="647" t="s">
        <v>1134</v>
      </c>
      <c r="DX148" s="647" t="s">
        <v>1134</v>
      </c>
      <c r="DY148" s="647" t="s">
        <v>1134</v>
      </c>
      <c r="DZ148" s="647" t="s">
        <v>1134</v>
      </c>
      <c r="EA148" s="647" t="s">
        <v>1098</v>
      </c>
      <c r="EB148" s="647" t="s">
        <v>1135</v>
      </c>
      <c r="EC148" s="647" t="s">
        <v>1134</v>
      </c>
      <c r="ED148" s="647" t="s">
        <v>1136</v>
      </c>
    </row>
    <row r="149" spans="1:134" x14ac:dyDescent="0.2">
      <c r="A149" s="749" t="s">
        <v>1005</v>
      </c>
      <c r="B149" s="145">
        <v>142</v>
      </c>
      <c r="C149" s="770">
        <v>0</v>
      </c>
      <c r="D149" s="770">
        <v>0</v>
      </c>
      <c r="E149" s="770">
        <v>0</v>
      </c>
      <c r="F149" s="770">
        <v>0</v>
      </c>
      <c r="G149" s="770">
        <v>0</v>
      </c>
      <c r="H149" s="786">
        <f t="shared" si="12"/>
        <v>0</v>
      </c>
      <c r="I149" s="776">
        <v>0</v>
      </c>
      <c r="J149" s="776">
        <v>0</v>
      </c>
      <c r="K149" s="801">
        <v>0</v>
      </c>
      <c r="L149" s="802">
        <v>0</v>
      </c>
      <c r="M149" s="803">
        <v>0</v>
      </c>
      <c r="N149" s="777">
        <v>0</v>
      </c>
      <c r="O149" s="776">
        <v>0</v>
      </c>
      <c r="P149" s="803">
        <v>0</v>
      </c>
      <c r="Q149" s="781">
        <v>0</v>
      </c>
      <c r="R149" s="803">
        <v>0</v>
      </c>
      <c r="S149" s="778">
        <v>0</v>
      </c>
      <c r="T149" s="778">
        <v>0</v>
      </c>
      <c r="U149" s="804">
        <v>0</v>
      </c>
      <c r="V149" s="772">
        <v>0</v>
      </c>
      <c r="W149" s="783">
        <v>0</v>
      </c>
      <c r="X149" s="803">
        <v>0</v>
      </c>
      <c r="Y149" s="778">
        <v>0</v>
      </c>
      <c r="Z149" s="802">
        <v>0</v>
      </c>
      <c r="AA149" s="803">
        <v>0</v>
      </c>
      <c r="AB149" s="803">
        <v>0</v>
      </c>
      <c r="AC149" s="778">
        <v>0</v>
      </c>
      <c r="AD149" s="782">
        <v>0</v>
      </c>
      <c r="AE149" s="803">
        <v>0</v>
      </c>
      <c r="AF149" s="771">
        <f t="shared" si="11"/>
        <v>0</v>
      </c>
      <c r="AG149" s="805">
        <f t="shared" si="13"/>
        <v>0</v>
      </c>
      <c r="AH149" s="135">
        <f t="shared" si="14"/>
        <v>0</v>
      </c>
      <c r="AI149" s="132" t="str">
        <f t="shared" si="15"/>
        <v xml:space="preserve"> </v>
      </c>
      <c r="AS149" s="139" t="s">
        <v>1100</v>
      </c>
      <c r="AT149" s="139" t="s">
        <v>1101</v>
      </c>
      <c r="DS149" s="304"/>
      <c r="DT149" s="304"/>
      <c r="DU149" s="647" t="s">
        <v>571</v>
      </c>
      <c r="DV149" s="647" t="s">
        <v>1134</v>
      </c>
      <c r="DW149" s="647" t="s">
        <v>1134</v>
      </c>
      <c r="DX149" s="647" t="s">
        <v>1134</v>
      </c>
      <c r="DY149" s="647" t="s">
        <v>1134</v>
      </c>
      <c r="DZ149" s="647" t="s">
        <v>1134</v>
      </c>
      <c r="EA149" s="647" t="s">
        <v>1100</v>
      </c>
      <c r="EB149" s="647" t="s">
        <v>1135</v>
      </c>
      <c r="EC149" s="647" t="s">
        <v>1134</v>
      </c>
      <c r="ED149" s="647" t="s">
        <v>1136</v>
      </c>
    </row>
    <row r="150" spans="1:134" x14ac:dyDescent="0.2">
      <c r="A150" s="749" t="s">
        <v>63</v>
      </c>
      <c r="B150" s="145">
        <v>143</v>
      </c>
      <c r="C150" s="770">
        <v>0</v>
      </c>
      <c r="D150" s="770">
        <v>0</v>
      </c>
      <c r="E150" s="770">
        <v>0</v>
      </c>
      <c r="F150" s="770">
        <v>1.6459999999999999</v>
      </c>
      <c r="G150" s="770">
        <v>0</v>
      </c>
      <c r="H150" s="786">
        <f t="shared" si="12"/>
        <v>1.6459999999999999</v>
      </c>
      <c r="I150" s="776">
        <v>0</v>
      </c>
      <c r="J150" s="776">
        <v>4.0000000000000001E-3</v>
      </c>
      <c r="K150" s="801">
        <v>16.864999999999998</v>
      </c>
      <c r="L150" s="802">
        <v>26.123000000000001</v>
      </c>
      <c r="M150" s="803">
        <v>0</v>
      </c>
      <c r="N150" s="777">
        <v>26.123000000000001</v>
      </c>
      <c r="O150" s="776">
        <v>0</v>
      </c>
      <c r="P150" s="803">
        <v>0</v>
      </c>
      <c r="Q150" s="781">
        <v>17.016999999999999</v>
      </c>
      <c r="R150" s="803">
        <v>0</v>
      </c>
      <c r="S150" s="778">
        <v>17.016999999999999</v>
      </c>
      <c r="T150" s="778">
        <v>1.4930000000000001</v>
      </c>
      <c r="U150" s="804">
        <v>30.553000000000001</v>
      </c>
      <c r="V150" s="772">
        <v>10.16</v>
      </c>
      <c r="W150" s="783">
        <v>40.713000000000001</v>
      </c>
      <c r="X150" s="803">
        <v>0</v>
      </c>
      <c r="Y150" s="778">
        <v>40.713000000000001</v>
      </c>
      <c r="Z150" s="802">
        <v>25.396999999999998</v>
      </c>
      <c r="AA150" s="803">
        <v>16.263999999999999</v>
      </c>
      <c r="AB150" s="803">
        <v>0</v>
      </c>
      <c r="AC150" s="778">
        <v>9.1329999999999991</v>
      </c>
      <c r="AD150" s="782">
        <v>1.2999999999999999E-2</v>
      </c>
      <c r="AE150" s="803">
        <v>13.423999999999999</v>
      </c>
      <c r="AF150" s="771">
        <f t="shared" si="11"/>
        <v>141.04900000000001</v>
      </c>
      <c r="AG150" s="805">
        <f t="shared" si="13"/>
        <v>142.69499999999999</v>
      </c>
      <c r="AH150" s="135">
        <f t="shared" si="14"/>
        <v>0</v>
      </c>
      <c r="AI150" s="132" t="str">
        <f t="shared" si="15"/>
        <v xml:space="preserve"> </v>
      </c>
      <c r="AS150" s="139" t="s">
        <v>281</v>
      </c>
      <c r="AT150" s="139" t="s">
        <v>280</v>
      </c>
      <c r="DS150" s="304"/>
      <c r="DT150" s="304"/>
      <c r="DU150" s="647" t="s">
        <v>571</v>
      </c>
      <c r="DV150" s="647" t="s">
        <v>1134</v>
      </c>
      <c r="DW150" s="647" t="s">
        <v>1134</v>
      </c>
      <c r="DX150" s="647" t="s">
        <v>1134</v>
      </c>
      <c r="DY150" s="647" t="s">
        <v>1134</v>
      </c>
      <c r="DZ150" s="647" t="s">
        <v>1134</v>
      </c>
      <c r="EA150" s="647" t="s">
        <v>281</v>
      </c>
      <c r="EB150" s="647" t="s">
        <v>1135</v>
      </c>
      <c r="EC150" s="647" t="s">
        <v>1134</v>
      </c>
      <c r="ED150" s="647" t="s">
        <v>1136</v>
      </c>
    </row>
    <row r="151" spans="1:134" x14ac:dyDescent="0.2">
      <c r="A151" s="749" t="s">
        <v>64</v>
      </c>
      <c r="B151" s="145">
        <v>144</v>
      </c>
      <c r="C151" s="770">
        <v>0</v>
      </c>
      <c r="D151" s="770">
        <v>0</v>
      </c>
      <c r="E151" s="770">
        <v>0</v>
      </c>
      <c r="F151" s="770">
        <v>0.88200000000000001</v>
      </c>
      <c r="G151" s="770">
        <v>0</v>
      </c>
      <c r="H151" s="786">
        <f t="shared" si="12"/>
        <v>0.88200000000000001</v>
      </c>
      <c r="I151" s="776">
        <v>0</v>
      </c>
      <c r="J151" s="776">
        <v>2.4E-2</v>
      </c>
      <c r="K151" s="801">
        <v>7.5999999999999998E-2</v>
      </c>
      <c r="L151" s="802">
        <v>0.115</v>
      </c>
      <c r="M151" s="803">
        <v>0</v>
      </c>
      <c r="N151" s="777">
        <v>0.115</v>
      </c>
      <c r="O151" s="776">
        <v>0.80800000000000005</v>
      </c>
      <c r="P151" s="803">
        <v>0</v>
      </c>
      <c r="Q151" s="781">
        <v>6.8449999999999998</v>
      </c>
      <c r="R151" s="803">
        <v>0</v>
      </c>
      <c r="S151" s="778">
        <v>6.8449999999999998</v>
      </c>
      <c r="T151" s="778">
        <v>0.6</v>
      </c>
      <c r="U151" s="804">
        <v>3.5999999999999997E-2</v>
      </c>
      <c r="V151" s="772">
        <v>1.0999999999999999E-2</v>
      </c>
      <c r="W151" s="783">
        <v>4.7E-2</v>
      </c>
      <c r="X151" s="803">
        <v>0</v>
      </c>
      <c r="Y151" s="778">
        <v>4.7E-2</v>
      </c>
      <c r="Z151" s="802">
        <v>0</v>
      </c>
      <c r="AA151" s="803">
        <v>0</v>
      </c>
      <c r="AB151" s="803">
        <v>0</v>
      </c>
      <c r="AC151" s="778">
        <v>0</v>
      </c>
      <c r="AD151" s="782">
        <v>0.112</v>
      </c>
      <c r="AE151" s="803">
        <v>2.5390000000000001</v>
      </c>
      <c r="AF151" s="771">
        <f t="shared" si="11"/>
        <v>11.166</v>
      </c>
      <c r="AG151" s="805">
        <f t="shared" si="13"/>
        <v>12.048</v>
      </c>
      <c r="AH151" s="135">
        <f t="shared" si="14"/>
        <v>0</v>
      </c>
      <c r="AI151" s="132" t="str">
        <f t="shared" si="15"/>
        <v xml:space="preserve"> </v>
      </c>
      <c r="AS151" s="139" t="s">
        <v>283</v>
      </c>
      <c r="AT151" s="139" t="s">
        <v>282</v>
      </c>
      <c r="DS151" s="304"/>
      <c r="DT151" s="304"/>
      <c r="DU151" s="647" t="s">
        <v>571</v>
      </c>
      <c r="DV151" s="647" t="s">
        <v>1134</v>
      </c>
      <c r="DW151" s="647" t="s">
        <v>1134</v>
      </c>
      <c r="DX151" s="647" t="s">
        <v>1134</v>
      </c>
      <c r="DY151" s="647" t="s">
        <v>1134</v>
      </c>
      <c r="DZ151" s="647" t="s">
        <v>1134</v>
      </c>
      <c r="EA151" s="647" t="s">
        <v>283</v>
      </c>
      <c r="EB151" s="647" t="s">
        <v>1135</v>
      </c>
      <c r="EC151" s="647" t="s">
        <v>1134</v>
      </c>
      <c r="ED151" s="647" t="s">
        <v>1136</v>
      </c>
    </row>
    <row r="152" spans="1:134" x14ac:dyDescent="0.2">
      <c r="A152" s="749" t="s">
        <v>622</v>
      </c>
      <c r="B152" s="145">
        <v>145</v>
      </c>
      <c r="C152" s="770">
        <v>0</v>
      </c>
      <c r="D152" s="770">
        <v>0</v>
      </c>
      <c r="E152" s="770">
        <v>0</v>
      </c>
      <c r="F152" s="770">
        <v>0</v>
      </c>
      <c r="G152" s="770">
        <v>0</v>
      </c>
      <c r="H152" s="786">
        <f t="shared" si="12"/>
        <v>0</v>
      </c>
      <c r="I152" s="776">
        <v>0</v>
      </c>
      <c r="J152" s="776">
        <v>0</v>
      </c>
      <c r="K152" s="801">
        <v>18.407</v>
      </c>
      <c r="L152" s="802">
        <v>28.512</v>
      </c>
      <c r="M152" s="803">
        <v>0</v>
      </c>
      <c r="N152" s="777">
        <v>28.512</v>
      </c>
      <c r="O152" s="776">
        <v>0</v>
      </c>
      <c r="P152" s="803">
        <v>0</v>
      </c>
      <c r="Q152" s="781">
        <v>0</v>
      </c>
      <c r="R152" s="803">
        <v>0</v>
      </c>
      <c r="S152" s="778">
        <v>0</v>
      </c>
      <c r="T152" s="778">
        <v>0</v>
      </c>
      <c r="U152" s="804">
        <v>0</v>
      </c>
      <c r="V152" s="772">
        <v>0</v>
      </c>
      <c r="W152" s="783">
        <v>0</v>
      </c>
      <c r="X152" s="803">
        <v>0</v>
      </c>
      <c r="Y152" s="778">
        <v>0</v>
      </c>
      <c r="Z152" s="802">
        <v>0</v>
      </c>
      <c r="AA152" s="803">
        <v>0</v>
      </c>
      <c r="AB152" s="803">
        <v>0</v>
      </c>
      <c r="AC152" s="778">
        <v>0</v>
      </c>
      <c r="AD152" s="782">
        <v>0</v>
      </c>
      <c r="AE152" s="803">
        <v>0</v>
      </c>
      <c r="AF152" s="771">
        <f t="shared" si="11"/>
        <v>46.918999999999997</v>
      </c>
      <c r="AG152" s="805">
        <f t="shared" si="13"/>
        <v>46.918999999999997</v>
      </c>
      <c r="AH152" s="135">
        <f t="shared" si="14"/>
        <v>0</v>
      </c>
      <c r="AI152" s="132" t="str">
        <f t="shared" si="15"/>
        <v xml:space="preserve"> </v>
      </c>
      <c r="AS152" s="139" t="s">
        <v>493</v>
      </c>
      <c r="AT152" s="139" t="s">
        <v>494</v>
      </c>
      <c r="DS152" s="304"/>
      <c r="DT152" s="304"/>
      <c r="DU152" s="647" t="s">
        <v>571</v>
      </c>
      <c r="DV152" s="647" t="s">
        <v>1134</v>
      </c>
      <c r="DW152" s="647" t="s">
        <v>1134</v>
      </c>
      <c r="DX152" s="647" t="s">
        <v>1134</v>
      </c>
      <c r="DY152" s="647" t="s">
        <v>1134</v>
      </c>
      <c r="DZ152" s="647" t="s">
        <v>1134</v>
      </c>
      <c r="EA152" s="647" t="s">
        <v>493</v>
      </c>
      <c r="EB152" s="647" t="s">
        <v>1135</v>
      </c>
      <c r="EC152" s="647" t="s">
        <v>1134</v>
      </c>
      <c r="ED152" s="647" t="s">
        <v>1136</v>
      </c>
    </row>
    <row r="153" spans="1:134" x14ac:dyDescent="0.2">
      <c r="A153" s="749" t="s">
        <v>1006</v>
      </c>
      <c r="B153" s="145">
        <v>146</v>
      </c>
      <c r="C153" s="770">
        <v>0</v>
      </c>
      <c r="D153" s="770">
        <v>0</v>
      </c>
      <c r="E153" s="770">
        <v>0</v>
      </c>
      <c r="F153" s="770">
        <v>0</v>
      </c>
      <c r="G153" s="770">
        <v>0</v>
      </c>
      <c r="H153" s="786">
        <f t="shared" si="12"/>
        <v>0</v>
      </c>
      <c r="I153" s="776">
        <v>0</v>
      </c>
      <c r="J153" s="776">
        <v>0</v>
      </c>
      <c r="K153" s="801">
        <v>0</v>
      </c>
      <c r="L153" s="802">
        <v>0</v>
      </c>
      <c r="M153" s="803">
        <v>0</v>
      </c>
      <c r="N153" s="777">
        <v>0</v>
      </c>
      <c r="O153" s="776">
        <v>0</v>
      </c>
      <c r="P153" s="803">
        <v>0</v>
      </c>
      <c r="Q153" s="781">
        <v>0</v>
      </c>
      <c r="R153" s="803">
        <v>0</v>
      </c>
      <c r="S153" s="778">
        <v>0</v>
      </c>
      <c r="T153" s="778">
        <v>0</v>
      </c>
      <c r="U153" s="804">
        <v>0</v>
      </c>
      <c r="V153" s="772">
        <v>0</v>
      </c>
      <c r="W153" s="783">
        <v>0</v>
      </c>
      <c r="X153" s="803">
        <v>0</v>
      </c>
      <c r="Y153" s="778">
        <v>0</v>
      </c>
      <c r="Z153" s="802">
        <v>0</v>
      </c>
      <c r="AA153" s="803">
        <v>0</v>
      </c>
      <c r="AB153" s="803">
        <v>0</v>
      </c>
      <c r="AC153" s="778">
        <v>0</v>
      </c>
      <c r="AD153" s="782">
        <v>0</v>
      </c>
      <c r="AE153" s="803">
        <v>0.156</v>
      </c>
      <c r="AF153" s="771">
        <f t="shared" si="11"/>
        <v>0.156</v>
      </c>
      <c r="AG153" s="805">
        <f t="shared" si="13"/>
        <v>0.156</v>
      </c>
      <c r="AH153" s="135">
        <f t="shared" si="14"/>
        <v>0</v>
      </c>
      <c r="AI153" s="132" t="str">
        <f t="shared" si="15"/>
        <v xml:space="preserve"> </v>
      </c>
      <c r="AS153" s="130" t="s">
        <v>1185</v>
      </c>
      <c r="AT153" s="139" t="s">
        <v>581</v>
      </c>
      <c r="DS153" s="304"/>
      <c r="DT153" s="304"/>
      <c r="DU153" s="647" t="s">
        <v>571</v>
      </c>
      <c r="DV153" s="647" t="s">
        <v>1134</v>
      </c>
      <c r="DW153" s="647" t="s">
        <v>1134</v>
      </c>
      <c r="DX153" s="647" t="s">
        <v>1134</v>
      </c>
      <c r="DY153" s="647" t="s">
        <v>1134</v>
      </c>
      <c r="DZ153" s="647" t="s">
        <v>1134</v>
      </c>
      <c r="EA153" s="647" t="s">
        <v>1185</v>
      </c>
      <c r="EB153" s="647" t="s">
        <v>1135</v>
      </c>
      <c r="EC153" s="647" t="s">
        <v>1134</v>
      </c>
      <c r="ED153" s="647" t="s">
        <v>1136</v>
      </c>
    </row>
    <row r="154" spans="1:134" x14ac:dyDescent="0.2">
      <c r="A154" s="749" t="s">
        <v>563</v>
      </c>
      <c r="B154" s="145">
        <v>147</v>
      </c>
      <c r="C154" s="770">
        <v>0</v>
      </c>
      <c r="D154" s="770">
        <v>0</v>
      </c>
      <c r="E154" s="770">
        <v>0</v>
      </c>
      <c r="F154" s="770">
        <v>0</v>
      </c>
      <c r="G154" s="770">
        <v>0</v>
      </c>
      <c r="H154" s="786">
        <f t="shared" si="12"/>
        <v>0</v>
      </c>
      <c r="I154" s="776">
        <v>0</v>
      </c>
      <c r="J154" s="776">
        <v>0</v>
      </c>
      <c r="K154" s="801">
        <v>0</v>
      </c>
      <c r="L154" s="802">
        <v>0</v>
      </c>
      <c r="M154" s="803">
        <v>0</v>
      </c>
      <c r="N154" s="777">
        <v>0</v>
      </c>
      <c r="O154" s="776">
        <v>0</v>
      </c>
      <c r="P154" s="803">
        <v>0</v>
      </c>
      <c r="Q154" s="781">
        <v>0</v>
      </c>
      <c r="R154" s="803">
        <v>0</v>
      </c>
      <c r="S154" s="778">
        <v>0</v>
      </c>
      <c r="T154" s="778">
        <v>0</v>
      </c>
      <c r="U154" s="804">
        <v>0</v>
      </c>
      <c r="V154" s="772">
        <v>0</v>
      </c>
      <c r="W154" s="783">
        <v>0</v>
      </c>
      <c r="X154" s="803">
        <v>0</v>
      </c>
      <c r="Y154" s="778">
        <v>0</v>
      </c>
      <c r="Z154" s="802">
        <v>0</v>
      </c>
      <c r="AA154" s="803">
        <v>0</v>
      </c>
      <c r="AB154" s="803">
        <v>0</v>
      </c>
      <c r="AC154" s="778">
        <v>0</v>
      </c>
      <c r="AD154" s="782">
        <v>0</v>
      </c>
      <c r="AE154" s="803">
        <v>0.20899999999999999</v>
      </c>
      <c r="AF154" s="771">
        <f t="shared" si="11"/>
        <v>0.20899999999999999</v>
      </c>
      <c r="AG154" s="805">
        <f t="shared" si="13"/>
        <v>0.20899999999999999</v>
      </c>
      <c r="AH154" s="135">
        <f t="shared" si="14"/>
        <v>0</v>
      </c>
      <c r="AI154" s="132" t="str">
        <f t="shared" si="15"/>
        <v xml:space="preserve"> </v>
      </c>
      <c r="AS154" s="139" t="s">
        <v>523</v>
      </c>
      <c r="AT154" s="139" t="s">
        <v>524</v>
      </c>
      <c r="DS154" s="304"/>
      <c r="DT154" s="304"/>
      <c r="DU154" s="647" t="s">
        <v>571</v>
      </c>
      <c r="DV154" s="647" t="s">
        <v>1134</v>
      </c>
      <c r="DW154" s="647" t="s">
        <v>1134</v>
      </c>
      <c r="DX154" s="647" t="s">
        <v>1134</v>
      </c>
      <c r="DY154" s="647" t="s">
        <v>1134</v>
      </c>
      <c r="DZ154" s="647" t="s">
        <v>1134</v>
      </c>
      <c r="EA154" s="647" t="s">
        <v>523</v>
      </c>
      <c r="EB154" s="647" t="s">
        <v>1135</v>
      </c>
      <c r="EC154" s="647" t="s">
        <v>1134</v>
      </c>
      <c r="ED154" s="647" t="s">
        <v>1136</v>
      </c>
    </row>
    <row r="155" spans="1:134" x14ac:dyDescent="0.2">
      <c r="A155" s="749" t="s">
        <v>1007</v>
      </c>
      <c r="B155" s="145">
        <v>148</v>
      </c>
      <c r="C155" s="770">
        <v>0</v>
      </c>
      <c r="D155" s="770">
        <v>0</v>
      </c>
      <c r="E155" s="770">
        <v>0</v>
      </c>
      <c r="F155" s="770">
        <v>0</v>
      </c>
      <c r="G155" s="770">
        <v>0</v>
      </c>
      <c r="H155" s="786">
        <f t="shared" si="12"/>
        <v>0</v>
      </c>
      <c r="I155" s="776">
        <v>0</v>
      </c>
      <c r="J155" s="776">
        <v>0</v>
      </c>
      <c r="K155" s="801">
        <v>0</v>
      </c>
      <c r="L155" s="802">
        <v>0</v>
      </c>
      <c r="M155" s="803">
        <v>0</v>
      </c>
      <c r="N155" s="777">
        <v>0</v>
      </c>
      <c r="O155" s="776">
        <v>0</v>
      </c>
      <c r="P155" s="803">
        <v>0</v>
      </c>
      <c r="Q155" s="781">
        <v>0</v>
      </c>
      <c r="R155" s="803">
        <v>0</v>
      </c>
      <c r="S155" s="778">
        <v>0</v>
      </c>
      <c r="T155" s="778">
        <v>0</v>
      </c>
      <c r="U155" s="804">
        <v>0</v>
      </c>
      <c r="V155" s="772">
        <v>0</v>
      </c>
      <c r="W155" s="783">
        <v>0</v>
      </c>
      <c r="X155" s="803">
        <v>0</v>
      </c>
      <c r="Y155" s="778">
        <v>0</v>
      </c>
      <c r="Z155" s="802">
        <v>0</v>
      </c>
      <c r="AA155" s="803">
        <v>0</v>
      </c>
      <c r="AB155" s="803">
        <v>0</v>
      </c>
      <c r="AC155" s="778">
        <v>0</v>
      </c>
      <c r="AD155" s="782">
        <v>0</v>
      </c>
      <c r="AE155" s="803">
        <v>0.30299999999999999</v>
      </c>
      <c r="AF155" s="771">
        <f t="shared" si="11"/>
        <v>0.30299999999999999</v>
      </c>
      <c r="AG155" s="805">
        <f t="shared" si="13"/>
        <v>0.30299999999999999</v>
      </c>
      <c r="AH155" s="135">
        <f t="shared" si="14"/>
        <v>0</v>
      </c>
      <c r="AI155" s="132" t="str">
        <f t="shared" si="15"/>
        <v xml:space="preserve"> </v>
      </c>
      <c r="AS155" s="139" t="s">
        <v>1102</v>
      </c>
      <c r="AT155" s="139" t="s">
        <v>1103</v>
      </c>
      <c r="DS155" s="304"/>
      <c r="DT155" s="304"/>
      <c r="DU155" s="647" t="s">
        <v>571</v>
      </c>
      <c r="DV155" s="647" t="s">
        <v>1134</v>
      </c>
      <c r="DW155" s="647" t="s">
        <v>1134</v>
      </c>
      <c r="DX155" s="647" t="s">
        <v>1134</v>
      </c>
      <c r="DY155" s="647" t="s">
        <v>1134</v>
      </c>
      <c r="DZ155" s="647" t="s">
        <v>1134</v>
      </c>
      <c r="EA155" s="647" t="s">
        <v>1102</v>
      </c>
      <c r="EB155" s="647" t="s">
        <v>1135</v>
      </c>
      <c r="EC155" s="647" t="s">
        <v>1134</v>
      </c>
      <c r="ED155" s="647" t="s">
        <v>1136</v>
      </c>
    </row>
    <row r="156" spans="1:134" x14ac:dyDescent="0.2">
      <c r="A156" s="749" t="s">
        <v>73</v>
      </c>
      <c r="B156" s="145">
        <v>149</v>
      </c>
      <c r="C156" s="770">
        <v>0</v>
      </c>
      <c r="D156" s="770">
        <v>0</v>
      </c>
      <c r="E156" s="770">
        <v>0</v>
      </c>
      <c r="F156" s="770">
        <v>0</v>
      </c>
      <c r="G156" s="770">
        <v>0</v>
      </c>
      <c r="H156" s="786">
        <f t="shared" si="12"/>
        <v>0</v>
      </c>
      <c r="I156" s="776">
        <v>0</v>
      </c>
      <c r="J156" s="776">
        <v>0</v>
      </c>
      <c r="K156" s="801">
        <v>0</v>
      </c>
      <c r="L156" s="802">
        <v>0</v>
      </c>
      <c r="M156" s="803">
        <v>0</v>
      </c>
      <c r="N156" s="777">
        <v>0</v>
      </c>
      <c r="O156" s="776">
        <v>0</v>
      </c>
      <c r="P156" s="803">
        <v>0</v>
      </c>
      <c r="Q156" s="781">
        <v>0</v>
      </c>
      <c r="R156" s="803">
        <v>0</v>
      </c>
      <c r="S156" s="778">
        <v>0</v>
      </c>
      <c r="T156" s="778">
        <v>0</v>
      </c>
      <c r="U156" s="804">
        <v>0</v>
      </c>
      <c r="V156" s="772">
        <v>0</v>
      </c>
      <c r="W156" s="783">
        <v>0</v>
      </c>
      <c r="X156" s="803">
        <v>0</v>
      </c>
      <c r="Y156" s="778">
        <v>0</v>
      </c>
      <c r="Z156" s="802">
        <v>0</v>
      </c>
      <c r="AA156" s="803">
        <v>0</v>
      </c>
      <c r="AB156" s="803">
        <v>0</v>
      </c>
      <c r="AC156" s="778">
        <v>0</v>
      </c>
      <c r="AD156" s="782">
        <v>0</v>
      </c>
      <c r="AE156" s="803">
        <v>0.42599999999999999</v>
      </c>
      <c r="AF156" s="771">
        <f t="shared" si="11"/>
        <v>0.42599999999999999</v>
      </c>
      <c r="AG156" s="805">
        <f t="shared" si="13"/>
        <v>0.42599999999999999</v>
      </c>
      <c r="AH156" s="135">
        <f t="shared" si="14"/>
        <v>0</v>
      </c>
      <c r="AI156" s="132" t="str">
        <f t="shared" si="15"/>
        <v xml:space="preserve"> </v>
      </c>
      <c r="AS156" s="139" t="s">
        <v>582</v>
      </c>
      <c r="AT156" s="139" t="s">
        <v>583</v>
      </c>
      <c r="DS156" s="304"/>
      <c r="DT156" s="304"/>
      <c r="DU156" s="647" t="s">
        <v>571</v>
      </c>
      <c r="DV156" s="647" t="s">
        <v>1134</v>
      </c>
      <c r="DW156" s="647" t="s">
        <v>1134</v>
      </c>
      <c r="DX156" s="647" t="s">
        <v>1134</v>
      </c>
      <c r="DY156" s="647" t="s">
        <v>1134</v>
      </c>
      <c r="DZ156" s="647" t="s">
        <v>1134</v>
      </c>
      <c r="EA156" s="647" t="s">
        <v>582</v>
      </c>
      <c r="EB156" s="647" t="s">
        <v>1135</v>
      </c>
      <c r="EC156" s="647" t="s">
        <v>1134</v>
      </c>
      <c r="ED156" s="647" t="s">
        <v>1136</v>
      </c>
    </row>
    <row r="157" spans="1:134" x14ac:dyDescent="0.2">
      <c r="A157" s="749" t="s">
        <v>1008</v>
      </c>
      <c r="B157" s="145">
        <v>150</v>
      </c>
      <c r="C157" s="770">
        <v>0</v>
      </c>
      <c r="D157" s="770">
        <v>0</v>
      </c>
      <c r="E157" s="770">
        <v>0</v>
      </c>
      <c r="F157" s="770">
        <v>0</v>
      </c>
      <c r="G157" s="770">
        <v>0</v>
      </c>
      <c r="H157" s="786">
        <f t="shared" si="12"/>
        <v>0</v>
      </c>
      <c r="I157" s="776">
        <v>0</v>
      </c>
      <c r="J157" s="776">
        <v>0</v>
      </c>
      <c r="K157" s="801">
        <v>0</v>
      </c>
      <c r="L157" s="802">
        <v>0</v>
      </c>
      <c r="M157" s="803">
        <v>0</v>
      </c>
      <c r="N157" s="777">
        <v>0</v>
      </c>
      <c r="O157" s="776">
        <v>0</v>
      </c>
      <c r="P157" s="803">
        <v>0</v>
      </c>
      <c r="Q157" s="781">
        <v>0</v>
      </c>
      <c r="R157" s="803">
        <v>0</v>
      </c>
      <c r="S157" s="778">
        <v>0</v>
      </c>
      <c r="T157" s="778">
        <v>0</v>
      </c>
      <c r="U157" s="804">
        <v>0</v>
      </c>
      <c r="V157" s="772">
        <v>0</v>
      </c>
      <c r="W157" s="783">
        <v>0</v>
      </c>
      <c r="X157" s="803">
        <v>0</v>
      </c>
      <c r="Y157" s="778">
        <v>0</v>
      </c>
      <c r="Z157" s="802">
        <v>0</v>
      </c>
      <c r="AA157" s="803">
        <v>0</v>
      </c>
      <c r="AB157" s="803">
        <v>0</v>
      </c>
      <c r="AC157" s="778">
        <v>0</v>
      </c>
      <c r="AD157" s="782">
        <v>0</v>
      </c>
      <c r="AE157" s="803">
        <v>0</v>
      </c>
      <c r="AF157" s="771">
        <f t="shared" si="11"/>
        <v>0</v>
      </c>
      <c r="AG157" s="805">
        <f t="shared" si="13"/>
        <v>0</v>
      </c>
      <c r="AH157" s="135">
        <f t="shared" si="14"/>
        <v>0</v>
      </c>
      <c r="AI157" s="132" t="str">
        <f t="shared" si="15"/>
        <v xml:space="preserve"> </v>
      </c>
      <c r="AS157" s="139" t="s">
        <v>1104</v>
      </c>
      <c r="AT157" s="139" t="s">
        <v>1105</v>
      </c>
      <c r="DS157" s="304"/>
      <c r="DT157" s="304"/>
      <c r="DU157" s="647" t="s">
        <v>571</v>
      </c>
      <c r="DV157" s="647" t="s">
        <v>1134</v>
      </c>
      <c r="DW157" s="647" t="s">
        <v>1134</v>
      </c>
      <c r="DX157" s="647" t="s">
        <v>1134</v>
      </c>
      <c r="DY157" s="647" t="s">
        <v>1134</v>
      </c>
      <c r="DZ157" s="647" t="s">
        <v>1134</v>
      </c>
      <c r="EA157" s="647" t="s">
        <v>1104</v>
      </c>
      <c r="EB157" s="647" t="s">
        <v>1135</v>
      </c>
      <c r="EC157" s="647" t="s">
        <v>1134</v>
      </c>
      <c r="ED157" s="647" t="s">
        <v>1136</v>
      </c>
    </row>
    <row r="158" spans="1:134" x14ac:dyDescent="0.2">
      <c r="A158" s="749" t="s">
        <v>1009</v>
      </c>
      <c r="B158" s="145">
        <v>151</v>
      </c>
      <c r="C158" s="770">
        <v>0</v>
      </c>
      <c r="D158" s="770">
        <v>0</v>
      </c>
      <c r="E158" s="770">
        <v>0</v>
      </c>
      <c r="F158" s="770">
        <v>0</v>
      </c>
      <c r="G158" s="770">
        <v>0</v>
      </c>
      <c r="H158" s="786">
        <f t="shared" si="12"/>
        <v>0</v>
      </c>
      <c r="I158" s="776">
        <v>0</v>
      </c>
      <c r="J158" s="776">
        <v>0</v>
      </c>
      <c r="K158" s="801">
        <v>0</v>
      </c>
      <c r="L158" s="802">
        <v>0</v>
      </c>
      <c r="M158" s="803">
        <v>0</v>
      </c>
      <c r="N158" s="777">
        <v>0</v>
      </c>
      <c r="O158" s="776">
        <v>0</v>
      </c>
      <c r="P158" s="803">
        <v>0</v>
      </c>
      <c r="Q158" s="781">
        <v>0</v>
      </c>
      <c r="R158" s="803">
        <v>0</v>
      </c>
      <c r="S158" s="778">
        <v>0</v>
      </c>
      <c r="T158" s="778">
        <v>0</v>
      </c>
      <c r="U158" s="804">
        <v>0</v>
      </c>
      <c r="V158" s="772">
        <v>0</v>
      </c>
      <c r="W158" s="783">
        <v>0</v>
      </c>
      <c r="X158" s="803">
        <v>0</v>
      </c>
      <c r="Y158" s="778">
        <v>0</v>
      </c>
      <c r="Z158" s="802">
        <v>12.598000000000001</v>
      </c>
      <c r="AA158" s="803">
        <v>8.0679999999999996</v>
      </c>
      <c r="AB158" s="803">
        <v>0</v>
      </c>
      <c r="AC158" s="778">
        <v>4.53</v>
      </c>
      <c r="AD158" s="782">
        <v>0</v>
      </c>
      <c r="AE158" s="803">
        <v>0.56899999999999995</v>
      </c>
      <c r="AF158" s="771">
        <f t="shared" si="11"/>
        <v>13.167</v>
      </c>
      <c r="AG158" s="805">
        <f t="shared" si="13"/>
        <v>13.167</v>
      </c>
      <c r="AH158" s="135">
        <f t="shared" si="14"/>
        <v>0</v>
      </c>
      <c r="AI158" s="132" t="str">
        <f t="shared" si="15"/>
        <v xml:space="preserve"> </v>
      </c>
      <c r="AS158" s="139" t="s">
        <v>1106</v>
      </c>
      <c r="AT158" s="139" t="s">
        <v>1107</v>
      </c>
      <c r="DS158" s="304"/>
      <c r="DT158" s="304"/>
      <c r="DU158" s="647" t="s">
        <v>571</v>
      </c>
      <c r="DV158" s="647" t="s">
        <v>1134</v>
      </c>
      <c r="DW158" s="647" t="s">
        <v>1134</v>
      </c>
      <c r="DX158" s="647" t="s">
        <v>1134</v>
      </c>
      <c r="DY158" s="647" t="s">
        <v>1134</v>
      </c>
      <c r="DZ158" s="647" t="s">
        <v>1134</v>
      </c>
      <c r="EA158" s="647" t="s">
        <v>1106</v>
      </c>
      <c r="EB158" s="647" t="s">
        <v>1135</v>
      </c>
      <c r="EC158" s="647" t="s">
        <v>1134</v>
      </c>
      <c r="ED158" s="647" t="s">
        <v>1136</v>
      </c>
    </row>
    <row r="159" spans="1:134" x14ac:dyDescent="0.2">
      <c r="A159" s="749" t="s">
        <v>100</v>
      </c>
      <c r="B159" s="145">
        <v>152</v>
      </c>
      <c r="C159" s="770">
        <v>0</v>
      </c>
      <c r="D159" s="770">
        <v>0</v>
      </c>
      <c r="E159" s="770">
        <v>0</v>
      </c>
      <c r="F159" s="770">
        <v>0</v>
      </c>
      <c r="G159" s="770">
        <v>0</v>
      </c>
      <c r="H159" s="786">
        <f t="shared" si="12"/>
        <v>0</v>
      </c>
      <c r="I159" s="776">
        <v>0</v>
      </c>
      <c r="J159" s="776">
        <v>0</v>
      </c>
      <c r="K159" s="801">
        <v>1E-3</v>
      </c>
      <c r="L159" s="802">
        <v>3.0000000000000001E-3</v>
      </c>
      <c r="M159" s="803">
        <v>0</v>
      </c>
      <c r="N159" s="777">
        <v>3.0000000000000001E-3</v>
      </c>
      <c r="O159" s="776">
        <v>0</v>
      </c>
      <c r="P159" s="803">
        <v>0</v>
      </c>
      <c r="Q159" s="781">
        <v>0</v>
      </c>
      <c r="R159" s="803">
        <v>0</v>
      </c>
      <c r="S159" s="778">
        <v>0</v>
      </c>
      <c r="T159" s="778">
        <v>0</v>
      </c>
      <c r="U159" s="804">
        <v>0</v>
      </c>
      <c r="V159" s="772">
        <v>0</v>
      </c>
      <c r="W159" s="783">
        <v>0</v>
      </c>
      <c r="X159" s="803">
        <v>0</v>
      </c>
      <c r="Y159" s="778">
        <v>0</v>
      </c>
      <c r="Z159" s="802">
        <v>0</v>
      </c>
      <c r="AA159" s="803">
        <v>0</v>
      </c>
      <c r="AB159" s="803">
        <v>0</v>
      </c>
      <c r="AC159" s="778">
        <v>0</v>
      </c>
      <c r="AD159" s="782">
        <v>0</v>
      </c>
      <c r="AE159" s="803">
        <v>2.5000000000000001E-2</v>
      </c>
      <c r="AF159" s="771">
        <f t="shared" si="11"/>
        <v>2.9000000000000001E-2</v>
      </c>
      <c r="AG159" s="805">
        <f t="shared" si="13"/>
        <v>2.9000000000000001E-2</v>
      </c>
      <c r="AH159" s="135">
        <f t="shared" si="14"/>
        <v>0</v>
      </c>
      <c r="AI159" s="132" t="str">
        <f t="shared" si="15"/>
        <v xml:space="preserve"> </v>
      </c>
      <c r="AS159" s="139" t="s">
        <v>495</v>
      </c>
      <c r="AT159" s="139" t="s">
        <v>496</v>
      </c>
      <c r="DS159" s="304"/>
      <c r="DT159" s="304"/>
      <c r="DU159" s="647" t="s">
        <v>571</v>
      </c>
      <c r="DV159" s="647" t="s">
        <v>1134</v>
      </c>
      <c r="DW159" s="647" t="s">
        <v>1134</v>
      </c>
      <c r="DX159" s="647" t="s">
        <v>1134</v>
      </c>
      <c r="DY159" s="647" t="s">
        <v>1134</v>
      </c>
      <c r="DZ159" s="647" t="s">
        <v>1134</v>
      </c>
      <c r="EA159" s="647" t="s">
        <v>495</v>
      </c>
      <c r="EB159" s="647" t="s">
        <v>1135</v>
      </c>
      <c r="EC159" s="647" t="s">
        <v>1134</v>
      </c>
      <c r="ED159" s="647" t="s">
        <v>1136</v>
      </c>
    </row>
    <row r="160" spans="1:134" x14ac:dyDescent="0.2">
      <c r="A160" s="749" t="s">
        <v>65</v>
      </c>
      <c r="B160" s="145">
        <v>153</v>
      </c>
      <c r="C160" s="770">
        <v>0</v>
      </c>
      <c r="D160" s="770">
        <v>0</v>
      </c>
      <c r="E160" s="770">
        <v>0</v>
      </c>
      <c r="F160" s="770">
        <v>3.0000000000000001E-3</v>
      </c>
      <c r="G160" s="770">
        <v>0</v>
      </c>
      <c r="H160" s="786">
        <f t="shared" si="12"/>
        <v>3.0000000000000001E-3</v>
      </c>
      <c r="I160" s="776">
        <v>0</v>
      </c>
      <c r="J160" s="776">
        <v>0</v>
      </c>
      <c r="K160" s="801">
        <v>18.341999999999999</v>
      </c>
      <c r="L160" s="802">
        <v>28.41</v>
      </c>
      <c r="M160" s="803">
        <v>0</v>
      </c>
      <c r="N160" s="777">
        <v>28.41</v>
      </c>
      <c r="O160" s="776">
        <v>0</v>
      </c>
      <c r="P160" s="803">
        <v>0</v>
      </c>
      <c r="Q160" s="781">
        <v>0</v>
      </c>
      <c r="R160" s="803">
        <v>0</v>
      </c>
      <c r="S160" s="778">
        <v>0</v>
      </c>
      <c r="T160" s="778">
        <v>0</v>
      </c>
      <c r="U160" s="804">
        <v>0</v>
      </c>
      <c r="V160" s="772">
        <v>0</v>
      </c>
      <c r="W160" s="783">
        <v>0</v>
      </c>
      <c r="X160" s="803">
        <v>0</v>
      </c>
      <c r="Y160" s="778">
        <v>0</v>
      </c>
      <c r="Z160" s="802">
        <v>0</v>
      </c>
      <c r="AA160" s="803">
        <v>0</v>
      </c>
      <c r="AB160" s="803">
        <v>0</v>
      </c>
      <c r="AC160" s="778">
        <v>0</v>
      </c>
      <c r="AD160" s="782">
        <v>0</v>
      </c>
      <c r="AE160" s="803">
        <v>0.379</v>
      </c>
      <c r="AF160" s="771">
        <f t="shared" si="11"/>
        <v>47.131</v>
      </c>
      <c r="AG160" s="805">
        <f t="shared" si="13"/>
        <v>47.134</v>
      </c>
      <c r="AH160" s="135">
        <f t="shared" si="14"/>
        <v>0</v>
      </c>
      <c r="AI160" s="132" t="str">
        <f t="shared" si="15"/>
        <v xml:space="preserve"> </v>
      </c>
      <c r="AS160" s="139" t="s">
        <v>497</v>
      </c>
      <c r="AT160" s="139" t="s">
        <v>498</v>
      </c>
      <c r="DS160" s="304"/>
      <c r="DT160" s="304"/>
      <c r="DU160" s="647" t="s">
        <v>571</v>
      </c>
      <c r="DV160" s="647" t="s">
        <v>1134</v>
      </c>
      <c r="DW160" s="647" t="s">
        <v>1134</v>
      </c>
      <c r="DX160" s="647" t="s">
        <v>1134</v>
      </c>
      <c r="DY160" s="647" t="s">
        <v>1134</v>
      </c>
      <c r="DZ160" s="647" t="s">
        <v>1134</v>
      </c>
      <c r="EA160" s="647" t="s">
        <v>497</v>
      </c>
      <c r="EB160" s="647" t="s">
        <v>1135</v>
      </c>
      <c r="EC160" s="647" t="s">
        <v>1134</v>
      </c>
      <c r="ED160" s="647" t="s">
        <v>1136</v>
      </c>
    </row>
    <row r="161" spans="1:134" x14ac:dyDescent="0.2">
      <c r="A161" s="749" t="s">
        <v>66</v>
      </c>
      <c r="B161" s="145">
        <v>154</v>
      </c>
      <c r="C161" s="770">
        <v>0</v>
      </c>
      <c r="D161" s="770">
        <v>0</v>
      </c>
      <c r="E161" s="770">
        <v>0</v>
      </c>
      <c r="F161" s="770">
        <v>2.9000000000000001E-2</v>
      </c>
      <c r="G161" s="770">
        <v>0</v>
      </c>
      <c r="H161" s="786">
        <f t="shared" si="12"/>
        <v>2.9000000000000001E-2</v>
      </c>
      <c r="I161" s="776">
        <v>0</v>
      </c>
      <c r="J161" s="776">
        <v>0</v>
      </c>
      <c r="K161" s="801">
        <v>0.189</v>
      </c>
      <c r="L161" s="802">
        <v>0.29199999999999998</v>
      </c>
      <c r="M161" s="803">
        <v>0</v>
      </c>
      <c r="N161" s="777">
        <v>0.29199999999999998</v>
      </c>
      <c r="O161" s="776">
        <v>1.954</v>
      </c>
      <c r="P161" s="803">
        <v>0</v>
      </c>
      <c r="Q161" s="781">
        <v>3.1E-2</v>
      </c>
      <c r="R161" s="803">
        <v>0</v>
      </c>
      <c r="S161" s="778">
        <v>3.1E-2</v>
      </c>
      <c r="T161" s="778">
        <v>3.0000000000000001E-3</v>
      </c>
      <c r="U161" s="804">
        <v>24.908000000000001</v>
      </c>
      <c r="V161" s="772">
        <v>8.2829999999999995</v>
      </c>
      <c r="W161" s="783">
        <v>33.191000000000003</v>
      </c>
      <c r="X161" s="803">
        <v>0</v>
      </c>
      <c r="Y161" s="778">
        <v>33.191000000000003</v>
      </c>
      <c r="Z161" s="802">
        <v>0</v>
      </c>
      <c r="AA161" s="803">
        <v>0</v>
      </c>
      <c r="AB161" s="803">
        <v>0</v>
      </c>
      <c r="AC161" s="778">
        <v>0</v>
      </c>
      <c r="AD161" s="782">
        <v>0.28799999999999998</v>
      </c>
      <c r="AE161" s="803">
        <v>3.2530000000000001</v>
      </c>
      <c r="AF161" s="771">
        <f t="shared" si="11"/>
        <v>39.201000000000001</v>
      </c>
      <c r="AG161" s="805">
        <f t="shared" si="13"/>
        <v>39.229999999999997</v>
      </c>
      <c r="AH161" s="135">
        <f t="shared" si="14"/>
        <v>0</v>
      </c>
      <c r="AI161" s="132" t="str">
        <f t="shared" si="15"/>
        <v xml:space="preserve"> </v>
      </c>
      <c r="AS161" s="139" t="s">
        <v>285</v>
      </c>
      <c r="AT161" s="139" t="s">
        <v>284</v>
      </c>
      <c r="DS161" s="304"/>
      <c r="DT161" s="304"/>
      <c r="DU161" s="647" t="s">
        <v>571</v>
      </c>
      <c r="DV161" s="647" t="s">
        <v>1134</v>
      </c>
      <c r="DW161" s="647" t="s">
        <v>1134</v>
      </c>
      <c r="DX161" s="647" t="s">
        <v>1134</v>
      </c>
      <c r="DY161" s="647" t="s">
        <v>1134</v>
      </c>
      <c r="DZ161" s="647" t="s">
        <v>1134</v>
      </c>
      <c r="EA161" s="647" t="s">
        <v>285</v>
      </c>
      <c r="EB161" s="647" t="s">
        <v>1135</v>
      </c>
      <c r="EC161" s="647" t="s">
        <v>1134</v>
      </c>
      <c r="ED161" s="647" t="s">
        <v>1136</v>
      </c>
    </row>
    <row r="162" spans="1:134" x14ac:dyDescent="0.2">
      <c r="A162" s="749" t="s">
        <v>564</v>
      </c>
      <c r="B162" s="145">
        <v>155</v>
      </c>
      <c r="C162" s="770">
        <v>0</v>
      </c>
      <c r="D162" s="770">
        <v>0</v>
      </c>
      <c r="E162" s="770">
        <v>0</v>
      </c>
      <c r="F162" s="770">
        <v>0</v>
      </c>
      <c r="G162" s="770">
        <v>0</v>
      </c>
      <c r="H162" s="786">
        <f t="shared" si="12"/>
        <v>0</v>
      </c>
      <c r="I162" s="776">
        <v>0</v>
      </c>
      <c r="J162" s="776">
        <v>0</v>
      </c>
      <c r="K162" s="801">
        <v>0</v>
      </c>
      <c r="L162" s="802">
        <v>0</v>
      </c>
      <c r="M162" s="803">
        <v>0</v>
      </c>
      <c r="N162" s="777">
        <v>0</v>
      </c>
      <c r="O162" s="776">
        <v>0</v>
      </c>
      <c r="P162" s="803">
        <v>0</v>
      </c>
      <c r="Q162" s="781">
        <v>0</v>
      </c>
      <c r="R162" s="803">
        <v>0</v>
      </c>
      <c r="S162" s="778">
        <v>0</v>
      </c>
      <c r="T162" s="778">
        <v>0</v>
      </c>
      <c r="U162" s="804">
        <v>0</v>
      </c>
      <c r="V162" s="772">
        <v>0</v>
      </c>
      <c r="W162" s="783">
        <v>0</v>
      </c>
      <c r="X162" s="803">
        <v>0</v>
      </c>
      <c r="Y162" s="778">
        <v>0</v>
      </c>
      <c r="Z162" s="802">
        <v>0</v>
      </c>
      <c r="AA162" s="803">
        <v>0</v>
      </c>
      <c r="AB162" s="803">
        <v>0</v>
      </c>
      <c r="AC162" s="778">
        <v>0</v>
      </c>
      <c r="AD162" s="782">
        <v>0</v>
      </c>
      <c r="AE162" s="803">
        <v>7.0000000000000001E-3</v>
      </c>
      <c r="AF162" s="771">
        <f t="shared" si="11"/>
        <v>7.0000000000000001E-3</v>
      </c>
      <c r="AG162" s="805">
        <f t="shared" si="13"/>
        <v>7.0000000000000001E-3</v>
      </c>
      <c r="AH162" s="135">
        <f t="shared" si="14"/>
        <v>0</v>
      </c>
      <c r="AI162" s="132" t="str">
        <f t="shared" si="15"/>
        <v xml:space="preserve"> </v>
      </c>
      <c r="AS162" s="139" t="s">
        <v>525</v>
      </c>
      <c r="AT162" s="139" t="s">
        <v>526</v>
      </c>
      <c r="DS162" s="304"/>
      <c r="DT162" s="304"/>
      <c r="DU162" s="647" t="s">
        <v>571</v>
      </c>
      <c r="DV162" s="647" t="s">
        <v>1134</v>
      </c>
      <c r="DW162" s="647" t="s">
        <v>1134</v>
      </c>
      <c r="DX162" s="647" t="s">
        <v>1134</v>
      </c>
      <c r="DY162" s="647" t="s">
        <v>1134</v>
      </c>
      <c r="DZ162" s="647" t="s">
        <v>1134</v>
      </c>
      <c r="EA162" s="647" t="s">
        <v>525</v>
      </c>
      <c r="EB162" s="647" t="s">
        <v>1135</v>
      </c>
      <c r="EC162" s="647" t="s">
        <v>1134</v>
      </c>
      <c r="ED162" s="647" t="s">
        <v>1136</v>
      </c>
    </row>
    <row r="163" spans="1:134" x14ac:dyDescent="0.2">
      <c r="A163" s="749" t="s">
        <v>1010</v>
      </c>
      <c r="B163" s="145">
        <v>156</v>
      </c>
      <c r="C163" s="770">
        <v>0</v>
      </c>
      <c r="D163" s="770">
        <v>0</v>
      </c>
      <c r="E163" s="770">
        <v>0</v>
      </c>
      <c r="F163" s="770">
        <v>0</v>
      </c>
      <c r="G163" s="770">
        <v>0</v>
      </c>
      <c r="H163" s="786">
        <f t="shared" si="12"/>
        <v>0</v>
      </c>
      <c r="I163" s="776">
        <v>0</v>
      </c>
      <c r="J163" s="776">
        <v>0</v>
      </c>
      <c r="K163" s="801">
        <v>0</v>
      </c>
      <c r="L163" s="802">
        <v>0</v>
      </c>
      <c r="M163" s="803">
        <v>0</v>
      </c>
      <c r="N163" s="777">
        <v>0</v>
      </c>
      <c r="O163" s="776">
        <v>0</v>
      </c>
      <c r="P163" s="803">
        <v>0</v>
      </c>
      <c r="Q163" s="781">
        <v>0</v>
      </c>
      <c r="R163" s="803">
        <v>0</v>
      </c>
      <c r="S163" s="778">
        <v>0</v>
      </c>
      <c r="T163" s="778">
        <v>0</v>
      </c>
      <c r="U163" s="804">
        <v>0</v>
      </c>
      <c r="V163" s="772">
        <v>0</v>
      </c>
      <c r="W163" s="783">
        <v>0</v>
      </c>
      <c r="X163" s="803">
        <v>0</v>
      </c>
      <c r="Y163" s="778">
        <v>0</v>
      </c>
      <c r="Z163" s="802">
        <v>0</v>
      </c>
      <c r="AA163" s="803">
        <v>0</v>
      </c>
      <c r="AB163" s="803">
        <v>0</v>
      </c>
      <c r="AC163" s="778">
        <v>0</v>
      </c>
      <c r="AD163" s="782">
        <v>0</v>
      </c>
      <c r="AE163" s="803">
        <v>0</v>
      </c>
      <c r="AF163" s="771">
        <f t="shared" si="11"/>
        <v>0</v>
      </c>
      <c r="AG163" s="805">
        <f t="shared" si="13"/>
        <v>0</v>
      </c>
      <c r="AH163" s="135">
        <f t="shared" si="14"/>
        <v>0</v>
      </c>
      <c r="AI163" s="132" t="str">
        <f t="shared" si="15"/>
        <v xml:space="preserve"> </v>
      </c>
      <c r="AS163" s="139" t="s">
        <v>1108</v>
      </c>
      <c r="AT163" s="139" t="s">
        <v>1109</v>
      </c>
      <c r="DS163" s="304"/>
      <c r="DT163" s="304"/>
      <c r="DU163" s="647" t="s">
        <v>571</v>
      </c>
      <c r="DV163" s="647" t="s">
        <v>1134</v>
      </c>
      <c r="DW163" s="647" t="s">
        <v>1134</v>
      </c>
      <c r="DX163" s="647" t="s">
        <v>1134</v>
      </c>
      <c r="DY163" s="647" t="s">
        <v>1134</v>
      </c>
      <c r="DZ163" s="647" t="s">
        <v>1134</v>
      </c>
      <c r="EA163" s="647" t="s">
        <v>1108</v>
      </c>
      <c r="EB163" s="647" t="s">
        <v>1135</v>
      </c>
      <c r="EC163" s="647" t="s">
        <v>1134</v>
      </c>
      <c r="ED163" s="647" t="s">
        <v>1136</v>
      </c>
    </row>
    <row r="164" spans="1:134" x14ac:dyDescent="0.2">
      <c r="A164" s="749" t="s">
        <v>565</v>
      </c>
      <c r="B164" s="145">
        <v>157</v>
      </c>
      <c r="C164" s="770">
        <v>0</v>
      </c>
      <c r="D164" s="770">
        <v>0</v>
      </c>
      <c r="E164" s="770">
        <v>0</v>
      </c>
      <c r="F164" s="770">
        <v>0.29599999999999999</v>
      </c>
      <c r="G164" s="770">
        <v>0</v>
      </c>
      <c r="H164" s="786">
        <f t="shared" si="12"/>
        <v>0.29599999999999999</v>
      </c>
      <c r="I164" s="776">
        <v>0</v>
      </c>
      <c r="J164" s="776">
        <v>0</v>
      </c>
      <c r="K164" s="801">
        <v>5.0999999999999997E-2</v>
      </c>
      <c r="L164" s="802">
        <v>7.6999999999999999E-2</v>
      </c>
      <c r="M164" s="803">
        <v>0</v>
      </c>
      <c r="N164" s="777">
        <v>7.6999999999999999E-2</v>
      </c>
      <c r="O164" s="776">
        <v>6.0000000000000001E-3</v>
      </c>
      <c r="P164" s="803">
        <v>0</v>
      </c>
      <c r="Q164" s="781">
        <v>0</v>
      </c>
      <c r="R164" s="803">
        <v>0</v>
      </c>
      <c r="S164" s="778">
        <v>0</v>
      </c>
      <c r="T164" s="778">
        <v>0</v>
      </c>
      <c r="U164" s="804">
        <v>0</v>
      </c>
      <c r="V164" s="772">
        <v>0</v>
      </c>
      <c r="W164" s="783">
        <v>0</v>
      </c>
      <c r="X164" s="803">
        <v>0</v>
      </c>
      <c r="Y164" s="778">
        <v>0</v>
      </c>
      <c r="Z164" s="802">
        <v>0</v>
      </c>
      <c r="AA164" s="803">
        <v>0</v>
      </c>
      <c r="AB164" s="803">
        <v>0</v>
      </c>
      <c r="AC164" s="778">
        <v>0</v>
      </c>
      <c r="AD164" s="782">
        <v>0</v>
      </c>
      <c r="AE164" s="803">
        <v>0.97699999999999998</v>
      </c>
      <c r="AF164" s="771">
        <f t="shared" si="11"/>
        <v>1.111</v>
      </c>
      <c r="AG164" s="805">
        <f t="shared" si="13"/>
        <v>1.407</v>
      </c>
      <c r="AH164" s="135">
        <f t="shared" si="14"/>
        <v>0</v>
      </c>
      <c r="AI164" s="132" t="str">
        <f t="shared" si="15"/>
        <v xml:space="preserve"> </v>
      </c>
      <c r="AS164" s="139" t="s">
        <v>527</v>
      </c>
      <c r="AT164" s="139" t="s">
        <v>528</v>
      </c>
      <c r="DS164" s="304"/>
      <c r="DT164" s="304"/>
      <c r="DU164" s="647" t="s">
        <v>571</v>
      </c>
      <c r="DV164" s="647" t="s">
        <v>1134</v>
      </c>
      <c r="DW164" s="647" t="s">
        <v>1134</v>
      </c>
      <c r="DX164" s="647" t="s">
        <v>1134</v>
      </c>
      <c r="DY164" s="647" t="s">
        <v>1134</v>
      </c>
      <c r="DZ164" s="647" t="s">
        <v>1134</v>
      </c>
      <c r="EA164" s="647" t="s">
        <v>527</v>
      </c>
      <c r="EB164" s="647" t="s">
        <v>1135</v>
      </c>
      <c r="EC164" s="647" t="s">
        <v>1134</v>
      </c>
      <c r="ED164" s="647" t="s">
        <v>1136</v>
      </c>
    </row>
    <row r="165" spans="1:134" x14ac:dyDescent="0.2">
      <c r="A165" s="749" t="s">
        <v>96</v>
      </c>
      <c r="B165" s="145">
        <v>158</v>
      </c>
      <c r="C165" s="770">
        <v>0</v>
      </c>
      <c r="D165" s="770">
        <v>0</v>
      </c>
      <c r="E165" s="770">
        <v>0</v>
      </c>
      <c r="F165" s="770">
        <v>7.0999999999999994E-2</v>
      </c>
      <c r="G165" s="770">
        <v>0</v>
      </c>
      <c r="H165" s="786">
        <f t="shared" si="12"/>
        <v>7.0999999999999994E-2</v>
      </c>
      <c r="I165" s="776">
        <v>0</v>
      </c>
      <c r="J165" s="776">
        <v>0</v>
      </c>
      <c r="K165" s="801">
        <v>0</v>
      </c>
      <c r="L165" s="802">
        <v>0</v>
      </c>
      <c r="M165" s="803">
        <v>0</v>
      </c>
      <c r="N165" s="777">
        <v>0</v>
      </c>
      <c r="O165" s="776">
        <v>8.7999999999999995E-2</v>
      </c>
      <c r="P165" s="803">
        <v>0</v>
      </c>
      <c r="Q165" s="781">
        <v>0</v>
      </c>
      <c r="R165" s="803">
        <v>0</v>
      </c>
      <c r="S165" s="778">
        <v>0</v>
      </c>
      <c r="T165" s="778">
        <v>0</v>
      </c>
      <c r="U165" s="804">
        <v>0</v>
      </c>
      <c r="V165" s="772">
        <v>0</v>
      </c>
      <c r="W165" s="783">
        <v>0</v>
      </c>
      <c r="X165" s="803">
        <v>0</v>
      </c>
      <c r="Y165" s="778">
        <v>0</v>
      </c>
      <c r="Z165" s="802">
        <v>0</v>
      </c>
      <c r="AA165" s="803">
        <v>0</v>
      </c>
      <c r="AB165" s="803">
        <v>0</v>
      </c>
      <c r="AC165" s="778">
        <v>0</v>
      </c>
      <c r="AD165" s="782">
        <v>0</v>
      </c>
      <c r="AE165" s="803">
        <v>1.2849999999999999</v>
      </c>
      <c r="AF165" s="771">
        <f t="shared" si="11"/>
        <v>1.373</v>
      </c>
      <c r="AG165" s="805">
        <f t="shared" si="13"/>
        <v>1.444</v>
      </c>
      <c r="AH165" s="135">
        <f t="shared" si="14"/>
        <v>0</v>
      </c>
      <c r="AI165" s="132" t="str">
        <f t="shared" si="15"/>
        <v xml:space="preserve"> </v>
      </c>
      <c r="AS165" s="139" t="s">
        <v>499</v>
      </c>
      <c r="AT165" s="139" t="s">
        <v>500</v>
      </c>
      <c r="DS165" s="304"/>
      <c r="DT165" s="304"/>
      <c r="DU165" s="647" t="s">
        <v>571</v>
      </c>
      <c r="DV165" s="647" t="s">
        <v>1134</v>
      </c>
      <c r="DW165" s="647" t="s">
        <v>1134</v>
      </c>
      <c r="DX165" s="647" t="s">
        <v>1134</v>
      </c>
      <c r="DY165" s="647" t="s">
        <v>1134</v>
      </c>
      <c r="DZ165" s="647" t="s">
        <v>1134</v>
      </c>
      <c r="EA165" s="647" t="s">
        <v>499</v>
      </c>
      <c r="EB165" s="647" t="s">
        <v>1135</v>
      </c>
      <c r="EC165" s="647" t="s">
        <v>1134</v>
      </c>
      <c r="ED165" s="647" t="s">
        <v>1136</v>
      </c>
    </row>
    <row r="166" spans="1:134" x14ac:dyDescent="0.2">
      <c r="A166" s="749" t="s">
        <v>67</v>
      </c>
      <c r="B166" s="145">
        <v>159</v>
      </c>
      <c r="C166" s="770">
        <v>0</v>
      </c>
      <c r="D166" s="770">
        <v>0</v>
      </c>
      <c r="E166" s="770">
        <v>0</v>
      </c>
      <c r="F166" s="770">
        <v>0.42599999999999999</v>
      </c>
      <c r="G166" s="770">
        <v>0</v>
      </c>
      <c r="H166" s="786">
        <f t="shared" si="12"/>
        <v>0.42599999999999999</v>
      </c>
      <c r="I166" s="776">
        <v>0</v>
      </c>
      <c r="J166" s="776">
        <v>10.645</v>
      </c>
      <c r="K166" s="801">
        <v>145.24799999999999</v>
      </c>
      <c r="L166" s="802">
        <v>224.97900000000001</v>
      </c>
      <c r="M166" s="803">
        <v>0</v>
      </c>
      <c r="N166" s="777">
        <v>224.97900000000001</v>
      </c>
      <c r="O166" s="776">
        <v>3.2269999999999999</v>
      </c>
      <c r="P166" s="803">
        <v>0</v>
      </c>
      <c r="Q166" s="781">
        <v>125.741</v>
      </c>
      <c r="R166" s="803">
        <v>0</v>
      </c>
      <c r="S166" s="778">
        <v>125.741</v>
      </c>
      <c r="T166" s="778">
        <v>11.038</v>
      </c>
      <c r="U166" s="804">
        <v>343.26</v>
      </c>
      <c r="V166" s="772">
        <v>114.149</v>
      </c>
      <c r="W166" s="783">
        <v>457.40899999999999</v>
      </c>
      <c r="X166" s="803">
        <v>6.3E-2</v>
      </c>
      <c r="Y166" s="778">
        <v>457.346</v>
      </c>
      <c r="Z166" s="802">
        <v>30.57</v>
      </c>
      <c r="AA166" s="803">
        <v>19.577999999999999</v>
      </c>
      <c r="AB166" s="803">
        <v>0</v>
      </c>
      <c r="AC166" s="778">
        <v>10.992000000000001</v>
      </c>
      <c r="AD166" s="782">
        <v>0</v>
      </c>
      <c r="AE166" s="803">
        <v>43.021999999999998</v>
      </c>
      <c r="AF166" s="771">
        <f t="shared" si="11"/>
        <v>1051.8789999999999</v>
      </c>
      <c r="AG166" s="805">
        <f t="shared" si="13"/>
        <v>1052.3050000000001</v>
      </c>
      <c r="AH166" s="135">
        <f t="shared" si="14"/>
        <v>0</v>
      </c>
      <c r="AI166" s="132" t="str">
        <f t="shared" si="15"/>
        <v xml:space="preserve"> </v>
      </c>
      <c r="AS166" s="139" t="s">
        <v>287</v>
      </c>
      <c r="AT166" s="139" t="s">
        <v>286</v>
      </c>
      <c r="DS166" s="304"/>
      <c r="DT166" s="304"/>
      <c r="DU166" s="647" t="s">
        <v>571</v>
      </c>
      <c r="DV166" s="647" t="s">
        <v>1134</v>
      </c>
      <c r="DW166" s="647" t="s">
        <v>1134</v>
      </c>
      <c r="DX166" s="647" t="s">
        <v>1134</v>
      </c>
      <c r="DY166" s="647" t="s">
        <v>1134</v>
      </c>
      <c r="DZ166" s="647" t="s">
        <v>1134</v>
      </c>
      <c r="EA166" s="647" t="s">
        <v>287</v>
      </c>
      <c r="EB166" s="647" t="s">
        <v>1135</v>
      </c>
      <c r="EC166" s="647" t="s">
        <v>1134</v>
      </c>
      <c r="ED166" s="647" t="s">
        <v>1136</v>
      </c>
    </row>
    <row r="167" spans="1:134" x14ac:dyDescent="0.2">
      <c r="A167" s="749" t="s">
        <v>68</v>
      </c>
      <c r="B167" s="145">
        <v>160</v>
      </c>
      <c r="C167" s="770">
        <v>0</v>
      </c>
      <c r="D167" s="770">
        <v>0</v>
      </c>
      <c r="E167" s="770">
        <v>0</v>
      </c>
      <c r="F167" s="770">
        <v>0.104</v>
      </c>
      <c r="G167" s="770">
        <v>0</v>
      </c>
      <c r="H167" s="786">
        <f t="shared" si="12"/>
        <v>0.104</v>
      </c>
      <c r="I167" s="776">
        <v>0</v>
      </c>
      <c r="J167" s="776">
        <v>0</v>
      </c>
      <c r="K167" s="801">
        <v>24.091999999999999</v>
      </c>
      <c r="L167" s="802">
        <v>37.317</v>
      </c>
      <c r="M167" s="803">
        <v>0</v>
      </c>
      <c r="N167" s="777">
        <v>37.317</v>
      </c>
      <c r="O167" s="776">
        <v>0</v>
      </c>
      <c r="P167" s="803">
        <v>0</v>
      </c>
      <c r="Q167" s="781">
        <v>0</v>
      </c>
      <c r="R167" s="803">
        <v>0</v>
      </c>
      <c r="S167" s="778">
        <v>0</v>
      </c>
      <c r="T167" s="778">
        <v>0</v>
      </c>
      <c r="U167" s="804">
        <v>0</v>
      </c>
      <c r="V167" s="772">
        <v>0</v>
      </c>
      <c r="W167" s="783">
        <v>0</v>
      </c>
      <c r="X167" s="803">
        <v>0</v>
      </c>
      <c r="Y167" s="778">
        <v>0</v>
      </c>
      <c r="Z167" s="802">
        <v>176.90100000000001</v>
      </c>
      <c r="AA167" s="803">
        <v>113.289</v>
      </c>
      <c r="AB167" s="803">
        <v>0</v>
      </c>
      <c r="AC167" s="778">
        <v>63.612000000000002</v>
      </c>
      <c r="AD167" s="782">
        <v>37.777000000000001</v>
      </c>
      <c r="AE167" s="803">
        <v>17.081</v>
      </c>
      <c r="AF167" s="771">
        <f t="shared" ref="AF167:AF173" si="16">ROUND(SUM(I167:K167,L167,O167:Q167,T167,W167,Z167,AD167:AE167),3)</f>
        <v>293.16800000000001</v>
      </c>
      <c r="AG167" s="805">
        <f t="shared" si="13"/>
        <v>293.27199999999999</v>
      </c>
      <c r="AH167" s="135">
        <f t="shared" si="14"/>
        <v>0</v>
      </c>
      <c r="AI167" s="132" t="str">
        <f t="shared" si="15"/>
        <v xml:space="preserve"> </v>
      </c>
      <c r="AS167" s="139" t="s">
        <v>289</v>
      </c>
      <c r="AT167" s="139" t="s">
        <v>288</v>
      </c>
      <c r="DS167" s="304"/>
      <c r="DT167" s="304"/>
      <c r="DU167" s="647" t="s">
        <v>571</v>
      </c>
      <c r="DV167" s="647" t="s">
        <v>1134</v>
      </c>
      <c r="DW167" s="647" t="s">
        <v>1134</v>
      </c>
      <c r="DX167" s="647" t="s">
        <v>1134</v>
      </c>
      <c r="DY167" s="647" t="s">
        <v>1134</v>
      </c>
      <c r="DZ167" s="647" t="s">
        <v>1134</v>
      </c>
      <c r="EA167" s="647" t="s">
        <v>289</v>
      </c>
      <c r="EB167" s="647" t="s">
        <v>1135</v>
      </c>
      <c r="EC167" s="647" t="s">
        <v>1134</v>
      </c>
      <c r="ED167" s="647" t="s">
        <v>1136</v>
      </c>
    </row>
    <row r="168" spans="1:134" x14ac:dyDescent="0.2">
      <c r="A168" s="749" t="s">
        <v>1011</v>
      </c>
      <c r="B168" s="145">
        <v>161</v>
      </c>
      <c r="C168" s="770">
        <v>0</v>
      </c>
      <c r="D168" s="770">
        <v>0</v>
      </c>
      <c r="E168" s="770">
        <v>0</v>
      </c>
      <c r="F168" s="770">
        <v>0</v>
      </c>
      <c r="G168" s="770">
        <v>0</v>
      </c>
      <c r="H168" s="786">
        <f t="shared" si="12"/>
        <v>0</v>
      </c>
      <c r="I168" s="776">
        <v>0</v>
      </c>
      <c r="J168" s="776">
        <v>0</v>
      </c>
      <c r="K168" s="801">
        <v>0</v>
      </c>
      <c r="L168" s="802">
        <v>0</v>
      </c>
      <c r="M168" s="803">
        <v>0</v>
      </c>
      <c r="N168" s="777">
        <v>0</v>
      </c>
      <c r="O168" s="776">
        <v>0</v>
      </c>
      <c r="P168" s="803">
        <v>0</v>
      </c>
      <c r="Q168" s="781">
        <v>0</v>
      </c>
      <c r="R168" s="803">
        <v>0</v>
      </c>
      <c r="S168" s="778">
        <v>0</v>
      </c>
      <c r="T168" s="778">
        <v>0</v>
      </c>
      <c r="U168" s="804">
        <v>0</v>
      </c>
      <c r="V168" s="772">
        <v>0</v>
      </c>
      <c r="W168" s="783">
        <v>0</v>
      </c>
      <c r="X168" s="803">
        <v>0</v>
      </c>
      <c r="Y168" s="778">
        <v>0</v>
      </c>
      <c r="Z168" s="802">
        <v>0</v>
      </c>
      <c r="AA168" s="803">
        <v>0</v>
      </c>
      <c r="AB168" s="803">
        <v>0</v>
      </c>
      <c r="AC168" s="778">
        <v>0</v>
      </c>
      <c r="AD168" s="782">
        <v>0</v>
      </c>
      <c r="AE168" s="803">
        <v>2E-3</v>
      </c>
      <c r="AF168" s="771">
        <f t="shared" si="16"/>
        <v>2E-3</v>
      </c>
      <c r="AG168" s="805">
        <f t="shared" si="13"/>
        <v>2E-3</v>
      </c>
      <c r="AH168" s="135">
        <f t="shared" si="14"/>
        <v>0</v>
      </c>
      <c r="AI168" s="132" t="str">
        <f t="shared" si="15"/>
        <v xml:space="preserve"> </v>
      </c>
      <c r="AS168" s="139" t="s">
        <v>1110</v>
      </c>
      <c r="AT168" s="139" t="s">
        <v>1111</v>
      </c>
      <c r="DS168" s="304"/>
      <c r="DT168" s="304"/>
      <c r="DU168" s="647" t="s">
        <v>571</v>
      </c>
      <c r="DV168" s="647" t="s">
        <v>1134</v>
      </c>
      <c r="DW168" s="647" t="s">
        <v>1134</v>
      </c>
      <c r="DX168" s="647" t="s">
        <v>1134</v>
      </c>
      <c r="DY168" s="647" t="s">
        <v>1134</v>
      </c>
      <c r="DZ168" s="647" t="s">
        <v>1134</v>
      </c>
      <c r="EA168" s="647" t="s">
        <v>1110</v>
      </c>
      <c r="EB168" s="647" t="s">
        <v>1135</v>
      </c>
      <c r="EC168" s="647" t="s">
        <v>1134</v>
      </c>
      <c r="ED168" s="647" t="s">
        <v>1136</v>
      </c>
    </row>
    <row r="169" spans="1:134" x14ac:dyDescent="0.2">
      <c r="A169" s="749" t="s">
        <v>566</v>
      </c>
      <c r="B169" s="145">
        <v>162</v>
      </c>
      <c r="C169" s="770">
        <v>0</v>
      </c>
      <c r="D169" s="770">
        <v>0</v>
      </c>
      <c r="E169" s="770">
        <v>0</v>
      </c>
      <c r="F169" s="770">
        <v>0</v>
      </c>
      <c r="G169" s="770">
        <v>0</v>
      </c>
      <c r="H169" s="786">
        <f t="shared" ref="H169:H173" si="17">ROUND(SUM(C169:G169),3)</f>
        <v>0</v>
      </c>
      <c r="I169" s="776">
        <v>0</v>
      </c>
      <c r="J169" s="776">
        <v>0</v>
      </c>
      <c r="K169" s="801">
        <v>0.30299999999999999</v>
      </c>
      <c r="L169" s="802">
        <v>0.46899999999999997</v>
      </c>
      <c r="M169" s="803">
        <v>0</v>
      </c>
      <c r="N169" s="777">
        <v>0.46899999999999997</v>
      </c>
      <c r="O169" s="776">
        <v>0</v>
      </c>
      <c r="P169" s="803">
        <v>0</v>
      </c>
      <c r="Q169" s="781">
        <v>0</v>
      </c>
      <c r="R169" s="803">
        <v>0</v>
      </c>
      <c r="S169" s="778">
        <v>0</v>
      </c>
      <c r="T169" s="778">
        <v>0</v>
      </c>
      <c r="U169" s="804">
        <v>0</v>
      </c>
      <c r="V169" s="772">
        <v>0</v>
      </c>
      <c r="W169" s="783">
        <v>0</v>
      </c>
      <c r="X169" s="803">
        <v>0</v>
      </c>
      <c r="Y169" s="778">
        <v>0</v>
      </c>
      <c r="Z169" s="802">
        <v>0</v>
      </c>
      <c r="AA169" s="803">
        <v>0</v>
      </c>
      <c r="AB169" s="803">
        <v>0</v>
      </c>
      <c r="AC169" s="778">
        <v>0</v>
      </c>
      <c r="AD169" s="782">
        <v>0</v>
      </c>
      <c r="AE169" s="803">
        <v>5.7000000000000002E-2</v>
      </c>
      <c r="AF169" s="771">
        <f t="shared" si="16"/>
        <v>0.82899999999999996</v>
      </c>
      <c r="AG169" s="805">
        <f t="shared" si="13"/>
        <v>0.82899999999999996</v>
      </c>
      <c r="AH169" s="135">
        <f t="shared" si="14"/>
        <v>0</v>
      </c>
      <c r="AI169" s="132" t="str">
        <f t="shared" si="15"/>
        <v xml:space="preserve"> </v>
      </c>
      <c r="AS169" s="139" t="s">
        <v>529</v>
      </c>
      <c r="AT169" s="139" t="s">
        <v>530</v>
      </c>
      <c r="DS169" s="304"/>
      <c r="DT169" s="304"/>
      <c r="DU169" s="647" t="s">
        <v>571</v>
      </c>
      <c r="DV169" s="647" t="s">
        <v>1134</v>
      </c>
      <c r="DW169" s="647" t="s">
        <v>1134</v>
      </c>
      <c r="DX169" s="647" t="s">
        <v>1134</v>
      </c>
      <c r="DY169" s="647" t="s">
        <v>1134</v>
      </c>
      <c r="DZ169" s="647" t="s">
        <v>1134</v>
      </c>
      <c r="EA169" s="647" t="s">
        <v>529</v>
      </c>
      <c r="EB169" s="647" t="s">
        <v>1135</v>
      </c>
      <c r="EC169" s="647" t="s">
        <v>1134</v>
      </c>
      <c r="ED169" s="647" t="s">
        <v>1136</v>
      </c>
    </row>
    <row r="170" spans="1:134" x14ac:dyDescent="0.2">
      <c r="A170" s="749" t="s">
        <v>1012</v>
      </c>
      <c r="B170" s="145">
        <v>163</v>
      </c>
      <c r="C170" s="770">
        <v>0</v>
      </c>
      <c r="D170" s="770">
        <v>0</v>
      </c>
      <c r="E170" s="770">
        <v>0</v>
      </c>
      <c r="F170" s="770">
        <v>0</v>
      </c>
      <c r="G170" s="770">
        <v>0</v>
      </c>
      <c r="H170" s="786">
        <f t="shared" si="17"/>
        <v>0</v>
      </c>
      <c r="I170" s="776">
        <v>0</v>
      </c>
      <c r="J170" s="776">
        <v>0</v>
      </c>
      <c r="K170" s="801">
        <v>0</v>
      </c>
      <c r="L170" s="802">
        <v>0</v>
      </c>
      <c r="M170" s="803">
        <v>0</v>
      </c>
      <c r="N170" s="777">
        <v>0</v>
      </c>
      <c r="O170" s="776">
        <v>0.23400000000000001</v>
      </c>
      <c r="P170" s="803">
        <v>0</v>
      </c>
      <c r="Q170" s="781">
        <v>0</v>
      </c>
      <c r="R170" s="803">
        <v>0</v>
      </c>
      <c r="S170" s="778">
        <v>0</v>
      </c>
      <c r="T170" s="778">
        <v>0</v>
      </c>
      <c r="U170" s="804">
        <v>0</v>
      </c>
      <c r="V170" s="772">
        <v>0</v>
      </c>
      <c r="W170" s="783">
        <v>0</v>
      </c>
      <c r="X170" s="803">
        <v>0</v>
      </c>
      <c r="Y170" s="778">
        <v>0</v>
      </c>
      <c r="Z170" s="802">
        <v>0</v>
      </c>
      <c r="AA170" s="803">
        <v>0</v>
      </c>
      <c r="AB170" s="803">
        <v>0</v>
      </c>
      <c r="AC170" s="778">
        <v>0</v>
      </c>
      <c r="AD170" s="782">
        <v>0</v>
      </c>
      <c r="AE170" s="803">
        <v>0</v>
      </c>
      <c r="AF170" s="771">
        <f t="shared" si="16"/>
        <v>0.23400000000000001</v>
      </c>
      <c r="AG170" s="805">
        <f t="shared" si="13"/>
        <v>0.23400000000000001</v>
      </c>
      <c r="AH170" s="135">
        <f t="shared" si="14"/>
        <v>0</v>
      </c>
      <c r="AI170" s="132" t="str">
        <f t="shared" si="15"/>
        <v xml:space="preserve"> </v>
      </c>
      <c r="AS170" s="139" t="s">
        <v>531</v>
      </c>
      <c r="AT170" s="139" t="s">
        <v>532</v>
      </c>
      <c r="DS170" s="304"/>
      <c r="DT170" s="304"/>
      <c r="DU170" s="647" t="s">
        <v>571</v>
      </c>
      <c r="DV170" s="647" t="s">
        <v>1134</v>
      </c>
      <c r="DW170" s="647" t="s">
        <v>1134</v>
      </c>
      <c r="DX170" s="647" t="s">
        <v>1134</v>
      </c>
      <c r="DY170" s="647" t="s">
        <v>1134</v>
      </c>
      <c r="DZ170" s="647" t="s">
        <v>1134</v>
      </c>
      <c r="EA170" s="647" t="s">
        <v>531</v>
      </c>
      <c r="EB170" s="647" t="s">
        <v>1135</v>
      </c>
      <c r="EC170" s="647" t="s">
        <v>1134</v>
      </c>
      <c r="ED170" s="647" t="s">
        <v>1136</v>
      </c>
    </row>
    <row r="171" spans="1:134" x14ac:dyDescent="0.2">
      <c r="A171" s="749" t="s">
        <v>1013</v>
      </c>
      <c r="B171" s="145">
        <v>164</v>
      </c>
      <c r="C171" s="770">
        <v>0</v>
      </c>
      <c r="D171" s="770">
        <v>0</v>
      </c>
      <c r="E171" s="770">
        <v>0</v>
      </c>
      <c r="F171" s="770">
        <v>0</v>
      </c>
      <c r="G171" s="770">
        <v>0</v>
      </c>
      <c r="H171" s="786">
        <f t="shared" si="17"/>
        <v>0</v>
      </c>
      <c r="I171" s="776">
        <v>0</v>
      </c>
      <c r="J171" s="776">
        <v>0</v>
      </c>
      <c r="K171" s="801">
        <v>0</v>
      </c>
      <c r="L171" s="802">
        <v>0</v>
      </c>
      <c r="M171" s="803">
        <v>0</v>
      </c>
      <c r="N171" s="777">
        <v>0</v>
      </c>
      <c r="O171" s="776">
        <v>0</v>
      </c>
      <c r="P171" s="803">
        <v>0</v>
      </c>
      <c r="Q171" s="781">
        <v>0</v>
      </c>
      <c r="R171" s="803">
        <v>0</v>
      </c>
      <c r="S171" s="778">
        <v>0</v>
      </c>
      <c r="T171" s="778">
        <v>0</v>
      </c>
      <c r="U171" s="804">
        <v>0</v>
      </c>
      <c r="V171" s="772">
        <v>0</v>
      </c>
      <c r="W171" s="783">
        <v>0</v>
      </c>
      <c r="X171" s="803">
        <v>0</v>
      </c>
      <c r="Y171" s="778">
        <v>0</v>
      </c>
      <c r="Z171" s="802">
        <v>0</v>
      </c>
      <c r="AA171" s="803">
        <v>0</v>
      </c>
      <c r="AB171" s="803">
        <v>0</v>
      </c>
      <c r="AC171" s="778">
        <v>0</v>
      </c>
      <c r="AD171" s="782">
        <v>0</v>
      </c>
      <c r="AE171" s="803">
        <v>8.8999999999999996E-2</v>
      </c>
      <c r="AF171" s="771">
        <f t="shared" si="16"/>
        <v>8.8999999999999996E-2</v>
      </c>
      <c r="AG171" s="805">
        <f t="shared" si="13"/>
        <v>8.8999999999999996E-2</v>
      </c>
      <c r="AH171" s="135">
        <f t="shared" si="14"/>
        <v>0</v>
      </c>
      <c r="AI171" s="132" t="str">
        <f t="shared" si="15"/>
        <v xml:space="preserve"> </v>
      </c>
      <c r="AS171" s="139" t="s">
        <v>533</v>
      </c>
      <c r="AT171" s="139" t="s">
        <v>534</v>
      </c>
      <c r="DS171" s="304"/>
      <c r="DT171" s="304"/>
      <c r="DU171" s="647" t="s">
        <v>571</v>
      </c>
      <c r="DV171" s="647" t="s">
        <v>1134</v>
      </c>
      <c r="DW171" s="647" t="s">
        <v>1134</v>
      </c>
      <c r="DX171" s="647" t="s">
        <v>1134</v>
      </c>
      <c r="DY171" s="647" t="s">
        <v>1134</v>
      </c>
      <c r="DZ171" s="647" t="s">
        <v>1134</v>
      </c>
      <c r="EA171" s="647" t="s">
        <v>533</v>
      </c>
      <c r="EB171" s="647" t="s">
        <v>1135</v>
      </c>
      <c r="EC171" s="647" t="s">
        <v>1134</v>
      </c>
      <c r="ED171" s="647" t="s">
        <v>1136</v>
      </c>
    </row>
    <row r="172" spans="1:134" x14ac:dyDescent="0.2">
      <c r="A172" s="749" t="s">
        <v>69</v>
      </c>
      <c r="B172" s="145">
        <v>165</v>
      </c>
      <c r="C172" s="770">
        <v>0</v>
      </c>
      <c r="D172" s="770">
        <v>0</v>
      </c>
      <c r="E172" s="770">
        <v>0</v>
      </c>
      <c r="F172" s="770">
        <v>0</v>
      </c>
      <c r="G172" s="770">
        <v>0</v>
      </c>
      <c r="H172" s="786">
        <f t="shared" si="17"/>
        <v>0</v>
      </c>
      <c r="I172" s="776">
        <v>0</v>
      </c>
      <c r="J172" s="776">
        <v>0</v>
      </c>
      <c r="K172" s="801">
        <v>0</v>
      </c>
      <c r="L172" s="802">
        <v>0</v>
      </c>
      <c r="M172" s="803">
        <v>0</v>
      </c>
      <c r="N172" s="777">
        <v>0</v>
      </c>
      <c r="O172" s="776">
        <v>0</v>
      </c>
      <c r="P172" s="803">
        <v>0</v>
      </c>
      <c r="Q172" s="781">
        <v>0</v>
      </c>
      <c r="R172" s="803">
        <v>0</v>
      </c>
      <c r="S172" s="778">
        <v>0</v>
      </c>
      <c r="T172" s="778">
        <v>0</v>
      </c>
      <c r="U172" s="804">
        <v>0</v>
      </c>
      <c r="V172" s="772">
        <v>0</v>
      </c>
      <c r="W172" s="783">
        <v>0</v>
      </c>
      <c r="X172" s="803">
        <v>0</v>
      </c>
      <c r="Y172" s="778">
        <v>0</v>
      </c>
      <c r="Z172" s="802">
        <v>0</v>
      </c>
      <c r="AA172" s="803">
        <v>0</v>
      </c>
      <c r="AB172" s="803">
        <v>0</v>
      </c>
      <c r="AC172" s="778">
        <v>0</v>
      </c>
      <c r="AD172" s="782">
        <v>0</v>
      </c>
      <c r="AE172" s="803">
        <v>7.0000000000000001E-3</v>
      </c>
      <c r="AF172" s="771">
        <f t="shared" si="16"/>
        <v>7.0000000000000001E-3</v>
      </c>
      <c r="AG172" s="805">
        <f t="shared" si="13"/>
        <v>7.0000000000000001E-3</v>
      </c>
      <c r="AH172" s="135">
        <f t="shared" si="14"/>
        <v>0</v>
      </c>
      <c r="AI172" s="132" t="str">
        <f t="shared" si="15"/>
        <v xml:space="preserve"> </v>
      </c>
      <c r="AS172" s="139" t="s">
        <v>535</v>
      </c>
      <c r="AT172" s="139" t="s">
        <v>536</v>
      </c>
      <c r="DS172" s="304"/>
      <c r="DT172" s="304"/>
      <c r="DU172" s="647" t="s">
        <v>571</v>
      </c>
      <c r="DV172" s="647" t="s">
        <v>1134</v>
      </c>
      <c r="DW172" s="647" t="s">
        <v>1134</v>
      </c>
      <c r="DX172" s="647" t="s">
        <v>1134</v>
      </c>
      <c r="DY172" s="647" t="s">
        <v>1134</v>
      </c>
      <c r="DZ172" s="647" t="s">
        <v>1134</v>
      </c>
      <c r="EA172" s="647" t="s">
        <v>535</v>
      </c>
      <c r="EB172" s="647" t="s">
        <v>1135</v>
      </c>
      <c r="EC172" s="647" t="s">
        <v>1134</v>
      </c>
      <c r="ED172" s="647" t="s">
        <v>1136</v>
      </c>
    </row>
    <row r="173" spans="1:134" ht="13.5" thickBot="1" x14ac:dyDescent="0.25">
      <c r="A173" s="749" t="s">
        <v>1014</v>
      </c>
      <c r="B173" s="145">
        <v>166</v>
      </c>
      <c r="C173" s="770">
        <v>0</v>
      </c>
      <c r="D173" s="770">
        <v>0</v>
      </c>
      <c r="E173" s="770">
        <v>0</v>
      </c>
      <c r="F173" s="770">
        <v>0</v>
      </c>
      <c r="G173" s="770">
        <v>0</v>
      </c>
      <c r="H173" s="786">
        <f t="shared" si="17"/>
        <v>0</v>
      </c>
      <c r="I173" s="776">
        <v>0</v>
      </c>
      <c r="J173" s="776">
        <v>0</v>
      </c>
      <c r="K173" s="801">
        <v>0</v>
      </c>
      <c r="L173" s="802">
        <v>0</v>
      </c>
      <c r="M173" s="803">
        <v>0</v>
      </c>
      <c r="N173" s="817">
        <v>0</v>
      </c>
      <c r="O173" s="776">
        <v>0</v>
      </c>
      <c r="P173" s="803">
        <v>0</v>
      </c>
      <c r="Q173" s="781">
        <v>0</v>
      </c>
      <c r="R173" s="803">
        <v>0</v>
      </c>
      <c r="S173" s="778">
        <v>0</v>
      </c>
      <c r="T173" s="778">
        <v>0</v>
      </c>
      <c r="U173" s="804">
        <v>0</v>
      </c>
      <c r="V173" s="772">
        <v>0</v>
      </c>
      <c r="W173" s="783">
        <v>0</v>
      </c>
      <c r="X173" s="803">
        <v>0</v>
      </c>
      <c r="Y173" s="778">
        <v>0</v>
      </c>
      <c r="Z173" s="802">
        <v>0</v>
      </c>
      <c r="AA173" s="803">
        <v>0</v>
      </c>
      <c r="AB173" s="803">
        <v>0</v>
      </c>
      <c r="AC173" s="778">
        <v>0</v>
      </c>
      <c r="AD173" s="782">
        <v>0</v>
      </c>
      <c r="AE173" s="803">
        <v>0</v>
      </c>
      <c r="AF173" s="771">
        <f t="shared" si="16"/>
        <v>0</v>
      </c>
      <c r="AG173" s="805">
        <f t="shared" si="13"/>
        <v>0</v>
      </c>
      <c r="AH173" s="135">
        <f t="shared" si="14"/>
        <v>0</v>
      </c>
      <c r="AI173" s="132" t="str">
        <f t="shared" si="15"/>
        <v xml:space="preserve"> </v>
      </c>
      <c r="AS173" s="139" t="s">
        <v>548</v>
      </c>
      <c r="AT173" s="139" t="s">
        <v>549</v>
      </c>
      <c r="DS173" s="304"/>
      <c r="DT173" s="304"/>
      <c r="DU173" s="647" t="s">
        <v>571</v>
      </c>
      <c r="DV173" s="647" t="s">
        <v>1134</v>
      </c>
      <c r="DW173" s="647" t="s">
        <v>1134</v>
      </c>
      <c r="DX173" s="647" t="s">
        <v>1134</v>
      </c>
      <c r="DY173" s="647" t="s">
        <v>1134</v>
      </c>
      <c r="DZ173" s="647" t="s">
        <v>1134</v>
      </c>
      <c r="EA173" s="647" t="s">
        <v>1186</v>
      </c>
      <c r="EB173" s="647" t="s">
        <v>1135</v>
      </c>
      <c r="EC173" s="647" t="s">
        <v>1134</v>
      </c>
      <c r="ED173" s="647" t="s">
        <v>1136</v>
      </c>
    </row>
    <row r="174" spans="1:134" s="63" customFormat="1" ht="14.25" customHeight="1" thickBot="1" x14ac:dyDescent="0.25">
      <c r="A174" s="72" t="s">
        <v>180</v>
      </c>
      <c r="B174" s="147">
        <v>167</v>
      </c>
      <c r="C174" s="811">
        <f t="shared" ref="C174:AG174" si="18">ROUND(SUM(C8:C173),3)</f>
        <v>29.035</v>
      </c>
      <c r="D174" s="811">
        <f t="shared" si="18"/>
        <v>10.33</v>
      </c>
      <c r="E174" s="811">
        <f t="shared" si="18"/>
        <v>0</v>
      </c>
      <c r="F174" s="811">
        <f t="shared" si="18"/>
        <v>139.79599999999999</v>
      </c>
      <c r="G174" s="811">
        <f t="shared" si="18"/>
        <v>0</v>
      </c>
      <c r="H174" s="812">
        <f>ROUND(SUM(H8:H173),3)</f>
        <v>179.161</v>
      </c>
      <c r="I174" s="813">
        <f t="shared" si="18"/>
        <v>0</v>
      </c>
      <c r="J174" s="811">
        <f t="shared" si="18"/>
        <v>134.66300000000001</v>
      </c>
      <c r="K174" s="814">
        <f t="shared" si="18"/>
        <v>1237.356</v>
      </c>
      <c r="L174" s="815">
        <f t="shared" si="18"/>
        <v>1916.5830000000001</v>
      </c>
      <c r="M174" s="811">
        <f t="shared" si="18"/>
        <v>0</v>
      </c>
      <c r="N174" s="814">
        <f t="shared" si="18"/>
        <v>1916.5830000000001</v>
      </c>
      <c r="O174" s="815">
        <f t="shared" si="18"/>
        <v>9.4719999999999995</v>
      </c>
      <c r="P174" s="814">
        <f t="shared" si="18"/>
        <v>0</v>
      </c>
      <c r="Q174" s="811">
        <f t="shared" si="18"/>
        <v>899.67200000000003</v>
      </c>
      <c r="R174" s="811">
        <f t="shared" si="18"/>
        <v>0</v>
      </c>
      <c r="S174" s="811">
        <f t="shared" si="18"/>
        <v>899.67200000000003</v>
      </c>
      <c r="T174" s="812">
        <f t="shared" si="18"/>
        <v>78.97</v>
      </c>
      <c r="U174" s="813">
        <f t="shared" si="18"/>
        <v>1647.1880000000001</v>
      </c>
      <c r="V174" s="811">
        <f t="shared" si="18"/>
        <v>547.75900000000001</v>
      </c>
      <c r="W174" s="811">
        <f t="shared" si="18"/>
        <v>2194.9459999999999</v>
      </c>
      <c r="X174" s="814">
        <f t="shared" si="18"/>
        <v>1.4119999999999999</v>
      </c>
      <c r="Y174" s="814">
        <f t="shared" si="18"/>
        <v>2193.5340000000001</v>
      </c>
      <c r="Z174" s="815">
        <f t="shared" si="18"/>
        <v>1895.1659999999999</v>
      </c>
      <c r="AA174" s="814">
        <f t="shared" si="18"/>
        <v>1213.6869999999999</v>
      </c>
      <c r="AB174" s="814">
        <f t="shared" si="18"/>
        <v>0</v>
      </c>
      <c r="AC174" s="814">
        <f t="shared" si="18"/>
        <v>681.47699999999998</v>
      </c>
      <c r="AD174" s="815">
        <f t="shared" si="18"/>
        <v>114.69199999999999</v>
      </c>
      <c r="AE174" s="814">
        <f t="shared" si="18"/>
        <v>678.78700000000003</v>
      </c>
      <c r="AF174" s="811">
        <f t="shared" si="18"/>
        <v>9160.3070000000007</v>
      </c>
      <c r="AG174" s="818">
        <f t="shared" si="18"/>
        <v>9339.4680000000008</v>
      </c>
      <c r="AH174" s="135">
        <f t="shared" ref="AH174" si="19">IF(ROUND(H174-SUM(C174:G174),3)=0,0,1)+IF(ROUND(AF174-SUM(I174:L174,O174:Q174,T174,W174,Z174,AD174:AE174),3)=0,0,1)+IF(ROUND(AG174-SUM(AF174,H174),3)=0,0,1)</f>
        <v>0</v>
      </c>
      <c r="AI174" s="132" t="str">
        <f t="shared" ref="AI174" si="20">IF(AH174=0," ",IF(AH174=1,"A total is not equal to the sum of its components: ",AH174&amp;" totals are not equal to the sum of their components: "))&amp;IF(AH174=0,"",IF(H174-SUM(C174:G174)=0,"","Total (column F). ")&amp;IF(AF174-SUM(I174:L174,O174:Q174,T174,W174,Z174,AD174:AE174)=0,"","Total products. ")&amp;IF(AG174-SUM(AF174,H174)=0,"","Total oil."))</f>
        <v xml:space="preserve"> </v>
      </c>
      <c r="AS174" s="143" t="s">
        <v>584</v>
      </c>
      <c r="AT174" s="144" t="s">
        <v>585</v>
      </c>
      <c r="DS174" s="304"/>
      <c r="DT174" s="304"/>
      <c r="DU174" s="647" t="s">
        <v>571</v>
      </c>
      <c r="DV174" s="647" t="s">
        <v>1134</v>
      </c>
      <c r="DW174" s="647" t="s">
        <v>1134</v>
      </c>
      <c r="DX174" s="647" t="s">
        <v>1134</v>
      </c>
      <c r="DY174" s="647" t="s">
        <v>1134</v>
      </c>
      <c r="DZ174" s="647" t="s">
        <v>1134</v>
      </c>
      <c r="EA174" s="647" t="s">
        <v>1177</v>
      </c>
      <c r="EB174" s="647" t="s">
        <v>1135</v>
      </c>
      <c r="EC174" s="647" t="s">
        <v>1134</v>
      </c>
      <c r="ED174" s="647" t="s">
        <v>1136</v>
      </c>
    </row>
    <row r="175" spans="1:134" ht="22.5" customHeight="1" x14ac:dyDescent="0.2">
      <c r="A175" s="63"/>
      <c r="B175" s="63"/>
      <c r="C175" s="31" t="str">
        <f t="shared" ref="C175:AG175" si="21">IF(MIN(C8:C174)&lt;0,"Negative number","")</f>
        <v/>
      </c>
      <c r="D175" s="31" t="str">
        <f t="shared" si="21"/>
        <v/>
      </c>
      <c r="E175" s="31" t="str">
        <f t="shared" si="21"/>
        <v/>
      </c>
      <c r="F175" s="31" t="str">
        <f t="shared" si="21"/>
        <v/>
      </c>
      <c r="G175" s="31" t="str">
        <f t="shared" si="21"/>
        <v/>
      </c>
      <c r="H175" s="31" t="str">
        <f t="shared" si="21"/>
        <v/>
      </c>
      <c r="I175" s="31" t="str">
        <f t="shared" si="21"/>
        <v/>
      </c>
      <c r="J175" s="31" t="str">
        <f t="shared" si="21"/>
        <v/>
      </c>
      <c r="K175" s="31" t="str">
        <f t="shared" si="21"/>
        <v/>
      </c>
      <c r="L175" s="31" t="str">
        <f t="shared" si="21"/>
        <v/>
      </c>
      <c r="M175" s="31" t="str">
        <f t="shared" si="21"/>
        <v/>
      </c>
      <c r="N175" s="31" t="str">
        <f t="shared" si="21"/>
        <v/>
      </c>
      <c r="O175" s="31" t="str">
        <f t="shared" si="21"/>
        <v/>
      </c>
      <c r="P175" s="31" t="str">
        <f t="shared" si="21"/>
        <v/>
      </c>
      <c r="Q175" s="31" t="str">
        <f t="shared" si="21"/>
        <v/>
      </c>
      <c r="R175" s="31" t="str">
        <f t="shared" si="21"/>
        <v/>
      </c>
      <c r="S175" s="31" t="str">
        <f t="shared" si="21"/>
        <v/>
      </c>
      <c r="T175" s="31" t="str">
        <f t="shared" si="21"/>
        <v/>
      </c>
      <c r="U175" s="31" t="str">
        <f t="shared" si="21"/>
        <v/>
      </c>
      <c r="V175" s="31" t="str">
        <f t="shared" si="21"/>
        <v/>
      </c>
      <c r="W175" s="31" t="str">
        <f t="shared" si="21"/>
        <v/>
      </c>
      <c r="X175" s="31" t="str">
        <f t="shared" si="21"/>
        <v/>
      </c>
      <c r="Y175" s="31" t="str">
        <f t="shared" si="21"/>
        <v>Negative number</v>
      </c>
      <c r="Z175" s="31" t="str">
        <f t="shared" si="21"/>
        <v/>
      </c>
      <c r="AA175" s="31" t="str">
        <f t="shared" si="21"/>
        <v/>
      </c>
      <c r="AB175" s="31"/>
      <c r="AC175" s="31" t="str">
        <f t="shared" si="21"/>
        <v/>
      </c>
      <c r="AD175" s="31" t="str">
        <f t="shared" si="21"/>
        <v/>
      </c>
      <c r="AE175" s="31" t="str">
        <f t="shared" si="21"/>
        <v/>
      </c>
      <c r="AF175" s="31" t="str">
        <f t="shared" si="21"/>
        <v/>
      </c>
      <c r="AG175" s="31" t="str">
        <f t="shared" si="21"/>
        <v/>
      </c>
      <c r="AH175" s="63"/>
      <c r="AI175" s="63"/>
      <c r="AJ175" s="67"/>
      <c r="AK175" s="67"/>
    </row>
    <row r="176" spans="1:134" ht="22.5" customHeight="1" x14ac:dyDescent="0.2"/>
    <row r="177" spans="1:33" x14ac:dyDescent="0.2">
      <c r="A177" s="7" t="s">
        <v>1377</v>
      </c>
      <c r="B177" s="7"/>
      <c r="H177" s="1037">
        <f>ROUND(H174-'Table 1'!J19,3)</f>
        <v>-1E-3</v>
      </c>
      <c r="I177" s="3" t="str">
        <f>IF(H177=0,"OK","Total Exports of Total is not equal to Exports (Balance) of Total in Table 1.")</f>
        <v>Total Exports of Total is not equal to Exports (Balance) of Total in Table 1.</v>
      </c>
    </row>
    <row r="178" spans="1:33" x14ac:dyDescent="0.2">
      <c r="A178" s="7" t="s">
        <v>1378</v>
      </c>
      <c r="B178" s="7"/>
      <c r="H178" s="71">
        <f>ROUND(AF174-'Table 2'!AD13,3)</f>
        <v>-0.19600000000000001</v>
      </c>
      <c r="I178" s="3" t="str">
        <f>IF(H178=0,"OK","Total Exports of Total products is not equal to Exports (Balance) for Total products in Table 2.")</f>
        <v>Total Exports of Total products is not equal to Exports (Balance) for Total products in Table 2.</v>
      </c>
    </row>
    <row r="179" spans="1:33" x14ac:dyDescent="0.2">
      <c r="A179" s="7" t="s">
        <v>895</v>
      </c>
      <c r="B179" s="7"/>
      <c r="H179" s="70">
        <f>ROUND(H174-SUM(H8:H173),3)</f>
        <v>0</v>
      </c>
      <c r="I179" s="3" t="str">
        <f>IF(H179=0,"OK","Total Exports is not equal to the sum of its components for Total (column F).")</f>
        <v>OK</v>
      </c>
    </row>
    <row r="180" spans="1:33" x14ac:dyDescent="0.2">
      <c r="A180" s="7" t="s">
        <v>870</v>
      </c>
      <c r="B180" s="7"/>
      <c r="H180" s="1037">
        <f>ROUND(AF174-SUM(AF8:AF173),3)</f>
        <v>0</v>
      </c>
      <c r="I180" s="3" t="str">
        <f>IF(H180=0,"OK","Total Exports is not equal to the sum of its components for Total products.")</f>
        <v>OK</v>
      </c>
    </row>
    <row r="181" spans="1:33" x14ac:dyDescent="0.2">
      <c r="A181" s="7" t="s">
        <v>1385</v>
      </c>
      <c r="B181" s="7"/>
      <c r="H181" s="70">
        <f ca="1">IF(MAX(IFERROR(OFFSET(C7,MATCH(CountryCode,$AT$8:$AT$173,0),0,1,30),0))&gt;0,1,0)+IF(CountryCode=Param!$D$67,MAX(C167:AE167),0)</f>
        <v>0</v>
      </c>
      <c r="I181" s="3" t="str">
        <f ca="1">IF(H181=0,"OK","Country is reporting export to itself")</f>
        <v>OK</v>
      </c>
    </row>
    <row r="182" spans="1:33" x14ac:dyDescent="0.2">
      <c r="A182" s="7" t="s">
        <v>1112</v>
      </c>
      <c r="B182" s="7"/>
      <c r="H182" s="70"/>
      <c r="I182" s="3"/>
    </row>
    <row r="183" spans="1:33" x14ac:dyDescent="0.2">
      <c r="A183" s="7"/>
      <c r="B183" s="7"/>
      <c r="H183" s="70"/>
      <c r="I183" s="3"/>
    </row>
    <row r="184" spans="1:33" x14ac:dyDescent="0.2">
      <c r="A184" s="7"/>
      <c r="B184" s="7"/>
      <c r="H184" s="70"/>
      <c r="I184" s="3"/>
    </row>
    <row r="185" spans="1:33" x14ac:dyDescent="0.2">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row>
    <row r="201" spans="1:33" hidden="1" x14ac:dyDescent="0.2">
      <c r="A201" s="306" t="s">
        <v>329</v>
      </c>
      <c r="C201" s="156" t="s">
        <v>330</v>
      </c>
      <c r="D201" s="156" t="s">
        <v>6</v>
      </c>
      <c r="E201" s="156" t="s">
        <v>331</v>
      </c>
      <c r="F201" s="156" t="s">
        <v>332</v>
      </c>
      <c r="G201" s="156" t="s">
        <v>334</v>
      </c>
      <c r="H201" s="156" t="s">
        <v>335</v>
      </c>
      <c r="I201" s="156" t="s">
        <v>353</v>
      </c>
      <c r="J201" s="156" t="s">
        <v>9</v>
      </c>
      <c r="K201" s="156" t="s">
        <v>354</v>
      </c>
      <c r="L201" s="156" t="s">
        <v>355</v>
      </c>
      <c r="M201" s="156" t="s">
        <v>356</v>
      </c>
      <c r="N201" s="156" t="s">
        <v>891</v>
      </c>
      <c r="O201" s="156" t="s">
        <v>357</v>
      </c>
      <c r="P201" s="156" t="s">
        <v>358</v>
      </c>
      <c r="Q201" s="156" t="s">
        <v>359</v>
      </c>
      <c r="R201" s="156" t="s">
        <v>878</v>
      </c>
      <c r="S201" s="156" t="s">
        <v>879</v>
      </c>
      <c r="T201" s="156" t="s">
        <v>360</v>
      </c>
      <c r="U201" s="156" t="s">
        <v>361</v>
      </c>
      <c r="V201" s="156" t="s">
        <v>363</v>
      </c>
      <c r="W201" s="156" t="s">
        <v>364</v>
      </c>
      <c r="X201" s="156" t="s">
        <v>362</v>
      </c>
      <c r="Y201" s="156" t="s">
        <v>880</v>
      </c>
      <c r="Z201" s="156" t="s">
        <v>367</v>
      </c>
      <c r="AA201" s="156" t="s">
        <v>365</v>
      </c>
      <c r="AB201" s="156" t="s">
        <v>1412</v>
      </c>
      <c r="AC201" s="156" t="s">
        <v>366</v>
      </c>
      <c r="AD201" s="156" t="s">
        <v>368</v>
      </c>
      <c r="AE201" s="156" t="s">
        <v>606</v>
      </c>
      <c r="AF201" s="156" t="s">
        <v>369</v>
      </c>
      <c r="AG201" s="156" t="s">
        <v>416</v>
      </c>
    </row>
    <row r="1000" spans="1:123" ht="22.5" hidden="1" x14ac:dyDescent="0.2">
      <c r="A1000" s="641" t="s">
        <v>1113</v>
      </c>
      <c r="C1000" s="642" t="s">
        <v>1114</v>
      </c>
      <c r="D1000" s="642" t="s">
        <v>1115</v>
      </c>
      <c r="E1000" s="642" t="s">
        <v>1116</v>
      </c>
      <c r="F1000" s="642" t="s">
        <v>1117</v>
      </c>
      <c r="G1000" s="642" t="s">
        <v>1119</v>
      </c>
      <c r="H1000" s="642" t="s">
        <v>1120</v>
      </c>
      <c r="I1000" s="642" t="s">
        <v>1143</v>
      </c>
      <c r="J1000" s="642" t="s">
        <v>1144</v>
      </c>
      <c r="K1000" s="642" t="s">
        <v>1145</v>
      </c>
      <c r="L1000" s="642" t="s">
        <v>1146</v>
      </c>
      <c r="M1000" s="642" t="s">
        <v>1147</v>
      </c>
      <c r="N1000" s="642" t="s">
        <v>1148</v>
      </c>
      <c r="O1000" s="642" t="s">
        <v>1149</v>
      </c>
      <c r="P1000" s="642" t="s">
        <v>1150</v>
      </c>
      <c r="Q1000" s="642" t="s">
        <v>1151</v>
      </c>
      <c r="R1000" s="642" t="s">
        <v>1152</v>
      </c>
      <c r="S1000" s="642" t="s">
        <v>1153</v>
      </c>
      <c r="T1000" s="642" t="s">
        <v>1154</v>
      </c>
      <c r="U1000" s="642" t="s">
        <v>1155</v>
      </c>
      <c r="V1000" s="642" t="s">
        <v>1156</v>
      </c>
      <c r="W1000" s="642" t="s">
        <v>1157</v>
      </c>
      <c r="X1000" s="642" t="s">
        <v>1158</v>
      </c>
      <c r="Y1000" s="642" t="s">
        <v>1159</v>
      </c>
      <c r="Z1000" s="642" t="s">
        <v>1160</v>
      </c>
      <c r="AA1000" s="642" t="s">
        <v>1161</v>
      </c>
      <c r="AB1000" s="642" t="s">
        <v>1414</v>
      </c>
      <c r="AC1000" s="642" t="s">
        <v>1162</v>
      </c>
      <c r="AD1000" s="642" t="s">
        <v>1163</v>
      </c>
      <c r="AE1000" s="642" t="s">
        <v>1406</v>
      </c>
      <c r="AF1000" s="642" t="s">
        <v>1178</v>
      </c>
      <c r="AG1000" s="642" t="s">
        <v>1164</v>
      </c>
      <c r="AJ1000" s="3"/>
      <c r="AK1000" s="211"/>
      <c r="AL1000" s="211"/>
      <c r="AM1000" s="211"/>
      <c r="AN1000" s="211"/>
      <c r="AO1000" s="211"/>
      <c r="AP1000" s="211"/>
      <c r="AQ1000" s="211"/>
      <c r="AR1000" s="211"/>
      <c r="AS1000" s="211"/>
      <c r="AT1000" s="211"/>
      <c r="AU1000" s="211"/>
      <c r="AV1000" s="211"/>
      <c r="DS1000" s="3"/>
    </row>
  </sheetData>
  <sheetProtection algorithmName="SHA-512" hashValue="fjzVtxame0c+730oFNpyTyJmTf5kbo3j1Xfr0rQvoBsLQjsCQnKlQVaT1hzXQJpsYPGMynLmCsjACZt+E5q6JA==" saltValue="sz9tXzPwYbZ0VXOGtWzQAg==" spinCount="100000" sheet="1" objects="1" scenarios="1"/>
  <mergeCells count="21">
    <mergeCell ref="P5:P6"/>
    <mergeCell ref="C5:C6"/>
    <mergeCell ref="D5:D6"/>
    <mergeCell ref="E5:E6"/>
    <mergeCell ref="F5:F6"/>
    <mergeCell ref="G5:G6"/>
    <mergeCell ref="H5:H6"/>
    <mergeCell ref="I5:I6"/>
    <mergeCell ref="J5:J6"/>
    <mergeCell ref="K5:K6"/>
    <mergeCell ref="L5:L6"/>
    <mergeCell ref="O5:O6"/>
    <mergeCell ref="AF5:AF6"/>
    <mergeCell ref="AG5:AG6"/>
    <mergeCell ref="AI5:AI6"/>
    <mergeCell ref="Q5:Q6"/>
    <mergeCell ref="T5:T6"/>
    <mergeCell ref="W5:W6"/>
    <mergeCell ref="Z5:Z6"/>
    <mergeCell ref="AD5:AD6"/>
    <mergeCell ref="AE5:AE6"/>
  </mergeCells>
  <phoneticPr fontId="44" type="noConversion"/>
  <conditionalFormatting sqref="D8:N8 D108:N108 D128:N173 P119:AA125 D119:N125 C98 O98 C118:AA118 P110:AA117 D110:N117 P128:AG173 P108:AG108 P8:AG8 AB110:AG125 C174:AG174 D10:N34 P10:AG34 D54:N97 P54:AG97">
    <cfRule type="cellIs" dxfId="1014" priority="114" stopIfTrue="1" operator="lessThan">
      <formula>0</formula>
    </cfRule>
  </conditionalFormatting>
  <conditionalFormatting sqref="C174:AG174">
    <cfRule type="cellIs" dxfId="1013" priority="113" stopIfTrue="1" operator="notEqual">
      <formula>ROUND(SUM(C8:C173),3)</formula>
    </cfRule>
  </conditionalFormatting>
  <conditionalFormatting sqref="L8 Q33 L108 L128:L174 Q128:Q174 L110:L125 Q118 L10:L34 L54:L97 Q54:Q97">
    <cfRule type="expression" dxfId="1012" priority="121" stopIfTrue="1">
      <formula>AND(M8+N8=0,L8&lt;&gt;0)</formula>
    </cfRule>
    <cfRule type="cellIs" dxfId="1011" priority="122" stopIfTrue="1" operator="notEqual">
      <formula>M8+N8</formula>
    </cfRule>
  </conditionalFormatting>
  <conditionalFormatting sqref="Q8 Q34 Q110:Q117 Q108 Q119:Q125 Q10:Q32">
    <cfRule type="expression" dxfId="1010" priority="119" stopIfTrue="1">
      <formula>AND(R8+S8=0,Q8&lt;&gt;0)</formula>
    </cfRule>
    <cfRule type="cellIs" dxfId="1009" priority="120" stopIfTrue="1" operator="notEqual">
      <formula>R8+S8</formula>
    </cfRule>
  </conditionalFormatting>
  <conditionalFormatting sqref="Z8 Z108 Z128:Z174 Z110:Z125 Z10:Z36 Z54:Z106">
    <cfRule type="expression" dxfId="1008" priority="117" stopIfTrue="1">
      <formula>AND(AA8+AC8=0,Z8&lt;&gt;0)</formula>
    </cfRule>
    <cfRule type="cellIs" dxfId="1007" priority="118" stopIfTrue="1" operator="notEqual">
      <formula>AA8+AC8</formula>
    </cfRule>
  </conditionalFormatting>
  <conditionalFormatting sqref="W8 W108 W128:W174 W110:W125 W10:W34 W54:W97">
    <cfRule type="expression" dxfId="1006" priority="115" stopIfTrue="1">
      <formula>OR(AND(OR(U8&lt;&gt;0,V8&lt;&gt;0),W8&lt;&gt;U8+V8),AND(OR(X8&lt;&gt;0,Y8&lt;&gt;0),W8&lt;&gt;X8+Y8))</formula>
    </cfRule>
    <cfRule type="expression" dxfId="1005" priority="116" stopIfTrue="1">
      <formula>OR(AND(U8+V8=0,W8&lt;&gt;0),AND(X8+Y8=0,W8&lt;&gt;0))</formula>
    </cfRule>
  </conditionalFormatting>
  <conditionalFormatting sqref="AF8 AF108 AF128:AF174 AF110:AF125 AF10:AF34 AF54:AF97">
    <cfRule type="cellIs" dxfId="1004" priority="112" stopIfTrue="1" operator="notEqual">
      <formula>ROUND(SUM(I8:L8,O8:Q8,T8,W8,Z8,AD8:AE8),3)</formula>
    </cfRule>
  </conditionalFormatting>
  <conditionalFormatting sqref="AG8 AG108 AG128:AG174 AG110:AG125 AG10:AG34 AG54:AG97">
    <cfRule type="cellIs" dxfId="1003" priority="111" stopIfTrue="1" operator="notEqual">
      <formula>ROUND(H8+AF8,3)</formula>
    </cfRule>
  </conditionalFormatting>
  <conditionalFormatting sqref="H8 H108 H128:H174 H110:H125 H10:H34 H54:H97">
    <cfRule type="cellIs" dxfId="1002" priority="110" stopIfTrue="1" operator="notEqual">
      <formula>ROUND(SUM(C8:G8),3)</formula>
    </cfRule>
  </conditionalFormatting>
  <conditionalFormatting sqref="D9:N9 P9:AG9">
    <cfRule type="cellIs" dxfId="1001" priority="101" stopIfTrue="1" operator="lessThan">
      <formula>0</formula>
    </cfRule>
  </conditionalFormatting>
  <conditionalFormatting sqref="L9">
    <cfRule type="expression" dxfId="1000" priority="108" stopIfTrue="1">
      <formula>AND(M9+N9=0,L9&lt;&gt;0)</formula>
    </cfRule>
    <cfRule type="cellIs" dxfId="999" priority="109" stopIfTrue="1" operator="notEqual">
      <formula>M9+N9</formula>
    </cfRule>
  </conditionalFormatting>
  <conditionalFormatting sqref="Q9">
    <cfRule type="expression" dxfId="998" priority="106" stopIfTrue="1">
      <formula>AND(R9+S9=0,Q9&lt;&gt;0)</formula>
    </cfRule>
    <cfRule type="cellIs" dxfId="997" priority="107" stopIfTrue="1" operator="notEqual">
      <formula>R9+S9</formula>
    </cfRule>
  </conditionalFormatting>
  <conditionalFormatting sqref="Z9">
    <cfRule type="expression" dxfId="996" priority="104" stopIfTrue="1">
      <formula>AND(AA9+AC9=0,Z9&lt;&gt;0)</formula>
    </cfRule>
    <cfRule type="cellIs" dxfId="995" priority="105" stopIfTrue="1" operator="notEqual">
      <formula>AA9+AC9</formula>
    </cfRule>
  </conditionalFormatting>
  <conditionalFormatting sqref="W9">
    <cfRule type="expression" dxfId="994" priority="102" stopIfTrue="1">
      <formula>OR(AND(OR(U9&lt;&gt;0,V9&lt;&gt;0),W9&lt;&gt;U9+V9),AND(OR(X9&lt;&gt;0,Y9&lt;&gt;0),W9&lt;&gt;X9+Y9))</formula>
    </cfRule>
    <cfRule type="expression" dxfId="993" priority="103" stopIfTrue="1">
      <formula>OR(AND(U9+V9=0,W9&lt;&gt;0),AND(X9+Y9=0,W9&lt;&gt;0))</formula>
    </cfRule>
  </conditionalFormatting>
  <conditionalFormatting sqref="AF9 AF35:AF36 AF98:AF106">
    <cfRule type="cellIs" dxfId="992" priority="100" stopIfTrue="1" operator="notEqual">
      <formula>SUM(I9:L9,O9:Q9,T9,W9,Z9,AD9:AE9)</formula>
    </cfRule>
  </conditionalFormatting>
  <conditionalFormatting sqref="AG9 AG35:AG36 AG98:AG106">
    <cfRule type="cellIs" dxfId="991" priority="99" stopIfTrue="1" operator="notEqual">
      <formula>H9+AF9</formula>
    </cfRule>
  </conditionalFormatting>
  <conditionalFormatting sqref="H9">
    <cfRule type="cellIs" dxfId="990" priority="98" stopIfTrue="1" operator="notEqual">
      <formula>SUM(C9:G9)</formula>
    </cfRule>
  </conditionalFormatting>
  <conditionalFormatting sqref="D127:N127 P127:AG127">
    <cfRule type="cellIs" dxfId="989" priority="89" stopIfTrue="1" operator="lessThan">
      <formula>0</formula>
    </cfRule>
  </conditionalFormatting>
  <conditionalFormatting sqref="L127">
    <cfRule type="expression" dxfId="988" priority="96" stopIfTrue="1">
      <formula>AND(M127+N127=0,L127&lt;&gt;0)</formula>
    </cfRule>
    <cfRule type="cellIs" dxfId="987" priority="97" stopIfTrue="1" operator="notEqual">
      <formula>M127+N127</formula>
    </cfRule>
  </conditionalFormatting>
  <conditionalFormatting sqref="Q127">
    <cfRule type="expression" dxfId="986" priority="94" stopIfTrue="1">
      <formula>AND(R127+S127=0,Q127&lt;&gt;0)</formula>
    </cfRule>
    <cfRule type="cellIs" dxfId="985" priority="95" stopIfTrue="1" operator="notEqual">
      <formula>R127+S127</formula>
    </cfRule>
  </conditionalFormatting>
  <conditionalFormatting sqref="Z127">
    <cfRule type="expression" dxfId="984" priority="92" stopIfTrue="1">
      <formula>AND(AA127+AC127=0,Z127&lt;&gt;0)</formula>
    </cfRule>
    <cfRule type="cellIs" dxfId="983" priority="93" stopIfTrue="1" operator="notEqual">
      <formula>AA127+AC127</formula>
    </cfRule>
  </conditionalFormatting>
  <conditionalFormatting sqref="W127">
    <cfRule type="expression" dxfId="982" priority="90" stopIfTrue="1">
      <formula>OR(AND(OR(U127&lt;&gt;0,V127&lt;&gt;0),W127&lt;&gt;U127+V127),AND(OR(X127&lt;&gt;0,Y127&lt;&gt;0),W127&lt;&gt;X127+Y127))</formula>
    </cfRule>
    <cfRule type="expression" dxfId="981" priority="91" stopIfTrue="1">
      <formula>OR(AND(U127+V127=0,W127&lt;&gt;0),AND(X127+Y127=0,W127&lt;&gt;0))</formula>
    </cfRule>
  </conditionalFormatting>
  <conditionalFormatting sqref="AF127">
    <cfRule type="cellIs" dxfId="980" priority="88" stopIfTrue="1" operator="notEqual">
      <formula>SUM(I127:L127,O127:Q127,T127,W127,Z127,AD127:AE127)</formula>
    </cfRule>
  </conditionalFormatting>
  <conditionalFormatting sqref="AG127">
    <cfRule type="cellIs" dxfId="979" priority="87" stopIfTrue="1" operator="notEqual">
      <formula>H127+AF127</formula>
    </cfRule>
  </conditionalFormatting>
  <conditionalFormatting sqref="H127">
    <cfRule type="cellIs" dxfId="978" priority="86" stopIfTrue="1" operator="notEqual">
      <formula>SUM(C127:G127)</formula>
    </cfRule>
  </conditionalFormatting>
  <conditionalFormatting sqref="D126:N126 P126:AG126">
    <cfRule type="cellIs" dxfId="977" priority="77" stopIfTrue="1" operator="lessThan">
      <formula>0</formula>
    </cfRule>
  </conditionalFormatting>
  <conditionalFormatting sqref="L126">
    <cfRule type="expression" dxfId="976" priority="84" stopIfTrue="1">
      <formula>AND(M126+N126=0,L126&lt;&gt;0)</formula>
    </cfRule>
    <cfRule type="cellIs" dxfId="975" priority="85" stopIfTrue="1" operator="notEqual">
      <formula>M126+N126</formula>
    </cfRule>
  </conditionalFormatting>
  <conditionalFormatting sqref="Q126">
    <cfRule type="expression" dxfId="974" priority="82" stopIfTrue="1">
      <formula>AND(R126+S126=0,Q126&lt;&gt;0)</formula>
    </cfRule>
    <cfRule type="cellIs" dxfId="973" priority="83" stopIfTrue="1" operator="notEqual">
      <formula>R126+S126</formula>
    </cfRule>
  </conditionalFormatting>
  <conditionalFormatting sqref="Z126">
    <cfRule type="expression" dxfId="972" priority="80" stopIfTrue="1">
      <formula>AND(AA126+AC126=0,Z126&lt;&gt;0)</formula>
    </cfRule>
    <cfRule type="cellIs" dxfId="971" priority="81" stopIfTrue="1" operator="notEqual">
      <formula>AA126+AC126</formula>
    </cfRule>
  </conditionalFormatting>
  <conditionalFormatting sqref="W126">
    <cfRule type="expression" dxfId="970" priority="78" stopIfTrue="1">
      <formula>OR(AND(OR(U126&lt;&gt;0,V126&lt;&gt;0),W126&lt;&gt;U126+V126),AND(OR(X126&lt;&gt;0,Y126&lt;&gt;0),W126&lt;&gt;X126+Y126))</formula>
    </cfRule>
    <cfRule type="expression" dxfId="969" priority="79" stopIfTrue="1">
      <formula>OR(AND(U126+V126=0,W126&lt;&gt;0),AND(X126+Y126=0,W126&lt;&gt;0))</formula>
    </cfRule>
  </conditionalFormatting>
  <conditionalFormatting sqref="AF126">
    <cfRule type="cellIs" dxfId="968" priority="76" stopIfTrue="1" operator="notEqual">
      <formula>SUM(I126:L126,O126:Q126,T126,W126,Z126,AD126:AE126)</formula>
    </cfRule>
  </conditionalFormatting>
  <conditionalFormatting sqref="AG126">
    <cfRule type="cellIs" dxfId="967" priority="75" stopIfTrue="1" operator="notEqual">
      <formula>H126+AF126</formula>
    </cfRule>
  </conditionalFormatting>
  <conditionalFormatting sqref="H126">
    <cfRule type="cellIs" dxfId="966" priority="74" stopIfTrue="1" operator="notEqual">
      <formula>SUM(C126:G126)</formula>
    </cfRule>
  </conditionalFormatting>
  <conditionalFormatting sqref="D109:N109 P109:AG109">
    <cfRule type="cellIs" dxfId="965" priority="65" stopIfTrue="1" operator="lessThan">
      <formula>0</formula>
    </cfRule>
  </conditionalFormatting>
  <conditionalFormatting sqref="D38:N51 D35:N36 D98:N106 P35:AG36 P38:AG51 P98:AG106">
    <cfRule type="cellIs" dxfId="964" priority="53" stopIfTrue="1" operator="lessThan">
      <formula>0</formula>
    </cfRule>
  </conditionalFormatting>
  <conditionalFormatting sqref="L38:L51 L35:L36 Q98:Q106 L98:L106">
    <cfRule type="expression" dxfId="963" priority="60" stopIfTrue="1">
      <formula>AND(M35+N35=0,L35&lt;&gt;0)</formula>
    </cfRule>
    <cfRule type="cellIs" dxfId="962" priority="61" stopIfTrue="1" operator="notEqual">
      <formula>M35+N35</formula>
    </cfRule>
  </conditionalFormatting>
  <conditionalFormatting sqref="Q38:Q51 Q35:Q36">
    <cfRule type="expression" dxfId="961" priority="58" stopIfTrue="1">
      <formula>AND(R35+S35=0,Q35&lt;&gt;0)</formula>
    </cfRule>
    <cfRule type="cellIs" dxfId="960" priority="59" stopIfTrue="1" operator="notEqual">
      <formula>R35+S35</formula>
    </cfRule>
  </conditionalFormatting>
  <conditionalFormatting sqref="Z38:Z51">
    <cfRule type="expression" dxfId="959" priority="56" stopIfTrue="1">
      <formula>AND(AA38+AC38=0,Z38&lt;&gt;0)</formula>
    </cfRule>
    <cfRule type="cellIs" dxfId="958" priority="57" stopIfTrue="1" operator="notEqual">
      <formula>AA38+AC38</formula>
    </cfRule>
  </conditionalFormatting>
  <conditionalFormatting sqref="W38:W51 W35:W36 W98:W106">
    <cfRule type="expression" dxfId="957" priority="54" stopIfTrue="1">
      <formula>OR(AND(OR(U35&lt;&gt;0,V35&lt;&gt;0),W35&lt;&gt;U35+V35),AND(OR(X35&lt;&gt;0,Y35&lt;&gt;0),W35&lt;&gt;X35+Y35))</formula>
    </cfRule>
    <cfRule type="expression" dxfId="956" priority="55" stopIfTrue="1">
      <formula>OR(AND(U35+V35=0,W35&lt;&gt;0),AND(X35+Y35=0,W35&lt;&gt;0))</formula>
    </cfRule>
  </conditionalFormatting>
  <conditionalFormatting sqref="AF38:AF51">
    <cfRule type="cellIs" dxfId="955" priority="52" stopIfTrue="1" operator="notEqual">
      <formula>SUM(I38:L38,O38:Q38,T38,W38,Z38,AD38:AE38)</formula>
    </cfRule>
  </conditionalFormatting>
  <conditionalFormatting sqref="AG38:AG51">
    <cfRule type="cellIs" dxfId="954" priority="51" stopIfTrue="1" operator="notEqual">
      <formula>H38+AF38</formula>
    </cfRule>
  </conditionalFormatting>
  <conditionalFormatting sqref="H38:H51 H35:H36 H98:H106">
    <cfRule type="cellIs" dxfId="953" priority="50" stopIfTrue="1" operator="notEqual">
      <formula>SUM(C35:G35)</formula>
    </cfRule>
  </conditionalFormatting>
  <conditionalFormatting sqref="D53:N53 P53:AG53">
    <cfRule type="cellIs" dxfId="952" priority="41" stopIfTrue="1" operator="lessThan">
      <formula>0</formula>
    </cfRule>
  </conditionalFormatting>
  <conditionalFormatting sqref="L53">
    <cfRule type="expression" dxfId="951" priority="48" stopIfTrue="1">
      <formula>AND(M53+N53=0,L53&lt;&gt;0)</formula>
    </cfRule>
    <cfRule type="cellIs" dxfId="950" priority="49" stopIfTrue="1" operator="notEqual">
      <formula>M53+N53</formula>
    </cfRule>
  </conditionalFormatting>
  <conditionalFormatting sqref="Q53">
    <cfRule type="expression" dxfId="949" priority="46" stopIfTrue="1">
      <formula>AND(R53+S53=0,Q53&lt;&gt;0)</formula>
    </cfRule>
    <cfRule type="cellIs" dxfId="948" priority="47" stopIfTrue="1" operator="notEqual">
      <formula>R53+S53</formula>
    </cfRule>
  </conditionalFormatting>
  <conditionalFormatting sqref="Z53">
    <cfRule type="expression" dxfId="947" priority="44" stopIfTrue="1">
      <formula>AND(AA53+AC53=0,Z53&lt;&gt;0)</formula>
    </cfRule>
    <cfRule type="cellIs" dxfId="946" priority="45" stopIfTrue="1" operator="notEqual">
      <formula>AA53+AC53</formula>
    </cfRule>
  </conditionalFormatting>
  <conditionalFormatting sqref="W53">
    <cfRule type="expression" dxfId="945" priority="42" stopIfTrue="1">
      <formula>OR(AND(OR(U53&lt;&gt;0,V53&lt;&gt;0),W53&lt;&gt;U53+V53),AND(OR(X53&lt;&gt;0,Y53&lt;&gt;0),W53&lt;&gt;X53+Y53))</formula>
    </cfRule>
    <cfRule type="expression" dxfId="944" priority="43" stopIfTrue="1">
      <formula>OR(AND(U53+V53=0,W53&lt;&gt;0),AND(X53+Y53=0,W53&lt;&gt;0))</formula>
    </cfRule>
  </conditionalFormatting>
  <conditionalFormatting sqref="AF53">
    <cfRule type="cellIs" dxfId="943" priority="40" stopIfTrue="1" operator="notEqual">
      <formula>SUM(I53:L53,O53:Q53,T53,W53,Z53,AD53:AE53)</formula>
    </cfRule>
  </conditionalFormatting>
  <conditionalFormatting sqref="AG53">
    <cfRule type="cellIs" dxfId="942" priority="39" stopIfTrue="1" operator="notEqual">
      <formula>H53+AF53</formula>
    </cfRule>
  </conditionalFormatting>
  <conditionalFormatting sqref="H53">
    <cfRule type="cellIs" dxfId="941" priority="38" stopIfTrue="1" operator="notEqual">
      <formula>SUM(C53:G53)</formula>
    </cfRule>
  </conditionalFormatting>
  <conditionalFormatting sqref="D52:N52 P52:AG52">
    <cfRule type="cellIs" dxfId="940" priority="29" stopIfTrue="1" operator="lessThan">
      <formula>0</formula>
    </cfRule>
  </conditionalFormatting>
  <conditionalFormatting sqref="L52">
    <cfRule type="expression" dxfId="939" priority="36" stopIfTrue="1">
      <formula>AND(M52+N52=0,L52&lt;&gt;0)</formula>
    </cfRule>
    <cfRule type="cellIs" dxfId="938" priority="37" stopIfTrue="1" operator="notEqual">
      <formula>M52+N52</formula>
    </cfRule>
  </conditionalFormatting>
  <conditionalFormatting sqref="Q52">
    <cfRule type="expression" dxfId="937" priority="34" stopIfTrue="1">
      <formula>AND(R52+S52=0,Q52&lt;&gt;0)</formula>
    </cfRule>
    <cfRule type="cellIs" dxfId="936" priority="35" stopIfTrue="1" operator="notEqual">
      <formula>R52+S52</formula>
    </cfRule>
  </conditionalFormatting>
  <conditionalFormatting sqref="Z52">
    <cfRule type="expression" dxfId="935" priority="32" stopIfTrue="1">
      <formula>AND(AA52+AC52=0,Z52&lt;&gt;0)</formula>
    </cfRule>
    <cfRule type="cellIs" dxfId="934" priority="33" stopIfTrue="1" operator="notEqual">
      <formula>AA52+AC52</formula>
    </cfRule>
  </conditionalFormatting>
  <conditionalFormatting sqref="W52">
    <cfRule type="expression" dxfId="933" priority="30" stopIfTrue="1">
      <formula>OR(AND(OR(U52&lt;&gt;0,V52&lt;&gt;0),W52&lt;&gt;U52+V52),AND(OR(X52&lt;&gt;0,Y52&lt;&gt;0),W52&lt;&gt;X52+Y52))</formula>
    </cfRule>
    <cfRule type="expression" dxfId="932" priority="31" stopIfTrue="1">
      <formula>OR(AND(U52+V52=0,W52&lt;&gt;0),AND(X52+Y52=0,W52&lt;&gt;0))</formula>
    </cfRule>
  </conditionalFormatting>
  <conditionalFormatting sqref="AF52">
    <cfRule type="cellIs" dxfId="931" priority="28" stopIfTrue="1" operator="notEqual">
      <formula>SUM(I52:L52,O52:Q52,T52,W52,Z52,AD52:AE52)</formula>
    </cfRule>
  </conditionalFormatting>
  <conditionalFormatting sqref="AG52">
    <cfRule type="cellIs" dxfId="930" priority="27" stopIfTrue="1" operator="notEqual">
      <formula>H52+AF52</formula>
    </cfRule>
  </conditionalFormatting>
  <conditionalFormatting sqref="H52">
    <cfRule type="cellIs" dxfId="929" priority="26" stopIfTrue="1" operator="notEqual">
      <formula>SUM(C52:G52)</formula>
    </cfRule>
  </conditionalFormatting>
  <conditionalFormatting sqref="D37:N37 P37:AG37">
    <cfRule type="cellIs" dxfId="928" priority="25" stopIfTrue="1" operator="lessThan">
      <formula>0</formula>
    </cfRule>
  </conditionalFormatting>
  <conditionalFormatting sqref="D107:N107 P107:AG107">
    <cfRule type="cellIs" dxfId="927" priority="18" stopIfTrue="1" operator="lessThan">
      <formula>0</formula>
    </cfRule>
  </conditionalFormatting>
  <conditionalFormatting sqref="L107 Q107">
    <cfRule type="expression" dxfId="926" priority="23" stopIfTrue="1">
      <formula>AND(M107+N107=0,L107&lt;&gt;0)</formula>
    </cfRule>
    <cfRule type="cellIs" dxfId="925" priority="24" stopIfTrue="1" operator="notEqual">
      <formula>M107+N107</formula>
    </cfRule>
  </conditionalFormatting>
  <conditionalFormatting sqref="Z107">
    <cfRule type="expression" dxfId="924" priority="21" stopIfTrue="1">
      <formula>AND(AA107+AC107=0,Z107&lt;&gt;0)</formula>
    </cfRule>
    <cfRule type="cellIs" dxfId="923" priority="22" stopIfTrue="1" operator="notEqual">
      <formula>AA107+AC107</formula>
    </cfRule>
  </conditionalFormatting>
  <conditionalFormatting sqref="W107">
    <cfRule type="expression" dxfId="922" priority="19" stopIfTrue="1">
      <formula>OR(AND(OR(U107&lt;&gt;0,V107&lt;&gt;0),W107&lt;&gt;U107+V107),AND(OR(X107&lt;&gt;0,Y107&lt;&gt;0),W107&lt;&gt;X107+Y107))</formula>
    </cfRule>
    <cfRule type="expression" dxfId="921" priority="20" stopIfTrue="1">
      <formula>OR(AND(U107+V107=0,W107&lt;&gt;0),AND(X107+Y107=0,W107&lt;&gt;0))</formula>
    </cfRule>
  </conditionalFormatting>
  <conditionalFormatting sqref="AF107">
    <cfRule type="cellIs" dxfId="920" priority="17" stopIfTrue="1" operator="notEqual">
      <formula>SUM(I107:L107,O107:Q107,T107,W107,Z107,AD107:AE107)</formula>
    </cfRule>
  </conditionalFormatting>
  <conditionalFormatting sqref="AG107">
    <cfRule type="cellIs" dxfId="919" priority="16" stopIfTrue="1" operator="notEqual">
      <formula>H107+AF107</formula>
    </cfRule>
  </conditionalFormatting>
  <conditionalFormatting sqref="H107">
    <cfRule type="cellIs" dxfId="918" priority="15" stopIfTrue="1" operator="notEqual">
      <formula>SUM(C107:G107)</formula>
    </cfRule>
  </conditionalFormatting>
  <conditionalFormatting sqref="C10 C12 C14 C16 C18 C20 C22 C24 C26 C29 C31 C33 C35 C37 C39 C41 C43 C45 C47 C49 C51 C53 C55 C57 C59:C60 C62 C64 C66 C71 C73 C75 C77 C79 C81 C83 C85 C87 C89 C91 C93 C95 C97 C99 C101 C103 C105 C107 C109 C111 C113 C115:C116 C119 C121 C123 C125 C127 C129 C131 C133 C135 C137 C139 C141 C143 C145 C147 C149 C151 C153 C155 C157 C159 C161 C163 C165 C167 C169 C171 C173 C68:C69">
    <cfRule type="cellIs" dxfId="917" priority="14" stopIfTrue="1" operator="lessThan">
      <formula>0</formula>
    </cfRule>
  </conditionalFormatting>
  <conditionalFormatting sqref="C9">
    <cfRule type="cellIs" dxfId="916" priority="13" stopIfTrue="1" operator="lessThan">
      <formula>0</formula>
    </cfRule>
  </conditionalFormatting>
  <conditionalFormatting sqref="C11 C13 C15 C17 C19 C21 C23 C25 C30 C32 C34 C36 C38 C40 C42 C44 C46 C48 C50 C52 C54 C56 C58 C61 C63 C65 C67 C70 C72 C74 C76 C78 C80 C82 C84 C86 C88 C90 C92 C94 C96 C100 C102 C104 C106 C108 C110 C112 C114 C117 C120 C122 C124 C126 C128 C130 C132 C134 C136 C138 C140 C142 C144 C146 C148 C150 C152 C154 C156 C158 C160 C162 C164 C166 C168 C170 C172 C27:C28">
    <cfRule type="cellIs" dxfId="915" priority="12" stopIfTrue="1" operator="lessThan">
      <formula>0</formula>
    </cfRule>
  </conditionalFormatting>
  <conditionalFormatting sqref="O8 O10 O12 O14 O16 O18 O20 O22 O24 O26 O29 O31 O33 O35 O37 O39 O41 O43 O45 O47 O49 O51 O53 O55 O57 O59:O60 O62 O64 O66 O71 O73 O75 O77 O79 O81 O83 O85 O87 O89 O91 O93 O95 O97 O99 O101 O103 O105 O107 O109 O111 O113 O115:O116 O119 O121 O123 O125 O127 O129 O131 O133 O135 O137 O139 O141 O143 O145 O147 O149 O151 O153 O155 O157 O159 O161 O163 O165 O167 O169 O171 O173 O68:O69">
    <cfRule type="cellIs" dxfId="914" priority="11" stopIfTrue="1" operator="lessThan">
      <formula>0</formula>
    </cfRule>
  </conditionalFormatting>
  <conditionalFormatting sqref="O9">
    <cfRule type="cellIs" dxfId="913" priority="10" stopIfTrue="1" operator="lessThan">
      <formula>0</formula>
    </cfRule>
  </conditionalFormatting>
  <conditionalFormatting sqref="O11 O13 O15 O17 O19 O21 O23 O25 O30 O32 O34 O36 O38 O40 O42 O44 O46 O48 O50 O52 O54 O56 O58 O61 O63 O65 O67 O70 O72 O74 O76 O78 O80 O82 O84 O86 O88 O90 O92 O94 O96 O100 O102 O104 O106 O108 O110 O112 O114 O117 O120 O122 O124 O126 O128 O130 O132 O134 O136 O138 O140 O142 O144 O146 O148 O150 O152 O154 O156 O158 O160 O162 O164 O166 O168 O170 O172 O27:O28">
    <cfRule type="cellIs" dxfId="912" priority="9" stopIfTrue="1" operator="lessThan">
      <formula>0</formula>
    </cfRule>
  </conditionalFormatting>
  <conditionalFormatting sqref="I181">
    <cfRule type="cellIs" dxfId="911" priority="7" stopIfTrue="1" operator="notEqual">
      <formula>"OK"</formula>
    </cfRule>
  </conditionalFormatting>
  <conditionalFormatting sqref="C8">
    <cfRule type="cellIs" dxfId="910" priority="6" stopIfTrue="1" operator="lessThan">
      <formula>0</formula>
    </cfRule>
  </conditionalFormatting>
  <conditionalFormatting sqref="I180">
    <cfRule type="cellIs" dxfId="909" priority="4" stopIfTrue="1" operator="notEqual">
      <formula>"OK"</formula>
    </cfRule>
  </conditionalFormatting>
  <conditionalFormatting sqref="I179">
    <cfRule type="cellIs" dxfId="908" priority="3" stopIfTrue="1" operator="notEqual">
      <formula>"OK"</formula>
    </cfRule>
  </conditionalFormatting>
  <conditionalFormatting sqref="I178">
    <cfRule type="cellIs" dxfId="907" priority="2" stopIfTrue="1" operator="notEqual">
      <formula>"OK"</formula>
    </cfRule>
  </conditionalFormatting>
  <conditionalFormatting sqref="I177">
    <cfRule type="cellIs" dxfId="906" priority="1" stopIfTrue="1" operator="notEqual">
      <formula>"OK"</formula>
    </cfRule>
  </conditionalFormatting>
  <dataValidations count="1">
    <dataValidation type="decimal" operator="greaterThanOrEqual" allowBlank="1" showErrorMessage="1" errorTitle="Input error" error="Numbers only!" sqref="C8:AG174" xr:uid="{00000000-0002-0000-0400-000000000000}">
      <formula1>-10000000</formula1>
    </dataValidation>
  </dataValidations>
  <printOptions horizontalCentered="1" verticalCentered="1"/>
  <pageMargins left="0" right="0" top="0" bottom="0" header="0.19685039370078741" footer="0.19685039370078741"/>
  <pageSetup paperSize="9" scale="23" orientation="landscape" r:id="rId1"/>
  <headerFooter alignWithMargins="0">
    <oddHeader>&amp;A</oddHeader>
    <oddFooter>Page &amp;P</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06">
    <pageSetUpPr fitToPage="1"/>
  </sheetPr>
  <dimension ref="A1:EE1000"/>
  <sheetViews>
    <sheetView zoomScaleNormal="100" workbookViewId="0">
      <pane xSplit="3" ySplit="7" topLeftCell="D8" activePane="bottomRight" state="frozen"/>
      <selection activeCell="ED11" sqref="ED11"/>
      <selection pane="topRight" activeCell="ED11" sqref="ED11"/>
      <selection pane="bottomLeft" activeCell="ED11" sqref="ED11"/>
      <selection pane="bottomRight" activeCell="D8" sqref="D8"/>
    </sheetView>
  </sheetViews>
  <sheetFormatPr defaultColWidth="9.140625" defaultRowHeight="12.75" x14ac:dyDescent="0.2"/>
  <cols>
    <col min="1" max="1" width="36.5703125" style="2" customWidth="1"/>
    <col min="2" max="2" width="11.140625" style="2" customWidth="1"/>
    <col min="3" max="3" width="3.5703125" style="2" customWidth="1"/>
    <col min="4" max="35" width="9.28515625" style="2" customWidth="1"/>
    <col min="36" max="36" width="2" style="2" bestFit="1" customWidth="1"/>
    <col min="37" max="37" width="76.140625" style="2" customWidth="1"/>
    <col min="38" max="38" width="10.85546875" style="2" bestFit="1" customWidth="1"/>
    <col min="39" max="45" width="9.140625" style="2"/>
    <col min="46" max="46" width="14.42578125" style="2" hidden="1" customWidth="1"/>
    <col min="47" max="122" width="9.140625" style="2"/>
    <col min="123" max="135" width="9.140625" style="2" hidden="1" customWidth="1"/>
    <col min="136" max="16384" width="9.140625" style="2"/>
  </cols>
  <sheetData>
    <row r="1" spans="1:135" x14ac:dyDescent="0.2">
      <c r="A1" s="1" t="s">
        <v>611</v>
      </c>
    </row>
    <row r="2" spans="1:135" x14ac:dyDescent="0.2">
      <c r="A2" s="24" t="str">
        <f>IF('Table 1'!D2=0,"",'Table 1'!D2)</f>
        <v>Netherlands</v>
      </c>
      <c r="AB2" s="339"/>
      <c r="AC2" s="211"/>
      <c r="AD2" s="211"/>
      <c r="AE2" s="211"/>
    </row>
    <row r="3" spans="1:135" x14ac:dyDescent="0.2">
      <c r="A3" s="24" t="str">
        <f>IF('Table 1'!D3=0,"",'Table 1'!D3 &amp; " " &amp; QuestYear)</f>
        <v>September 2026</v>
      </c>
      <c r="I3" s="465"/>
      <c r="AB3" s="339"/>
      <c r="AC3" s="211"/>
      <c r="AD3" s="211"/>
      <c r="AE3" s="211"/>
      <c r="AT3" s="303" t="s">
        <v>351</v>
      </c>
    </row>
    <row r="4" spans="1:135" x14ac:dyDescent="0.2">
      <c r="A4" s="28" t="s">
        <v>101</v>
      </c>
      <c r="D4" s="10"/>
      <c r="E4" s="340" t="s">
        <v>74</v>
      </c>
      <c r="F4" s="10"/>
      <c r="G4" s="10"/>
      <c r="H4" s="10"/>
      <c r="I4" s="10"/>
      <c r="J4" s="10"/>
      <c r="K4" s="10"/>
      <c r="L4" s="10"/>
      <c r="M4" s="10"/>
      <c r="N4" s="10"/>
      <c r="O4" s="10"/>
      <c r="P4" s="10"/>
      <c r="Q4" s="10"/>
      <c r="R4" s="10"/>
      <c r="S4" s="10"/>
      <c r="T4" s="10"/>
      <c r="U4" s="10"/>
      <c r="V4" s="10"/>
      <c r="W4" s="10"/>
      <c r="X4" s="10"/>
      <c r="Y4" s="10"/>
      <c r="Z4" s="10"/>
      <c r="AA4" s="10"/>
      <c r="AB4" s="10"/>
      <c r="AC4" s="10"/>
      <c r="AD4" s="10"/>
      <c r="AF4" s="25"/>
      <c r="AG4" s="25"/>
      <c r="AI4" s="25" t="s">
        <v>108</v>
      </c>
      <c r="AT4" s="137" t="s">
        <v>336</v>
      </c>
    </row>
    <row r="5" spans="1:135" s="27" customFormat="1" ht="12.75" customHeight="1" x14ac:dyDescent="0.2">
      <c r="A5" s="341"/>
      <c r="B5" s="342"/>
      <c r="C5" s="343"/>
      <c r="D5" s="1106" t="s">
        <v>656</v>
      </c>
      <c r="E5" s="1106" t="s">
        <v>657</v>
      </c>
      <c r="F5" s="1106" t="s">
        <v>647</v>
      </c>
      <c r="G5" s="1108" t="s">
        <v>666</v>
      </c>
      <c r="H5" s="313"/>
      <c r="I5" s="1150" t="s">
        <v>885</v>
      </c>
      <c r="J5" s="1110" t="s">
        <v>645</v>
      </c>
      <c r="K5" s="1122" t="s">
        <v>8</v>
      </c>
      <c r="L5" s="1124" t="s">
        <v>9</v>
      </c>
      <c r="M5" s="1126" t="s">
        <v>10</v>
      </c>
      <c r="N5" s="1114" t="s">
        <v>659</v>
      </c>
      <c r="O5" s="329"/>
      <c r="P5" s="190"/>
      <c r="Q5" s="1122" t="s">
        <v>660</v>
      </c>
      <c r="R5" s="1124" t="s">
        <v>661</v>
      </c>
      <c r="S5" s="1116" t="s">
        <v>668</v>
      </c>
      <c r="T5" s="191"/>
      <c r="U5" s="192"/>
      <c r="V5" s="1126" t="s">
        <v>664</v>
      </c>
      <c r="W5" s="193"/>
      <c r="X5" s="190"/>
      <c r="Y5" s="1118" t="s">
        <v>670</v>
      </c>
      <c r="Z5" s="190"/>
      <c r="AA5" s="190"/>
      <c r="AB5" s="1114" t="s">
        <v>628</v>
      </c>
      <c r="AC5" s="190"/>
      <c r="AD5" s="190"/>
      <c r="AE5" s="190"/>
      <c r="AF5" s="1122" t="s">
        <v>629</v>
      </c>
      <c r="AG5" s="1150" t="s">
        <v>630</v>
      </c>
      <c r="AH5" s="1120" t="s">
        <v>631</v>
      </c>
      <c r="AI5" s="1120" t="s">
        <v>679</v>
      </c>
      <c r="AJ5" s="2"/>
      <c r="AK5" s="1139" t="s">
        <v>350</v>
      </c>
    </row>
    <row r="6" spans="1:135" s="27" customFormat="1" ht="56.25" x14ac:dyDescent="0.25">
      <c r="A6" s="625"/>
      <c r="B6" s="626"/>
      <c r="C6" s="627"/>
      <c r="D6" s="1107"/>
      <c r="E6" s="1107"/>
      <c r="F6" s="1107"/>
      <c r="G6" s="1149"/>
      <c r="H6" s="99" t="s">
        <v>667</v>
      </c>
      <c r="I6" s="1138"/>
      <c r="J6" s="1111"/>
      <c r="K6" s="1123"/>
      <c r="L6" s="1125"/>
      <c r="M6" s="1127"/>
      <c r="N6" s="1115"/>
      <c r="O6" s="184" t="s">
        <v>623</v>
      </c>
      <c r="P6" s="185" t="s">
        <v>626</v>
      </c>
      <c r="Q6" s="1123"/>
      <c r="R6" s="1125"/>
      <c r="S6" s="1117"/>
      <c r="T6" s="186" t="s">
        <v>662</v>
      </c>
      <c r="U6" s="187" t="s">
        <v>663</v>
      </c>
      <c r="V6" s="1127"/>
      <c r="W6" s="188" t="s">
        <v>627</v>
      </c>
      <c r="X6" s="189" t="s">
        <v>669</v>
      </c>
      <c r="Y6" s="1119"/>
      <c r="Z6" s="184" t="s">
        <v>624</v>
      </c>
      <c r="AA6" s="186" t="s">
        <v>671</v>
      </c>
      <c r="AB6" s="1115"/>
      <c r="AC6" s="187" t="s">
        <v>674</v>
      </c>
      <c r="AD6" s="186" t="s">
        <v>1411</v>
      </c>
      <c r="AE6" s="196" t="s">
        <v>872</v>
      </c>
      <c r="AF6" s="1123"/>
      <c r="AG6" s="1138"/>
      <c r="AH6" s="1121"/>
      <c r="AI6" s="1121"/>
      <c r="AK6" s="1140"/>
      <c r="DS6" s="650" t="s">
        <v>1121</v>
      </c>
      <c r="DT6" s="644"/>
      <c r="DU6" s="645"/>
      <c r="DV6" s="645"/>
      <c r="DW6" s="645"/>
      <c r="DX6" s="645"/>
      <c r="DY6" s="645"/>
      <c r="DZ6" s="645"/>
      <c r="EA6" s="645"/>
      <c r="EB6" s="645"/>
      <c r="EC6" s="645"/>
      <c r="ED6" s="645"/>
    </row>
    <row r="7" spans="1:135" s="27" customFormat="1" ht="12.75" customHeight="1" x14ac:dyDescent="0.2">
      <c r="A7" s="92"/>
      <c r="B7" s="83"/>
      <c r="C7" s="83"/>
      <c r="D7" s="87" t="s">
        <v>152</v>
      </c>
      <c r="E7" s="86" t="s">
        <v>153</v>
      </c>
      <c r="F7" s="86" t="s">
        <v>154</v>
      </c>
      <c r="G7" s="101" t="s">
        <v>155</v>
      </c>
      <c r="H7" s="198" t="s">
        <v>156</v>
      </c>
      <c r="I7" s="198" t="s">
        <v>157</v>
      </c>
      <c r="J7" s="199" t="s">
        <v>158</v>
      </c>
      <c r="K7" s="87" t="s">
        <v>159</v>
      </c>
      <c r="L7" s="87" t="s">
        <v>160</v>
      </c>
      <c r="M7" s="96" t="s">
        <v>161</v>
      </c>
      <c r="N7" s="179" t="s">
        <v>162</v>
      </c>
      <c r="O7" s="198" t="s">
        <v>163</v>
      </c>
      <c r="P7" s="89" t="s">
        <v>164</v>
      </c>
      <c r="Q7" s="95" t="s">
        <v>165</v>
      </c>
      <c r="R7" s="177" t="s">
        <v>166</v>
      </c>
      <c r="S7" s="180" t="s">
        <v>167</v>
      </c>
      <c r="T7" s="198" t="s">
        <v>168</v>
      </c>
      <c r="U7" s="86" t="s">
        <v>169</v>
      </c>
      <c r="V7" s="94" t="s">
        <v>170</v>
      </c>
      <c r="W7" s="87" t="s">
        <v>171</v>
      </c>
      <c r="X7" s="101" t="s">
        <v>172</v>
      </c>
      <c r="Y7" s="176" t="s">
        <v>173</v>
      </c>
      <c r="Z7" s="200" t="s">
        <v>174</v>
      </c>
      <c r="AA7" s="89" t="s">
        <v>175</v>
      </c>
      <c r="AB7" s="179" t="s">
        <v>176</v>
      </c>
      <c r="AC7" s="200" t="s">
        <v>177</v>
      </c>
      <c r="AD7" s="200" t="s">
        <v>181</v>
      </c>
      <c r="AE7" s="89" t="s">
        <v>417</v>
      </c>
      <c r="AF7" s="178" t="s">
        <v>672</v>
      </c>
      <c r="AG7" s="89" t="s">
        <v>678</v>
      </c>
      <c r="AH7" s="90" t="s">
        <v>499</v>
      </c>
      <c r="AI7" s="90" t="s">
        <v>680</v>
      </c>
      <c r="AK7" s="90" t="s">
        <v>1413</v>
      </c>
      <c r="AM7" s="303"/>
      <c r="AT7" s="303" t="s">
        <v>553</v>
      </c>
      <c r="DS7" s="641" t="s">
        <v>1122</v>
      </c>
      <c r="DT7" s="641" t="s">
        <v>1113</v>
      </c>
      <c r="DU7" s="641" t="s">
        <v>1123</v>
      </c>
      <c r="DV7" s="641" t="s">
        <v>1124</v>
      </c>
      <c r="DW7" s="641" t="s">
        <v>1125</v>
      </c>
      <c r="DX7" s="641" t="s">
        <v>1126</v>
      </c>
      <c r="DY7" s="641" t="s">
        <v>415</v>
      </c>
      <c r="DZ7" s="641" t="s">
        <v>1127</v>
      </c>
      <c r="EA7" s="641" t="s">
        <v>1128</v>
      </c>
      <c r="EB7" s="641" t="s">
        <v>1129</v>
      </c>
      <c r="EC7" s="641" t="s">
        <v>1130</v>
      </c>
      <c r="ED7" s="641" t="s">
        <v>1131</v>
      </c>
      <c r="EE7" s="641" t="s">
        <v>1244</v>
      </c>
    </row>
    <row r="8" spans="1:135" ht="15" customHeight="1" x14ac:dyDescent="0.2">
      <c r="A8" s="347" t="s">
        <v>75</v>
      </c>
      <c r="B8" s="348" t="s">
        <v>76</v>
      </c>
      <c r="C8" s="349">
        <v>1</v>
      </c>
      <c r="D8" s="819">
        <f t="shared" ref="D8:AG9" si="0">ROUND(D10+D12+D14+D16+D18+D20+D22+D24,3)</f>
        <v>4459.3509999999997</v>
      </c>
      <c r="E8" s="819">
        <f t="shared" si="0"/>
        <v>356.05599999999998</v>
      </c>
      <c r="F8" s="819">
        <f t="shared" si="0"/>
        <v>0</v>
      </c>
      <c r="G8" s="819">
        <f t="shared" si="0"/>
        <v>1312.722</v>
      </c>
      <c r="H8" s="819">
        <f t="shared" si="0"/>
        <v>918.29700000000003</v>
      </c>
      <c r="I8" s="819">
        <f t="shared" si="0"/>
        <v>0</v>
      </c>
      <c r="J8" s="820">
        <f t="shared" si="0"/>
        <v>6128.1289999999999</v>
      </c>
      <c r="K8" s="821">
        <f t="shared" si="0"/>
        <v>0</v>
      </c>
      <c r="L8" s="821">
        <f t="shared" si="0"/>
        <v>95.394999999999996</v>
      </c>
      <c r="M8" s="822">
        <f t="shared" si="0"/>
        <v>1523.4190000000001</v>
      </c>
      <c r="N8" s="823">
        <f t="shared" si="0"/>
        <v>812.95399999999995</v>
      </c>
      <c r="O8" s="824">
        <f t="shared" si="0"/>
        <v>0</v>
      </c>
      <c r="P8" s="820">
        <f t="shared" si="0"/>
        <v>812.95399999999995</v>
      </c>
      <c r="Q8" s="821">
        <f t="shared" si="0"/>
        <v>19.257999999999999</v>
      </c>
      <c r="R8" s="819">
        <f t="shared" si="0"/>
        <v>0</v>
      </c>
      <c r="S8" s="825">
        <f t="shared" si="0"/>
        <v>460.541</v>
      </c>
      <c r="T8" s="819">
        <f t="shared" si="0"/>
        <v>0</v>
      </c>
      <c r="U8" s="819">
        <f t="shared" si="0"/>
        <v>460.541</v>
      </c>
      <c r="V8" s="820">
        <f t="shared" si="0"/>
        <v>83.691999999999993</v>
      </c>
      <c r="W8" s="821">
        <f t="shared" si="0"/>
        <v>2225.9490000000001</v>
      </c>
      <c r="X8" s="819">
        <f t="shared" si="0"/>
        <v>434.56599999999997</v>
      </c>
      <c r="Y8" s="826">
        <f t="shared" si="0"/>
        <v>2660.5149999999999</v>
      </c>
      <c r="Z8" s="819">
        <f t="shared" si="0"/>
        <v>0</v>
      </c>
      <c r="AA8" s="820">
        <f t="shared" si="0"/>
        <v>2660.5149999999999</v>
      </c>
      <c r="AB8" s="823">
        <f t="shared" si="0"/>
        <v>1948.3910000000001</v>
      </c>
      <c r="AC8" s="827">
        <f t="shared" si="0"/>
        <v>1055.3620000000001</v>
      </c>
      <c r="AD8" s="827">
        <f t="shared" si="0"/>
        <v>0</v>
      </c>
      <c r="AE8" s="828">
        <f t="shared" si="0"/>
        <v>893.029</v>
      </c>
      <c r="AF8" s="829">
        <f t="shared" si="0"/>
        <v>46.878999999999998</v>
      </c>
      <c r="AG8" s="829">
        <f t="shared" si="0"/>
        <v>522.64300000000003</v>
      </c>
      <c r="AH8" s="827">
        <f t="shared" ref="AH8:AH43" si="1">ROUND(SUM(K8:N8,Q8:S8,V8,Y8,AB8,AF8:AG8),3)</f>
        <v>8173.6869999999999</v>
      </c>
      <c r="AI8" s="827">
        <f t="shared" ref="AI8:AI43" si="2">ROUND(SUM(J8,AH8),3)</f>
        <v>14301.816000000001</v>
      </c>
      <c r="AJ8" s="466">
        <f>IF(ROUND(J8-SUM(D8:G8,I8),3)=0,0,1)+IF(ROUND(AH8-SUM(K8:N8,Q8:S8,V8,Y8,AB8,AF8:AG8),3)=0,0,1)+IF(ROUND(AI8-SUM(AH8,J8),3)=0,0,1)</f>
        <v>0</v>
      </c>
      <c r="AK8" s="467" t="str">
        <f>IF(AJ8=0," ",IF(AJ8=1,"A total is not equal to the sum of its components: ",AJ8&amp;" totals are not equal to the sum of their components: "))&amp;IF(AJ8=0,"",IF(J8-SUM(D8:G8,I8)=0,"","Total crude. ")&amp;IF(AH8-SUM(K8:N8,Q8:S8,V8,Y8,AB8,AF8:AG8)=0,"","Total products. ")&amp;IF(AI8-SUM(AH8,J8)=0,"","Total oil."))</f>
        <v xml:space="preserve"> </v>
      </c>
      <c r="AT8" s="139" t="s">
        <v>381</v>
      </c>
      <c r="DS8" s="647" t="str">
        <f>VLOOKUP(CountryUser, Param!$C$9:$E$67, 3, 0)</f>
        <v>NL</v>
      </c>
      <c r="DT8" s="647" t="s">
        <v>1132</v>
      </c>
      <c r="DU8" s="647" t="s">
        <v>415</v>
      </c>
      <c r="DV8" s="647" t="s">
        <v>1187</v>
      </c>
      <c r="DW8" s="647" t="s">
        <v>1134</v>
      </c>
      <c r="DX8" s="647" t="s">
        <v>1134</v>
      </c>
      <c r="DY8" s="647" t="s">
        <v>1140</v>
      </c>
      <c r="DZ8" s="647" t="s">
        <v>1134</v>
      </c>
      <c r="EA8" s="647" t="s">
        <v>1134</v>
      </c>
      <c r="EB8" s="647" t="s">
        <v>1135</v>
      </c>
      <c r="EC8" s="647" t="s">
        <v>1134</v>
      </c>
      <c r="ED8" s="647" t="s">
        <v>1136</v>
      </c>
      <c r="EE8" s="647" t="str">
        <f>QuestYear&amp;"-"&amp;TEXT(MATCH(FirstMonth, Param!C71:C82,0), "00")</f>
        <v>2026-09</v>
      </c>
    </row>
    <row r="9" spans="1:135" ht="15" customHeight="1" x14ac:dyDescent="0.2">
      <c r="A9" s="350" t="s">
        <v>109</v>
      </c>
      <c r="B9" s="351" t="s">
        <v>77</v>
      </c>
      <c r="C9" s="352">
        <v>2</v>
      </c>
      <c r="D9" s="819">
        <f t="shared" si="0"/>
        <v>4624.0050000000001</v>
      </c>
      <c r="E9" s="819">
        <f t="shared" si="0"/>
        <v>242.64500000000001</v>
      </c>
      <c r="F9" s="819">
        <f t="shared" si="0"/>
        <v>0</v>
      </c>
      <c r="G9" s="819">
        <f t="shared" si="0"/>
        <v>1315.3440000000001</v>
      </c>
      <c r="H9" s="819">
        <f t="shared" si="0"/>
        <v>930.19500000000005</v>
      </c>
      <c r="I9" s="819">
        <f t="shared" si="0"/>
        <v>0</v>
      </c>
      <c r="J9" s="820">
        <f t="shared" si="0"/>
        <v>6181.9939999999997</v>
      </c>
      <c r="K9" s="821">
        <f t="shared" si="0"/>
        <v>0</v>
      </c>
      <c r="L9" s="821">
        <f t="shared" si="0"/>
        <v>95.194000000000003</v>
      </c>
      <c r="M9" s="822">
        <f t="shared" si="0"/>
        <v>1488.1320000000001</v>
      </c>
      <c r="N9" s="823">
        <f t="shared" si="0"/>
        <v>770.58299999999997</v>
      </c>
      <c r="O9" s="824">
        <f t="shared" si="0"/>
        <v>0</v>
      </c>
      <c r="P9" s="820">
        <f t="shared" si="0"/>
        <v>770.58299999999997</v>
      </c>
      <c r="Q9" s="821">
        <f t="shared" si="0"/>
        <v>19.254000000000001</v>
      </c>
      <c r="R9" s="819">
        <f t="shared" si="0"/>
        <v>0</v>
      </c>
      <c r="S9" s="825">
        <f t="shared" si="0"/>
        <v>493.02499999999998</v>
      </c>
      <c r="T9" s="819">
        <f t="shared" si="0"/>
        <v>0</v>
      </c>
      <c r="U9" s="819">
        <f t="shared" si="0"/>
        <v>493.02499999999998</v>
      </c>
      <c r="V9" s="820">
        <f t="shared" si="0"/>
        <v>91.738</v>
      </c>
      <c r="W9" s="821">
        <f t="shared" si="0"/>
        <v>2234.4389999999999</v>
      </c>
      <c r="X9" s="819">
        <f t="shared" si="0"/>
        <v>547.97299999999996</v>
      </c>
      <c r="Y9" s="826">
        <f t="shared" si="0"/>
        <v>2782.4119999999998</v>
      </c>
      <c r="Z9" s="819">
        <f t="shared" si="0"/>
        <v>0</v>
      </c>
      <c r="AA9" s="820">
        <f t="shared" si="0"/>
        <v>2782.4119999999998</v>
      </c>
      <c r="AB9" s="823">
        <f t="shared" si="0"/>
        <v>2185.8670000000002</v>
      </c>
      <c r="AC9" s="827">
        <f t="shared" si="0"/>
        <v>1152.1959999999999</v>
      </c>
      <c r="AD9" s="827">
        <f t="shared" si="0"/>
        <v>0</v>
      </c>
      <c r="AE9" s="828">
        <f t="shared" si="0"/>
        <v>1033.671</v>
      </c>
      <c r="AF9" s="829">
        <f t="shared" si="0"/>
        <v>55.594999999999999</v>
      </c>
      <c r="AG9" s="829">
        <f t="shared" si="0"/>
        <v>522.75099999999998</v>
      </c>
      <c r="AH9" s="827">
        <f t="shared" si="1"/>
        <v>8504.5509999999995</v>
      </c>
      <c r="AI9" s="827">
        <f t="shared" si="2"/>
        <v>14686.545</v>
      </c>
      <c r="AJ9" s="466">
        <f t="shared" ref="AJ9:AJ43" si="3">IF(ROUND(J9-SUM(D9:G9,I9),3)=0,0,1)+IF(ROUND(AH9-SUM(K9:N9,Q9:S9,V9,Y9,AB9,AF9:AG9),3)=0,0,1)+IF(ROUND(AI9-SUM(AH9,J9),3)=0,0,1)</f>
        <v>0</v>
      </c>
      <c r="AK9" s="467" t="str">
        <f t="shared" ref="AK9:AK43" si="4">IF(AJ9=0," ",IF(AJ9=1,"A total is not equal to the sum of its components: ",AJ9&amp;" totals are not equal to the sum of their components: "))&amp;IF(AJ9=0,"",IF(J9-SUM(D9:G9,I9)=0,"","Total crude. ")&amp;IF(AH9-SUM(K9:N9,Q9:S9,V9,Y9,AB9,AF9:AG9)=0,"","Total products. ")&amp;IF(AI9-SUM(AH9,J9)=0,"","Total oil."))</f>
        <v xml:space="preserve"> </v>
      </c>
      <c r="AT9" s="139" t="s">
        <v>382</v>
      </c>
      <c r="DS9" s="648"/>
      <c r="DT9" s="648"/>
      <c r="DU9" s="647" t="s">
        <v>415</v>
      </c>
      <c r="DV9" s="647" t="s">
        <v>1188</v>
      </c>
      <c r="DW9" s="647" t="s">
        <v>1134</v>
      </c>
      <c r="DX9" s="647" t="s">
        <v>1134</v>
      </c>
      <c r="DY9" s="647" t="s">
        <v>1140</v>
      </c>
      <c r="DZ9" s="647" t="s">
        <v>1134</v>
      </c>
      <c r="EA9" s="647" t="s">
        <v>1134</v>
      </c>
      <c r="EB9" s="647" t="s">
        <v>1135</v>
      </c>
      <c r="EC9" s="647" t="s">
        <v>1134</v>
      </c>
      <c r="ED9" s="647" t="s">
        <v>1136</v>
      </c>
    </row>
    <row r="10" spans="1:135" ht="15" customHeight="1" x14ac:dyDescent="0.2">
      <c r="A10" s="353" t="s">
        <v>78</v>
      </c>
      <c r="B10" s="354" t="s">
        <v>76</v>
      </c>
      <c r="C10" s="355">
        <v>3</v>
      </c>
      <c r="D10" s="830">
        <v>1707</v>
      </c>
      <c r="E10" s="830">
        <v>0</v>
      </c>
      <c r="F10" s="830">
        <v>0</v>
      </c>
      <c r="G10" s="831">
        <v>0</v>
      </c>
      <c r="H10" s="830">
        <v>0</v>
      </c>
      <c r="I10" s="830">
        <v>0</v>
      </c>
      <c r="J10" s="828">
        <f t="shared" ref="J10:J31" si="5">ROUND(SUM(D10:G10,I10),3)</f>
        <v>1707</v>
      </c>
      <c r="K10" s="832">
        <v>0</v>
      </c>
      <c r="L10" s="832">
        <v>0</v>
      </c>
      <c r="M10" s="830">
        <v>0</v>
      </c>
      <c r="N10" s="802">
        <v>156</v>
      </c>
      <c r="O10" s="832">
        <v>0</v>
      </c>
      <c r="P10" s="833">
        <v>156</v>
      </c>
      <c r="Q10" s="832">
        <v>0</v>
      </c>
      <c r="R10" s="832">
        <v>0</v>
      </c>
      <c r="S10" s="781">
        <v>83</v>
      </c>
      <c r="T10" s="830">
        <v>0</v>
      </c>
      <c r="U10" s="830">
        <v>83</v>
      </c>
      <c r="V10" s="834">
        <v>0</v>
      </c>
      <c r="W10" s="832">
        <v>234</v>
      </c>
      <c r="X10" s="831">
        <v>0</v>
      </c>
      <c r="Y10" s="783">
        <v>234</v>
      </c>
      <c r="Z10" s="830">
        <v>0</v>
      </c>
      <c r="AA10" s="833">
        <v>234</v>
      </c>
      <c r="AB10" s="802">
        <v>304</v>
      </c>
      <c r="AC10" s="835">
        <v>60</v>
      </c>
      <c r="AD10" s="835">
        <v>0</v>
      </c>
      <c r="AE10" s="833">
        <v>244</v>
      </c>
      <c r="AF10" s="836">
        <v>38</v>
      </c>
      <c r="AG10" s="836">
        <v>300</v>
      </c>
      <c r="AH10" s="827">
        <f t="shared" si="1"/>
        <v>1115</v>
      </c>
      <c r="AI10" s="827">
        <f t="shared" si="2"/>
        <v>2822</v>
      </c>
      <c r="AJ10" s="466">
        <f t="shared" si="3"/>
        <v>0</v>
      </c>
      <c r="AK10" s="467" t="str">
        <f t="shared" si="4"/>
        <v xml:space="preserve"> </v>
      </c>
      <c r="AT10" s="139" t="s">
        <v>383</v>
      </c>
      <c r="DS10" s="648"/>
      <c r="DT10" s="648"/>
      <c r="DU10" s="647" t="s">
        <v>415</v>
      </c>
      <c r="DV10" s="647" t="s">
        <v>1187</v>
      </c>
      <c r="DW10" s="647" t="s">
        <v>1134</v>
      </c>
      <c r="DX10" s="647" t="s">
        <v>1134</v>
      </c>
      <c r="DY10" s="647" t="s">
        <v>1189</v>
      </c>
      <c r="DZ10" s="647" t="s">
        <v>1134</v>
      </c>
      <c r="EA10" s="647" t="s">
        <v>1134</v>
      </c>
      <c r="EB10" s="647" t="s">
        <v>1135</v>
      </c>
      <c r="EC10" s="647" t="s">
        <v>1134</v>
      </c>
      <c r="ED10" s="647" t="s">
        <v>1136</v>
      </c>
    </row>
    <row r="11" spans="1:135" ht="15" customHeight="1" x14ac:dyDescent="0.2">
      <c r="A11" s="356" t="s">
        <v>856</v>
      </c>
      <c r="B11" s="357" t="s">
        <v>110</v>
      </c>
      <c r="C11" s="358">
        <v>4</v>
      </c>
      <c r="D11" s="830">
        <v>1707</v>
      </c>
      <c r="E11" s="830">
        <v>0</v>
      </c>
      <c r="F11" s="830">
        <v>0</v>
      </c>
      <c r="G11" s="831">
        <v>0</v>
      </c>
      <c r="H11" s="830">
        <v>0</v>
      </c>
      <c r="I11" s="830">
        <v>0</v>
      </c>
      <c r="J11" s="828">
        <f t="shared" si="5"/>
        <v>1707</v>
      </c>
      <c r="K11" s="832">
        <v>0</v>
      </c>
      <c r="L11" s="832">
        <v>0</v>
      </c>
      <c r="M11" s="830">
        <v>0</v>
      </c>
      <c r="N11" s="802">
        <v>156</v>
      </c>
      <c r="O11" s="832">
        <v>0</v>
      </c>
      <c r="P11" s="833">
        <v>156</v>
      </c>
      <c r="Q11" s="832">
        <v>0</v>
      </c>
      <c r="R11" s="832">
        <v>0</v>
      </c>
      <c r="S11" s="781">
        <v>83</v>
      </c>
      <c r="T11" s="830">
        <v>0</v>
      </c>
      <c r="U11" s="830">
        <v>83</v>
      </c>
      <c r="V11" s="834">
        <v>0</v>
      </c>
      <c r="W11" s="832">
        <v>234</v>
      </c>
      <c r="X11" s="831">
        <v>0</v>
      </c>
      <c r="Y11" s="783">
        <v>234</v>
      </c>
      <c r="Z11" s="830">
        <v>0</v>
      </c>
      <c r="AA11" s="833">
        <v>234</v>
      </c>
      <c r="AB11" s="802">
        <v>304</v>
      </c>
      <c r="AC11" s="835">
        <v>60</v>
      </c>
      <c r="AD11" s="835">
        <v>0</v>
      </c>
      <c r="AE11" s="833">
        <v>244</v>
      </c>
      <c r="AF11" s="836">
        <v>38</v>
      </c>
      <c r="AG11" s="836">
        <v>300</v>
      </c>
      <c r="AH11" s="827">
        <f t="shared" si="1"/>
        <v>1115</v>
      </c>
      <c r="AI11" s="827">
        <f t="shared" si="2"/>
        <v>2822</v>
      </c>
      <c r="AJ11" s="466">
        <f t="shared" si="3"/>
        <v>0</v>
      </c>
      <c r="AK11" s="467" t="str">
        <f t="shared" si="4"/>
        <v xml:space="preserve"> </v>
      </c>
      <c r="AT11" s="139" t="s">
        <v>384</v>
      </c>
      <c r="DS11" s="648"/>
      <c r="DT11" s="648"/>
      <c r="DU11" s="647" t="s">
        <v>415</v>
      </c>
      <c r="DV11" s="647" t="s">
        <v>1188</v>
      </c>
      <c r="DW11" s="647" t="s">
        <v>1134</v>
      </c>
      <c r="DX11" s="647" t="s">
        <v>1134</v>
      </c>
      <c r="DY11" s="647" t="s">
        <v>1189</v>
      </c>
      <c r="DZ11" s="647" t="s">
        <v>1134</v>
      </c>
      <c r="EA11" s="647" t="s">
        <v>1134</v>
      </c>
      <c r="EB11" s="647" t="s">
        <v>1135</v>
      </c>
      <c r="EC11" s="647" t="s">
        <v>1134</v>
      </c>
      <c r="ED11" s="647" t="s">
        <v>1136</v>
      </c>
    </row>
    <row r="12" spans="1:135" ht="15" customHeight="1" x14ac:dyDescent="0.2">
      <c r="A12" s="353" t="s">
        <v>149</v>
      </c>
      <c r="B12" s="354" t="s">
        <v>76</v>
      </c>
      <c r="C12" s="355">
        <v>5</v>
      </c>
      <c r="D12" s="830">
        <v>0</v>
      </c>
      <c r="E12" s="830">
        <v>0</v>
      </c>
      <c r="F12" s="830">
        <v>0</v>
      </c>
      <c r="G12" s="831">
        <v>0</v>
      </c>
      <c r="H12" s="830">
        <v>0</v>
      </c>
      <c r="I12" s="830">
        <v>0</v>
      </c>
      <c r="J12" s="828">
        <f t="shared" si="5"/>
        <v>0</v>
      </c>
      <c r="K12" s="832">
        <v>0</v>
      </c>
      <c r="L12" s="832">
        <v>0</v>
      </c>
      <c r="M12" s="830">
        <v>0</v>
      </c>
      <c r="N12" s="802">
        <v>0</v>
      </c>
      <c r="O12" s="832">
        <v>0</v>
      </c>
      <c r="P12" s="833">
        <v>0</v>
      </c>
      <c r="Q12" s="832">
        <v>0</v>
      </c>
      <c r="R12" s="832">
        <v>0</v>
      </c>
      <c r="S12" s="781">
        <v>0</v>
      </c>
      <c r="T12" s="830">
        <v>0</v>
      </c>
      <c r="U12" s="830">
        <v>0</v>
      </c>
      <c r="V12" s="834">
        <v>0</v>
      </c>
      <c r="W12" s="832">
        <v>0</v>
      </c>
      <c r="X12" s="831">
        <v>0</v>
      </c>
      <c r="Y12" s="783">
        <v>0</v>
      </c>
      <c r="Z12" s="830">
        <v>0</v>
      </c>
      <c r="AA12" s="833">
        <v>0</v>
      </c>
      <c r="AB12" s="802">
        <v>0</v>
      </c>
      <c r="AC12" s="835">
        <v>0</v>
      </c>
      <c r="AD12" s="835">
        <v>0</v>
      </c>
      <c r="AE12" s="833">
        <v>0</v>
      </c>
      <c r="AF12" s="836">
        <v>0</v>
      </c>
      <c r="AG12" s="836">
        <v>0</v>
      </c>
      <c r="AH12" s="827">
        <f t="shared" si="1"/>
        <v>0</v>
      </c>
      <c r="AI12" s="827">
        <f t="shared" si="2"/>
        <v>0</v>
      </c>
      <c r="AJ12" s="466">
        <f t="shared" si="3"/>
        <v>0</v>
      </c>
      <c r="AK12" s="467" t="str">
        <f t="shared" si="4"/>
        <v xml:space="preserve"> </v>
      </c>
      <c r="AT12" s="139" t="s">
        <v>385</v>
      </c>
      <c r="DS12" s="648"/>
      <c r="DT12" s="648"/>
      <c r="DU12" s="647" t="s">
        <v>415</v>
      </c>
      <c r="DV12" s="647" t="s">
        <v>1187</v>
      </c>
      <c r="DW12" s="647" t="s">
        <v>1134</v>
      </c>
      <c r="DX12" s="647" t="s">
        <v>1134</v>
      </c>
      <c r="DY12" s="647" t="s">
        <v>1190</v>
      </c>
      <c r="DZ12" s="647" t="s">
        <v>1134</v>
      </c>
      <c r="EA12" s="647" t="s">
        <v>1134</v>
      </c>
      <c r="EB12" s="647" t="s">
        <v>1135</v>
      </c>
      <c r="EC12" s="647" t="s">
        <v>1134</v>
      </c>
      <c r="ED12" s="647" t="s">
        <v>1136</v>
      </c>
    </row>
    <row r="13" spans="1:135" ht="15" customHeight="1" x14ac:dyDescent="0.2">
      <c r="A13" s="359" t="s">
        <v>79</v>
      </c>
      <c r="B13" s="357" t="s">
        <v>111</v>
      </c>
      <c r="C13" s="358">
        <v>6</v>
      </c>
      <c r="D13" s="830">
        <v>0</v>
      </c>
      <c r="E13" s="830">
        <v>0</v>
      </c>
      <c r="F13" s="830">
        <v>0</v>
      </c>
      <c r="G13" s="831">
        <v>0</v>
      </c>
      <c r="H13" s="830">
        <v>0</v>
      </c>
      <c r="I13" s="830">
        <v>0</v>
      </c>
      <c r="J13" s="828">
        <f t="shared" si="5"/>
        <v>0</v>
      </c>
      <c r="K13" s="832">
        <v>0</v>
      </c>
      <c r="L13" s="832">
        <v>0</v>
      </c>
      <c r="M13" s="830">
        <v>0</v>
      </c>
      <c r="N13" s="802">
        <v>0</v>
      </c>
      <c r="O13" s="832">
        <v>0</v>
      </c>
      <c r="P13" s="833">
        <v>0</v>
      </c>
      <c r="Q13" s="832">
        <v>0</v>
      </c>
      <c r="R13" s="832">
        <v>0</v>
      </c>
      <c r="S13" s="781">
        <v>0</v>
      </c>
      <c r="T13" s="830">
        <v>0</v>
      </c>
      <c r="U13" s="830">
        <v>0</v>
      </c>
      <c r="V13" s="834">
        <v>0</v>
      </c>
      <c r="W13" s="832">
        <v>0</v>
      </c>
      <c r="X13" s="831">
        <v>0</v>
      </c>
      <c r="Y13" s="783">
        <v>0</v>
      </c>
      <c r="Z13" s="830">
        <v>0</v>
      </c>
      <c r="AA13" s="833">
        <v>0</v>
      </c>
      <c r="AB13" s="802">
        <v>0</v>
      </c>
      <c r="AC13" s="835">
        <v>0</v>
      </c>
      <c r="AD13" s="835">
        <v>0</v>
      </c>
      <c r="AE13" s="833">
        <v>0</v>
      </c>
      <c r="AF13" s="836">
        <v>0</v>
      </c>
      <c r="AG13" s="836">
        <v>0</v>
      </c>
      <c r="AH13" s="827">
        <f t="shared" si="1"/>
        <v>0</v>
      </c>
      <c r="AI13" s="827">
        <f t="shared" si="2"/>
        <v>0</v>
      </c>
      <c r="AJ13" s="466">
        <f t="shared" si="3"/>
        <v>0</v>
      </c>
      <c r="AK13" s="467" t="str">
        <f t="shared" si="4"/>
        <v xml:space="preserve"> </v>
      </c>
      <c r="AT13" s="139" t="s">
        <v>386</v>
      </c>
      <c r="DS13" s="648"/>
      <c r="DT13" s="648"/>
      <c r="DU13" s="647" t="s">
        <v>415</v>
      </c>
      <c r="DV13" s="647" t="s">
        <v>1188</v>
      </c>
      <c r="DW13" s="647" t="s">
        <v>1134</v>
      </c>
      <c r="DX13" s="647" t="s">
        <v>1134</v>
      </c>
      <c r="DY13" s="647" t="s">
        <v>1190</v>
      </c>
      <c r="DZ13" s="647" t="s">
        <v>1134</v>
      </c>
      <c r="EA13" s="647" t="s">
        <v>1134</v>
      </c>
      <c r="EB13" s="647" t="s">
        <v>1135</v>
      </c>
      <c r="EC13" s="647" t="s">
        <v>1134</v>
      </c>
      <c r="ED13" s="647" t="s">
        <v>1136</v>
      </c>
    </row>
    <row r="14" spans="1:135" ht="15" customHeight="1" x14ac:dyDescent="0.2">
      <c r="A14" s="353" t="s">
        <v>80</v>
      </c>
      <c r="B14" s="354" t="s">
        <v>76</v>
      </c>
      <c r="C14" s="355">
        <v>7</v>
      </c>
      <c r="D14" s="830">
        <v>0</v>
      </c>
      <c r="E14" s="830">
        <v>0</v>
      </c>
      <c r="F14" s="830">
        <v>0</v>
      </c>
      <c r="G14" s="831">
        <v>0</v>
      </c>
      <c r="H14" s="830">
        <v>0</v>
      </c>
      <c r="I14" s="830">
        <v>0</v>
      </c>
      <c r="J14" s="828">
        <f t="shared" si="5"/>
        <v>0</v>
      </c>
      <c r="K14" s="832">
        <v>0</v>
      </c>
      <c r="L14" s="832">
        <v>0</v>
      </c>
      <c r="M14" s="837">
        <v>0</v>
      </c>
      <c r="N14" s="802">
        <v>0</v>
      </c>
      <c r="O14" s="838">
        <v>0</v>
      </c>
      <c r="P14" s="833">
        <v>0</v>
      </c>
      <c r="Q14" s="832">
        <v>0</v>
      </c>
      <c r="R14" s="832">
        <v>0</v>
      </c>
      <c r="S14" s="781">
        <v>0</v>
      </c>
      <c r="T14" s="830">
        <v>0</v>
      </c>
      <c r="U14" s="830">
        <v>0</v>
      </c>
      <c r="V14" s="834">
        <v>0</v>
      </c>
      <c r="W14" s="832">
        <v>0</v>
      </c>
      <c r="X14" s="831">
        <v>0</v>
      </c>
      <c r="Y14" s="783">
        <v>0</v>
      </c>
      <c r="Z14" s="830">
        <v>0</v>
      </c>
      <c r="AA14" s="833">
        <v>0</v>
      </c>
      <c r="AB14" s="802">
        <v>0</v>
      </c>
      <c r="AC14" s="835">
        <v>0</v>
      </c>
      <c r="AD14" s="835">
        <v>0</v>
      </c>
      <c r="AE14" s="833">
        <v>0</v>
      </c>
      <c r="AF14" s="836">
        <v>0</v>
      </c>
      <c r="AG14" s="836">
        <v>0</v>
      </c>
      <c r="AH14" s="827">
        <f t="shared" si="1"/>
        <v>0</v>
      </c>
      <c r="AI14" s="827">
        <f t="shared" si="2"/>
        <v>0</v>
      </c>
      <c r="AJ14" s="466">
        <f t="shared" si="3"/>
        <v>0</v>
      </c>
      <c r="AK14" s="467" t="str">
        <f t="shared" si="4"/>
        <v xml:space="preserve"> </v>
      </c>
      <c r="AT14" s="139" t="s">
        <v>387</v>
      </c>
      <c r="DS14" s="648"/>
      <c r="DT14" s="648"/>
      <c r="DU14" s="647" t="s">
        <v>415</v>
      </c>
      <c r="DV14" s="647" t="s">
        <v>1187</v>
      </c>
      <c r="DW14" s="647" t="s">
        <v>1134</v>
      </c>
      <c r="DX14" s="647" t="s">
        <v>1134</v>
      </c>
      <c r="DY14" s="647" t="s">
        <v>1191</v>
      </c>
      <c r="DZ14" s="647" t="s">
        <v>1134</v>
      </c>
      <c r="EA14" s="647" t="s">
        <v>1134</v>
      </c>
      <c r="EB14" s="647" t="s">
        <v>1135</v>
      </c>
      <c r="EC14" s="647" t="s">
        <v>1134</v>
      </c>
      <c r="ED14" s="647" t="s">
        <v>1136</v>
      </c>
    </row>
    <row r="15" spans="1:135" ht="15" customHeight="1" x14ac:dyDescent="0.2">
      <c r="A15" s="359" t="s">
        <v>81</v>
      </c>
      <c r="B15" s="354" t="s">
        <v>77</v>
      </c>
      <c r="C15" s="358">
        <v>8</v>
      </c>
      <c r="D15" s="830">
        <v>0</v>
      </c>
      <c r="E15" s="830">
        <v>0</v>
      </c>
      <c r="F15" s="830">
        <v>0</v>
      </c>
      <c r="G15" s="831">
        <v>0</v>
      </c>
      <c r="H15" s="830">
        <v>0</v>
      </c>
      <c r="I15" s="830">
        <v>0</v>
      </c>
      <c r="J15" s="828">
        <f t="shared" si="5"/>
        <v>0</v>
      </c>
      <c r="K15" s="832">
        <v>0</v>
      </c>
      <c r="L15" s="832">
        <v>0</v>
      </c>
      <c r="M15" s="837">
        <v>0</v>
      </c>
      <c r="N15" s="802">
        <v>0</v>
      </c>
      <c r="O15" s="838">
        <v>0</v>
      </c>
      <c r="P15" s="833">
        <v>0</v>
      </c>
      <c r="Q15" s="832">
        <v>0</v>
      </c>
      <c r="R15" s="832">
        <v>0</v>
      </c>
      <c r="S15" s="781">
        <v>0</v>
      </c>
      <c r="T15" s="830">
        <v>0</v>
      </c>
      <c r="U15" s="830">
        <v>0</v>
      </c>
      <c r="V15" s="834">
        <v>0</v>
      </c>
      <c r="W15" s="832">
        <v>0</v>
      </c>
      <c r="X15" s="831">
        <v>0</v>
      </c>
      <c r="Y15" s="783">
        <v>0</v>
      </c>
      <c r="Z15" s="830">
        <v>0</v>
      </c>
      <c r="AA15" s="833">
        <v>0</v>
      </c>
      <c r="AB15" s="802">
        <v>0</v>
      </c>
      <c r="AC15" s="835">
        <v>0</v>
      </c>
      <c r="AD15" s="835">
        <v>0</v>
      </c>
      <c r="AE15" s="833">
        <v>0</v>
      </c>
      <c r="AF15" s="836">
        <v>0</v>
      </c>
      <c r="AG15" s="836">
        <v>0</v>
      </c>
      <c r="AH15" s="827">
        <f t="shared" si="1"/>
        <v>0</v>
      </c>
      <c r="AI15" s="827">
        <f t="shared" si="2"/>
        <v>0</v>
      </c>
      <c r="AJ15" s="466">
        <f t="shared" si="3"/>
        <v>0</v>
      </c>
      <c r="AK15" s="467" t="str">
        <f t="shared" si="4"/>
        <v xml:space="preserve"> </v>
      </c>
      <c r="AT15" s="139" t="s">
        <v>388</v>
      </c>
      <c r="DS15" s="648"/>
      <c r="DT15" s="648"/>
      <c r="DU15" s="647" t="s">
        <v>415</v>
      </c>
      <c r="DV15" s="647" t="s">
        <v>1188</v>
      </c>
      <c r="DW15" s="647" t="s">
        <v>1134</v>
      </c>
      <c r="DX15" s="647" t="s">
        <v>1134</v>
      </c>
      <c r="DY15" s="647" t="s">
        <v>1191</v>
      </c>
      <c r="DZ15" s="647" t="s">
        <v>1134</v>
      </c>
      <c r="EA15" s="647" t="s">
        <v>1134</v>
      </c>
      <c r="EB15" s="647" t="s">
        <v>1135</v>
      </c>
      <c r="EC15" s="647" t="s">
        <v>1134</v>
      </c>
      <c r="ED15" s="647" t="s">
        <v>1136</v>
      </c>
    </row>
    <row r="16" spans="1:135" ht="15" customHeight="1" x14ac:dyDescent="0.2">
      <c r="A16" s="353" t="s">
        <v>860</v>
      </c>
      <c r="B16" s="354" t="s">
        <v>76</v>
      </c>
      <c r="C16" s="355">
        <v>9</v>
      </c>
      <c r="D16" s="830">
        <v>0</v>
      </c>
      <c r="E16" s="830">
        <v>0</v>
      </c>
      <c r="F16" s="830">
        <v>0</v>
      </c>
      <c r="G16" s="831">
        <v>0</v>
      </c>
      <c r="H16" s="830">
        <v>0</v>
      </c>
      <c r="I16" s="830">
        <v>0</v>
      </c>
      <c r="J16" s="828">
        <f t="shared" si="5"/>
        <v>0</v>
      </c>
      <c r="K16" s="832">
        <v>0</v>
      </c>
      <c r="L16" s="832">
        <v>0</v>
      </c>
      <c r="M16" s="837">
        <v>0</v>
      </c>
      <c r="N16" s="802">
        <v>0</v>
      </c>
      <c r="O16" s="838">
        <v>0</v>
      </c>
      <c r="P16" s="833">
        <v>0</v>
      </c>
      <c r="Q16" s="832">
        <v>0</v>
      </c>
      <c r="R16" s="832">
        <v>0</v>
      </c>
      <c r="S16" s="781">
        <v>0</v>
      </c>
      <c r="T16" s="830">
        <v>0</v>
      </c>
      <c r="U16" s="830">
        <v>0</v>
      </c>
      <c r="V16" s="834">
        <v>0</v>
      </c>
      <c r="W16" s="832">
        <v>0</v>
      </c>
      <c r="X16" s="831">
        <v>0</v>
      </c>
      <c r="Y16" s="783">
        <v>0</v>
      </c>
      <c r="Z16" s="830">
        <v>0</v>
      </c>
      <c r="AA16" s="833">
        <v>0</v>
      </c>
      <c r="AB16" s="802">
        <v>0</v>
      </c>
      <c r="AC16" s="835">
        <v>0</v>
      </c>
      <c r="AD16" s="835">
        <v>0</v>
      </c>
      <c r="AE16" s="833">
        <v>0</v>
      </c>
      <c r="AF16" s="836">
        <v>0</v>
      </c>
      <c r="AG16" s="836">
        <v>0</v>
      </c>
      <c r="AH16" s="827">
        <f t="shared" si="1"/>
        <v>0</v>
      </c>
      <c r="AI16" s="827">
        <f t="shared" si="2"/>
        <v>0</v>
      </c>
      <c r="AJ16" s="466">
        <f t="shared" si="3"/>
        <v>0</v>
      </c>
      <c r="AK16" s="467" t="str">
        <f t="shared" si="4"/>
        <v xml:space="preserve"> </v>
      </c>
      <c r="AT16" s="139" t="s">
        <v>389</v>
      </c>
      <c r="DS16" s="648"/>
      <c r="DT16" s="648"/>
      <c r="DU16" s="647" t="s">
        <v>415</v>
      </c>
      <c r="DV16" s="647" t="s">
        <v>1187</v>
      </c>
      <c r="DW16" s="647" t="s">
        <v>1134</v>
      </c>
      <c r="DX16" s="647" t="s">
        <v>1134</v>
      </c>
      <c r="DY16" s="647" t="s">
        <v>1192</v>
      </c>
      <c r="DZ16" s="647" t="s">
        <v>1134</v>
      </c>
      <c r="EA16" s="647" t="s">
        <v>1134</v>
      </c>
      <c r="EB16" s="647" t="s">
        <v>1135</v>
      </c>
      <c r="EC16" s="647" t="s">
        <v>1134</v>
      </c>
      <c r="ED16" s="647" t="s">
        <v>1136</v>
      </c>
    </row>
    <row r="17" spans="1:134" ht="15" customHeight="1" x14ac:dyDescent="0.2">
      <c r="A17" s="359" t="s">
        <v>858</v>
      </c>
      <c r="B17" s="354" t="s">
        <v>77</v>
      </c>
      <c r="C17" s="358">
        <v>10</v>
      </c>
      <c r="D17" s="830">
        <v>0</v>
      </c>
      <c r="E17" s="830">
        <v>0</v>
      </c>
      <c r="F17" s="830">
        <v>0</v>
      </c>
      <c r="G17" s="831">
        <v>0</v>
      </c>
      <c r="H17" s="830">
        <v>0</v>
      </c>
      <c r="I17" s="830">
        <v>0</v>
      </c>
      <c r="J17" s="828">
        <f t="shared" si="5"/>
        <v>0</v>
      </c>
      <c r="K17" s="832">
        <v>0</v>
      </c>
      <c r="L17" s="832">
        <v>0</v>
      </c>
      <c r="M17" s="837">
        <v>0</v>
      </c>
      <c r="N17" s="802">
        <v>0</v>
      </c>
      <c r="O17" s="838">
        <v>0</v>
      </c>
      <c r="P17" s="833">
        <v>0</v>
      </c>
      <c r="Q17" s="832">
        <v>0</v>
      </c>
      <c r="R17" s="832">
        <v>0</v>
      </c>
      <c r="S17" s="781">
        <v>0</v>
      </c>
      <c r="T17" s="830">
        <v>0</v>
      </c>
      <c r="U17" s="830">
        <v>0</v>
      </c>
      <c r="V17" s="834">
        <v>0</v>
      </c>
      <c r="W17" s="832">
        <v>0</v>
      </c>
      <c r="X17" s="831">
        <v>0</v>
      </c>
      <c r="Y17" s="783">
        <v>0</v>
      </c>
      <c r="Z17" s="830">
        <v>0</v>
      </c>
      <c r="AA17" s="833">
        <v>0</v>
      </c>
      <c r="AB17" s="802">
        <v>0</v>
      </c>
      <c r="AC17" s="835">
        <v>0</v>
      </c>
      <c r="AD17" s="835">
        <v>0</v>
      </c>
      <c r="AE17" s="833">
        <v>0</v>
      </c>
      <c r="AF17" s="836">
        <v>0</v>
      </c>
      <c r="AG17" s="836">
        <v>0</v>
      </c>
      <c r="AH17" s="827">
        <f t="shared" si="1"/>
        <v>0</v>
      </c>
      <c r="AI17" s="827">
        <f t="shared" si="2"/>
        <v>0</v>
      </c>
      <c r="AJ17" s="466">
        <f t="shared" si="3"/>
        <v>0</v>
      </c>
      <c r="AK17" s="467" t="str">
        <f t="shared" si="4"/>
        <v xml:space="preserve"> </v>
      </c>
      <c r="AT17" s="139" t="s">
        <v>390</v>
      </c>
      <c r="DS17" s="648"/>
      <c r="DT17" s="648"/>
      <c r="DU17" s="647" t="s">
        <v>415</v>
      </c>
      <c r="DV17" s="647" t="s">
        <v>1188</v>
      </c>
      <c r="DW17" s="647" t="s">
        <v>1134</v>
      </c>
      <c r="DX17" s="647" t="s">
        <v>1134</v>
      </c>
      <c r="DY17" s="647" t="s">
        <v>1192</v>
      </c>
      <c r="DZ17" s="647" t="s">
        <v>1134</v>
      </c>
      <c r="EA17" s="647" t="s">
        <v>1134</v>
      </c>
      <c r="EB17" s="647" t="s">
        <v>1135</v>
      </c>
      <c r="EC17" s="647" t="s">
        <v>1134</v>
      </c>
      <c r="ED17" s="647" t="s">
        <v>1136</v>
      </c>
    </row>
    <row r="18" spans="1:134" ht="15" customHeight="1" x14ac:dyDescent="0.2">
      <c r="A18" s="353" t="s">
        <v>82</v>
      </c>
      <c r="B18" s="354" t="s">
        <v>76</v>
      </c>
      <c r="C18" s="355">
        <v>11</v>
      </c>
      <c r="D18" s="830">
        <v>0</v>
      </c>
      <c r="E18" s="830">
        <v>0</v>
      </c>
      <c r="F18" s="830">
        <v>0</v>
      </c>
      <c r="G18" s="831">
        <v>0</v>
      </c>
      <c r="H18" s="830">
        <v>0</v>
      </c>
      <c r="I18" s="830">
        <v>0</v>
      </c>
      <c r="J18" s="828">
        <f t="shared" si="5"/>
        <v>0</v>
      </c>
      <c r="K18" s="832">
        <v>0</v>
      </c>
      <c r="L18" s="832">
        <v>0</v>
      </c>
      <c r="M18" s="837">
        <v>0</v>
      </c>
      <c r="N18" s="802">
        <v>0</v>
      </c>
      <c r="O18" s="838">
        <v>0</v>
      </c>
      <c r="P18" s="833">
        <v>0</v>
      </c>
      <c r="Q18" s="832">
        <v>0</v>
      </c>
      <c r="R18" s="832">
        <v>0</v>
      </c>
      <c r="S18" s="781">
        <v>0</v>
      </c>
      <c r="T18" s="830">
        <v>0</v>
      </c>
      <c r="U18" s="830">
        <v>0</v>
      </c>
      <c r="V18" s="834">
        <v>0</v>
      </c>
      <c r="W18" s="832">
        <v>0</v>
      </c>
      <c r="X18" s="831">
        <v>0</v>
      </c>
      <c r="Y18" s="783">
        <v>0</v>
      </c>
      <c r="Z18" s="830">
        <v>0</v>
      </c>
      <c r="AA18" s="833">
        <v>0</v>
      </c>
      <c r="AB18" s="802">
        <v>0</v>
      </c>
      <c r="AC18" s="835">
        <v>0</v>
      </c>
      <c r="AD18" s="835">
        <v>0</v>
      </c>
      <c r="AE18" s="833">
        <v>0</v>
      </c>
      <c r="AF18" s="836">
        <v>0</v>
      </c>
      <c r="AG18" s="836">
        <v>0</v>
      </c>
      <c r="AH18" s="827">
        <f t="shared" si="1"/>
        <v>0</v>
      </c>
      <c r="AI18" s="827">
        <f t="shared" si="2"/>
        <v>0</v>
      </c>
      <c r="AJ18" s="466">
        <f t="shared" si="3"/>
        <v>0</v>
      </c>
      <c r="AK18" s="467" t="str">
        <f t="shared" si="4"/>
        <v xml:space="preserve"> </v>
      </c>
      <c r="AT18" s="139" t="s">
        <v>391</v>
      </c>
      <c r="DS18" s="648"/>
      <c r="DT18" s="648"/>
      <c r="DU18" s="647" t="s">
        <v>415</v>
      </c>
      <c r="DV18" s="647" t="s">
        <v>1187</v>
      </c>
      <c r="DW18" s="647" t="s">
        <v>1134</v>
      </c>
      <c r="DX18" s="647" t="s">
        <v>1134</v>
      </c>
      <c r="DY18" s="647" t="s">
        <v>1193</v>
      </c>
      <c r="DZ18" s="647" t="s">
        <v>1134</v>
      </c>
      <c r="EA18" s="647" t="s">
        <v>1134</v>
      </c>
      <c r="EB18" s="647" t="s">
        <v>1135</v>
      </c>
      <c r="EC18" s="647" t="s">
        <v>1134</v>
      </c>
      <c r="ED18" s="647" t="s">
        <v>1136</v>
      </c>
    </row>
    <row r="19" spans="1:134" ht="15" customHeight="1" x14ac:dyDescent="0.2">
      <c r="A19" s="359" t="s">
        <v>83</v>
      </c>
      <c r="B19" s="354" t="s">
        <v>77</v>
      </c>
      <c r="C19" s="358">
        <v>12</v>
      </c>
      <c r="D19" s="830">
        <v>0</v>
      </c>
      <c r="E19" s="830">
        <v>0</v>
      </c>
      <c r="F19" s="830">
        <v>0</v>
      </c>
      <c r="G19" s="831">
        <v>0</v>
      </c>
      <c r="H19" s="830">
        <v>0</v>
      </c>
      <c r="I19" s="830">
        <v>0</v>
      </c>
      <c r="J19" s="828">
        <f t="shared" si="5"/>
        <v>0</v>
      </c>
      <c r="K19" s="832">
        <v>0</v>
      </c>
      <c r="L19" s="832">
        <v>0</v>
      </c>
      <c r="M19" s="837">
        <v>0</v>
      </c>
      <c r="N19" s="802">
        <v>0</v>
      </c>
      <c r="O19" s="838">
        <v>0</v>
      </c>
      <c r="P19" s="833">
        <v>0</v>
      </c>
      <c r="Q19" s="832">
        <v>0</v>
      </c>
      <c r="R19" s="832">
        <v>0</v>
      </c>
      <c r="S19" s="781">
        <v>0</v>
      </c>
      <c r="T19" s="830">
        <v>0</v>
      </c>
      <c r="U19" s="830">
        <v>0</v>
      </c>
      <c r="V19" s="834">
        <v>0</v>
      </c>
      <c r="W19" s="832">
        <v>0</v>
      </c>
      <c r="X19" s="831">
        <v>0</v>
      </c>
      <c r="Y19" s="783">
        <v>0</v>
      </c>
      <c r="Z19" s="830">
        <v>0</v>
      </c>
      <c r="AA19" s="833">
        <v>0</v>
      </c>
      <c r="AB19" s="802">
        <v>0</v>
      </c>
      <c r="AC19" s="835">
        <v>0</v>
      </c>
      <c r="AD19" s="835">
        <v>0</v>
      </c>
      <c r="AE19" s="833">
        <v>0</v>
      </c>
      <c r="AF19" s="836">
        <v>0</v>
      </c>
      <c r="AG19" s="836">
        <v>0</v>
      </c>
      <c r="AH19" s="827">
        <f t="shared" si="1"/>
        <v>0</v>
      </c>
      <c r="AI19" s="827">
        <f t="shared" si="2"/>
        <v>0</v>
      </c>
      <c r="AJ19" s="466">
        <f t="shared" si="3"/>
        <v>0</v>
      </c>
      <c r="AK19" s="467" t="str">
        <f t="shared" si="4"/>
        <v xml:space="preserve"> </v>
      </c>
      <c r="AT19" s="139" t="s">
        <v>392</v>
      </c>
      <c r="DS19" s="648"/>
      <c r="DT19" s="648"/>
      <c r="DU19" s="647" t="s">
        <v>415</v>
      </c>
      <c r="DV19" s="647" t="s">
        <v>1188</v>
      </c>
      <c r="DW19" s="647" t="s">
        <v>1134</v>
      </c>
      <c r="DX19" s="647" t="s">
        <v>1134</v>
      </c>
      <c r="DY19" s="647" t="s">
        <v>1193</v>
      </c>
      <c r="DZ19" s="647" t="s">
        <v>1134</v>
      </c>
      <c r="EA19" s="647" t="s">
        <v>1134</v>
      </c>
      <c r="EB19" s="647" t="s">
        <v>1135</v>
      </c>
      <c r="EC19" s="647" t="s">
        <v>1134</v>
      </c>
      <c r="ED19" s="647" t="s">
        <v>1136</v>
      </c>
    </row>
    <row r="20" spans="1:134" ht="15" customHeight="1" x14ac:dyDescent="0.2">
      <c r="A20" s="360" t="s">
        <v>148</v>
      </c>
      <c r="B20" s="354" t="s">
        <v>76</v>
      </c>
      <c r="C20" s="355">
        <v>13</v>
      </c>
      <c r="D20" s="830">
        <v>0</v>
      </c>
      <c r="E20" s="830">
        <v>0</v>
      </c>
      <c r="F20" s="830">
        <v>0</v>
      </c>
      <c r="G20" s="831">
        <v>0</v>
      </c>
      <c r="H20" s="830">
        <v>0</v>
      </c>
      <c r="I20" s="830">
        <v>0</v>
      </c>
      <c r="J20" s="828">
        <f t="shared" si="5"/>
        <v>0</v>
      </c>
      <c r="K20" s="832">
        <v>0</v>
      </c>
      <c r="L20" s="832">
        <v>0</v>
      </c>
      <c r="M20" s="837">
        <v>0</v>
      </c>
      <c r="N20" s="802">
        <v>0</v>
      </c>
      <c r="O20" s="838">
        <v>0</v>
      </c>
      <c r="P20" s="833">
        <v>0</v>
      </c>
      <c r="Q20" s="832">
        <v>0</v>
      </c>
      <c r="R20" s="832">
        <v>0</v>
      </c>
      <c r="S20" s="781">
        <v>0</v>
      </c>
      <c r="T20" s="830">
        <v>0</v>
      </c>
      <c r="U20" s="830">
        <v>0</v>
      </c>
      <c r="V20" s="834">
        <v>0</v>
      </c>
      <c r="W20" s="832">
        <v>0</v>
      </c>
      <c r="X20" s="831">
        <v>0</v>
      </c>
      <c r="Y20" s="783">
        <v>0</v>
      </c>
      <c r="Z20" s="830">
        <v>0</v>
      </c>
      <c r="AA20" s="833">
        <v>0</v>
      </c>
      <c r="AB20" s="802">
        <v>0</v>
      </c>
      <c r="AC20" s="835">
        <v>0</v>
      </c>
      <c r="AD20" s="835">
        <v>0</v>
      </c>
      <c r="AE20" s="833">
        <v>0</v>
      </c>
      <c r="AF20" s="836">
        <v>0</v>
      </c>
      <c r="AG20" s="836">
        <v>0</v>
      </c>
      <c r="AH20" s="827">
        <f t="shared" si="1"/>
        <v>0</v>
      </c>
      <c r="AI20" s="827">
        <f t="shared" si="2"/>
        <v>0</v>
      </c>
      <c r="AJ20" s="466">
        <f t="shared" si="3"/>
        <v>0</v>
      </c>
      <c r="AK20" s="467" t="str">
        <f t="shared" si="4"/>
        <v xml:space="preserve"> </v>
      </c>
      <c r="AT20" s="139" t="s">
        <v>393</v>
      </c>
      <c r="DS20" s="648"/>
      <c r="DT20" s="648"/>
      <c r="DU20" s="647" t="s">
        <v>415</v>
      </c>
      <c r="DV20" s="647" t="s">
        <v>1187</v>
      </c>
      <c r="DW20" s="647" t="s">
        <v>1134</v>
      </c>
      <c r="DX20" s="647" t="s">
        <v>1134</v>
      </c>
      <c r="DY20" s="647" t="s">
        <v>1194</v>
      </c>
      <c r="DZ20" s="647" t="s">
        <v>1134</v>
      </c>
      <c r="EA20" s="647" t="s">
        <v>1134</v>
      </c>
      <c r="EB20" s="647" t="s">
        <v>1135</v>
      </c>
      <c r="EC20" s="647" t="s">
        <v>1134</v>
      </c>
      <c r="ED20" s="647" t="s">
        <v>1136</v>
      </c>
    </row>
    <row r="21" spans="1:134" ht="15" customHeight="1" x14ac:dyDescent="0.2">
      <c r="A21" s="359" t="s">
        <v>147</v>
      </c>
      <c r="B21" s="354" t="s">
        <v>77</v>
      </c>
      <c r="C21" s="358">
        <v>14</v>
      </c>
      <c r="D21" s="830">
        <v>0</v>
      </c>
      <c r="E21" s="830">
        <v>0</v>
      </c>
      <c r="F21" s="830">
        <v>0</v>
      </c>
      <c r="G21" s="831">
        <v>0</v>
      </c>
      <c r="H21" s="830">
        <v>0</v>
      </c>
      <c r="I21" s="830">
        <v>0</v>
      </c>
      <c r="J21" s="828">
        <f t="shared" si="5"/>
        <v>0</v>
      </c>
      <c r="K21" s="832">
        <v>0</v>
      </c>
      <c r="L21" s="832">
        <v>0</v>
      </c>
      <c r="M21" s="837">
        <v>0</v>
      </c>
      <c r="N21" s="802">
        <v>0</v>
      </c>
      <c r="O21" s="838">
        <v>0</v>
      </c>
      <c r="P21" s="833">
        <v>0</v>
      </c>
      <c r="Q21" s="832">
        <v>0</v>
      </c>
      <c r="R21" s="832">
        <v>0</v>
      </c>
      <c r="S21" s="781">
        <v>0</v>
      </c>
      <c r="T21" s="830">
        <v>0</v>
      </c>
      <c r="U21" s="830">
        <v>0</v>
      </c>
      <c r="V21" s="834">
        <v>0</v>
      </c>
      <c r="W21" s="832">
        <v>0</v>
      </c>
      <c r="X21" s="831">
        <v>0</v>
      </c>
      <c r="Y21" s="783">
        <v>0</v>
      </c>
      <c r="Z21" s="830">
        <v>0</v>
      </c>
      <c r="AA21" s="833">
        <v>0</v>
      </c>
      <c r="AB21" s="802">
        <v>0</v>
      </c>
      <c r="AC21" s="835">
        <v>0</v>
      </c>
      <c r="AD21" s="835">
        <v>0</v>
      </c>
      <c r="AE21" s="833">
        <v>0</v>
      </c>
      <c r="AF21" s="836">
        <v>0</v>
      </c>
      <c r="AG21" s="836">
        <v>0</v>
      </c>
      <c r="AH21" s="827">
        <f t="shared" si="1"/>
        <v>0</v>
      </c>
      <c r="AI21" s="827">
        <f t="shared" si="2"/>
        <v>0</v>
      </c>
      <c r="AJ21" s="466">
        <f t="shared" si="3"/>
        <v>0</v>
      </c>
      <c r="AK21" s="467" t="str">
        <f t="shared" si="4"/>
        <v xml:space="preserve"> </v>
      </c>
      <c r="AT21" s="139" t="s">
        <v>394</v>
      </c>
      <c r="DS21" s="648"/>
      <c r="DT21" s="648"/>
      <c r="DU21" s="647" t="s">
        <v>415</v>
      </c>
      <c r="DV21" s="647" t="s">
        <v>1188</v>
      </c>
      <c r="DW21" s="647" t="s">
        <v>1134</v>
      </c>
      <c r="DX21" s="647" t="s">
        <v>1134</v>
      </c>
      <c r="DY21" s="647" t="s">
        <v>1194</v>
      </c>
      <c r="DZ21" s="647" t="s">
        <v>1134</v>
      </c>
      <c r="EA21" s="647" t="s">
        <v>1134</v>
      </c>
      <c r="EB21" s="647" t="s">
        <v>1135</v>
      </c>
      <c r="EC21" s="647" t="s">
        <v>1134</v>
      </c>
      <c r="ED21" s="647" t="s">
        <v>1136</v>
      </c>
    </row>
    <row r="22" spans="1:134" ht="15" customHeight="1" x14ac:dyDescent="0.2">
      <c r="A22" s="353" t="s">
        <v>84</v>
      </c>
      <c r="B22" s="354" t="s">
        <v>76</v>
      </c>
      <c r="C22" s="355">
        <v>15</v>
      </c>
      <c r="D22" s="830">
        <v>540</v>
      </c>
      <c r="E22" s="830">
        <v>0</v>
      </c>
      <c r="F22" s="830">
        <v>0</v>
      </c>
      <c r="G22" s="831">
        <v>0</v>
      </c>
      <c r="H22" s="830">
        <v>0</v>
      </c>
      <c r="I22" s="830">
        <v>0</v>
      </c>
      <c r="J22" s="828">
        <f t="shared" si="5"/>
        <v>540</v>
      </c>
      <c r="K22" s="832">
        <v>0</v>
      </c>
      <c r="L22" s="832">
        <v>0</v>
      </c>
      <c r="M22" s="837">
        <v>0</v>
      </c>
      <c r="N22" s="802">
        <v>270</v>
      </c>
      <c r="O22" s="838">
        <v>0</v>
      </c>
      <c r="P22" s="833">
        <v>270</v>
      </c>
      <c r="Q22" s="832">
        <v>0</v>
      </c>
      <c r="R22" s="832">
        <v>0</v>
      </c>
      <c r="S22" s="781">
        <v>0</v>
      </c>
      <c r="T22" s="830">
        <v>0</v>
      </c>
      <c r="U22" s="830">
        <v>0</v>
      </c>
      <c r="V22" s="834">
        <v>0</v>
      </c>
      <c r="W22" s="832">
        <v>609</v>
      </c>
      <c r="X22" s="831">
        <v>0</v>
      </c>
      <c r="Y22" s="783">
        <v>609</v>
      </c>
      <c r="Z22" s="830">
        <v>0</v>
      </c>
      <c r="AA22" s="833">
        <v>609</v>
      </c>
      <c r="AB22" s="802">
        <v>0</v>
      </c>
      <c r="AC22" s="835">
        <v>0</v>
      </c>
      <c r="AD22" s="835">
        <v>0</v>
      </c>
      <c r="AE22" s="833">
        <v>0</v>
      </c>
      <c r="AF22" s="836">
        <v>0</v>
      </c>
      <c r="AG22" s="836">
        <v>0</v>
      </c>
      <c r="AH22" s="827">
        <f t="shared" si="1"/>
        <v>879</v>
      </c>
      <c r="AI22" s="827">
        <f t="shared" si="2"/>
        <v>1419</v>
      </c>
      <c r="AJ22" s="466">
        <f t="shared" si="3"/>
        <v>0</v>
      </c>
      <c r="AK22" s="467" t="str">
        <f t="shared" si="4"/>
        <v xml:space="preserve"> </v>
      </c>
      <c r="AT22" s="139" t="s">
        <v>395</v>
      </c>
      <c r="DS22" s="648"/>
      <c r="DT22" s="648"/>
      <c r="DU22" s="647" t="s">
        <v>415</v>
      </c>
      <c r="DV22" s="647" t="s">
        <v>1187</v>
      </c>
      <c r="DW22" s="647" t="s">
        <v>1134</v>
      </c>
      <c r="DX22" s="647" t="s">
        <v>1134</v>
      </c>
      <c r="DY22" s="647" t="s">
        <v>1195</v>
      </c>
      <c r="DZ22" s="647" t="s">
        <v>1134</v>
      </c>
      <c r="EA22" s="647" t="s">
        <v>1134</v>
      </c>
      <c r="EB22" s="647" t="s">
        <v>1135</v>
      </c>
      <c r="EC22" s="647" t="s">
        <v>1134</v>
      </c>
      <c r="ED22" s="647" t="s">
        <v>1136</v>
      </c>
    </row>
    <row r="23" spans="1:134" ht="15" customHeight="1" x14ac:dyDescent="0.2">
      <c r="A23" s="359" t="s">
        <v>146</v>
      </c>
      <c r="B23" s="354" t="s">
        <v>77</v>
      </c>
      <c r="C23" s="358">
        <v>16</v>
      </c>
      <c r="D23" s="830">
        <v>540</v>
      </c>
      <c r="E23" s="830">
        <v>0</v>
      </c>
      <c r="F23" s="830">
        <v>0</v>
      </c>
      <c r="G23" s="831">
        <v>0</v>
      </c>
      <c r="H23" s="830">
        <v>0</v>
      </c>
      <c r="I23" s="830">
        <v>0</v>
      </c>
      <c r="J23" s="828">
        <f t="shared" si="5"/>
        <v>540</v>
      </c>
      <c r="K23" s="832">
        <v>0</v>
      </c>
      <c r="L23" s="832">
        <v>0</v>
      </c>
      <c r="M23" s="837">
        <v>0</v>
      </c>
      <c r="N23" s="802">
        <v>270</v>
      </c>
      <c r="O23" s="838">
        <v>0</v>
      </c>
      <c r="P23" s="833">
        <v>270</v>
      </c>
      <c r="Q23" s="832">
        <v>0</v>
      </c>
      <c r="R23" s="832">
        <v>0</v>
      </c>
      <c r="S23" s="781">
        <v>0</v>
      </c>
      <c r="T23" s="830">
        <v>0</v>
      </c>
      <c r="U23" s="830">
        <v>0</v>
      </c>
      <c r="V23" s="834">
        <v>0</v>
      </c>
      <c r="W23" s="832">
        <v>609</v>
      </c>
      <c r="X23" s="831">
        <v>0</v>
      </c>
      <c r="Y23" s="783">
        <v>609</v>
      </c>
      <c r="Z23" s="830">
        <v>0</v>
      </c>
      <c r="AA23" s="833">
        <v>609</v>
      </c>
      <c r="AB23" s="802">
        <v>0</v>
      </c>
      <c r="AC23" s="835">
        <v>0</v>
      </c>
      <c r="AD23" s="835">
        <v>0</v>
      </c>
      <c r="AE23" s="833">
        <v>0</v>
      </c>
      <c r="AF23" s="836">
        <v>0</v>
      </c>
      <c r="AG23" s="836">
        <v>0</v>
      </c>
      <c r="AH23" s="827">
        <f t="shared" si="1"/>
        <v>879</v>
      </c>
      <c r="AI23" s="827">
        <f t="shared" si="2"/>
        <v>1419</v>
      </c>
      <c r="AJ23" s="466">
        <f t="shared" si="3"/>
        <v>0</v>
      </c>
      <c r="AK23" s="467" t="str">
        <f t="shared" si="4"/>
        <v xml:space="preserve"> </v>
      </c>
      <c r="AT23" s="139" t="s">
        <v>396</v>
      </c>
      <c r="DS23" s="648"/>
      <c r="DT23" s="648"/>
      <c r="DU23" s="647" t="s">
        <v>415</v>
      </c>
      <c r="DV23" s="647" t="s">
        <v>1188</v>
      </c>
      <c r="DW23" s="647" t="s">
        <v>1134</v>
      </c>
      <c r="DX23" s="647" t="s">
        <v>1134</v>
      </c>
      <c r="DY23" s="647" t="s">
        <v>1195</v>
      </c>
      <c r="DZ23" s="647" t="s">
        <v>1134</v>
      </c>
      <c r="EA23" s="647" t="s">
        <v>1134</v>
      </c>
      <c r="EB23" s="647" t="s">
        <v>1135</v>
      </c>
      <c r="EC23" s="647" t="s">
        <v>1134</v>
      </c>
      <c r="ED23" s="647" t="s">
        <v>1136</v>
      </c>
    </row>
    <row r="24" spans="1:134" ht="15" customHeight="1" x14ac:dyDescent="0.2">
      <c r="A24" s="353" t="s">
        <v>85</v>
      </c>
      <c r="B24" s="354" t="s">
        <v>76</v>
      </c>
      <c r="C24" s="355">
        <v>17</v>
      </c>
      <c r="D24" s="830">
        <v>2212.3510000000001</v>
      </c>
      <c r="E24" s="830">
        <v>356.05599999999998</v>
      </c>
      <c r="F24" s="830">
        <v>0</v>
      </c>
      <c r="G24" s="831">
        <v>1312.722</v>
      </c>
      <c r="H24" s="830">
        <v>918.29700000000003</v>
      </c>
      <c r="I24" s="830">
        <v>0</v>
      </c>
      <c r="J24" s="828">
        <f t="shared" si="5"/>
        <v>3881.1289999999999</v>
      </c>
      <c r="K24" s="832">
        <v>0</v>
      </c>
      <c r="L24" s="832">
        <v>95.394999999999996</v>
      </c>
      <c r="M24" s="837">
        <v>1523.4190000000001</v>
      </c>
      <c r="N24" s="802">
        <v>386.95400000000001</v>
      </c>
      <c r="O24" s="838">
        <v>0</v>
      </c>
      <c r="P24" s="833">
        <v>386.95400000000001</v>
      </c>
      <c r="Q24" s="832">
        <v>19.257999999999999</v>
      </c>
      <c r="R24" s="832">
        <v>0</v>
      </c>
      <c r="S24" s="781">
        <v>377.541</v>
      </c>
      <c r="T24" s="830">
        <v>0</v>
      </c>
      <c r="U24" s="830">
        <v>377.541</v>
      </c>
      <c r="V24" s="834">
        <v>83.691999999999993</v>
      </c>
      <c r="W24" s="832">
        <v>1382.9490000000001</v>
      </c>
      <c r="X24" s="831">
        <v>434.56599999999997</v>
      </c>
      <c r="Y24" s="783">
        <v>1817.5150000000001</v>
      </c>
      <c r="Z24" s="830">
        <v>0</v>
      </c>
      <c r="AA24" s="833">
        <v>1817.5150000000001</v>
      </c>
      <c r="AB24" s="802">
        <v>1644.3910000000001</v>
      </c>
      <c r="AC24" s="835">
        <v>995.36199999999997</v>
      </c>
      <c r="AD24" s="835">
        <v>0</v>
      </c>
      <c r="AE24" s="833">
        <v>649.029</v>
      </c>
      <c r="AF24" s="836">
        <v>8.8789999999999996</v>
      </c>
      <c r="AG24" s="836">
        <v>222.643</v>
      </c>
      <c r="AH24" s="827">
        <f t="shared" si="1"/>
        <v>6179.6869999999999</v>
      </c>
      <c r="AI24" s="827">
        <f t="shared" si="2"/>
        <v>10060.816000000001</v>
      </c>
      <c r="AJ24" s="466">
        <f t="shared" si="3"/>
        <v>0</v>
      </c>
      <c r="AK24" s="467" t="str">
        <f t="shared" si="4"/>
        <v xml:space="preserve"> </v>
      </c>
      <c r="AT24" s="139" t="s">
        <v>397</v>
      </c>
      <c r="DS24" s="648"/>
      <c r="DT24" s="648"/>
      <c r="DU24" s="647" t="s">
        <v>415</v>
      </c>
      <c r="DV24" s="647" t="s">
        <v>1187</v>
      </c>
      <c r="DW24" s="647" t="s">
        <v>1134</v>
      </c>
      <c r="DX24" s="647" t="s">
        <v>1134</v>
      </c>
      <c r="DY24" s="647" t="s">
        <v>1196</v>
      </c>
      <c r="DZ24" s="647" t="s">
        <v>1134</v>
      </c>
      <c r="EA24" s="647" t="s">
        <v>1134</v>
      </c>
      <c r="EB24" s="647" t="s">
        <v>1135</v>
      </c>
      <c r="EC24" s="647" t="s">
        <v>1134</v>
      </c>
      <c r="ED24" s="647" t="s">
        <v>1136</v>
      </c>
    </row>
    <row r="25" spans="1:134" ht="15" customHeight="1" x14ac:dyDescent="0.2">
      <c r="A25" s="359" t="s">
        <v>86</v>
      </c>
      <c r="B25" s="354" t="s">
        <v>77</v>
      </c>
      <c r="C25" s="358">
        <v>18</v>
      </c>
      <c r="D25" s="830">
        <v>2377.0050000000001</v>
      </c>
      <c r="E25" s="830">
        <v>242.64500000000001</v>
      </c>
      <c r="F25" s="830">
        <v>0</v>
      </c>
      <c r="G25" s="831">
        <v>1315.3440000000001</v>
      </c>
      <c r="H25" s="830">
        <v>930.19500000000005</v>
      </c>
      <c r="I25" s="830">
        <v>0</v>
      </c>
      <c r="J25" s="828">
        <f t="shared" si="5"/>
        <v>3934.9940000000001</v>
      </c>
      <c r="K25" s="832">
        <v>0</v>
      </c>
      <c r="L25" s="832">
        <v>95.194000000000003</v>
      </c>
      <c r="M25" s="837">
        <v>1488.1320000000001</v>
      </c>
      <c r="N25" s="802">
        <v>344.58300000000003</v>
      </c>
      <c r="O25" s="838">
        <v>0</v>
      </c>
      <c r="P25" s="833">
        <v>344.58300000000003</v>
      </c>
      <c r="Q25" s="832">
        <v>19.254000000000001</v>
      </c>
      <c r="R25" s="832">
        <v>0</v>
      </c>
      <c r="S25" s="781">
        <v>410.02499999999998</v>
      </c>
      <c r="T25" s="830">
        <v>0</v>
      </c>
      <c r="U25" s="830">
        <v>410.02499999999998</v>
      </c>
      <c r="V25" s="834">
        <v>91.738</v>
      </c>
      <c r="W25" s="832">
        <v>1391.4390000000001</v>
      </c>
      <c r="X25" s="831">
        <v>547.97299999999996</v>
      </c>
      <c r="Y25" s="783">
        <v>1939.412</v>
      </c>
      <c r="Z25" s="830">
        <v>0</v>
      </c>
      <c r="AA25" s="833">
        <v>1939.412</v>
      </c>
      <c r="AB25" s="802">
        <v>1881.867</v>
      </c>
      <c r="AC25" s="835">
        <v>1092.1959999999999</v>
      </c>
      <c r="AD25" s="835">
        <v>0</v>
      </c>
      <c r="AE25" s="833">
        <v>789.67100000000005</v>
      </c>
      <c r="AF25" s="836">
        <v>17.594999999999999</v>
      </c>
      <c r="AG25" s="836">
        <v>222.751</v>
      </c>
      <c r="AH25" s="827">
        <f t="shared" si="1"/>
        <v>6510.5510000000004</v>
      </c>
      <c r="AI25" s="827">
        <f t="shared" si="2"/>
        <v>10445.545</v>
      </c>
      <c r="AJ25" s="466">
        <f t="shared" si="3"/>
        <v>0</v>
      </c>
      <c r="AK25" s="467" t="str">
        <f t="shared" si="4"/>
        <v xml:space="preserve"> </v>
      </c>
      <c r="AT25" s="139" t="s">
        <v>398</v>
      </c>
      <c r="DS25" s="648"/>
      <c r="DT25" s="648"/>
      <c r="DU25" s="647" t="s">
        <v>415</v>
      </c>
      <c r="DV25" s="647" t="s">
        <v>1188</v>
      </c>
      <c r="DW25" s="647" t="s">
        <v>1134</v>
      </c>
      <c r="DX25" s="647" t="s">
        <v>1134</v>
      </c>
      <c r="DY25" s="647" t="s">
        <v>1196</v>
      </c>
      <c r="DZ25" s="647" t="s">
        <v>1134</v>
      </c>
      <c r="EA25" s="647" t="s">
        <v>1134</v>
      </c>
      <c r="EB25" s="647" t="s">
        <v>1135</v>
      </c>
      <c r="EC25" s="647" t="s">
        <v>1134</v>
      </c>
      <c r="ED25" s="647" t="s">
        <v>1136</v>
      </c>
    </row>
    <row r="26" spans="1:134" ht="15" customHeight="1" x14ac:dyDescent="0.2">
      <c r="A26" s="1093" t="s">
        <v>1407</v>
      </c>
      <c r="B26" s="354" t="s">
        <v>76</v>
      </c>
      <c r="C26" s="358">
        <v>19</v>
      </c>
      <c r="D26" s="830">
        <v>0</v>
      </c>
      <c r="E26" s="830">
        <v>0</v>
      </c>
      <c r="F26" s="830">
        <v>0</v>
      </c>
      <c r="G26" s="831">
        <v>0</v>
      </c>
      <c r="H26" s="830">
        <v>0</v>
      </c>
      <c r="I26" s="830">
        <v>0</v>
      </c>
      <c r="J26" s="828">
        <f t="shared" si="5"/>
        <v>0</v>
      </c>
      <c r="K26" s="832">
        <v>0</v>
      </c>
      <c r="L26" s="832">
        <v>0</v>
      </c>
      <c r="M26" s="837">
        <v>0</v>
      </c>
      <c r="N26" s="802">
        <v>0</v>
      </c>
      <c r="O26" s="838">
        <v>0</v>
      </c>
      <c r="P26" s="833">
        <v>0</v>
      </c>
      <c r="Q26" s="832">
        <v>0</v>
      </c>
      <c r="R26" s="832">
        <v>0</v>
      </c>
      <c r="S26" s="781">
        <v>0</v>
      </c>
      <c r="T26" s="830">
        <v>0</v>
      </c>
      <c r="U26" s="830">
        <v>0</v>
      </c>
      <c r="V26" s="834">
        <v>0</v>
      </c>
      <c r="W26" s="832">
        <v>0</v>
      </c>
      <c r="X26" s="831">
        <v>0</v>
      </c>
      <c r="Y26" s="783">
        <v>0</v>
      </c>
      <c r="Z26" s="830">
        <v>0</v>
      </c>
      <c r="AA26" s="833">
        <v>0</v>
      </c>
      <c r="AB26" s="802">
        <v>0</v>
      </c>
      <c r="AC26" s="835">
        <v>0</v>
      </c>
      <c r="AD26" s="835">
        <v>0</v>
      </c>
      <c r="AE26" s="833">
        <v>0</v>
      </c>
      <c r="AF26" s="836">
        <v>0</v>
      </c>
      <c r="AG26" s="836">
        <v>0</v>
      </c>
      <c r="AH26" s="827">
        <f t="shared" si="1"/>
        <v>0</v>
      </c>
      <c r="AI26" s="827">
        <f t="shared" si="2"/>
        <v>0</v>
      </c>
      <c r="AJ26" s="466"/>
      <c r="AK26" s="467"/>
      <c r="AT26" s="130" t="s">
        <v>1408</v>
      </c>
      <c r="DS26" s="648"/>
      <c r="DT26" s="648"/>
      <c r="DU26" s="647" t="s">
        <v>415</v>
      </c>
      <c r="DV26" s="647" t="s">
        <v>1187</v>
      </c>
      <c r="DW26" s="647" t="s">
        <v>1134</v>
      </c>
      <c r="DX26" s="647" t="s">
        <v>1134</v>
      </c>
      <c r="DY26" s="647" t="s">
        <v>1410</v>
      </c>
      <c r="DZ26" s="647" t="s">
        <v>1134</v>
      </c>
      <c r="EA26" s="647" t="s">
        <v>1134</v>
      </c>
      <c r="EB26" s="647" t="s">
        <v>1135</v>
      </c>
      <c r="EC26" s="647" t="s">
        <v>1134</v>
      </c>
      <c r="ED26" s="647" t="s">
        <v>1136</v>
      </c>
    </row>
    <row r="27" spans="1:134" ht="15" customHeight="1" x14ac:dyDescent="0.2">
      <c r="A27" s="1092"/>
      <c r="B27" s="354" t="s">
        <v>77</v>
      </c>
      <c r="C27" s="358">
        <v>20</v>
      </c>
      <c r="D27" s="830">
        <v>176</v>
      </c>
      <c r="E27" s="830">
        <v>0</v>
      </c>
      <c r="F27" s="830">
        <v>0</v>
      </c>
      <c r="G27" s="831">
        <v>0</v>
      </c>
      <c r="H27" s="830">
        <v>0</v>
      </c>
      <c r="I27" s="830">
        <v>0</v>
      </c>
      <c r="J27" s="828">
        <f t="shared" si="5"/>
        <v>176</v>
      </c>
      <c r="K27" s="832">
        <v>0</v>
      </c>
      <c r="L27" s="832">
        <v>0</v>
      </c>
      <c r="M27" s="837">
        <v>0</v>
      </c>
      <c r="N27" s="802">
        <v>0</v>
      </c>
      <c r="O27" s="838">
        <v>0</v>
      </c>
      <c r="P27" s="833">
        <v>0</v>
      </c>
      <c r="Q27" s="832">
        <v>0</v>
      </c>
      <c r="R27" s="832">
        <v>0</v>
      </c>
      <c r="S27" s="781">
        <v>0</v>
      </c>
      <c r="T27" s="830">
        <v>0</v>
      </c>
      <c r="U27" s="830">
        <v>0</v>
      </c>
      <c r="V27" s="834">
        <v>0</v>
      </c>
      <c r="W27" s="832">
        <v>0</v>
      </c>
      <c r="X27" s="831">
        <v>0</v>
      </c>
      <c r="Y27" s="783">
        <v>0</v>
      </c>
      <c r="Z27" s="830">
        <v>0</v>
      </c>
      <c r="AA27" s="833">
        <v>0</v>
      </c>
      <c r="AB27" s="802">
        <v>0</v>
      </c>
      <c r="AC27" s="835">
        <v>0</v>
      </c>
      <c r="AD27" s="835">
        <v>0</v>
      </c>
      <c r="AE27" s="833">
        <v>0</v>
      </c>
      <c r="AF27" s="836">
        <v>0</v>
      </c>
      <c r="AG27" s="836">
        <v>0</v>
      </c>
      <c r="AH27" s="827">
        <f t="shared" si="1"/>
        <v>0</v>
      </c>
      <c r="AI27" s="827">
        <f t="shared" si="2"/>
        <v>176</v>
      </c>
      <c r="AJ27" s="466"/>
      <c r="AK27" s="467"/>
      <c r="AT27" s="130" t="s">
        <v>1409</v>
      </c>
      <c r="DS27" s="648"/>
      <c r="DT27" s="648"/>
      <c r="DU27" s="647" t="s">
        <v>415</v>
      </c>
      <c r="DV27" s="647" t="s">
        <v>1188</v>
      </c>
      <c r="DW27" s="647" t="s">
        <v>1134</v>
      </c>
      <c r="DX27" s="647" t="s">
        <v>1134</v>
      </c>
      <c r="DY27" s="647" t="s">
        <v>1410</v>
      </c>
      <c r="DZ27" s="647" t="s">
        <v>1134</v>
      </c>
      <c r="EA27" s="647" t="s">
        <v>1134</v>
      </c>
      <c r="EB27" s="647" t="s">
        <v>1135</v>
      </c>
      <c r="EC27" s="647" t="s">
        <v>1134</v>
      </c>
      <c r="ED27" s="647" t="s">
        <v>1136</v>
      </c>
    </row>
    <row r="28" spans="1:134" ht="15" customHeight="1" x14ac:dyDescent="0.2">
      <c r="A28" s="353" t="s">
        <v>861</v>
      </c>
      <c r="B28" s="354" t="s">
        <v>76</v>
      </c>
      <c r="C28" s="355">
        <v>21</v>
      </c>
      <c r="D28" s="830">
        <v>117</v>
      </c>
      <c r="E28" s="830">
        <v>0</v>
      </c>
      <c r="F28" s="830">
        <v>0</v>
      </c>
      <c r="G28" s="831">
        <v>0</v>
      </c>
      <c r="H28" s="830">
        <v>0</v>
      </c>
      <c r="I28" s="830">
        <v>0</v>
      </c>
      <c r="J28" s="828">
        <f t="shared" si="5"/>
        <v>117</v>
      </c>
      <c r="K28" s="832">
        <v>0</v>
      </c>
      <c r="L28" s="832">
        <v>0</v>
      </c>
      <c r="M28" s="837">
        <v>0</v>
      </c>
      <c r="N28" s="802">
        <v>202</v>
      </c>
      <c r="O28" s="838">
        <v>0</v>
      </c>
      <c r="P28" s="833">
        <v>202</v>
      </c>
      <c r="Q28" s="832">
        <v>0</v>
      </c>
      <c r="R28" s="832">
        <v>0</v>
      </c>
      <c r="S28" s="781">
        <v>100</v>
      </c>
      <c r="T28" s="830">
        <v>0</v>
      </c>
      <c r="U28" s="830">
        <v>100</v>
      </c>
      <c r="V28" s="834">
        <v>0</v>
      </c>
      <c r="W28" s="832">
        <v>45</v>
      </c>
      <c r="X28" s="831">
        <v>0</v>
      </c>
      <c r="Y28" s="783">
        <v>45</v>
      </c>
      <c r="Z28" s="830">
        <v>0</v>
      </c>
      <c r="AA28" s="833">
        <v>45</v>
      </c>
      <c r="AB28" s="802">
        <v>2</v>
      </c>
      <c r="AC28" s="835">
        <v>2</v>
      </c>
      <c r="AD28" s="835">
        <v>0</v>
      </c>
      <c r="AE28" s="833">
        <v>0</v>
      </c>
      <c r="AF28" s="836">
        <v>0</v>
      </c>
      <c r="AG28" s="836">
        <v>0</v>
      </c>
      <c r="AH28" s="827">
        <f t="shared" si="1"/>
        <v>349</v>
      </c>
      <c r="AI28" s="827">
        <f t="shared" si="2"/>
        <v>466</v>
      </c>
      <c r="AJ28" s="466">
        <f t="shared" si="3"/>
        <v>0</v>
      </c>
      <c r="AK28" s="467" t="str">
        <f t="shared" si="4"/>
        <v xml:space="preserve"> </v>
      </c>
      <c r="AT28" s="139" t="s">
        <v>399</v>
      </c>
      <c r="DS28" s="648"/>
      <c r="DT28" s="648"/>
      <c r="DU28" s="647" t="s">
        <v>415</v>
      </c>
      <c r="DV28" s="647" t="s">
        <v>1187</v>
      </c>
      <c r="DW28" s="647" t="s">
        <v>1134</v>
      </c>
      <c r="DX28" s="647" t="s">
        <v>1134</v>
      </c>
      <c r="DY28" s="647" t="s">
        <v>1197</v>
      </c>
      <c r="DZ28" s="647" t="s">
        <v>1134</v>
      </c>
      <c r="EA28" s="647" t="s">
        <v>1134</v>
      </c>
      <c r="EB28" s="647" t="s">
        <v>1135</v>
      </c>
      <c r="EC28" s="647" t="s">
        <v>1134</v>
      </c>
      <c r="ED28" s="647" t="s">
        <v>1136</v>
      </c>
    </row>
    <row r="29" spans="1:134" ht="15" customHeight="1" x14ac:dyDescent="0.2">
      <c r="A29" s="359" t="s">
        <v>862</v>
      </c>
      <c r="B29" s="357" t="s">
        <v>112</v>
      </c>
      <c r="C29" s="358">
        <v>22</v>
      </c>
      <c r="D29" s="830">
        <v>117</v>
      </c>
      <c r="E29" s="830">
        <v>0</v>
      </c>
      <c r="F29" s="830">
        <v>0</v>
      </c>
      <c r="G29" s="831">
        <v>0</v>
      </c>
      <c r="H29" s="830">
        <v>0</v>
      </c>
      <c r="I29" s="830">
        <v>0</v>
      </c>
      <c r="J29" s="828">
        <f t="shared" si="5"/>
        <v>117</v>
      </c>
      <c r="K29" s="832">
        <v>0</v>
      </c>
      <c r="L29" s="832">
        <v>0</v>
      </c>
      <c r="M29" s="837">
        <v>0</v>
      </c>
      <c r="N29" s="802">
        <v>202</v>
      </c>
      <c r="O29" s="838">
        <v>0</v>
      </c>
      <c r="P29" s="833">
        <v>202</v>
      </c>
      <c r="Q29" s="832">
        <v>0</v>
      </c>
      <c r="R29" s="832">
        <v>0</v>
      </c>
      <c r="S29" s="781">
        <v>100</v>
      </c>
      <c r="T29" s="830">
        <v>0</v>
      </c>
      <c r="U29" s="830">
        <v>100</v>
      </c>
      <c r="V29" s="834">
        <v>0</v>
      </c>
      <c r="W29" s="832">
        <v>45</v>
      </c>
      <c r="X29" s="831">
        <v>0</v>
      </c>
      <c r="Y29" s="783">
        <v>45</v>
      </c>
      <c r="Z29" s="830">
        <v>0</v>
      </c>
      <c r="AA29" s="833">
        <v>45</v>
      </c>
      <c r="AB29" s="802">
        <v>2</v>
      </c>
      <c r="AC29" s="835">
        <v>2</v>
      </c>
      <c r="AD29" s="835">
        <v>0</v>
      </c>
      <c r="AE29" s="833">
        <v>0</v>
      </c>
      <c r="AF29" s="836">
        <v>0</v>
      </c>
      <c r="AG29" s="836">
        <v>0</v>
      </c>
      <c r="AH29" s="827">
        <f t="shared" si="1"/>
        <v>349</v>
      </c>
      <c r="AI29" s="827">
        <f t="shared" si="2"/>
        <v>466</v>
      </c>
      <c r="AJ29" s="466">
        <f t="shared" si="3"/>
        <v>0</v>
      </c>
      <c r="AK29" s="467" t="str">
        <f t="shared" si="4"/>
        <v xml:space="preserve"> </v>
      </c>
      <c r="AT29" s="139" t="s">
        <v>400</v>
      </c>
      <c r="DS29" s="648"/>
      <c r="DT29" s="648"/>
      <c r="DU29" s="647" t="s">
        <v>415</v>
      </c>
      <c r="DV29" s="647" t="s">
        <v>1188</v>
      </c>
      <c r="DW29" s="647" t="s">
        <v>1134</v>
      </c>
      <c r="DX29" s="647" t="s">
        <v>1134</v>
      </c>
      <c r="DY29" s="647" t="s">
        <v>1197</v>
      </c>
      <c r="DZ29" s="647" t="s">
        <v>1134</v>
      </c>
      <c r="EA29" s="647" t="s">
        <v>1134</v>
      </c>
      <c r="EB29" s="647" t="s">
        <v>1135</v>
      </c>
      <c r="EC29" s="647" t="s">
        <v>1134</v>
      </c>
      <c r="ED29" s="647" t="s">
        <v>1136</v>
      </c>
    </row>
    <row r="30" spans="1:134" ht="15" customHeight="1" x14ac:dyDescent="0.2">
      <c r="A30" s="353" t="s">
        <v>87</v>
      </c>
      <c r="B30" s="354" t="s">
        <v>76</v>
      </c>
      <c r="C30" s="355">
        <v>23</v>
      </c>
      <c r="D30" s="830">
        <v>0</v>
      </c>
      <c r="E30" s="830">
        <v>0</v>
      </c>
      <c r="F30" s="830">
        <v>0</v>
      </c>
      <c r="G30" s="831">
        <v>0</v>
      </c>
      <c r="H30" s="830">
        <v>0</v>
      </c>
      <c r="I30" s="830">
        <v>0</v>
      </c>
      <c r="J30" s="828">
        <f t="shared" si="5"/>
        <v>0</v>
      </c>
      <c r="K30" s="832">
        <v>0</v>
      </c>
      <c r="L30" s="832">
        <v>0</v>
      </c>
      <c r="M30" s="837">
        <v>0</v>
      </c>
      <c r="N30" s="802">
        <v>0</v>
      </c>
      <c r="O30" s="838">
        <v>0</v>
      </c>
      <c r="P30" s="833">
        <v>0</v>
      </c>
      <c r="Q30" s="832">
        <v>0</v>
      </c>
      <c r="R30" s="832">
        <v>0</v>
      </c>
      <c r="S30" s="781">
        <v>0</v>
      </c>
      <c r="T30" s="830">
        <v>0</v>
      </c>
      <c r="U30" s="830">
        <v>0</v>
      </c>
      <c r="V30" s="834">
        <v>0</v>
      </c>
      <c r="W30" s="832">
        <v>0</v>
      </c>
      <c r="X30" s="831">
        <v>0</v>
      </c>
      <c r="Y30" s="783">
        <v>0</v>
      </c>
      <c r="Z30" s="830">
        <v>0</v>
      </c>
      <c r="AA30" s="833">
        <v>0</v>
      </c>
      <c r="AB30" s="802">
        <v>0</v>
      </c>
      <c r="AC30" s="835">
        <v>0</v>
      </c>
      <c r="AD30" s="835">
        <v>0</v>
      </c>
      <c r="AE30" s="833">
        <v>0</v>
      </c>
      <c r="AF30" s="836">
        <v>0</v>
      </c>
      <c r="AG30" s="836">
        <v>0</v>
      </c>
      <c r="AH30" s="827">
        <f t="shared" si="1"/>
        <v>0</v>
      </c>
      <c r="AI30" s="827">
        <f t="shared" si="2"/>
        <v>0</v>
      </c>
      <c r="AJ30" s="466">
        <f t="shared" si="3"/>
        <v>0</v>
      </c>
      <c r="AK30" s="467" t="str">
        <f t="shared" si="4"/>
        <v xml:space="preserve"> </v>
      </c>
      <c r="AT30" s="139" t="s">
        <v>401</v>
      </c>
      <c r="DS30" s="648"/>
      <c r="DT30" s="648"/>
      <c r="DU30" s="647" t="s">
        <v>415</v>
      </c>
      <c r="DV30" s="647" t="s">
        <v>1187</v>
      </c>
      <c r="DW30" s="647" t="s">
        <v>1134</v>
      </c>
      <c r="DX30" s="647" t="s">
        <v>1134</v>
      </c>
      <c r="DY30" s="647" t="s">
        <v>1198</v>
      </c>
      <c r="DZ30" s="647" t="s">
        <v>1134</v>
      </c>
      <c r="EA30" s="647" t="s">
        <v>1134</v>
      </c>
      <c r="EB30" s="647" t="s">
        <v>1135</v>
      </c>
      <c r="EC30" s="647" t="s">
        <v>1134</v>
      </c>
      <c r="ED30" s="647" t="s">
        <v>1136</v>
      </c>
    </row>
    <row r="31" spans="1:134" ht="15" customHeight="1" x14ac:dyDescent="0.2">
      <c r="A31" s="359" t="s">
        <v>88</v>
      </c>
      <c r="B31" s="357" t="s">
        <v>113</v>
      </c>
      <c r="C31" s="358">
        <v>24</v>
      </c>
      <c r="D31" s="830">
        <v>0</v>
      </c>
      <c r="E31" s="830">
        <v>0</v>
      </c>
      <c r="F31" s="830">
        <v>0</v>
      </c>
      <c r="G31" s="831">
        <v>0</v>
      </c>
      <c r="H31" s="830">
        <v>0</v>
      </c>
      <c r="I31" s="830">
        <v>0</v>
      </c>
      <c r="J31" s="828">
        <f t="shared" si="5"/>
        <v>0</v>
      </c>
      <c r="K31" s="832">
        <v>0</v>
      </c>
      <c r="L31" s="832">
        <v>0</v>
      </c>
      <c r="M31" s="837">
        <v>0</v>
      </c>
      <c r="N31" s="802">
        <v>0</v>
      </c>
      <c r="O31" s="838">
        <v>0</v>
      </c>
      <c r="P31" s="833">
        <v>0</v>
      </c>
      <c r="Q31" s="832">
        <v>0</v>
      </c>
      <c r="R31" s="832">
        <v>0</v>
      </c>
      <c r="S31" s="781">
        <v>0</v>
      </c>
      <c r="T31" s="830">
        <v>0</v>
      </c>
      <c r="U31" s="830">
        <v>0</v>
      </c>
      <c r="V31" s="834">
        <v>0</v>
      </c>
      <c r="W31" s="832">
        <v>0</v>
      </c>
      <c r="X31" s="831">
        <v>0</v>
      </c>
      <c r="Y31" s="783">
        <v>0</v>
      </c>
      <c r="Z31" s="830">
        <v>0</v>
      </c>
      <c r="AA31" s="833">
        <v>0</v>
      </c>
      <c r="AB31" s="802">
        <v>0</v>
      </c>
      <c r="AC31" s="835">
        <v>0</v>
      </c>
      <c r="AD31" s="835">
        <v>0</v>
      </c>
      <c r="AE31" s="833">
        <v>0</v>
      </c>
      <c r="AF31" s="836">
        <v>0</v>
      </c>
      <c r="AG31" s="836">
        <v>0</v>
      </c>
      <c r="AH31" s="827">
        <f t="shared" si="1"/>
        <v>0</v>
      </c>
      <c r="AI31" s="827">
        <f t="shared" si="2"/>
        <v>0</v>
      </c>
      <c r="AJ31" s="466">
        <f t="shared" si="3"/>
        <v>0</v>
      </c>
      <c r="AK31" s="467" t="str">
        <f t="shared" si="4"/>
        <v xml:space="preserve"> </v>
      </c>
      <c r="AT31" s="139" t="s">
        <v>402</v>
      </c>
      <c r="DS31" s="648"/>
      <c r="DT31" s="648"/>
      <c r="DU31" s="647" t="s">
        <v>415</v>
      </c>
      <c r="DV31" s="647" t="s">
        <v>1188</v>
      </c>
      <c r="DW31" s="647" t="s">
        <v>1134</v>
      </c>
      <c r="DX31" s="647" t="s">
        <v>1134</v>
      </c>
      <c r="DY31" s="647" t="s">
        <v>1198</v>
      </c>
      <c r="DZ31" s="647" t="s">
        <v>1134</v>
      </c>
      <c r="EA31" s="647" t="s">
        <v>1134</v>
      </c>
      <c r="EB31" s="647" t="s">
        <v>1135</v>
      </c>
      <c r="EC31" s="647" t="s">
        <v>1134</v>
      </c>
      <c r="ED31" s="647" t="s">
        <v>1136</v>
      </c>
    </row>
    <row r="32" spans="1:134" ht="15" customHeight="1" x14ac:dyDescent="0.2">
      <c r="A32" s="347" t="s">
        <v>89</v>
      </c>
      <c r="B32" s="351" t="s">
        <v>76</v>
      </c>
      <c r="C32" s="352">
        <v>25</v>
      </c>
      <c r="D32" s="827">
        <f t="shared" ref="D32:AG33" si="6">ROUND(D8-D10-D12+D28+D30,3)</f>
        <v>2869.3510000000001</v>
      </c>
      <c r="E32" s="827">
        <f t="shared" si="6"/>
        <v>356.05599999999998</v>
      </c>
      <c r="F32" s="827">
        <f t="shared" si="6"/>
        <v>0</v>
      </c>
      <c r="G32" s="839">
        <f t="shared" si="6"/>
        <v>1312.722</v>
      </c>
      <c r="H32" s="827">
        <f t="shared" si="6"/>
        <v>918.29700000000003</v>
      </c>
      <c r="I32" s="827">
        <f t="shared" si="6"/>
        <v>0</v>
      </c>
      <c r="J32" s="828">
        <f t="shared" si="6"/>
        <v>4538.1289999999999</v>
      </c>
      <c r="K32" s="839">
        <f t="shared" si="6"/>
        <v>0</v>
      </c>
      <c r="L32" s="839">
        <f t="shared" si="6"/>
        <v>95.394999999999996</v>
      </c>
      <c r="M32" s="822">
        <f t="shared" si="6"/>
        <v>1523.4190000000001</v>
      </c>
      <c r="N32" s="823">
        <f t="shared" si="6"/>
        <v>858.95399999999995</v>
      </c>
      <c r="O32" s="824">
        <f t="shared" si="6"/>
        <v>0</v>
      </c>
      <c r="P32" s="820">
        <f t="shared" si="6"/>
        <v>858.95399999999995</v>
      </c>
      <c r="Q32" s="821">
        <f t="shared" si="6"/>
        <v>19.257999999999999</v>
      </c>
      <c r="R32" s="821">
        <f t="shared" si="6"/>
        <v>0</v>
      </c>
      <c r="S32" s="825">
        <f t="shared" si="6"/>
        <v>477.541</v>
      </c>
      <c r="T32" s="819">
        <f t="shared" si="6"/>
        <v>0</v>
      </c>
      <c r="U32" s="819">
        <f t="shared" si="6"/>
        <v>477.541</v>
      </c>
      <c r="V32" s="820">
        <f t="shared" si="6"/>
        <v>83.691999999999993</v>
      </c>
      <c r="W32" s="821">
        <f t="shared" si="6"/>
        <v>2036.9490000000001</v>
      </c>
      <c r="X32" s="819">
        <f t="shared" si="6"/>
        <v>434.56599999999997</v>
      </c>
      <c r="Y32" s="826">
        <f t="shared" si="6"/>
        <v>2471.5149999999999</v>
      </c>
      <c r="Z32" s="819">
        <f t="shared" si="6"/>
        <v>0</v>
      </c>
      <c r="AA32" s="820">
        <f t="shared" si="6"/>
        <v>2471.5149999999999</v>
      </c>
      <c r="AB32" s="823">
        <f t="shared" si="6"/>
        <v>1646.3910000000001</v>
      </c>
      <c r="AC32" s="819">
        <f t="shared" si="6"/>
        <v>997.36199999999997</v>
      </c>
      <c r="AD32" s="819">
        <f t="shared" si="6"/>
        <v>0</v>
      </c>
      <c r="AE32" s="828">
        <f t="shared" si="6"/>
        <v>649.029</v>
      </c>
      <c r="AF32" s="829">
        <f t="shared" si="6"/>
        <v>8.8789999999999996</v>
      </c>
      <c r="AG32" s="829">
        <f t="shared" si="6"/>
        <v>222.643</v>
      </c>
      <c r="AH32" s="827">
        <f t="shared" si="1"/>
        <v>7407.6869999999999</v>
      </c>
      <c r="AI32" s="827">
        <f t="shared" si="2"/>
        <v>11945.816000000001</v>
      </c>
      <c r="AJ32" s="466">
        <f t="shared" si="3"/>
        <v>0</v>
      </c>
      <c r="AK32" s="467" t="str">
        <f t="shared" si="4"/>
        <v xml:space="preserve"> </v>
      </c>
      <c r="AT32" s="139" t="s">
        <v>403</v>
      </c>
      <c r="DS32" s="648"/>
      <c r="DT32" s="648"/>
      <c r="DU32" s="647" t="s">
        <v>415</v>
      </c>
      <c r="DV32" s="647" t="s">
        <v>1187</v>
      </c>
      <c r="DW32" s="647" t="s">
        <v>1134</v>
      </c>
      <c r="DX32" s="647" t="s">
        <v>1134</v>
      </c>
      <c r="DY32" s="647" t="s">
        <v>1199</v>
      </c>
      <c r="DZ32" s="647" t="s">
        <v>1134</v>
      </c>
      <c r="EA32" s="647" t="s">
        <v>1134</v>
      </c>
      <c r="EB32" s="647" t="s">
        <v>1135</v>
      </c>
      <c r="EC32" s="647" t="s">
        <v>1134</v>
      </c>
      <c r="ED32" s="647" t="s">
        <v>1136</v>
      </c>
    </row>
    <row r="33" spans="1:134" ht="15" customHeight="1" thickBot="1" x14ac:dyDescent="0.25">
      <c r="A33" s="361" t="s">
        <v>90</v>
      </c>
      <c r="B33" s="362" t="s">
        <v>77</v>
      </c>
      <c r="C33" s="363">
        <v>26</v>
      </c>
      <c r="D33" s="840">
        <f t="shared" si="6"/>
        <v>3034.0050000000001</v>
      </c>
      <c r="E33" s="840">
        <f t="shared" si="6"/>
        <v>242.64500000000001</v>
      </c>
      <c r="F33" s="840">
        <f t="shared" si="6"/>
        <v>0</v>
      </c>
      <c r="G33" s="841">
        <f t="shared" si="6"/>
        <v>1315.3440000000001</v>
      </c>
      <c r="H33" s="840">
        <f t="shared" si="6"/>
        <v>930.19500000000005</v>
      </c>
      <c r="I33" s="840">
        <f t="shared" si="6"/>
        <v>0</v>
      </c>
      <c r="J33" s="842">
        <f t="shared" si="6"/>
        <v>4591.9939999999997</v>
      </c>
      <c r="K33" s="841">
        <f t="shared" si="6"/>
        <v>0</v>
      </c>
      <c r="L33" s="840">
        <f t="shared" si="6"/>
        <v>95.194000000000003</v>
      </c>
      <c r="M33" s="843">
        <f t="shared" si="6"/>
        <v>1488.1320000000001</v>
      </c>
      <c r="N33" s="844">
        <f t="shared" si="6"/>
        <v>816.58299999999997</v>
      </c>
      <c r="O33" s="845">
        <f t="shared" si="6"/>
        <v>0</v>
      </c>
      <c r="P33" s="846">
        <f t="shared" si="6"/>
        <v>816.58299999999997</v>
      </c>
      <c r="Q33" s="847">
        <f t="shared" si="6"/>
        <v>19.254000000000001</v>
      </c>
      <c r="R33" s="847">
        <f t="shared" si="6"/>
        <v>0</v>
      </c>
      <c r="S33" s="848">
        <f t="shared" si="6"/>
        <v>510.02499999999998</v>
      </c>
      <c r="T33" s="849">
        <f t="shared" si="6"/>
        <v>0</v>
      </c>
      <c r="U33" s="849">
        <f t="shared" si="6"/>
        <v>510.02499999999998</v>
      </c>
      <c r="V33" s="846">
        <f t="shared" si="6"/>
        <v>91.738</v>
      </c>
      <c r="W33" s="847">
        <f t="shared" si="6"/>
        <v>2045.4390000000001</v>
      </c>
      <c r="X33" s="849">
        <f t="shared" si="6"/>
        <v>547.97299999999996</v>
      </c>
      <c r="Y33" s="850">
        <f t="shared" si="6"/>
        <v>2593.4119999999998</v>
      </c>
      <c r="Z33" s="849">
        <f t="shared" si="6"/>
        <v>0</v>
      </c>
      <c r="AA33" s="846">
        <f t="shared" si="6"/>
        <v>2593.4119999999998</v>
      </c>
      <c r="AB33" s="844">
        <f t="shared" si="6"/>
        <v>1883.867</v>
      </c>
      <c r="AC33" s="849">
        <f t="shared" si="6"/>
        <v>1094.1959999999999</v>
      </c>
      <c r="AD33" s="849">
        <f t="shared" si="6"/>
        <v>0</v>
      </c>
      <c r="AE33" s="842">
        <f t="shared" si="6"/>
        <v>789.67100000000005</v>
      </c>
      <c r="AF33" s="851">
        <f t="shared" si="6"/>
        <v>17.594999999999999</v>
      </c>
      <c r="AG33" s="840">
        <f t="shared" si="6"/>
        <v>222.751</v>
      </c>
      <c r="AH33" s="840">
        <f t="shared" si="1"/>
        <v>7738.5510000000004</v>
      </c>
      <c r="AI33" s="840">
        <f t="shared" si="2"/>
        <v>12330.545</v>
      </c>
      <c r="AJ33" s="466">
        <f t="shared" si="3"/>
        <v>0</v>
      </c>
      <c r="AK33" s="467" t="str">
        <f t="shared" si="4"/>
        <v xml:space="preserve"> </v>
      </c>
      <c r="AT33" s="139" t="s">
        <v>404</v>
      </c>
      <c r="DS33" s="648"/>
      <c r="DT33" s="648"/>
      <c r="DU33" s="647" t="s">
        <v>415</v>
      </c>
      <c r="DV33" s="647" t="s">
        <v>1188</v>
      </c>
      <c r="DW33" s="647" t="s">
        <v>1134</v>
      </c>
      <c r="DX33" s="647" t="s">
        <v>1134</v>
      </c>
      <c r="DY33" s="647" t="s">
        <v>1199</v>
      </c>
      <c r="DZ33" s="647" t="s">
        <v>1134</v>
      </c>
      <c r="EA33" s="647" t="s">
        <v>1134</v>
      </c>
      <c r="EB33" s="647" t="s">
        <v>1135</v>
      </c>
      <c r="EC33" s="647" t="s">
        <v>1134</v>
      </c>
      <c r="ED33" s="647" t="s">
        <v>1136</v>
      </c>
    </row>
    <row r="34" spans="1:134" ht="15" customHeight="1" x14ac:dyDescent="0.2">
      <c r="A34" s="364" t="s">
        <v>91</v>
      </c>
      <c r="B34" s="365" t="s">
        <v>76</v>
      </c>
      <c r="C34" s="366">
        <v>27</v>
      </c>
      <c r="D34" s="852">
        <v>1442.0219999999999</v>
      </c>
      <c r="E34" s="852">
        <v>0.113</v>
      </c>
      <c r="F34" s="852">
        <v>0</v>
      </c>
      <c r="G34" s="831">
        <v>0</v>
      </c>
      <c r="H34" s="852">
        <v>0</v>
      </c>
      <c r="I34" s="852">
        <v>0</v>
      </c>
      <c r="J34" s="853">
        <f t="shared" ref="J34:J43" si="7">ROUND(SUM(D34:G34,I34),3)</f>
        <v>1442.135</v>
      </c>
      <c r="K34" s="854">
        <v>0</v>
      </c>
      <c r="L34" s="854">
        <v>0</v>
      </c>
      <c r="M34" s="855">
        <v>0</v>
      </c>
      <c r="N34" s="856">
        <v>0</v>
      </c>
      <c r="O34" s="857">
        <v>0</v>
      </c>
      <c r="P34" s="858">
        <v>0</v>
      </c>
      <c r="Q34" s="854">
        <v>0</v>
      </c>
      <c r="R34" s="854">
        <v>0</v>
      </c>
      <c r="S34" s="859">
        <v>0</v>
      </c>
      <c r="T34" s="852">
        <v>0</v>
      </c>
      <c r="U34" s="852">
        <v>0</v>
      </c>
      <c r="V34" s="860">
        <v>0</v>
      </c>
      <c r="W34" s="854">
        <v>0</v>
      </c>
      <c r="X34" s="861">
        <v>0</v>
      </c>
      <c r="Y34" s="862">
        <v>0</v>
      </c>
      <c r="Z34" s="852">
        <v>0</v>
      </c>
      <c r="AA34" s="858">
        <v>0</v>
      </c>
      <c r="AB34" s="856">
        <v>0</v>
      </c>
      <c r="AC34" s="863">
        <v>0</v>
      </c>
      <c r="AD34" s="863">
        <v>0</v>
      </c>
      <c r="AE34" s="858">
        <v>0</v>
      </c>
      <c r="AF34" s="864">
        <v>0</v>
      </c>
      <c r="AG34" s="864">
        <v>0</v>
      </c>
      <c r="AH34" s="865">
        <f t="shared" si="1"/>
        <v>0</v>
      </c>
      <c r="AI34" s="865">
        <f t="shared" si="2"/>
        <v>1442.135</v>
      </c>
      <c r="AJ34" s="466">
        <f t="shared" si="3"/>
        <v>0</v>
      </c>
      <c r="AK34" s="467" t="str">
        <f t="shared" si="4"/>
        <v xml:space="preserve"> </v>
      </c>
      <c r="AT34" s="139" t="s">
        <v>405</v>
      </c>
      <c r="DS34" s="648"/>
      <c r="DT34" s="648"/>
      <c r="DU34" s="647" t="s">
        <v>415</v>
      </c>
      <c r="DV34" s="647" t="s">
        <v>1187</v>
      </c>
      <c r="DW34" s="647" t="s">
        <v>1134</v>
      </c>
      <c r="DX34" s="647" t="s">
        <v>1134</v>
      </c>
      <c r="DY34" s="647" t="s">
        <v>1200</v>
      </c>
      <c r="DZ34" s="647" t="s">
        <v>1134</v>
      </c>
      <c r="EA34" s="647" t="s">
        <v>1134</v>
      </c>
      <c r="EB34" s="647" t="s">
        <v>1135</v>
      </c>
      <c r="EC34" s="647" t="s">
        <v>1134</v>
      </c>
      <c r="ED34" s="647" t="s">
        <v>1136</v>
      </c>
    </row>
    <row r="35" spans="1:134" ht="15" customHeight="1" x14ac:dyDescent="0.2">
      <c r="A35" s="367" t="s">
        <v>92</v>
      </c>
      <c r="B35" s="354" t="s">
        <v>77</v>
      </c>
      <c r="C35" s="355">
        <v>28</v>
      </c>
      <c r="D35" s="830">
        <v>1488.6469999999999</v>
      </c>
      <c r="E35" s="830">
        <v>27.6</v>
      </c>
      <c r="F35" s="830">
        <v>0</v>
      </c>
      <c r="G35" s="831">
        <v>0</v>
      </c>
      <c r="H35" s="830">
        <v>0</v>
      </c>
      <c r="I35" s="830">
        <v>0</v>
      </c>
      <c r="J35" s="828">
        <f t="shared" si="7"/>
        <v>1516.2470000000001</v>
      </c>
      <c r="K35" s="832">
        <v>0</v>
      </c>
      <c r="L35" s="832">
        <v>0</v>
      </c>
      <c r="M35" s="837">
        <v>0</v>
      </c>
      <c r="N35" s="802">
        <v>0</v>
      </c>
      <c r="O35" s="838">
        <v>0</v>
      </c>
      <c r="P35" s="833">
        <v>0</v>
      </c>
      <c r="Q35" s="832">
        <v>0</v>
      </c>
      <c r="R35" s="832">
        <v>0</v>
      </c>
      <c r="S35" s="781">
        <v>0</v>
      </c>
      <c r="T35" s="830">
        <v>0</v>
      </c>
      <c r="U35" s="830">
        <v>0</v>
      </c>
      <c r="V35" s="834">
        <v>0</v>
      </c>
      <c r="W35" s="832">
        <v>0</v>
      </c>
      <c r="X35" s="831">
        <v>0</v>
      </c>
      <c r="Y35" s="783">
        <v>0</v>
      </c>
      <c r="Z35" s="830">
        <v>0</v>
      </c>
      <c r="AA35" s="833">
        <v>0</v>
      </c>
      <c r="AB35" s="802">
        <v>0</v>
      </c>
      <c r="AC35" s="835">
        <v>0</v>
      </c>
      <c r="AD35" s="835">
        <v>0</v>
      </c>
      <c r="AE35" s="833">
        <v>0</v>
      </c>
      <c r="AF35" s="836">
        <v>0</v>
      </c>
      <c r="AG35" s="836">
        <v>0</v>
      </c>
      <c r="AH35" s="827">
        <f t="shared" si="1"/>
        <v>0</v>
      </c>
      <c r="AI35" s="827">
        <f t="shared" si="2"/>
        <v>1516.2470000000001</v>
      </c>
      <c r="AJ35" s="466">
        <f t="shared" si="3"/>
        <v>0</v>
      </c>
      <c r="AK35" s="467" t="str">
        <f t="shared" si="4"/>
        <v xml:space="preserve"> </v>
      </c>
      <c r="AT35" s="139" t="s">
        <v>406</v>
      </c>
      <c r="DS35" s="648"/>
      <c r="DT35" s="648"/>
      <c r="DU35" s="647" t="s">
        <v>415</v>
      </c>
      <c r="DV35" s="647" t="s">
        <v>1188</v>
      </c>
      <c r="DW35" s="647" t="s">
        <v>1134</v>
      </c>
      <c r="DX35" s="647" t="s">
        <v>1134</v>
      </c>
      <c r="DY35" s="647" t="s">
        <v>1200</v>
      </c>
      <c r="DZ35" s="647" t="s">
        <v>1134</v>
      </c>
      <c r="EA35" s="647" t="s">
        <v>1134</v>
      </c>
      <c r="EB35" s="647" t="s">
        <v>1135</v>
      </c>
      <c r="EC35" s="647" t="s">
        <v>1134</v>
      </c>
      <c r="ED35" s="647" t="s">
        <v>1136</v>
      </c>
    </row>
    <row r="36" spans="1:134" ht="15" customHeight="1" x14ac:dyDescent="0.2">
      <c r="A36" s="368" t="s">
        <v>93</v>
      </c>
      <c r="B36" s="354" t="s">
        <v>76</v>
      </c>
      <c r="C36" s="355">
        <v>29</v>
      </c>
      <c r="D36" s="830">
        <v>0</v>
      </c>
      <c r="E36" s="830">
        <v>0</v>
      </c>
      <c r="F36" s="830">
        <v>0</v>
      </c>
      <c r="G36" s="831">
        <v>0</v>
      </c>
      <c r="H36" s="830">
        <v>0</v>
      </c>
      <c r="I36" s="830">
        <v>0</v>
      </c>
      <c r="J36" s="828">
        <f t="shared" si="7"/>
        <v>0</v>
      </c>
      <c r="K36" s="832">
        <v>0</v>
      </c>
      <c r="L36" s="832">
        <v>0</v>
      </c>
      <c r="M36" s="837">
        <v>0</v>
      </c>
      <c r="N36" s="802">
        <v>0</v>
      </c>
      <c r="O36" s="838">
        <v>0</v>
      </c>
      <c r="P36" s="833">
        <v>0</v>
      </c>
      <c r="Q36" s="832">
        <v>0</v>
      </c>
      <c r="R36" s="832">
        <v>0</v>
      </c>
      <c r="S36" s="781">
        <v>0</v>
      </c>
      <c r="T36" s="830">
        <v>0</v>
      </c>
      <c r="U36" s="830">
        <v>0</v>
      </c>
      <c r="V36" s="834">
        <v>0</v>
      </c>
      <c r="W36" s="832">
        <v>0</v>
      </c>
      <c r="X36" s="831">
        <v>0</v>
      </c>
      <c r="Y36" s="783">
        <v>0</v>
      </c>
      <c r="Z36" s="830">
        <v>0</v>
      </c>
      <c r="AA36" s="833">
        <v>0</v>
      </c>
      <c r="AB36" s="802">
        <v>0</v>
      </c>
      <c r="AC36" s="835">
        <v>0</v>
      </c>
      <c r="AD36" s="835">
        <v>0</v>
      </c>
      <c r="AE36" s="833">
        <v>0</v>
      </c>
      <c r="AF36" s="836">
        <v>0</v>
      </c>
      <c r="AG36" s="836">
        <v>0</v>
      </c>
      <c r="AH36" s="827">
        <f t="shared" si="1"/>
        <v>0</v>
      </c>
      <c r="AI36" s="827">
        <f t="shared" si="2"/>
        <v>0</v>
      </c>
      <c r="AJ36" s="466">
        <f t="shared" si="3"/>
        <v>0</v>
      </c>
      <c r="AK36" s="467" t="str">
        <f t="shared" si="4"/>
        <v xml:space="preserve"> </v>
      </c>
      <c r="AT36" s="139" t="s">
        <v>407</v>
      </c>
      <c r="DS36" s="648"/>
      <c r="DT36" s="648"/>
      <c r="DU36" s="647" t="s">
        <v>415</v>
      </c>
      <c r="DV36" s="647" t="s">
        <v>1187</v>
      </c>
      <c r="DW36" s="647" t="s">
        <v>1134</v>
      </c>
      <c r="DX36" s="647" t="s">
        <v>1134</v>
      </c>
      <c r="DY36" s="647" t="s">
        <v>1201</v>
      </c>
      <c r="DZ36" s="647" t="s">
        <v>1134</v>
      </c>
      <c r="EA36" s="647" t="s">
        <v>1134</v>
      </c>
      <c r="EB36" s="647" t="s">
        <v>1135</v>
      </c>
      <c r="EC36" s="647" t="s">
        <v>1134</v>
      </c>
      <c r="ED36" s="647" t="s">
        <v>1136</v>
      </c>
    </row>
    <row r="37" spans="1:134" ht="15" customHeight="1" x14ac:dyDescent="0.2">
      <c r="A37" s="367" t="s">
        <v>94</v>
      </c>
      <c r="B37" s="354" t="s">
        <v>77</v>
      </c>
      <c r="C37" s="355">
        <v>30</v>
      </c>
      <c r="D37" s="830">
        <v>0</v>
      </c>
      <c r="E37" s="830">
        <v>0</v>
      </c>
      <c r="F37" s="830">
        <v>0</v>
      </c>
      <c r="G37" s="831">
        <v>0</v>
      </c>
      <c r="H37" s="830">
        <v>0</v>
      </c>
      <c r="I37" s="830">
        <v>0</v>
      </c>
      <c r="J37" s="828">
        <f t="shared" si="7"/>
        <v>0</v>
      </c>
      <c r="K37" s="832">
        <v>0</v>
      </c>
      <c r="L37" s="832">
        <v>0</v>
      </c>
      <c r="M37" s="837">
        <v>0</v>
      </c>
      <c r="N37" s="802">
        <v>0</v>
      </c>
      <c r="O37" s="838">
        <v>0</v>
      </c>
      <c r="P37" s="833">
        <v>0</v>
      </c>
      <c r="Q37" s="832">
        <v>0</v>
      </c>
      <c r="R37" s="832">
        <v>0</v>
      </c>
      <c r="S37" s="781">
        <v>0</v>
      </c>
      <c r="T37" s="830">
        <v>0</v>
      </c>
      <c r="U37" s="830">
        <v>0</v>
      </c>
      <c r="V37" s="834">
        <v>0</v>
      </c>
      <c r="W37" s="832">
        <v>0</v>
      </c>
      <c r="X37" s="831">
        <v>0</v>
      </c>
      <c r="Y37" s="783">
        <v>0</v>
      </c>
      <c r="Z37" s="830">
        <v>0</v>
      </c>
      <c r="AA37" s="833">
        <v>0</v>
      </c>
      <c r="AB37" s="802">
        <v>0</v>
      </c>
      <c r="AC37" s="835">
        <v>0</v>
      </c>
      <c r="AD37" s="835">
        <v>0</v>
      </c>
      <c r="AE37" s="833">
        <v>0</v>
      </c>
      <c r="AF37" s="836">
        <v>0</v>
      </c>
      <c r="AG37" s="836">
        <v>0</v>
      </c>
      <c r="AH37" s="827">
        <f t="shared" si="1"/>
        <v>0</v>
      </c>
      <c r="AI37" s="827">
        <f t="shared" si="2"/>
        <v>0</v>
      </c>
      <c r="AJ37" s="466">
        <f t="shared" si="3"/>
        <v>0</v>
      </c>
      <c r="AK37" s="467" t="str">
        <f t="shared" si="4"/>
        <v xml:space="preserve"> </v>
      </c>
      <c r="AT37" s="139" t="s">
        <v>408</v>
      </c>
      <c r="DS37" s="648"/>
      <c r="DT37" s="648"/>
      <c r="DU37" s="647" t="s">
        <v>415</v>
      </c>
      <c r="DV37" s="647" t="s">
        <v>1188</v>
      </c>
      <c r="DW37" s="647" t="s">
        <v>1134</v>
      </c>
      <c r="DX37" s="647" t="s">
        <v>1134</v>
      </c>
      <c r="DY37" s="647" t="s">
        <v>1201</v>
      </c>
      <c r="DZ37" s="647" t="s">
        <v>1134</v>
      </c>
      <c r="EA37" s="647" t="s">
        <v>1134</v>
      </c>
      <c r="EB37" s="647" t="s">
        <v>1135</v>
      </c>
      <c r="EC37" s="647" t="s">
        <v>1134</v>
      </c>
      <c r="ED37" s="647" t="s">
        <v>1136</v>
      </c>
    </row>
    <row r="38" spans="1:134" ht="15" customHeight="1" x14ac:dyDescent="0.2">
      <c r="A38" s="368" t="s">
        <v>145</v>
      </c>
      <c r="B38" s="354" t="s">
        <v>76</v>
      </c>
      <c r="C38" s="355">
        <v>31</v>
      </c>
      <c r="D38" s="830">
        <v>0</v>
      </c>
      <c r="E38" s="830">
        <v>0</v>
      </c>
      <c r="F38" s="830">
        <v>0</v>
      </c>
      <c r="G38" s="831">
        <v>0</v>
      </c>
      <c r="H38" s="830">
        <v>0</v>
      </c>
      <c r="I38" s="830">
        <v>0</v>
      </c>
      <c r="J38" s="828">
        <f t="shared" si="7"/>
        <v>0</v>
      </c>
      <c r="K38" s="832">
        <v>0</v>
      </c>
      <c r="L38" s="832">
        <v>0</v>
      </c>
      <c r="M38" s="837">
        <v>0</v>
      </c>
      <c r="N38" s="802">
        <v>0</v>
      </c>
      <c r="O38" s="838">
        <v>0</v>
      </c>
      <c r="P38" s="833">
        <v>0</v>
      </c>
      <c r="Q38" s="832">
        <v>0</v>
      </c>
      <c r="R38" s="832">
        <v>0</v>
      </c>
      <c r="S38" s="781">
        <v>0</v>
      </c>
      <c r="T38" s="830">
        <v>0</v>
      </c>
      <c r="U38" s="830">
        <v>0</v>
      </c>
      <c r="V38" s="834">
        <v>0</v>
      </c>
      <c r="W38" s="832">
        <v>0</v>
      </c>
      <c r="X38" s="831">
        <v>0</v>
      </c>
      <c r="Y38" s="783">
        <v>0</v>
      </c>
      <c r="Z38" s="830">
        <v>0</v>
      </c>
      <c r="AA38" s="833">
        <v>0</v>
      </c>
      <c r="AB38" s="802">
        <v>0</v>
      </c>
      <c r="AC38" s="835">
        <v>0</v>
      </c>
      <c r="AD38" s="835">
        <v>0</v>
      </c>
      <c r="AE38" s="833">
        <v>0</v>
      </c>
      <c r="AF38" s="836">
        <v>0</v>
      </c>
      <c r="AG38" s="836">
        <v>0</v>
      </c>
      <c r="AH38" s="827">
        <f t="shared" si="1"/>
        <v>0</v>
      </c>
      <c r="AI38" s="827">
        <f t="shared" si="2"/>
        <v>0</v>
      </c>
      <c r="AJ38" s="466">
        <f t="shared" si="3"/>
        <v>0</v>
      </c>
      <c r="AK38" s="467" t="str">
        <f t="shared" si="4"/>
        <v xml:space="preserve"> </v>
      </c>
      <c r="AT38" s="139" t="s">
        <v>409</v>
      </c>
      <c r="DS38" s="648"/>
      <c r="DT38" s="648"/>
      <c r="DU38" s="647" t="s">
        <v>415</v>
      </c>
      <c r="DV38" s="647" t="s">
        <v>1187</v>
      </c>
      <c r="DW38" s="647" t="s">
        <v>1134</v>
      </c>
      <c r="DX38" s="647" t="s">
        <v>1134</v>
      </c>
      <c r="DY38" s="647" t="s">
        <v>1202</v>
      </c>
      <c r="DZ38" s="647" t="s">
        <v>1134</v>
      </c>
      <c r="EA38" s="647" t="s">
        <v>1134</v>
      </c>
      <c r="EB38" s="647" t="s">
        <v>1135</v>
      </c>
      <c r="EC38" s="647" t="s">
        <v>1134</v>
      </c>
      <c r="ED38" s="647" t="s">
        <v>1136</v>
      </c>
    </row>
    <row r="39" spans="1:134" ht="15" customHeight="1" x14ac:dyDescent="0.2">
      <c r="A39" s="367" t="s">
        <v>859</v>
      </c>
      <c r="B39" s="354" t="s">
        <v>77</v>
      </c>
      <c r="C39" s="355">
        <v>32</v>
      </c>
      <c r="D39" s="830">
        <v>0</v>
      </c>
      <c r="E39" s="830">
        <v>0</v>
      </c>
      <c r="F39" s="830">
        <v>0</v>
      </c>
      <c r="G39" s="831">
        <v>0</v>
      </c>
      <c r="H39" s="830">
        <v>0</v>
      </c>
      <c r="I39" s="830">
        <v>0</v>
      </c>
      <c r="J39" s="828">
        <f t="shared" si="7"/>
        <v>0</v>
      </c>
      <c r="K39" s="832">
        <v>0</v>
      </c>
      <c r="L39" s="832">
        <v>0</v>
      </c>
      <c r="M39" s="837">
        <v>0</v>
      </c>
      <c r="N39" s="802">
        <v>0</v>
      </c>
      <c r="O39" s="838">
        <v>0</v>
      </c>
      <c r="P39" s="833">
        <v>0</v>
      </c>
      <c r="Q39" s="832">
        <v>0</v>
      </c>
      <c r="R39" s="832">
        <v>0</v>
      </c>
      <c r="S39" s="781">
        <v>0</v>
      </c>
      <c r="T39" s="830">
        <v>0</v>
      </c>
      <c r="U39" s="830">
        <v>0</v>
      </c>
      <c r="V39" s="834">
        <v>0</v>
      </c>
      <c r="W39" s="832">
        <v>0</v>
      </c>
      <c r="X39" s="831">
        <v>0</v>
      </c>
      <c r="Y39" s="783">
        <v>0</v>
      </c>
      <c r="Z39" s="830">
        <v>0</v>
      </c>
      <c r="AA39" s="833">
        <v>0</v>
      </c>
      <c r="AB39" s="802">
        <v>0</v>
      </c>
      <c r="AC39" s="835">
        <v>0</v>
      </c>
      <c r="AD39" s="835">
        <v>0</v>
      </c>
      <c r="AE39" s="833">
        <v>0</v>
      </c>
      <c r="AF39" s="836">
        <v>0</v>
      </c>
      <c r="AG39" s="836">
        <v>0</v>
      </c>
      <c r="AH39" s="827">
        <f t="shared" si="1"/>
        <v>0</v>
      </c>
      <c r="AI39" s="827">
        <f t="shared" si="2"/>
        <v>0</v>
      </c>
      <c r="AJ39" s="466">
        <f t="shared" si="3"/>
        <v>0</v>
      </c>
      <c r="AK39" s="467" t="str">
        <f t="shared" si="4"/>
        <v xml:space="preserve"> </v>
      </c>
      <c r="AT39" s="139" t="s">
        <v>410</v>
      </c>
      <c r="DS39" s="648"/>
      <c r="DT39" s="648"/>
      <c r="DU39" s="647" t="s">
        <v>415</v>
      </c>
      <c r="DV39" s="647" t="s">
        <v>1188</v>
      </c>
      <c r="DW39" s="647" t="s">
        <v>1134</v>
      </c>
      <c r="DX39" s="647" t="s">
        <v>1134</v>
      </c>
      <c r="DY39" s="647" t="s">
        <v>1202</v>
      </c>
      <c r="DZ39" s="647" t="s">
        <v>1134</v>
      </c>
      <c r="EA39" s="647" t="s">
        <v>1134</v>
      </c>
      <c r="EB39" s="647" t="s">
        <v>1135</v>
      </c>
      <c r="EC39" s="647" t="s">
        <v>1134</v>
      </c>
      <c r="ED39" s="647" t="s">
        <v>1136</v>
      </c>
    </row>
    <row r="40" spans="1:134" ht="15" customHeight="1" x14ac:dyDescent="0.2">
      <c r="A40" s="368" t="s">
        <v>144</v>
      </c>
      <c r="B40" s="354" t="s">
        <v>76</v>
      </c>
      <c r="C40" s="355">
        <v>33</v>
      </c>
      <c r="D40" s="830">
        <v>2151</v>
      </c>
      <c r="E40" s="830">
        <v>0</v>
      </c>
      <c r="F40" s="830">
        <v>0</v>
      </c>
      <c r="G40" s="831">
        <v>0</v>
      </c>
      <c r="H40" s="830">
        <v>0</v>
      </c>
      <c r="I40" s="830">
        <v>0</v>
      </c>
      <c r="J40" s="828">
        <f t="shared" si="7"/>
        <v>2151</v>
      </c>
      <c r="K40" s="832">
        <v>0</v>
      </c>
      <c r="L40" s="832">
        <v>0</v>
      </c>
      <c r="M40" s="837">
        <v>0</v>
      </c>
      <c r="N40" s="802">
        <v>152</v>
      </c>
      <c r="O40" s="838">
        <v>0</v>
      </c>
      <c r="P40" s="833">
        <v>152</v>
      </c>
      <c r="Q40" s="832">
        <v>0</v>
      </c>
      <c r="R40" s="832">
        <v>0</v>
      </c>
      <c r="S40" s="781">
        <v>60</v>
      </c>
      <c r="T40" s="830">
        <v>0</v>
      </c>
      <c r="U40" s="830">
        <v>60</v>
      </c>
      <c r="V40" s="834">
        <v>0</v>
      </c>
      <c r="W40" s="832">
        <v>0</v>
      </c>
      <c r="X40" s="831">
        <v>0</v>
      </c>
      <c r="Y40" s="783">
        <v>0</v>
      </c>
      <c r="Z40" s="830">
        <v>0</v>
      </c>
      <c r="AA40" s="833">
        <v>0</v>
      </c>
      <c r="AB40" s="802">
        <v>0</v>
      </c>
      <c r="AC40" s="835">
        <v>0</v>
      </c>
      <c r="AD40" s="835">
        <v>0</v>
      </c>
      <c r="AE40" s="833">
        <v>0</v>
      </c>
      <c r="AF40" s="836">
        <v>0</v>
      </c>
      <c r="AG40" s="836">
        <v>0</v>
      </c>
      <c r="AH40" s="827">
        <f t="shared" si="1"/>
        <v>212</v>
      </c>
      <c r="AI40" s="827">
        <f t="shared" si="2"/>
        <v>2363</v>
      </c>
      <c r="AJ40" s="466">
        <f t="shared" si="3"/>
        <v>0</v>
      </c>
      <c r="AK40" s="467" t="str">
        <f t="shared" si="4"/>
        <v xml:space="preserve"> </v>
      </c>
      <c r="AT40" s="139" t="s">
        <v>411</v>
      </c>
      <c r="DS40" s="648"/>
      <c r="DT40" s="648"/>
      <c r="DU40" s="647" t="s">
        <v>415</v>
      </c>
      <c r="DV40" s="647" t="s">
        <v>1187</v>
      </c>
      <c r="DW40" s="647" t="s">
        <v>1134</v>
      </c>
      <c r="DX40" s="647" t="s">
        <v>1134</v>
      </c>
      <c r="DY40" s="647" t="s">
        <v>1203</v>
      </c>
      <c r="DZ40" s="647" t="s">
        <v>1134</v>
      </c>
      <c r="EA40" s="647" t="s">
        <v>1134</v>
      </c>
      <c r="EB40" s="647" t="s">
        <v>1135</v>
      </c>
      <c r="EC40" s="647" t="s">
        <v>1134</v>
      </c>
      <c r="ED40" s="647" t="s">
        <v>1136</v>
      </c>
    </row>
    <row r="41" spans="1:134" ht="15" customHeight="1" x14ac:dyDescent="0.2">
      <c r="A41" s="367" t="s">
        <v>859</v>
      </c>
      <c r="B41" s="354" t="s">
        <v>77</v>
      </c>
      <c r="C41" s="355">
        <v>34</v>
      </c>
      <c r="D41" s="830">
        <v>2151</v>
      </c>
      <c r="E41" s="830">
        <v>0</v>
      </c>
      <c r="F41" s="830">
        <v>0</v>
      </c>
      <c r="G41" s="831">
        <v>0</v>
      </c>
      <c r="H41" s="830">
        <v>0</v>
      </c>
      <c r="I41" s="830">
        <v>0</v>
      </c>
      <c r="J41" s="828">
        <f t="shared" si="7"/>
        <v>2151</v>
      </c>
      <c r="K41" s="832">
        <v>0</v>
      </c>
      <c r="L41" s="832">
        <v>0</v>
      </c>
      <c r="M41" s="837">
        <v>0</v>
      </c>
      <c r="N41" s="802">
        <v>152</v>
      </c>
      <c r="O41" s="838">
        <v>0</v>
      </c>
      <c r="P41" s="833">
        <v>152</v>
      </c>
      <c r="Q41" s="832">
        <v>0</v>
      </c>
      <c r="R41" s="832">
        <v>0</v>
      </c>
      <c r="S41" s="781">
        <v>60</v>
      </c>
      <c r="T41" s="830">
        <v>0</v>
      </c>
      <c r="U41" s="830">
        <v>60</v>
      </c>
      <c r="V41" s="834">
        <v>0</v>
      </c>
      <c r="W41" s="832">
        <v>0</v>
      </c>
      <c r="X41" s="831">
        <v>0</v>
      </c>
      <c r="Y41" s="783">
        <v>0</v>
      </c>
      <c r="Z41" s="830">
        <v>0</v>
      </c>
      <c r="AA41" s="833">
        <v>0</v>
      </c>
      <c r="AB41" s="802">
        <v>0</v>
      </c>
      <c r="AC41" s="835">
        <v>0</v>
      </c>
      <c r="AD41" s="835">
        <v>0</v>
      </c>
      <c r="AE41" s="833">
        <v>0</v>
      </c>
      <c r="AF41" s="836">
        <v>0</v>
      </c>
      <c r="AG41" s="836">
        <v>0</v>
      </c>
      <c r="AH41" s="827">
        <f t="shared" si="1"/>
        <v>212</v>
      </c>
      <c r="AI41" s="827">
        <f t="shared" si="2"/>
        <v>2363</v>
      </c>
      <c r="AJ41" s="466">
        <f t="shared" si="3"/>
        <v>0</v>
      </c>
      <c r="AK41" s="467" t="str">
        <f t="shared" si="4"/>
        <v xml:space="preserve"> </v>
      </c>
      <c r="AT41" s="139" t="s">
        <v>412</v>
      </c>
      <c r="DS41" s="648"/>
      <c r="DT41" s="648"/>
      <c r="DU41" s="647" t="s">
        <v>415</v>
      </c>
      <c r="DV41" s="647" t="s">
        <v>1188</v>
      </c>
      <c r="DW41" s="647" t="s">
        <v>1134</v>
      </c>
      <c r="DX41" s="647" t="s">
        <v>1134</v>
      </c>
      <c r="DY41" s="647" t="s">
        <v>1203</v>
      </c>
      <c r="DZ41" s="647" t="s">
        <v>1134</v>
      </c>
      <c r="EA41" s="647" t="s">
        <v>1134</v>
      </c>
      <c r="EB41" s="647" t="s">
        <v>1135</v>
      </c>
      <c r="EC41" s="647" t="s">
        <v>1134</v>
      </c>
      <c r="ED41" s="647" t="s">
        <v>1136</v>
      </c>
    </row>
    <row r="42" spans="1:134" ht="15" customHeight="1" x14ac:dyDescent="0.2">
      <c r="A42" s="368" t="s">
        <v>184</v>
      </c>
      <c r="B42" s="354" t="s">
        <v>76</v>
      </c>
      <c r="C42" s="355">
        <v>35</v>
      </c>
      <c r="D42" s="830">
        <v>117</v>
      </c>
      <c r="E42" s="830">
        <v>0</v>
      </c>
      <c r="F42" s="830">
        <v>0</v>
      </c>
      <c r="G42" s="831">
        <v>0</v>
      </c>
      <c r="H42" s="830">
        <v>0</v>
      </c>
      <c r="I42" s="830">
        <v>0</v>
      </c>
      <c r="J42" s="828">
        <f t="shared" si="7"/>
        <v>117</v>
      </c>
      <c r="K42" s="832">
        <v>0</v>
      </c>
      <c r="L42" s="832">
        <v>0</v>
      </c>
      <c r="M42" s="837">
        <v>0</v>
      </c>
      <c r="N42" s="802">
        <v>50</v>
      </c>
      <c r="O42" s="838">
        <v>0</v>
      </c>
      <c r="P42" s="833">
        <v>50</v>
      </c>
      <c r="Q42" s="832">
        <v>0</v>
      </c>
      <c r="R42" s="832">
        <v>0</v>
      </c>
      <c r="S42" s="781">
        <v>40</v>
      </c>
      <c r="T42" s="830">
        <v>0</v>
      </c>
      <c r="U42" s="830">
        <v>40</v>
      </c>
      <c r="V42" s="834">
        <v>0</v>
      </c>
      <c r="W42" s="832">
        <v>45</v>
      </c>
      <c r="X42" s="831">
        <v>0</v>
      </c>
      <c r="Y42" s="783">
        <v>45</v>
      </c>
      <c r="Z42" s="830">
        <v>0</v>
      </c>
      <c r="AA42" s="833">
        <v>45</v>
      </c>
      <c r="AB42" s="802">
        <v>0</v>
      </c>
      <c r="AC42" s="835">
        <v>0</v>
      </c>
      <c r="AD42" s="835">
        <v>0</v>
      </c>
      <c r="AE42" s="833">
        <v>0</v>
      </c>
      <c r="AF42" s="836">
        <v>0</v>
      </c>
      <c r="AG42" s="836">
        <v>0</v>
      </c>
      <c r="AH42" s="827">
        <f t="shared" si="1"/>
        <v>135</v>
      </c>
      <c r="AI42" s="827">
        <f t="shared" si="2"/>
        <v>252</v>
      </c>
      <c r="AJ42" s="466">
        <f t="shared" si="3"/>
        <v>0</v>
      </c>
      <c r="AK42" s="467" t="str">
        <f t="shared" si="4"/>
        <v xml:space="preserve"> </v>
      </c>
      <c r="AT42" s="139" t="s">
        <v>413</v>
      </c>
      <c r="DS42" s="648"/>
      <c r="DT42" s="648"/>
      <c r="DU42" s="647" t="s">
        <v>415</v>
      </c>
      <c r="DV42" s="647" t="s">
        <v>1187</v>
      </c>
      <c r="DW42" s="647" t="s">
        <v>1134</v>
      </c>
      <c r="DX42" s="647" t="s">
        <v>1134</v>
      </c>
      <c r="DY42" s="647" t="s">
        <v>1204</v>
      </c>
      <c r="DZ42" s="647" t="s">
        <v>1134</v>
      </c>
      <c r="EA42" s="647" t="s">
        <v>1134</v>
      </c>
      <c r="EB42" s="647" t="s">
        <v>1135</v>
      </c>
      <c r="EC42" s="647" t="s">
        <v>1134</v>
      </c>
      <c r="ED42" s="647" t="s">
        <v>1136</v>
      </c>
    </row>
    <row r="43" spans="1:134" ht="15" customHeight="1" x14ac:dyDescent="0.2">
      <c r="A43" s="367" t="s">
        <v>859</v>
      </c>
      <c r="B43" s="354" t="s">
        <v>77</v>
      </c>
      <c r="C43" s="355">
        <v>36</v>
      </c>
      <c r="D43" s="830">
        <v>117</v>
      </c>
      <c r="E43" s="830">
        <v>0</v>
      </c>
      <c r="F43" s="830">
        <v>0</v>
      </c>
      <c r="G43" s="831">
        <v>0</v>
      </c>
      <c r="H43" s="830">
        <v>0</v>
      </c>
      <c r="I43" s="830">
        <v>0</v>
      </c>
      <c r="J43" s="828">
        <f t="shared" si="7"/>
        <v>117</v>
      </c>
      <c r="K43" s="832">
        <v>0</v>
      </c>
      <c r="L43" s="832">
        <v>0</v>
      </c>
      <c r="M43" s="837">
        <v>0</v>
      </c>
      <c r="N43" s="802">
        <v>50</v>
      </c>
      <c r="O43" s="838">
        <v>0</v>
      </c>
      <c r="P43" s="833">
        <v>50</v>
      </c>
      <c r="Q43" s="832">
        <v>0</v>
      </c>
      <c r="R43" s="832">
        <v>0</v>
      </c>
      <c r="S43" s="781">
        <v>40</v>
      </c>
      <c r="T43" s="830">
        <v>0</v>
      </c>
      <c r="U43" s="830">
        <v>40</v>
      </c>
      <c r="V43" s="834">
        <v>0</v>
      </c>
      <c r="W43" s="832">
        <v>45</v>
      </c>
      <c r="X43" s="831">
        <v>0</v>
      </c>
      <c r="Y43" s="783">
        <v>45</v>
      </c>
      <c r="Z43" s="830">
        <v>0</v>
      </c>
      <c r="AA43" s="833">
        <v>45</v>
      </c>
      <c r="AB43" s="802">
        <v>0</v>
      </c>
      <c r="AC43" s="835">
        <v>0</v>
      </c>
      <c r="AD43" s="835">
        <v>0</v>
      </c>
      <c r="AE43" s="833">
        <v>0</v>
      </c>
      <c r="AF43" s="836">
        <v>0</v>
      </c>
      <c r="AG43" s="836">
        <v>0</v>
      </c>
      <c r="AH43" s="827">
        <f t="shared" si="1"/>
        <v>135</v>
      </c>
      <c r="AI43" s="827">
        <f t="shared" si="2"/>
        <v>252</v>
      </c>
      <c r="AJ43" s="466">
        <f t="shared" si="3"/>
        <v>0</v>
      </c>
      <c r="AK43" s="467" t="str">
        <f t="shared" si="4"/>
        <v xml:space="preserve"> </v>
      </c>
      <c r="AT43" s="139" t="s">
        <v>414</v>
      </c>
      <c r="DS43" s="648"/>
      <c r="DT43" s="648"/>
      <c r="DU43" s="647" t="s">
        <v>415</v>
      </c>
      <c r="DV43" s="647" t="s">
        <v>1188</v>
      </c>
      <c r="DW43" s="647" t="s">
        <v>1134</v>
      </c>
      <c r="DX43" s="647" t="s">
        <v>1134</v>
      </c>
      <c r="DY43" s="647" t="s">
        <v>1204</v>
      </c>
      <c r="DZ43" s="647" t="s">
        <v>1134</v>
      </c>
      <c r="EA43" s="647" t="s">
        <v>1134</v>
      </c>
      <c r="EB43" s="647" t="s">
        <v>1135</v>
      </c>
      <c r="EC43" s="647" t="s">
        <v>1134</v>
      </c>
      <c r="ED43" s="647" t="s">
        <v>1136</v>
      </c>
    </row>
    <row r="44" spans="1:134" s="63" customFormat="1" ht="22.5" customHeight="1" x14ac:dyDescent="0.2">
      <c r="B44" s="31"/>
      <c r="C44" s="31"/>
      <c r="D44" s="31" t="str">
        <f>IF(MIN(D8:D43)&lt;0,"Negative number","")</f>
        <v/>
      </c>
      <c r="E44" s="31" t="str">
        <f t="shared" ref="E44:AI44" si="8">IF(MIN(E8:E43)&lt;0,"Negative number","")</f>
        <v/>
      </c>
      <c r="F44" s="31" t="str">
        <f t="shared" si="8"/>
        <v/>
      </c>
      <c r="G44" s="31" t="str">
        <f t="shared" si="8"/>
        <v/>
      </c>
      <c r="H44" s="31" t="str">
        <f t="shared" si="8"/>
        <v/>
      </c>
      <c r="I44" s="31" t="str">
        <f t="shared" si="8"/>
        <v/>
      </c>
      <c r="J44" s="31" t="str">
        <f t="shared" si="8"/>
        <v/>
      </c>
      <c r="K44" s="31" t="str">
        <f t="shared" si="8"/>
        <v/>
      </c>
      <c r="L44" s="31" t="str">
        <f t="shared" si="8"/>
        <v/>
      </c>
      <c r="M44" s="31" t="str">
        <f t="shared" si="8"/>
        <v/>
      </c>
      <c r="N44" s="31" t="str">
        <f t="shared" si="8"/>
        <v/>
      </c>
      <c r="O44" s="31" t="str">
        <f t="shared" si="8"/>
        <v/>
      </c>
      <c r="P44" s="31" t="str">
        <f t="shared" si="8"/>
        <v/>
      </c>
      <c r="Q44" s="31" t="str">
        <f t="shared" si="8"/>
        <v/>
      </c>
      <c r="R44" s="31" t="str">
        <f t="shared" si="8"/>
        <v/>
      </c>
      <c r="S44" s="31" t="str">
        <f t="shared" si="8"/>
        <v/>
      </c>
      <c r="T44" s="31" t="str">
        <f t="shared" si="8"/>
        <v/>
      </c>
      <c r="U44" s="31" t="str">
        <f t="shared" si="8"/>
        <v/>
      </c>
      <c r="V44" s="31" t="str">
        <f t="shared" si="8"/>
        <v/>
      </c>
      <c r="W44" s="31" t="str">
        <f t="shared" si="8"/>
        <v/>
      </c>
      <c r="X44" s="31" t="str">
        <f t="shared" si="8"/>
        <v/>
      </c>
      <c r="Y44" s="31" t="str">
        <f t="shared" si="8"/>
        <v/>
      </c>
      <c r="Z44" s="31" t="str">
        <f t="shared" si="8"/>
        <v/>
      </c>
      <c r="AA44" s="31" t="str">
        <f t="shared" si="8"/>
        <v/>
      </c>
      <c r="AB44" s="31" t="str">
        <f t="shared" si="8"/>
        <v/>
      </c>
      <c r="AC44" s="31" t="str">
        <f t="shared" si="8"/>
        <v/>
      </c>
      <c r="AD44" s="31"/>
      <c r="AE44" s="31" t="str">
        <f t="shared" si="8"/>
        <v/>
      </c>
      <c r="AF44" s="31" t="str">
        <f t="shared" si="8"/>
        <v/>
      </c>
      <c r="AG44" s="31" t="str">
        <f t="shared" si="8"/>
        <v/>
      </c>
      <c r="AH44" s="31" t="str">
        <f t="shared" si="8"/>
        <v/>
      </c>
      <c r="AI44" s="31" t="str">
        <f t="shared" si="8"/>
        <v/>
      </c>
      <c r="AJ44" s="135"/>
      <c r="AK44" s="2"/>
    </row>
    <row r="45" spans="1:134" s="65" customFormat="1" ht="22.5" customHeight="1" x14ac:dyDescent="0.2">
      <c r="B45" s="369"/>
      <c r="C45" s="369"/>
      <c r="D45" s="65" t="str">
        <f>IF(AND(ROUND(D8-SUM(D10,D12,D14,D16,D18,D20,D22,D24),3)=0,ROUND(D9-SUM(D11,D13,D15,D17,D19,D21,D23,D25),3)=0),"","Error: category (a)")</f>
        <v/>
      </c>
      <c r="E45" s="65" t="str">
        <f t="shared" ref="E45:AI45" si="9">IF(AND(ROUND(E8-SUM(E10,E12,E14,E16,E18,E20,E22,E24),3)=0,ROUND(E9-SUM(E11,E13,E15,E17,E19,E21,E23,E25),3)=0),"","Error: category (a)")</f>
        <v/>
      </c>
      <c r="F45" s="65" t="str">
        <f t="shared" si="9"/>
        <v/>
      </c>
      <c r="G45" s="65" t="str">
        <f t="shared" si="9"/>
        <v/>
      </c>
      <c r="H45" s="65" t="str">
        <f t="shared" si="9"/>
        <v/>
      </c>
      <c r="I45" s="65" t="str">
        <f t="shared" si="9"/>
        <v/>
      </c>
      <c r="J45" s="65" t="str">
        <f t="shared" si="9"/>
        <v/>
      </c>
      <c r="K45" s="65" t="str">
        <f t="shared" si="9"/>
        <v/>
      </c>
      <c r="L45" s="65" t="str">
        <f t="shared" si="9"/>
        <v/>
      </c>
      <c r="M45" s="65" t="str">
        <f t="shared" si="9"/>
        <v/>
      </c>
      <c r="N45" s="65" t="str">
        <f t="shared" si="9"/>
        <v/>
      </c>
      <c r="O45" s="65" t="str">
        <f t="shared" si="9"/>
        <v/>
      </c>
      <c r="P45" s="65" t="str">
        <f t="shared" si="9"/>
        <v/>
      </c>
      <c r="Q45" s="65" t="str">
        <f t="shared" si="9"/>
        <v/>
      </c>
      <c r="R45" s="65" t="str">
        <f t="shared" si="9"/>
        <v/>
      </c>
      <c r="S45" s="65" t="str">
        <f t="shared" si="9"/>
        <v/>
      </c>
      <c r="T45" s="65" t="str">
        <f t="shared" si="9"/>
        <v/>
      </c>
      <c r="U45" s="65" t="str">
        <f t="shared" si="9"/>
        <v/>
      </c>
      <c r="V45" s="65" t="str">
        <f t="shared" si="9"/>
        <v/>
      </c>
      <c r="W45" s="65" t="str">
        <f t="shared" si="9"/>
        <v/>
      </c>
      <c r="X45" s="65" t="str">
        <f t="shared" si="9"/>
        <v/>
      </c>
      <c r="Y45" s="65" t="str">
        <f t="shared" si="9"/>
        <v/>
      </c>
      <c r="Z45" s="65" t="str">
        <f t="shared" si="9"/>
        <v/>
      </c>
      <c r="AA45" s="65" t="str">
        <f t="shared" si="9"/>
        <v/>
      </c>
      <c r="AB45" s="65" t="str">
        <f t="shared" si="9"/>
        <v/>
      </c>
      <c r="AC45" s="65" t="str">
        <f t="shared" si="9"/>
        <v/>
      </c>
      <c r="AE45" s="65" t="str">
        <f t="shared" si="9"/>
        <v/>
      </c>
      <c r="AF45" s="65" t="str">
        <f t="shared" si="9"/>
        <v/>
      </c>
      <c r="AG45" s="65" t="str">
        <f t="shared" si="9"/>
        <v/>
      </c>
      <c r="AH45" s="65" t="str">
        <f t="shared" si="9"/>
        <v/>
      </c>
      <c r="AI45" s="65" t="str">
        <f t="shared" si="9"/>
        <v/>
      </c>
      <c r="AJ45" s="135"/>
      <c r="AK45" s="2"/>
    </row>
    <row r="46" spans="1:134" s="65" customFormat="1" ht="22.5" customHeight="1" x14ac:dyDescent="0.2">
      <c r="A46" s="10"/>
      <c r="B46" s="369"/>
      <c r="C46" s="369"/>
      <c r="D46" s="65" t="str">
        <f>IF(AND(ROUND(D32-(D8-D10-D12+D28+D30),3)=0,ROUND(D33-(D9-D11-D13+D29+D31),3)=0),"","Error: category (l)")</f>
        <v/>
      </c>
      <c r="E46" s="65" t="str">
        <f t="shared" ref="E46:AI46" si="10">IF(AND(ROUND(E32-(E8-E10-E12+E28+E30),3)=0,ROUND(E33-(E9-E11-E13+E29+E31),3)=0),"","Error: category (l)")</f>
        <v/>
      </c>
      <c r="F46" s="65" t="str">
        <f t="shared" si="10"/>
        <v/>
      </c>
      <c r="G46" s="65" t="str">
        <f t="shared" si="10"/>
        <v/>
      </c>
      <c r="H46" s="65" t="str">
        <f t="shared" si="10"/>
        <v/>
      </c>
      <c r="I46" s="65" t="str">
        <f t="shared" si="10"/>
        <v/>
      </c>
      <c r="J46" s="65" t="str">
        <f t="shared" si="10"/>
        <v/>
      </c>
      <c r="K46" s="65" t="str">
        <f t="shared" si="10"/>
        <v/>
      </c>
      <c r="L46" s="65" t="str">
        <f t="shared" si="10"/>
        <v/>
      </c>
      <c r="M46" s="65" t="str">
        <f t="shared" si="10"/>
        <v/>
      </c>
      <c r="N46" s="65" t="str">
        <f t="shared" si="10"/>
        <v/>
      </c>
      <c r="O46" s="65" t="str">
        <f t="shared" si="10"/>
        <v/>
      </c>
      <c r="P46" s="65" t="str">
        <f t="shared" si="10"/>
        <v/>
      </c>
      <c r="Q46" s="65" t="str">
        <f t="shared" si="10"/>
        <v/>
      </c>
      <c r="R46" s="65" t="str">
        <f t="shared" si="10"/>
        <v/>
      </c>
      <c r="S46" s="65" t="str">
        <f t="shared" si="10"/>
        <v/>
      </c>
      <c r="T46" s="65" t="str">
        <f t="shared" si="10"/>
        <v/>
      </c>
      <c r="U46" s="65" t="str">
        <f t="shared" si="10"/>
        <v/>
      </c>
      <c r="V46" s="65" t="str">
        <f t="shared" si="10"/>
        <v/>
      </c>
      <c r="W46" s="65" t="str">
        <f t="shared" si="10"/>
        <v/>
      </c>
      <c r="X46" s="65" t="str">
        <f t="shared" si="10"/>
        <v/>
      </c>
      <c r="Y46" s="65" t="str">
        <f t="shared" si="10"/>
        <v/>
      </c>
      <c r="Z46" s="65" t="str">
        <f t="shared" si="10"/>
        <v/>
      </c>
      <c r="AA46" s="65" t="str">
        <f t="shared" si="10"/>
        <v/>
      </c>
      <c r="AB46" s="65" t="str">
        <f t="shared" si="10"/>
        <v/>
      </c>
      <c r="AC46" s="65" t="str">
        <f t="shared" si="10"/>
        <v/>
      </c>
      <c r="AE46" s="65" t="str">
        <f t="shared" si="10"/>
        <v/>
      </c>
      <c r="AF46" s="65" t="str">
        <f t="shared" si="10"/>
        <v/>
      </c>
      <c r="AG46" s="65" t="str">
        <f t="shared" si="10"/>
        <v/>
      </c>
      <c r="AH46" s="65" t="str">
        <f t="shared" si="10"/>
        <v/>
      </c>
      <c r="AI46" s="65" t="str">
        <f t="shared" si="10"/>
        <v/>
      </c>
      <c r="AJ46" s="135"/>
      <c r="AK46" s="2"/>
    </row>
    <row r="47" spans="1:134" s="65" customFormat="1" x14ac:dyDescent="0.2">
      <c r="A47" s="10"/>
      <c r="B47" s="369"/>
      <c r="C47" s="369"/>
      <c r="H47" s="66"/>
      <c r="O47" s="66"/>
      <c r="U47" s="66"/>
      <c r="W47" s="66"/>
      <c r="Z47" s="66"/>
      <c r="AJ47" s="135"/>
      <c r="AK47" s="2"/>
    </row>
    <row r="48" spans="1:134" x14ac:dyDescent="0.2">
      <c r="A48" s="370" t="s">
        <v>906</v>
      </c>
      <c r="B48" s="11"/>
      <c r="C48" s="11"/>
      <c r="F48" s="10"/>
      <c r="I48" s="1038">
        <f>ROUND((J9-J8)-'Table 1'!J21,3)</f>
        <v>0</v>
      </c>
      <c r="J48" s="12" t="str">
        <f>IF(I48=0,"OK","Closing stock minus Opening stock levels on National territory does not equal Stock changes in Table 1 for Total.")</f>
        <v>OK</v>
      </c>
      <c r="AJ48" s="135"/>
    </row>
    <row r="49" spans="1:36" x14ac:dyDescent="0.2">
      <c r="A49" s="12" t="s">
        <v>183</v>
      </c>
      <c r="B49" s="11"/>
      <c r="C49" s="11"/>
      <c r="F49" s="10"/>
      <c r="I49" s="371">
        <f>ROUND((AH9-AH8)-'Table 2'!AD17,3)</f>
        <v>0</v>
      </c>
      <c r="J49" s="12" t="str">
        <f>IF(I49=0,"OK","Closing stock minus Opening stock levels on National territory does not equal Stock changes in Table 2 for Total Products.")</f>
        <v>OK</v>
      </c>
      <c r="AJ49" s="135"/>
    </row>
    <row r="50" spans="1:36" x14ac:dyDescent="0.2">
      <c r="A50" s="370" t="s">
        <v>896</v>
      </c>
      <c r="I50" s="1038">
        <f>ROUND(J11-'Table 6'!I64,3)</f>
        <v>0</v>
      </c>
      <c r="J50" s="12" t="str">
        <f>IF(I50=0,"OK","Closing stocks held for other countries does not equal total stocks for Total in Table 6.")</f>
        <v>OK</v>
      </c>
      <c r="AJ50" s="135"/>
    </row>
    <row r="51" spans="1:36" x14ac:dyDescent="0.2">
      <c r="A51" s="12" t="s">
        <v>1392</v>
      </c>
      <c r="I51" s="1038">
        <f>ROUND(AH11-'Table 6'!AG64,3)</f>
        <v>-300</v>
      </c>
      <c r="J51" s="12" t="str">
        <f>IF(I51=0,"OK","Closing stocks held for other countries does not equal total stocks for Total products in Table 6.")</f>
        <v>Closing stocks held for other countries does not equal total stocks for Total products in Table 6.</v>
      </c>
      <c r="AJ51" s="135"/>
    </row>
    <row r="52" spans="1:36" x14ac:dyDescent="0.2">
      <c r="A52" s="370" t="s">
        <v>897</v>
      </c>
      <c r="I52" s="1038">
        <f>ROUND(J13-'Table 7'!I64,3)</f>
        <v>0</v>
      </c>
      <c r="J52" s="12" t="str">
        <f>IF(I52=0,"OK","Closing stocks with foreign destination does not equal total stocks for Total in Table 7.")</f>
        <v>OK</v>
      </c>
      <c r="AJ52" s="135"/>
    </row>
    <row r="53" spans="1:36" x14ac:dyDescent="0.2">
      <c r="A53" s="12" t="s">
        <v>1393</v>
      </c>
      <c r="I53" s="1038">
        <f>ROUND(AH13-'Table 7'!AG64,3)</f>
        <v>0</v>
      </c>
      <c r="J53" s="12" t="str">
        <f>IF(I53=0,"OK","Closing stocks with foreign destination does not equal total stocks for Total products in Table 7.")</f>
        <v>OK</v>
      </c>
      <c r="AJ53" s="135"/>
    </row>
    <row r="54" spans="1:36" x14ac:dyDescent="0.2">
      <c r="A54" s="370" t="s">
        <v>1415</v>
      </c>
      <c r="I54" s="1038">
        <f>ROUND(J29-'Table 8'!I64,3)</f>
        <v>0</v>
      </c>
      <c r="J54" s="12" t="str">
        <f>IF(I54=0,"OK","Closing stocks held abroad does not equal total stocks for Total in Table 8.")</f>
        <v>OK</v>
      </c>
      <c r="AJ54" s="135"/>
    </row>
    <row r="55" spans="1:36" x14ac:dyDescent="0.2">
      <c r="A55" s="12" t="s">
        <v>1394</v>
      </c>
      <c r="I55" s="1038">
        <f>ROUND(AH29-'Table 8'!AG64,3)</f>
        <v>0</v>
      </c>
      <c r="J55" s="12" t="str">
        <f>IF(I55=0,"OK","Closing stocks held abroad does not equal total stocks for Total products in Table 8.")</f>
        <v>OK</v>
      </c>
      <c r="AJ55" s="135"/>
    </row>
    <row r="56" spans="1:36" x14ac:dyDescent="0.2">
      <c r="A56" s="370" t="s">
        <v>1416</v>
      </c>
      <c r="I56" s="1038">
        <f>ROUND(J31-'Table 9'!I64,3)</f>
        <v>0</v>
      </c>
      <c r="J56" s="12" t="str">
        <f>IF(I56=0,"OK","Closing stocks abroad for import does not equal total stocks for Total in Table 9.")</f>
        <v>OK</v>
      </c>
      <c r="AJ56" s="135"/>
    </row>
    <row r="57" spans="1:36" x14ac:dyDescent="0.2">
      <c r="A57" s="12" t="s">
        <v>1395</v>
      </c>
      <c r="I57" s="1038">
        <f>ROUND(AH31-'Table 9'!AG64,3)</f>
        <v>0</v>
      </c>
      <c r="J57" s="12" t="str">
        <f>IF(I57=0,"OK","Closing stocks abroad for import does not equal total stocks for Total products in Table 9.")</f>
        <v>OK</v>
      </c>
      <c r="AJ57" s="135"/>
    </row>
    <row r="58" spans="1:36" x14ac:dyDescent="0.2">
      <c r="A58" s="7" t="s">
        <v>863</v>
      </c>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J58" s="135"/>
    </row>
    <row r="59" spans="1:36" x14ac:dyDescent="0.2">
      <c r="A59" s="372"/>
      <c r="AJ59" s="135"/>
    </row>
    <row r="60" spans="1:36" x14ac:dyDescent="0.2">
      <c r="AJ60" s="135"/>
    </row>
    <row r="61" spans="1:36" x14ac:dyDescent="0.2">
      <c r="AJ61" s="135"/>
    </row>
    <row r="62" spans="1:36" x14ac:dyDescent="0.2">
      <c r="AJ62" s="135"/>
    </row>
    <row r="63" spans="1:36" x14ac:dyDescent="0.2">
      <c r="AJ63" s="135"/>
    </row>
    <row r="64" spans="1:36" x14ac:dyDescent="0.2">
      <c r="AJ64" s="135"/>
    </row>
    <row r="65" spans="36:36" x14ac:dyDescent="0.2">
      <c r="AJ65" s="135"/>
    </row>
    <row r="66" spans="36:36" x14ac:dyDescent="0.2">
      <c r="AJ66" s="135"/>
    </row>
    <row r="67" spans="36:36" x14ac:dyDescent="0.2">
      <c r="AJ67" s="135"/>
    </row>
    <row r="68" spans="36:36" x14ac:dyDescent="0.2">
      <c r="AJ68" s="135"/>
    </row>
    <row r="69" spans="36:36" x14ac:dyDescent="0.2">
      <c r="AJ69" s="135"/>
    </row>
    <row r="70" spans="36:36" x14ac:dyDescent="0.2">
      <c r="AJ70" s="135"/>
    </row>
    <row r="71" spans="36:36" x14ac:dyDescent="0.2">
      <c r="AJ71" s="135"/>
    </row>
    <row r="72" spans="36:36" x14ac:dyDescent="0.2">
      <c r="AJ72" s="135"/>
    </row>
    <row r="73" spans="36:36" x14ac:dyDescent="0.2">
      <c r="AJ73" s="135"/>
    </row>
    <row r="74" spans="36:36" x14ac:dyDescent="0.2">
      <c r="AJ74" s="135"/>
    </row>
    <row r="75" spans="36:36" x14ac:dyDescent="0.2">
      <c r="AJ75" s="135"/>
    </row>
    <row r="76" spans="36:36" x14ac:dyDescent="0.2">
      <c r="AJ76" s="135"/>
    </row>
    <row r="77" spans="36:36" x14ac:dyDescent="0.2">
      <c r="AJ77" s="135"/>
    </row>
    <row r="78" spans="36:36" x14ac:dyDescent="0.2">
      <c r="AJ78" s="135"/>
    </row>
    <row r="79" spans="36:36" x14ac:dyDescent="0.2">
      <c r="AJ79" s="135"/>
    </row>
    <row r="80" spans="36:36" x14ac:dyDescent="0.2">
      <c r="AJ80" s="135"/>
    </row>
    <row r="81" spans="36:36" x14ac:dyDescent="0.2">
      <c r="AJ81" s="135"/>
    </row>
    <row r="82" spans="36:36" x14ac:dyDescent="0.2">
      <c r="AJ82" s="135"/>
    </row>
    <row r="83" spans="36:36" x14ac:dyDescent="0.2">
      <c r="AJ83" s="135"/>
    </row>
    <row r="84" spans="36:36" x14ac:dyDescent="0.2">
      <c r="AJ84" s="135"/>
    </row>
    <row r="85" spans="36:36" x14ac:dyDescent="0.2">
      <c r="AJ85" s="135"/>
    </row>
    <row r="86" spans="36:36" x14ac:dyDescent="0.2">
      <c r="AJ86" s="135"/>
    </row>
    <row r="87" spans="36:36" x14ac:dyDescent="0.2">
      <c r="AJ87" s="135"/>
    </row>
    <row r="88" spans="36:36" x14ac:dyDescent="0.2">
      <c r="AJ88" s="135"/>
    </row>
    <row r="89" spans="36:36" x14ac:dyDescent="0.2">
      <c r="AJ89" s="135"/>
    </row>
    <row r="90" spans="36:36" x14ac:dyDescent="0.2">
      <c r="AJ90" s="135"/>
    </row>
    <row r="91" spans="36:36" x14ac:dyDescent="0.2">
      <c r="AJ91" s="135"/>
    </row>
    <row r="92" spans="36:36" x14ac:dyDescent="0.2">
      <c r="AJ92" s="135"/>
    </row>
    <row r="93" spans="36:36" x14ac:dyDescent="0.2">
      <c r="AJ93" s="135"/>
    </row>
    <row r="94" spans="36:36" x14ac:dyDescent="0.2">
      <c r="AJ94" s="135"/>
    </row>
    <row r="95" spans="36:36" x14ac:dyDescent="0.2">
      <c r="AJ95" s="135"/>
    </row>
    <row r="96" spans="36:36" x14ac:dyDescent="0.2">
      <c r="AJ96" s="135"/>
    </row>
    <row r="97" spans="36:37" x14ac:dyDescent="0.2">
      <c r="AJ97" s="135"/>
    </row>
    <row r="98" spans="36:37" x14ac:dyDescent="0.2">
      <c r="AJ98" s="135"/>
    </row>
    <row r="99" spans="36:37" x14ac:dyDescent="0.2">
      <c r="AJ99" s="135"/>
    </row>
    <row r="100" spans="36:37" x14ac:dyDescent="0.2">
      <c r="AJ100" s="135"/>
    </row>
    <row r="101" spans="36:37" x14ac:dyDescent="0.2">
      <c r="AJ101" s="135"/>
    </row>
    <row r="102" spans="36:37" x14ac:dyDescent="0.2">
      <c r="AJ102" s="135"/>
    </row>
    <row r="103" spans="36:37" x14ac:dyDescent="0.2">
      <c r="AJ103" s="135"/>
    </row>
    <row r="104" spans="36:37" x14ac:dyDescent="0.2">
      <c r="AJ104" s="135"/>
    </row>
    <row r="105" spans="36:37" x14ac:dyDescent="0.2">
      <c r="AJ105" s="135"/>
    </row>
    <row r="106" spans="36:37" x14ac:dyDescent="0.2">
      <c r="AJ106" s="63"/>
    </row>
    <row r="107" spans="36:37" x14ac:dyDescent="0.2">
      <c r="AK107" s="63"/>
    </row>
    <row r="132" spans="2:35" hidden="1" x14ac:dyDescent="0.2">
      <c r="B132" s="306" t="s">
        <v>329</v>
      </c>
      <c r="D132" s="373" t="s">
        <v>330</v>
      </c>
      <c r="E132" s="373" t="s">
        <v>6</v>
      </c>
      <c r="F132" s="373" t="s">
        <v>331</v>
      </c>
      <c r="G132" s="373" t="s">
        <v>332</v>
      </c>
      <c r="H132" s="373" t="s">
        <v>333</v>
      </c>
      <c r="I132" s="373" t="s">
        <v>334</v>
      </c>
      <c r="J132" s="373" t="s">
        <v>335</v>
      </c>
      <c r="K132" s="373" t="s">
        <v>353</v>
      </c>
      <c r="L132" s="156" t="s">
        <v>9</v>
      </c>
      <c r="M132" s="156" t="s">
        <v>354</v>
      </c>
      <c r="N132" s="156" t="s">
        <v>355</v>
      </c>
      <c r="O132" s="156" t="s">
        <v>356</v>
      </c>
      <c r="P132" s="156" t="s">
        <v>891</v>
      </c>
      <c r="Q132" s="156" t="s">
        <v>357</v>
      </c>
      <c r="R132" s="156" t="s">
        <v>358</v>
      </c>
      <c r="S132" s="156" t="s">
        <v>359</v>
      </c>
      <c r="T132" s="156" t="s">
        <v>878</v>
      </c>
      <c r="U132" s="156" t="s">
        <v>879</v>
      </c>
      <c r="V132" s="156" t="s">
        <v>360</v>
      </c>
      <c r="W132" s="156" t="s">
        <v>361</v>
      </c>
      <c r="X132" s="156" t="s">
        <v>363</v>
      </c>
      <c r="Y132" s="156" t="s">
        <v>364</v>
      </c>
      <c r="Z132" s="156" t="s">
        <v>362</v>
      </c>
      <c r="AA132" s="156" t="s">
        <v>880</v>
      </c>
      <c r="AB132" s="156" t="s">
        <v>367</v>
      </c>
      <c r="AC132" s="156" t="s">
        <v>365</v>
      </c>
      <c r="AD132" s="156" t="s">
        <v>1412</v>
      </c>
      <c r="AE132" s="156" t="s">
        <v>366</v>
      </c>
      <c r="AF132" s="156" t="s">
        <v>368</v>
      </c>
      <c r="AG132" s="156" t="s">
        <v>606</v>
      </c>
      <c r="AH132" s="156" t="s">
        <v>369</v>
      </c>
      <c r="AI132" s="156" t="s">
        <v>416</v>
      </c>
    </row>
    <row r="1000" spans="1:49" ht="22.5" hidden="1" x14ac:dyDescent="0.2">
      <c r="A1000" s="641" t="s">
        <v>1113</v>
      </c>
      <c r="D1000" s="642" t="s">
        <v>1114</v>
      </c>
      <c r="E1000" s="642" t="s">
        <v>1115</v>
      </c>
      <c r="F1000" s="642" t="s">
        <v>1116</v>
      </c>
      <c r="G1000" s="642" t="s">
        <v>1117</v>
      </c>
      <c r="H1000" s="642" t="s">
        <v>1118</v>
      </c>
      <c r="I1000" s="642" t="s">
        <v>1119</v>
      </c>
      <c r="J1000" s="642" t="s">
        <v>1120</v>
      </c>
      <c r="K1000" s="642" t="s">
        <v>1143</v>
      </c>
      <c r="L1000" s="642" t="s">
        <v>1144</v>
      </c>
      <c r="M1000" s="642" t="s">
        <v>1145</v>
      </c>
      <c r="N1000" s="642" t="s">
        <v>1146</v>
      </c>
      <c r="O1000" s="642" t="s">
        <v>1147</v>
      </c>
      <c r="P1000" s="642" t="s">
        <v>1148</v>
      </c>
      <c r="Q1000" s="642" t="s">
        <v>1149</v>
      </c>
      <c r="R1000" s="642" t="s">
        <v>1150</v>
      </c>
      <c r="S1000" s="642" t="s">
        <v>1151</v>
      </c>
      <c r="T1000" s="642" t="s">
        <v>1152</v>
      </c>
      <c r="U1000" s="642" t="s">
        <v>1153</v>
      </c>
      <c r="V1000" s="642" t="s">
        <v>1154</v>
      </c>
      <c r="W1000" s="642" t="s">
        <v>1155</v>
      </c>
      <c r="X1000" s="642" t="s">
        <v>1156</v>
      </c>
      <c r="Y1000" s="642" t="s">
        <v>1157</v>
      </c>
      <c r="Z1000" s="642" t="s">
        <v>1158</v>
      </c>
      <c r="AA1000" s="642" t="s">
        <v>1159</v>
      </c>
      <c r="AB1000" s="642" t="s">
        <v>1160</v>
      </c>
      <c r="AC1000" s="642" t="s">
        <v>1161</v>
      </c>
      <c r="AD1000" s="642" t="s">
        <v>1414</v>
      </c>
      <c r="AE1000" s="642" t="s">
        <v>1162</v>
      </c>
      <c r="AF1000" s="642" t="s">
        <v>1163</v>
      </c>
      <c r="AG1000" s="642" t="s">
        <v>1406</v>
      </c>
      <c r="AH1000" s="642" t="s">
        <v>1178</v>
      </c>
      <c r="AI1000" s="642" t="s">
        <v>1164</v>
      </c>
      <c r="AL1000" s="211"/>
      <c r="AM1000" s="211"/>
      <c r="AN1000" s="211"/>
      <c r="AO1000" s="211"/>
      <c r="AP1000" s="211"/>
      <c r="AQ1000" s="211"/>
      <c r="AR1000" s="211"/>
      <c r="AS1000" s="211"/>
      <c r="AT1000" s="211"/>
      <c r="AU1000" s="211"/>
      <c r="AV1000" s="211"/>
      <c r="AW1000" s="211"/>
    </row>
  </sheetData>
  <sheetProtection algorithmName="SHA-512" hashValue="+i8PdbKRlH0cJI6HkkHl6GZ20xf561MLV5VGbHLvMHUy3a644ppJ2W9Mm0hY7Q7VoLxgngMw0QtV6sAxBuQDlA==" saltValue="NkqubFOuiVj9VXofjtENyQ==" spinCount="100000" sheet="1" objects="1" scenarios="1"/>
  <mergeCells count="21">
    <mergeCell ref="AK5:AK6"/>
    <mergeCell ref="AG5:AG6"/>
    <mergeCell ref="AH5:AH6"/>
    <mergeCell ref="AB5:AB6"/>
    <mergeCell ref="AF5:AF6"/>
    <mergeCell ref="AI5:AI6"/>
    <mergeCell ref="D5:D6"/>
    <mergeCell ref="E5:E6"/>
    <mergeCell ref="F5:F6"/>
    <mergeCell ref="G5:G6"/>
    <mergeCell ref="M5:M6"/>
    <mergeCell ref="I5:I6"/>
    <mergeCell ref="L5:L6"/>
    <mergeCell ref="S5:S6"/>
    <mergeCell ref="J5:J6"/>
    <mergeCell ref="Y5:Y6"/>
    <mergeCell ref="Q5:Q6"/>
    <mergeCell ref="R5:R6"/>
    <mergeCell ref="K5:K6"/>
    <mergeCell ref="N5:N6"/>
    <mergeCell ref="V5:V6"/>
  </mergeCells>
  <phoneticPr fontId="44" type="noConversion"/>
  <conditionalFormatting sqref="D8:AI43">
    <cfRule type="cellIs" dxfId="905" priority="8" stopIfTrue="1" operator="lessThan">
      <formula>0</formula>
    </cfRule>
  </conditionalFormatting>
  <conditionalFormatting sqref="J8:J43">
    <cfRule type="cellIs" dxfId="904" priority="7" stopIfTrue="1" operator="notEqual">
      <formula>ROUND(SUM(D8:G8,I8),3)</formula>
    </cfRule>
  </conditionalFormatting>
  <conditionalFormatting sqref="N8:N43">
    <cfRule type="expression" dxfId="903" priority="16" stopIfTrue="1">
      <formula>AND(O8+P8=0,N8&lt;&gt;0)</formula>
    </cfRule>
    <cfRule type="cellIs" dxfId="902" priority="17" stopIfTrue="1" operator="notEqual">
      <formula>O8+P8</formula>
    </cfRule>
  </conditionalFormatting>
  <conditionalFormatting sqref="S8:S43">
    <cfRule type="expression" dxfId="901" priority="14" stopIfTrue="1">
      <formula>AND(T8+U8=0,S8&lt;&gt;0)</formula>
    </cfRule>
    <cfRule type="cellIs" dxfId="900" priority="15" stopIfTrue="1" operator="notEqual">
      <formula>T8+U8</formula>
    </cfRule>
  </conditionalFormatting>
  <conditionalFormatting sqref="Y8:Y43">
    <cfRule type="expression" dxfId="899" priority="12" stopIfTrue="1">
      <formula>OR(AND(OR(W8&lt;&gt;0,X8&lt;&gt;0),Y8&lt;&gt;W8+X8),AND(OR(Z8&lt;&gt;0,AA8&lt;&gt;0),Y8&lt;&gt;Z8+AA8))</formula>
    </cfRule>
    <cfRule type="expression" dxfId="898" priority="13" stopIfTrue="1">
      <formula>OR(AND(W8+X8=0,Y8&lt;&gt;0),AND(Z8+AA8=0,Y8&lt;&gt;0))</formula>
    </cfRule>
  </conditionalFormatting>
  <conditionalFormatting sqref="AB8:AB43">
    <cfRule type="expression" dxfId="897" priority="10" stopIfTrue="1">
      <formula>AND(AC8+AE8=0,AB8&lt;&gt;0)</formula>
    </cfRule>
    <cfRule type="cellIs" dxfId="896" priority="11" stopIfTrue="1" operator="notEqual">
      <formula>AC8+AE8</formula>
    </cfRule>
  </conditionalFormatting>
  <conditionalFormatting sqref="AH8:AH43">
    <cfRule type="cellIs" dxfId="895" priority="6" stopIfTrue="1" operator="notEqual">
      <formula>ROUND(SUM(K8:N8,Q8:S8,V8,Y8,AB8,AF8:AG8),3)</formula>
    </cfRule>
  </conditionalFormatting>
  <conditionalFormatting sqref="AI8:AI43">
    <cfRule type="cellIs" dxfId="894" priority="3" stopIfTrue="1" operator="notEqual">
      <formula>ROUND(J8+AH8,3)</formula>
    </cfRule>
  </conditionalFormatting>
  <conditionalFormatting sqref="D8:AI9">
    <cfRule type="cellIs" dxfId="893" priority="5" stopIfTrue="1" operator="notEqual">
      <formula>ROUND(SUM(D10,D12,D14,D16,D18,D20,D22,D24),3)</formula>
    </cfRule>
  </conditionalFormatting>
  <conditionalFormatting sqref="J48:J57">
    <cfRule type="cellIs" dxfId="892" priority="18" stopIfTrue="1" operator="notEqual">
      <formula>"OK"</formula>
    </cfRule>
  </conditionalFormatting>
  <conditionalFormatting sqref="D28:AI29">
    <cfRule type="cellIs" dxfId="891" priority="9" stopIfTrue="1" operator="notEqual">
      <formula>SUM(D38,D40,D42)</formula>
    </cfRule>
  </conditionalFormatting>
  <conditionalFormatting sqref="H8:H43">
    <cfRule type="cellIs" dxfId="890" priority="2" stopIfTrue="1" operator="greaterThan">
      <formula>G8</formula>
    </cfRule>
  </conditionalFormatting>
  <conditionalFormatting sqref="D32:AI33">
    <cfRule type="cellIs" dxfId="889" priority="608" stopIfTrue="1" operator="notEqual">
      <formula>ROUND(SUM(D8,D28,D30)-SUM(D10,D12),3)</formula>
    </cfRule>
  </conditionalFormatting>
  <conditionalFormatting sqref="D26:AI27">
    <cfRule type="cellIs" dxfId="888" priority="1" operator="greaterThan">
      <formula>D24</formula>
    </cfRule>
  </conditionalFormatting>
  <dataValidations count="1">
    <dataValidation type="decimal" operator="greaterThanOrEqual" allowBlank="1" showErrorMessage="1" errorTitle="Input error" error="Numbers only!" sqref="D8:AI43" xr:uid="{00000000-0002-0000-0500-000000000000}">
      <formula1>-10000000</formula1>
    </dataValidation>
  </dataValidations>
  <pageMargins left="0.39370078740157483" right="0.39370078740157483" top="0.78740157480314965" bottom="0.78740157480314965" header="0.39370078740157483" footer="0.39370078740157483"/>
  <pageSetup paperSize="9" scale="41" orientation="landscape" r:id="rId1"/>
  <headerFooter alignWithMargins="0">
    <oddHeader>&amp;A</oddHeader>
    <oddFooter>Page &amp;P</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08">
    <pageSetUpPr fitToPage="1"/>
  </sheetPr>
  <dimension ref="A1:EE1000"/>
  <sheetViews>
    <sheetView zoomScaleNormal="100" workbookViewId="0">
      <pane xSplit="3" ySplit="7" topLeftCell="D44" activePane="bottomRight" state="frozen"/>
      <selection activeCell="ED11" sqref="ED11"/>
      <selection pane="topRight" activeCell="ED11" sqref="ED11"/>
      <selection pane="bottomLeft" activeCell="ED11" sqref="ED11"/>
      <selection pane="bottomRight" activeCell="D8" sqref="D8"/>
    </sheetView>
  </sheetViews>
  <sheetFormatPr defaultColWidth="9.140625" defaultRowHeight="12.75" x14ac:dyDescent="0.2"/>
  <cols>
    <col min="1" max="1" width="36.7109375" style="267" customWidth="1"/>
    <col min="2" max="2" width="10.28515625" style="267" customWidth="1"/>
    <col min="3" max="3" width="3.5703125" style="267" customWidth="1"/>
    <col min="4" max="35" width="9.28515625" style="267" customWidth="1"/>
    <col min="36" max="36" width="5.140625" style="267" customWidth="1"/>
    <col min="37" max="37" width="76.140625" style="267" customWidth="1"/>
    <col min="38" max="38" width="10.85546875" style="267" bestFit="1" customWidth="1"/>
    <col min="39" max="45" width="9.140625" style="267" customWidth="1"/>
    <col min="46" max="46" width="13.42578125" style="317" hidden="1" customWidth="1"/>
    <col min="47" max="122" width="9.140625" style="267" customWidth="1"/>
    <col min="123" max="135" width="9.140625" style="267" hidden="1" customWidth="1"/>
    <col min="136" max="16384" width="9.140625" style="267"/>
  </cols>
  <sheetData>
    <row r="1" spans="1:135" x14ac:dyDescent="0.2">
      <c r="A1" s="243" t="s">
        <v>611</v>
      </c>
      <c r="D1" s="1153" t="s">
        <v>940</v>
      </c>
      <c r="E1" s="1153"/>
      <c r="F1" s="1153"/>
      <c r="G1" s="1153"/>
      <c r="H1" s="1153"/>
      <c r="I1" s="1153"/>
      <c r="J1" s="1153"/>
      <c r="K1" s="1153"/>
      <c r="L1" s="1153"/>
      <c r="M1" s="1153"/>
      <c r="N1" s="1153"/>
      <c r="O1" s="1153"/>
      <c r="P1" s="1153"/>
      <c r="Q1" s="1153"/>
      <c r="R1" s="1153"/>
      <c r="S1" s="1153"/>
      <c r="T1" s="1153"/>
      <c r="U1" s="1153"/>
      <c r="V1" s="1153"/>
      <c r="W1" s="1153"/>
      <c r="X1" s="1153"/>
      <c r="Y1" s="1153"/>
      <c r="Z1" s="1153"/>
      <c r="AA1" s="1153"/>
      <c r="AB1" s="1153"/>
      <c r="AC1" s="1153"/>
      <c r="AD1" s="1153"/>
      <c r="AE1" s="1153"/>
      <c r="AF1" s="1153"/>
      <c r="AG1" s="1153"/>
      <c r="AH1" s="1153"/>
      <c r="AI1" s="1153"/>
      <c r="AT1" s="318" t="s">
        <v>351</v>
      </c>
    </row>
    <row r="2" spans="1:135" x14ac:dyDescent="0.2">
      <c r="A2" s="244" t="str">
        <f>IF('Table 1'!D2=0,"",'Table 1'!D2)</f>
        <v>Netherlands</v>
      </c>
      <c r="D2" s="1153"/>
      <c r="E2" s="1153"/>
      <c r="F2" s="1153"/>
      <c r="G2" s="1153"/>
      <c r="H2" s="1153"/>
      <c r="I2" s="1153"/>
      <c r="J2" s="1153"/>
      <c r="K2" s="1153"/>
      <c r="L2" s="1153"/>
      <c r="M2" s="1153"/>
      <c r="N2" s="1153"/>
      <c r="O2" s="1153"/>
      <c r="P2" s="1153"/>
      <c r="Q2" s="1153"/>
      <c r="R2" s="1153"/>
      <c r="S2" s="1153"/>
      <c r="T2" s="1153"/>
      <c r="U2" s="1153"/>
      <c r="V2" s="1153"/>
      <c r="W2" s="1153"/>
      <c r="X2" s="1153"/>
      <c r="Y2" s="1153"/>
      <c r="Z2" s="1153"/>
      <c r="AA2" s="1153"/>
      <c r="AB2" s="1153"/>
      <c r="AC2" s="1153"/>
      <c r="AD2" s="1153"/>
      <c r="AE2" s="1153"/>
      <c r="AF2" s="1153"/>
      <c r="AG2" s="1153"/>
      <c r="AH2" s="1153"/>
      <c r="AI2" s="1153"/>
      <c r="AT2" s="297" t="s">
        <v>686</v>
      </c>
    </row>
    <row r="3" spans="1:135" x14ac:dyDescent="0.2">
      <c r="A3" s="244" t="str">
        <f>IF('Table 1'!D3=0,"",'Table 1'!D3 &amp; " " &amp; QuestYear)</f>
        <v>September 2026</v>
      </c>
      <c r="D3" s="1153"/>
      <c r="E3" s="1153"/>
      <c r="F3" s="1153"/>
      <c r="G3" s="1153"/>
      <c r="H3" s="1153"/>
      <c r="I3" s="1153"/>
      <c r="J3" s="1153"/>
      <c r="K3" s="1153"/>
      <c r="L3" s="1153"/>
      <c r="M3" s="1153"/>
      <c r="N3" s="1153"/>
      <c r="O3" s="1153"/>
      <c r="P3" s="1153"/>
      <c r="Q3" s="1153"/>
      <c r="R3" s="1153"/>
      <c r="S3" s="1153"/>
      <c r="T3" s="1153"/>
      <c r="U3" s="1153"/>
      <c r="V3" s="1153"/>
      <c r="W3" s="1153"/>
      <c r="X3" s="1153"/>
      <c r="Y3" s="1153"/>
      <c r="Z3" s="1153"/>
      <c r="AA3" s="1153"/>
      <c r="AB3" s="1153"/>
      <c r="AC3" s="1153"/>
      <c r="AD3" s="1153"/>
      <c r="AE3" s="1153"/>
      <c r="AF3" s="1153"/>
      <c r="AG3" s="1153"/>
      <c r="AH3" s="1153"/>
      <c r="AI3" s="1153"/>
      <c r="AT3" s="318" t="s">
        <v>586</v>
      </c>
    </row>
    <row r="4" spans="1:135" x14ac:dyDescent="0.2">
      <c r="A4" s="374" t="s">
        <v>887</v>
      </c>
      <c r="J4" s="375" t="s">
        <v>74</v>
      </c>
      <c r="AI4" s="245" t="s">
        <v>108</v>
      </c>
      <c r="AT4" s="297" t="s">
        <v>686</v>
      </c>
    </row>
    <row r="5" spans="1:135" ht="12.75" customHeight="1" x14ac:dyDescent="0.2">
      <c r="A5" s="376"/>
      <c r="B5" s="377"/>
      <c r="C5" s="378"/>
      <c r="D5" s="1154" t="s">
        <v>656</v>
      </c>
      <c r="E5" s="1156" t="s">
        <v>657</v>
      </c>
      <c r="F5" s="1156" t="s">
        <v>647</v>
      </c>
      <c r="G5" s="1158" t="s">
        <v>666</v>
      </c>
      <c r="H5" s="281"/>
      <c r="I5" s="1160" t="s">
        <v>885</v>
      </c>
      <c r="J5" s="1110" t="s">
        <v>645</v>
      </c>
      <c r="K5" s="1166" t="s">
        <v>8</v>
      </c>
      <c r="L5" s="1164" t="s">
        <v>9</v>
      </c>
      <c r="M5" s="1162" t="s">
        <v>10</v>
      </c>
      <c r="N5" s="1114" t="s">
        <v>659</v>
      </c>
      <c r="O5" s="329"/>
      <c r="P5" s="190"/>
      <c r="Q5" s="1166" t="s">
        <v>660</v>
      </c>
      <c r="R5" s="1164" t="s">
        <v>661</v>
      </c>
      <c r="S5" s="1116" t="s">
        <v>668</v>
      </c>
      <c r="T5" s="191"/>
      <c r="U5" s="192"/>
      <c r="V5" s="1162" t="s">
        <v>664</v>
      </c>
      <c r="W5" s="193"/>
      <c r="X5" s="190"/>
      <c r="Y5" s="1118" t="s">
        <v>670</v>
      </c>
      <c r="Z5" s="190"/>
      <c r="AA5" s="190"/>
      <c r="AB5" s="1114" t="s">
        <v>628</v>
      </c>
      <c r="AC5" s="190"/>
      <c r="AD5" s="190"/>
      <c r="AE5" s="190"/>
      <c r="AF5" s="1166" t="s">
        <v>629</v>
      </c>
      <c r="AG5" s="1160" t="s">
        <v>630</v>
      </c>
      <c r="AH5" s="1120" t="s">
        <v>631</v>
      </c>
      <c r="AI5" s="1120" t="s">
        <v>679</v>
      </c>
      <c r="AJ5" s="260"/>
      <c r="AK5" s="1139" t="s">
        <v>350</v>
      </c>
    </row>
    <row r="6" spans="1:135" ht="56.25" x14ac:dyDescent="0.25">
      <c r="A6" s="379"/>
      <c r="B6" s="302"/>
      <c r="C6" s="380"/>
      <c r="D6" s="1155"/>
      <c r="E6" s="1157"/>
      <c r="F6" s="1157"/>
      <c r="G6" s="1159"/>
      <c r="H6" s="248" t="s">
        <v>667</v>
      </c>
      <c r="I6" s="1161"/>
      <c r="J6" s="1111"/>
      <c r="K6" s="1167"/>
      <c r="L6" s="1165"/>
      <c r="M6" s="1163"/>
      <c r="N6" s="1115"/>
      <c r="O6" s="250" t="s">
        <v>623</v>
      </c>
      <c r="P6" s="251" t="s">
        <v>626</v>
      </c>
      <c r="Q6" s="1167"/>
      <c r="R6" s="1165"/>
      <c r="S6" s="1117"/>
      <c r="T6" s="254" t="s">
        <v>662</v>
      </c>
      <c r="U6" s="250" t="s">
        <v>663</v>
      </c>
      <c r="V6" s="1163"/>
      <c r="W6" s="256" t="s">
        <v>627</v>
      </c>
      <c r="X6" s="257" t="s">
        <v>669</v>
      </c>
      <c r="Y6" s="1119"/>
      <c r="Z6" s="250" t="s">
        <v>624</v>
      </c>
      <c r="AA6" s="254" t="s">
        <v>671</v>
      </c>
      <c r="AB6" s="1115"/>
      <c r="AC6" s="250" t="s">
        <v>674</v>
      </c>
      <c r="AD6" s="254" t="s">
        <v>1411</v>
      </c>
      <c r="AE6" s="258" t="s">
        <v>872</v>
      </c>
      <c r="AF6" s="1167"/>
      <c r="AG6" s="1161"/>
      <c r="AH6" s="1121"/>
      <c r="AI6" s="1121"/>
      <c r="AJ6" s="302"/>
      <c r="AK6" s="1140"/>
      <c r="AL6" s="302"/>
      <c r="AN6" s="302"/>
      <c r="AO6" s="302"/>
      <c r="AP6" s="302"/>
      <c r="AQ6" s="302"/>
      <c r="AT6" s="319"/>
      <c r="DS6" s="671" t="s">
        <v>1121</v>
      </c>
      <c r="DT6" s="672"/>
      <c r="DU6" s="673"/>
      <c r="DV6" s="673"/>
      <c r="DW6" s="673"/>
      <c r="DX6" s="673"/>
      <c r="DY6" s="673"/>
      <c r="DZ6" s="673"/>
      <c r="EA6" s="673"/>
      <c r="EB6" s="673"/>
      <c r="EC6" s="673"/>
      <c r="ED6" s="673"/>
    </row>
    <row r="7" spans="1:135" ht="12.75" customHeight="1" x14ac:dyDescent="0.2">
      <c r="A7" s="381"/>
      <c r="B7" s="382"/>
      <c r="C7" s="383"/>
      <c r="D7" s="246" t="s">
        <v>152</v>
      </c>
      <c r="E7" s="247" t="s">
        <v>153</v>
      </c>
      <c r="F7" s="247" t="s">
        <v>154</v>
      </c>
      <c r="G7" s="180" t="s">
        <v>155</v>
      </c>
      <c r="H7" s="247" t="s">
        <v>156</v>
      </c>
      <c r="I7" s="247" t="s">
        <v>157</v>
      </c>
      <c r="J7" s="199" t="s">
        <v>158</v>
      </c>
      <c r="K7" s="246" t="s">
        <v>159</v>
      </c>
      <c r="L7" s="246" t="s">
        <v>160</v>
      </c>
      <c r="M7" s="249" t="s">
        <v>161</v>
      </c>
      <c r="N7" s="179" t="s">
        <v>162</v>
      </c>
      <c r="O7" s="247" t="s">
        <v>163</v>
      </c>
      <c r="P7" s="252" t="s">
        <v>164</v>
      </c>
      <c r="Q7" s="253" t="s">
        <v>165</v>
      </c>
      <c r="R7" s="252" t="s">
        <v>166</v>
      </c>
      <c r="S7" s="180" t="s">
        <v>167</v>
      </c>
      <c r="T7" s="247" t="s">
        <v>168</v>
      </c>
      <c r="U7" s="247" t="s">
        <v>169</v>
      </c>
      <c r="V7" s="255" t="s">
        <v>170</v>
      </c>
      <c r="W7" s="246" t="s">
        <v>171</v>
      </c>
      <c r="X7" s="247" t="s">
        <v>172</v>
      </c>
      <c r="Y7" s="176" t="s">
        <v>173</v>
      </c>
      <c r="Z7" s="252" t="s">
        <v>174</v>
      </c>
      <c r="AA7" s="252" t="s">
        <v>175</v>
      </c>
      <c r="AB7" s="179" t="s">
        <v>176</v>
      </c>
      <c r="AC7" s="252" t="s">
        <v>177</v>
      </c>
      <c r="AD7" s="252" t="s">
        <v>181</v>
      </c>
      <c r="AE7" s="252" t="s">
        <v>417</v>
      </c>
      <c r="AF7" s="259" t="s">
        <v>672</v>
      </c>
      <c r="AG7" s="252" t="s">
        <v>678</v>
      </c>
      <c r="AH7" s="90" t="s">
        <v>499</v>
      </c>
      <c r="AI7" s="90" t="s">
        <v>680</v>
      </c>
      <c r="AJ7" s="302"/>
      <c r="AK7" s="90" t="s">
        <v>1413</v>
      </c>
      <c r="AL7" s="302"/>
      <c r="AN7" s="302"/>
      <c r="AO7" s="302"/>
      <c r="AP7" s="302"/>
      <c r="AQ7" s="302"/>
      <c r="AT7" s="318" t="s">
        <v>553</v>
      </c>
      <c r="DS7" s="681" t="s">
        <v>1122</v>
      </c>
      <c r="DT7" s="681" t="s">
        <v>1113</v>
      </c>
      <c r="DU7" s="681" t="s">
        <v>1123</v>
      </c>
      <c r="DV7" s="681" t="s">
        <v>1124</v>
      </c>
      <c r="DW7" s="681" t="s">
        <v>1125</v>
      </c>
      <c r="DX7" s="681" t="s">
        <v>1126</v>
      </c>
      <c r="DY7" s="674" t="s">
        <v>415</v>
      </c>
      <c r="DZ7" s="674" t="s">
        <v>1127</v>
      </c>
      <c r="EA7" s="674" t="s">
        <v>1128</v>
      </c>
      <c r="EB7" s="674" t="s">
        <v>1129</v>
      </c>
      <c r="EC7" s="674" t="s">
        <v>1130</v>
      </c>
      <c r="ED7" s="674" t="s">
        <v>1131</v>
      </c>
      <c r="EE7" s="674" t="s">
        <v>1244</v>
      </c>
    </row>
    <row r="8" spans="1:135" x14ac:dyDescent="0.2">
      <c r="A8" s="384" t="s">
        <v>743</v>
      </c>
      <c r="B8" s="385" t="s">
        <v>76</v>
      </c>
      <c r="C8" s="155">
        <v>1</v>
      </c>
      <c r="D8" s="771">
        <f t="shared" ref="D8:I9" si="0">ROUND(D10+D12+D14+D16+D18,3)</f>
        <v>1923</v>
      </c>
      <c r="E8" s="771">
        <f t="shared" si="0"/>
        <v>0</v>
      </c>
      <c r="F8" s="771">
        <f t="shared" si="0"/>
        <v>0</v>
      </c>
      <c r="G8" s="771">
        <f t="shared" si="0"/>
        <v>0</v>
      </c>
      <c r="H8" s="771">
        <f t="shared" si="0"/>
        <v>0</v>
      </c>
      <c r="I8" s="771">
        <f t="shared" si="0"/>
        <v>0</v>
      </c>
      <c r="J8" s="786">
        <f t="shared" ref="J8:J25" si="1">ROUND(SUM(D8:G8,I8),3)</f>
        <v>1923</v>
      </c>
      <c r="K8" s="771">
        <f t="shared" ref="K8:AG9" si="2">ROUND(K10+K12+K14+K16+K18,3)</f>
        <v>0</v>
      </c>
      <c r="L8" s="771">
        <f t="shared" si="2"/>
        <v>0</v>
      </c>
      <c r="M8" s="787">
        <f t="shared" si="2"/>
        <v>0</v>
      </c>
      <c r="N8" s="788">
        <f t="shared" si="2"/>
        <v>456</v>
      </c>
      <c r="O8" s="787">
        <f t="shared" si="2"/>
        <v>0</v>
      </c>
      <c r="P8" s="786">
        <f t="shared" si="2"/>
        <v>456</v>
      </c>
      <c r="Q8" s="785">
        <f t="shared" si="2"/>
        <v>0</v>
      </c>
      <c r="R8" s="771">
        <f t="shared" si="2"/>
        <v>0</v>
      </c>
      <c r="S8" s="787">
        <f t="shared" si="2"/>
        <v>57</v>
      </c>
      <c r="T8" s="771">
        <f t="shared" si="2"/>
        <v>0</v>
      </c>
      <c r="U8" s="771">
        <f t="shared" si="2"/>
        <v>57</v>
      </c>
      <c r="V8" s="787">
        <f t="shared" si="2"/>
        <v>0</v>
      </c>
      <c r="W8" s="788">
        <f t="shared" si="2"/>
        <v>912</v>
      </c>
      <c r="X8" s="771">
        <f t="shared" si="2"/>
        <v>0</v>
      </c>
      <c r="Y8" s="771">
        <f t="shared" si="2"/>
        <v>912</v>
      </c>
      <c r="Z8" s="771">
        <f t="shared" si="2"/>
        <v>0</v>
      </c>
      <c r="AA8" s="786">
        <f t="shared" si="2"/>
        <v>912</v>
      </c>
      <c r="AB8" s="785">
        <f t="shared" si="2"/>
        <v>156</v>
      </c>
      <c r="AC8" s="771">
        <f t="shared" si="2"/>
        <v>25</v>
      </c>
      <c r="AD8" s="771">
        <f t="shared" si="2"/>
        <v>0</v>
      </c>
      <c r="AE8" s="787">
        <f t="shared" si="2"/>
        <v>131</v>
      </c>
      <c r="AF8" s="788">
        <f t="shared" si="2"/>
        <v>0</v>
      </c>
      <c r="AG8" s="787">
        <f t="shared" si="2"/>
        <v>293</v>
      </c>
      <c r="AH8" s="771">
        <f t="shared" ref="AH8:AH25" si="3">ROUND(SUM(K8:N8,Q8:S8,V8,Y8,AB8,AF8:AG8),3)</f>
        <v>1874</v>
      </c>
      <c r="AI8" s="771">
        <f t="shared" ref="AI8:AI25" si="4">ROUND(J8+AH8,3)</f>
        <v>3797</v>
      </c>
      <c r="AJ8" s="260"/>
      <c r="AK8" s="90" t="str">
        <f t="shared" ref="AK8:AK25" si="5">IF(AJ8=0," ",IF(AJ8=1,"A total is not equal to the sum of its components: ",AJ8&amp;" totals are not equal to the sum of their components: "))&amp;IF(AJ8=0,"",IF(J8-SUM(D8:G8,I8)=0,"","Total crude. ")&amp;IF(AH8-SUM(K8:O8,Q8:V8,AA8,AE8:AG8)=0,"","Total products. ")&amp;IF(AI8-SUM(AH8,J8)=0,"","Total oil."))</f>
        <v xml:space="preserve"> </v>
      </c>
      <c r="AL8" s="260"/>
      <c r="AN8" s="260"/>
      <c r="AO8" s="260"/>
      <c r="AT8" s="298" t="s">
        <v>687</v>
      </c>
      <c r="DS8" s="675" t="str">
        <f>VLOOKUP(CountryUser, Param!$C$9:$E$67, 3, 0)</f>
        <v>NL</v>
      </c>
      <c r="DT8" s="675" t="s">
        <v>1132</v>
      </c>
      <c r="DU8" s="675" t="s">
        <v>415</v>
      </c>
      <c r="DV8" s="675" t="s">
        <v>1187</v>
      </c>
      <c r="DW8" s="675" t="s">
        <v>1134</v>
      </c>
      <c r="DX8" s="675" t="s">
        <v>1134</v>
      </c>
      <c r="DY8" s="675" t="s">
        <v>1256</v>
      </c>
      <c r="DZ8" s="675" t="s">
        <v>1134</v>
      </c>
      <c r="EA8" s="675" t="s">
        <v>1134</v>
      </c>
      <c r="EB8" s="675" t="s">
        <v>1135</v>
      </c>
      <c r="EC8" s="675" t="s">
        <v>1134</v>
      </c>
      <c r="ED8" s="675" t="s">
        <v>1136</v>
      </c>
      <c r="EE8" s="675" t="str">
        <f>QuestYear&amp;"-"&amp;TEXT(MATCH(FirstMonth, Param!C71:C82,0), "00")</f>
        <v>2026-09</v>
      </c>
    </row>
    <row r="9" spans="1:135" x14ac:dyDescent="0.2">
      <c r="A9" s="387" t="s">
        <v>147</v>
      </c>
      <c r="B9" s="388" t="s">
        <v>77</v>
      </c>
      <c r="C9" s="155">
        <v>2</v>
      </c>
      <c r="D9" s="771">
        <f t="shared" si="0"/>
        <v>1923</v>
      </c>
      <c r="E9" s="771">
        <f t="shared" si="0"/>
        <v>0</v>
      </c>
      <c r="F9" s="771">
        <f t="shared" si="0"/>
        <v>0</v>
      </c>
      <c r="G9" s="771">
        <f t="shared" si="0"/>
        <v>0</v>
      </c>
      <c r="H9" s="771">
        <f t="shared" si="0"/>
        <v>0</v>
      </c>
      <c r="I9" s="771">
        <f t="shared" si="0"/>
        <v>0</v>
      </c>
      <c r="J9" s="786">
        <f t="shared" si="1"/>
        <v>1923</v>
      </c>
      <c r="K9" s="771">
        <f t="shared" si="2"/>
        <v>0</v>
      </c>
      <c r="L9" s="771">
        <f t="shared" si="2"/>
        <v>0</v>
      </c>
      <c r="M9" s="787">
        <f t="shared" si="2"/>
        <v>0</v>
      </c>
      <c r="N9" s="788">
        <f t="shared" si="2"/>
        <v>456</v>
      </c>
      <c r="O9" s="787">
        <f t="shared" si="2"/>
        <v>0</v>
      </c>
      <c r="P9" s="786">
        <f t="shared" si="2"/>
        <v>456</v>
      </c>
      <c r="Q9" s="785">
        <f t="shared" si="2"/>
        <v>0</v>
      </c>
      <c r="R9" s="771">
        <f t="shared" si="2"/>
        <v>0</v>
      </c>
      <c r="S9" s="787">
        <f t="shared" si="2"/>
        <v>57</v>
      </c>
      <c r="T9" s="771">
        <f t="shared" si="2"/>
        <v>0</v>
      </c>
      <c r="U9" s="771">
        <f t="shared" si="2"/>
        <v>57</v>
      </c>
      <c r="V9" s="787">
        <f t="shared" si="2"/>
        <v>0</v>
      </c>
      <c r="W9" s="788">
        <f t="shared" si="2"/>
        <v>912</v>
      </c>
      <c r="X9" s="771">
        <f t="shared" si="2"/>
        <v>0</v>
      </c>
      <c r="Y9" s="771">
        <f t="shared" si="2"/>
        <v>912</v>
      </c>
      <c r="Z9" s="771">
        <f t="shared" si="2"/>
        <v>0</v>
      </c>
      <c r="AA9" s="786">
        <f t="shared" si="2"/>
        <v>912</v>
      </c>
      <c r="AB9" s="785">
        <f t="shared" si="2"/>
        <v>156</v>
      </c>
      <c r="AC9" s="771">
        <f t="shared" si="2"/>
        <v>25</v>
      </c>
      <c r="AD9" s="771">
        <f t="shared" si="2"/>
        <v>0</v>
      </c>
      <c r="AE9" s="787">
        <f t="shared" si="2"/>
        <v>131</v>
      </c>
      <c r="AF9" s="788">
        <f t="shared" si="2"/>
        <v>0</v>
      </c>
      <c r="AG9" s="787">
        <f t="shared" si="2"/>
        <v>586</v>
      </c>
      <c r="AH9" s="771">
        <f t="shared" si="3"/>
        <v>2167</v>
      </c>
      <c r="AI9" s="771">
        <f t="shared" si="4"/>
        <v>4090</v>
      </c>
      <c r="AJ9" s="260"/>
      <c r="AK9" s="132" t="str">
        <f t="shared" si="5"/>
        <v xml:space="preserve"> </v>
      </c>
      <c r="AL9" s="260"/>
      <c r="AN9" s="260"/>
      <c r="AO9" s="260"/>
      <c r="AT9" s="298" t="s">
        <v>688</v>
      </c>
      <c r="DS9" s="680"/>
      <c r="DT9" s="680"/>
      <c r="DU9" s="675" t="s">
        <v>415</v>
      </c>
      <c r="DV9" s="675" t="s">
        <v>1188</v>
      </c>
      <c r="DW9" s="675" t="s">
        <v>1134</v>
      </c>
      <c r="DX9" s="675" t="s">
        <v>1134</v>
      </c>
      <c r="DY9" s="675" t="s">
        <v>1256</v>
      </c>
      <c r="DZ9" s="675" t="s">
        <v>1134</v>
      </c>
      <c r="EA9" s="675" t="s">
        <v>1134</v>
      </c>
      <c r="EB9" s="675" t="s">
        <v>1135</v>
      </c>
      <c r="EC9" s="675" t="s">
        <v>1134</v>
      </c>
      <c r="ED9" s="675" t="s">
        <v>1136</v>
      </c>
    </row>
    <row r="10" spans="1:135" x14ac:dyDescent="0.2">
      <c r="A10" s="261" t="s">
        <v>689</v>
      </c>
      <c r="B10" s="261" t="s">
        <v>76</v>
      </c>
      <c r="C10" s="628">
        <v>3</v>
      </c>
      <c r="D10" s="874">
        <v>1207</v>
      </c>
      <c r="E10" s="874">
        <v>0</v>
      </c>
      <c r="F10" s="874">
        <v>0</v>
      </c>
      <c r="G10" s="781">
        <v>0</v>
      </c>
      <c r="H10" s="874">
        <v>0</v>
      </c>
      <c r="I10" s="874">
        <v>0</v>
      </c>
      <c r="J10" s="786">
        <f t="shared" si="1"/>
        <v>1207</v>
      </c>
      <c r="K10" s="875">
        <v>0</v>
      </c>
      <c r="L10" s="874">
        <v>0</v>
      </c>
      <c r="M10" s="876">
        <v>0</v>
      </c>
      <c r="N10" s="884">
        <v>103</v>
      </c>
      <c r="O10" s="876">
        <v>0</v>
      </c>
      <c r="P10" s="885">
        <v>103</v>
      </c>
      <c r="Q10" s="875">
        <v>0</v>
      </c>
      <c r="R10" s="874">
        <v>0</v>
      </c>
      <c r="S10" s="886">
        <v>33</v>
      </c>
      <c r="T10" s="874">
        <v>0</v>
      </c>
      <c r="U10" s="874">
        <v>33</v>
      </c>
      <c r="V10" s="876">
        <v>0</v>
      </c>
      <c r="W10" s="877">
        <v>148</v>
      </c>
      <c r="X10" s="874">
        <v>0</v>
      </c>
      <c r="Y10" s="781">
        <v>148</v>
      </c>
      <c r="Z10" s="874">
        <v>0</v>
      </c>
      <c r="AA10" s="885">
        <v>148</v>
      </c>
      <c r="AB10" s="783">
        <v>156</v>
      </c>
      <c r="AC10" s="874">
        <v>25</v>
      </c>
      <c r="AD10" s="874">
        <v>0</v>
      </c>
      <c r="AE10" s="876">
        <v>131</v>
      </c>
      <c r="AF10" s="877">
        <v>0</v>
      </c>
      <c r="AG10" s="876">
        <v>293</v>
      </c>
      <c r="AH10" s="771">
        <f t="shared" si="3"/>
        <v>733</v>
      </c>
      <c r="AI10" s="771">
        <f t="shared" si="4"/>
        <v>1940</v>
      </c>
      <c r="AJ10" s="260"/>
      <c r="AK10" s="132" t="str">
        <f t="shared" si="5"/>
        <v xml:space="preserve"> </v>
      </c>
      <c r="AL10" s="260"/>
      <c r="AN10" s="260"/>
      <c r="AO10" s="260"/>
      <c r="AT10" s="298" t="s">
        <v>690</v>
      </c>
      <c r="DS10" s="276"/>
      <c r="DT10" s="680"/>
      <c r="DU10" s="675" t="s">
        <v>415</v>
      </c>
      <c r="DV10" s="675" t="s">
        <v>1187</v>
      </c>
      <c r="DW10" s="675" t="s">
        <v>1134</v>
      </c>
      <c r="DX10" s="675" t="s">
        <v>1134</v>
      </c>
      <c r="DY10" s="675" t="s">
        <v>1257</v>
      </c>
      <c r="DZ10" s="675" t="s">
        <v>1134</v>
      </c>
      <c r="EA10" s="675" t="s">
        <v>1134</v>
      </c>
      <c r="EB10" s="675" t="s">
        <v>1135</v>
      </c>
      <c r="EC10" s="675" t="s">
        <v>1134</v>
      </c>
      <c r="ED10" s="675" t="s">
        <v>1136</v>
      </c>
    </row>
    <row r="11" spans="1:135" x14ac:dyDescent="0.2">
      <c r="A11" s="390" t="s">
        <v>691</v>
      </c>
      <c r="B11" s="388" t="s">
        <v>77</v>
      </c>
      <c r="C11" s="155">
        <v>4</v>
      </c>
      <c r="D11" s="771">
        <f>ROUND('Table 6'!$C$66,3)</f>
        <v>1207</v>
      </c>
      <c r="E11" s="771">
        <f>ROUND('Table 6'!$D$66,3)</f>
        <v>0</v>
      </c>
      <c r="F11" s="771">
        <f>ROUND('Table 6'!$E$66,3)</f>
        <v>0</v>
      </c>
      <c r="G11" s="771">
        <f>ROUND('Table 6'!$F$66,3)</f>
        <v>0</v>
      </c>
      <c r="H11" s="771">
        <f>ROUND('Table 6'!$G$66,3)</f>
        <v>0</v>
      </c>
      <c r="I11" s="771">
        <f>ROUND('Table 6'!$H$66,3)</f>
        <v>0</v>
      </c>
      <c r="J11" s="786">
        <f t="shared" si="1"/>
        <v>1207</v>
      </c>
      <c r="K11" s="771">
        <f>ROUND('Table 6'!$J$66,3)</f>
        <v>0</v>
      </c>
      <c r="L11" s="771">
        <f>ROUND('Table 6'!$K$66,3)</f>
        <v>0</v>
      </c>
      <c r="M11" s="787">
        <f>ROUND('Table 6'!$L$66,3)</f>
        <v>0</v>
      </c>
      <c r="N11" s="788">
        <f>ROUND('Table 6'!$M$66,3)</f>
        <v>103</v>
      </c>
      <c r="O11" s="787">
        <f>ROUND('Table 6'!$N$66,3)</f>
        <v>0</v>
      </c>
      <c r="P11" s="786">
        <f>ROUND('Table 6'!$O$66,3)</f>
        <v>103</v>
      </c>
      <c r="Q11" s="785">
        <f>ROUND('Table 6'!$P$66,3)</f>
        <v>0</v>
      </c>
      <c r="R11" s="771">
        <f>ROUND('Table 6'!$Q$66,3)</f>
        <v>0</v>
      </c>
      <c r="S11" s="787">
        <f>ROUND('Table 6'!$R$66,3)</f>
        <v>33</v>
      </c>
      <c r="T11" s="771">
        <f>ROUND('Table 6'!$S$66,3)</f>
        <v>0</v>
      </c>
      <c r="U11" s="771">
        <f>ROUND('Table 6'!$T$66,3)</f>
        <v>33</v>
      </c>
      <c r="V11" s="787">
        <f>ROUND('Table 6'!$U$66,3)</f>
        <v>0</v>
      </c>
      <c r="W11" s="788">
        <f>ROUND('Table 6'!$V$66,3)</f>
        <v>148</v>
      </c>
      <c r="X11" s="771">
        <f>ROUND('Table 6'!$W$66,3)</f>
        <v>0</v>
      </c>
      <c r="Y11" s="771">
        <f>ROUND('Table 6'!$X$66,3)</f>
        <v>148</v>
      </c>
      <c r="Z11" s="771">
        <f>ROUND('Table 6'!$Y$66,3)</f>
        <v>0</v>
      </c>
      <c r="AA11" s="786">
        <f>ROUND('Table 6'!$Z$66,3)</f>
        <v>148</v>
      </c>
      <c r="AB11" s="785">
        <f>ROUND('Table 6'!$AA$66,3)</f>
        <v>156</v>
      </c>
      <c r="AC11" s="771">
        <f>ROUND('Table 6'!$AB$66,3)</f>
        <v>25</v>
      </c>
      <c r="AD11" s="771">
        <f>ROUND('Table 6'!$AC$66,3)</f>
        <v>0</v>
      </c>
      <c r="AE11" s="787">
        <f>ROUND('Table 6'!$AD$66,3)</f>
        <v>131</v>
      </c>
      <c r="AF11" s="788">
        <f>ROUND('Table 6'!$AE$66,3)</f>
        <v>0</v>
      </c>
      <c r="AG11" s="787">
        <f>ROUND('Table 6'!$AF$66,3)</f>
        <v>586</v>
      </c>
      <c r="AH11" s="771">
        <f t="shared" si="3"/>
        <v>1026</v>
      </c>
      <c r="AI11" s="771">
        <f t="shared" si="4"/>
        <v>2233</v>
      </c>
      <c r="AJ11" s="260"/>
      <c r="AK11" s="132" t="str">
        <f t="shared" si="5"/>
        <v xml:space="preserve"> </v>
      </c>
      <c r="AL11" s="260"/>
      <c r="AN11" s="260"/>
      <c r="AO11" s="260"/>
      <c r="AT11" s="298" t="s">
        <v>692</v>
      </c>
      <c r="DS11" s="276"/>
      <c r="DT11" s="680"/>
      <c r="DU11" s="675" t="s">
        <v>415</v>
      </c>
      <c r="DV11" s="675" t="s">
        <v>1188</v>
      </c>
      <c r="DW11" s="675" t="s">
        <v>1134</v>
      </c>
      <c r="DX11" s="675" t="s">
        <v>1134</v>
      </c>
      <c r="DY11" s="675" t="s">
        <v>1257</v>
      </c>
      <c r="DZ11" s="675" t="s">
        <v>1134</v>
      </c>
      <c r="EA11" s="675" t="s">
        <v>1134</v>
      </c>
      <c r="EB11" s="675" t="s">
        <v>1135</v>
      </c>
      <c r="EC11" s="675" t="s">
        <v>1134</v>
      </c>
      <c r="ED11" s="675" t="s">
        <v>1136</v>
      </c>
    </row>
    <row r="12" spans="1:135" x14ac:dyDescent="0.2">
      <c r="A12" s="261" t="s">
        <v>693</v>
      </c>
      <c r="B12" s="261" t="s">
        <v>76</v>
      </c>
      <c r="C12" s="628">
        <v>5</v>
      </c>
      <c r="D12" s="874">
        <v>0</v>
      </c>
      <c r="E12" s="874">
        <v>0</v>
      </c>
      <c r="F12" s="874">
        <v>0</v>
      </c>
      <c r="G12" s="781">
        <v>0</v>
      </c>
      <c r="H12" s="874">
        <v>0</v>
      </c>
      <c r="I12" s="874">
        <v>0</v>
      </c>
      <c r="J12" s="786">
        <f t="shared" si="1"/>
        <v>0</v>
      </c>
      <c r="K12" s="875">
        <v>0</v>
      </c>
      <c r="L12" s="874">
        <v>0</v>
      </c>
      <c r="M12" s="876">
        <v>0</v>
      </c>
      <c r="N12" s="884">
        <v>0</v>
      </c>
      <c r="O12" s="876">
        <v>0</v>
      </c>
      <c r="P12" s="885">
        <v>0</v>
      </c>
      <c r="Q12" s="875">
        <v>0</v>
      </c>
      <c r="R12" s="874">
        <v>0</v>
      </c>
      <c r="S12" s="886">
        <v>0</v>
      </c>
      <c r="T12" s="874">
        <v>0</v>
      </c>
      <c r="U12" s="874">
        <v>0</v>
      </c>
      <c r="V12" s="876">
        <v>0</v>
      </c>
      <c r="W12" s="877">
        <v>0</v>
      </c>
      <c r="X12" s="874">
        <v>0</v>
      </c>
      <c r="Y12" s="781">
        <v>0</v>
      </c>
      <c r="Z12" s="874">
        <v>0</v>
      </c>
      <c r="AA12" s="885">
        <v>0</v>
      </c>
      <c r="AB12" s="783">
        <v>0</v>
      </c>
      <c r="AC12" s="874">
        <v>0</v>
      </c>
      <c r="AD12" s="874">
        <v>0</v>
      </c>
      <c r="AE12" s="876">
        <v>0</v>
      </c>
      <c r="AF12" s="877">
        <v>0</v>
      </c>
      <c r="AG12" s="876">
        <v>0</v>
      </c>
      <c r="AH12" s="771">
        <f t="shared" si="3"/>
        <v>0</v>
      </c>
      <c r="AI12" s="771">
        <f t="shared" si="4"/>
        <v>0</v>
      </c>
      <c r="AJ12" s="260"/>
      <c r="AK12" s="132" t="str">
        <f t="shared" si="5"/>
        <v xml:space="preserve"> </v>
      </c>
      <c r="AL12" s="260"/>
      <c r="AN12" s="260"/>
      <c r="AO12" s="260"/>
      <c r="AT12" s="298" t="s">
        <v>694</v>
      </c>
      <c r="DS12" s="276"/>
      <c r="DT12" s="680"/>
      <c r="DU12" s="675" t="s">
        <v>415</v>
      </c>
      <c r="DV12" s="675" t="s">
        <v>1187</v>
      </c>
      <c r="DW12" s="675" t="s">
        <v>1134</v>
      </c>
      <c r="DX12" s="675" t="s">
        <v>1134</v>
      </c>
      <c r="DY12" s="675" t="s">
        <v>1258</v>
      </c>
      <c r="DZ12" s="675" t="s">
        <v>1134</v>
      </c>
      <c r="EA12" s="675" t="s">
        <v>1134</v>
      </c>
      <c r="EB12" s="675" t="s">
        <v>1135</v>
      </c>
      <c r="EC12" s="675" t="s">
        <v>1134</v>
      </c>
      <c r="ED12" s="675" t="s">
        <v>1136</v>
      </c>
    </row>
    <row r="13" spans="1:135" x14ac:dyDescent="0.2">
      <c r="A13" s="390" t="s">
        <v>695</v>
      </c>
      <c r="B13" s="391" t="s">
        <v>77</v>
      </c>
      <c r="C13" s="155">
        <v>6</v>
      </c>
      <c r="D13" s="771">
        <f>ROUND('Table 7'!$C$66,3)</f>
        <v>0</v>
      </c>
      <c r="E13" s="771">
        <f>ROUND('Table 7'!$D$66,3)</f>
        <v>0</v>
      </c>
      <c r="F13" s="771">
        <f>ROUND('Table 7'!$E$66,3)</f>
        <v>0</v>
      </c>
      <c r="G13" s="771">
        <f>ROUND('Table 7'!$F$66,3)</f>
        <v>0</v>
      </c>
      <c r="H13" s="771">
        <f>ROUND('Table 7'!$G$66,3)</f>
        <v>0</v>
      </c>
      <c r="I13" s="771">
        <f>ROUND('Table 7'!$H$66,3)</f>
        <v>0</v>
      </c>
      <c r="J13" s="786">
        <f t="shared" si="1"/>
        <v>0</v>
      </c>
      <c r="K13" s="771">
        <f>ROUND('Table 7'!$J$66,3)</f>
        <v>0</v>
      </c>
      <c r="L13" s="771">
        <f>ROUND('Table 7'!$K$66,3)</f>
        <v>0</v>
      </c>
      <c r="M13" s="787">
        <f>ROUND('Table 7'!$L$66,3)</f>
        <v>0</v>
      </c>
      <c r="N13" s="788">
        <f>ROUND('Table 7'!$M$66,3)</f>
        <v>0</v>
      </c>
      <c r="O13" s="787">
        <f>ROUND('Table 7'!$N$66,3)</f>
        <v>0</v>
      </c>
      <c r="P13" s="786">
        <f>ROUND('Table 7'!$O$66,3)</f>
        <v>0</v>
      </c>
      <c r="Q13" s="785">
        <f>ROUND('Table 7'!$P$66,3)</f>
        <v>0</v>
      </c>
      <c r="R13" s="771">
        <f>ROUND('Table 7'!$Q$66,3)</f>
        <v>0</v>
      </c>
      <c r="S13" s="787">
        <f>ROUND('Table 7'!$R$66,3)</f>
        <v>0</v>
      </c>
      <c r="T13" s="771">
        <f>ROUND('Table 7'!$S$66,3)</f>
        <v>0</v>
      </c>
      <c r="U13" s="771">
        <f>ROUND('Table 7'!$T$66,3)</f>
        <v>0</v>
      </c>
      <c r="V13" s="787">
        <f>ROUND('Table 7'!$U$66,3)</f>
        <v>0</v>
      </c>
      <c r="W13" s="788">
        <f>ROUND('Table 7'!$V$66,3)</f>
        <v>0</v>
      </c>
      <c r="X13" s="771">
        <f>ROUND('Table 7'!$W$66,3)</f>
        <v>0</v>
      </c>
      <c r="Y13" s="771">
        <f>ROUND('Table 7'!$X$66,3)</f>
        <v>0</v>
      </c>
      <c r="Z13" s="771">
        <f>ROUND('Table 7'!$Y$66,3)</f>
        <v>0</v>
      </c>
      <c r="AA13" s="786">
        <f>ROUND('Table 7'!$Z$66,3)</f>
        <v>0</v>
      </c>
      <c r="AB13" s="785">
        <f>ROUND('Table 7'!$AA$66,3)</f>
        <v>0</v>
      </c>
      <c r="AC13" s="771">
        <f>ROUND('Table 7'!$AB$66,3)</f>
        <v>0</v>
      </c>
      <c r="AD13" s="771">
        <f>ROUND('Table 7'!$AC$66,3)</f>
        <v>0</v>
      </c>
      <c r="AE13" s="787">
        <f>ROUND('Table 7'!$AD$66,3)</f>
        <v>0</v>
      </c>
      <c r="AF13" s="788">
        <f>ROUND('Table 7'!$AE$66,3)</f>
        <v>0</v>
      </c>
      <c r="AG13" s="787">
        <f>ROUND('Table 7'!$AF$66,3)</f>
        <v>0</v>
      </c>
      <c r="AH13" s="771">
        <f t="shared" si="3"/>
        <v>0</v>
      </c>
      <c r="AI13" s="771">
        <f t="shared" si="4"/>
        <v>0</v>
      </c>
      <c r="AJ13" s="260"/>
      <c r="AK13" s="132" t="str">
        <f t="shared" si="5"/>
        <v xml:space="preserve"> </v>
      </c>
      <c r="AL13" s="260"/>
      <c r="AN13" s="260"/>
      <c r="AO13" s="260"/>
      <c r="AT13" s="298" t="s">
        <v>696</v>
      </c>
      <c r="DS13" s="276"/>
      <c r="DT13" s="680"/>
      <c r="DU13" s="675" t="s">
        <v>415</v>
      </c>
      <c r="DV13" s="675" t="s">
        <v>1188</v>
      </c>
      <c r="DW13" s="675" t="s">
        <v>1134</v>
      </c>
      <c r="DX13" s="675" t="s">
        <v>1134</v>
      </c>
      <c r="DY13" s="675" t="s">
        <v>1258</v>
      </c>
      <c r="DZ13" s="675" t="s">
        <v>1134</v>
      </c>
      <c r="EA13" s="675" t="s">
        <v>1134</v>
      </c>
      <c r="EB13" s="675" t="s">
        <v>1135</v>
      </c>
      <c r="EC13" s="675" t="s">
        <v>1134</v>
      </c>
      <c r="ED13" s="675" t="s">
        <v>1136</v>
      </c>
    </row>
    <row r="14" spans="1:135" x14ac:dyDescent="0.2">
      <c r="A14" s="261" t="s">
        <v>697</v>
      </c>
      <c r="B14" s="261" t="s">
        <v>76</v>
      </c>
      <c r="C14" s="628">
        <v>7</v>
      </c>
      <c r="D14" s="874">
        <v>0</v>
      </c>
      <c r="E14" s="874">
        <v>0</v>
      </c>
      <c r="F14" s="874">
        <v>0</v>
      </c>
      <c r="G14" s="781">
        <v>0</v>
      </c>
      <c r="H14" s="874">
        <v>0</v>
      </c>
      <c r="I14" s="874">
        <v>0</v>
      </c>
      <c r="J14" s="786">
        <f t="shared" si="1"/>
        <v>0</v>
      </c>
      <c r="K14" s="875">
        <v>0</v>
      </c>
      <c r="L14" s="874">
        <v>0</v>
      </c>
      <c r="M14" s="876">
        <v>0</v>
      </c>
      <c r="N14" s="884">
        <v>0</v>
      </c>
      <c r="O14" s="876">
        <v>0</v>
      </c>
      <c r="P14" s="885">
        <v>0</v>
      </c>
      <c r="Q14" s="875">
        <v>0</v>
      </c>
      <c r="R14" s="874">
        <v>0</v>
      </c>
      <c r="S14" s="886">
        <v>0</v>
      </c>
      <c r="T14" s="874">
        <v>0</v>
      </c>
      <c r="U14" s="874">
        <v>0</v>
      </c>
      <c r="V14" s="876">
        <v>0</v>
      </c>
      <c r="W14" s="877">
        <v>0</v>
      </c>
      <c r="X14" s="874">
        <v>0</v>
      </c>
      <c r="Y14" s="781">
        <v>0</v>
      </c>
      <c r="Z14" s="874">
        <v>0</v>
      </c>
      <c r="AA14" s="885">
        <v>0</v>
      </c>
      <c r="AB14" s="783">
        <v>0</v>
      </c>
      <c r="AC14" s="874">
        <v>0</v>
      </c>
      <c r="AD14" s="874">
        <v>0</v>
      </c>
      <c r="AE14" s="876">
        <v>0</v>
      </c>
      <c r="AF14" s="877">
        <v>0</v>
      </c>
      <c r="AG14" s="876">
        <v>0</v>
      </c>
      <c r="AH14" s="771">
        <f t="shared" si="3"/>
        <v>0</v>
      </c>
      <c r="AI14" s="771">
        <f t="shared" si="4"/>
        <v>0</v>
      </c>
      <c r="AJ14" s="260"/>
      <c r="AK14" s="132" t="str">
        <f t="shared" si="5"/>
        <v xml:space="preserve"> </v>
      </c>
      <c r="AL14" s="260"/>
      <c r="AN14" s="260"/>
      <c r="AO14" s="260"/>
      <c r="AT14" s="298" t="s">
        <v>698</v>
      </c>
      <c r="DS14" s="276"/>
      <c r="DT14" s="680"/>
      <c r="DU14" s="675" t="s">
        <v>415</v>
      </c>
      <c r="DV14" s="675" t="s">
        <v>1187</v>
      </c>
      <c r="DW14" s="675" t="s">
        <v>1134</v>
      </c>
      <c r="DX14" s="675" t="s">
        <v>1134</v>
      </c>
      <c r="DY14" s="675" t="s">
        <v>1259</v>
      </c>
      <c r="DZ14" s="675" t="s">
        <v>1134</v>
      </c>
      <c r="EA14" s="675" t="s">
        <v>1134</v>
      </c>
      <c r="EB14" s="675" t="s">
        <v>1135</v>
      </c>
      <c r="EC14" s="675" t="s">
        <v>1134</v>
      </c>
      <c r="ED14" s="675" t="s">
        <v>1136</v>
      </c>
    </row>
    <row r="15" spans="1:135" x14ac:dyDescent="0.2">
      <c r="A15" s="392" t="s">
        <v>699</v>
      </c>
      <c r="B15" s="393" t="s">
        <v>77</v>
      </c>
      <c r="C15" s="628">
        <v>8</v>
      </c>
      <c r="D15" s="874">
        <v>0</v>
      </c>
      <c r="E15" s="874">
        <v>0</v>
      </c>
      <c r="F15" s="874">
        <v>0</v>
      </c>
      <c r="G15" s="781">
        <v>0</v>
      </c>
      <c r="H15" s="874">
        <v>0</v>
      </c>
      <c r="I15" s="874">
        <v>0</v>
      </c>
      <c r="J15" s="786">
        <f t="shared" si="1"/>
        <v>0</v>
      </c>
      <c r="K15" s="875">
        <v>0</v>
      </c>
      <c r="L15" s="874">
        <v>0</v>
      </c>
      <c r="M15" s="876">
        <v>0</v>
      </c>
      <c r="N15" s="884">
        <v>0</v>
      </c>
      <c r="O15" s="876">
        <v>0</v>
      </c>
      <c r="P15" s="885">
        <v>0</v>
      </c>
      <c r="Q15" s="875">
        <v>0</v>
      </c>
      <c r="R15" s="874">
        <v>0</v>
      </c>
      <c r="S15" s="886">
        <v>0</v>
      </c>
      <c r="T15" s="874">
        <v>0</v>
      </c>
      <c r="U15" s="874">
        <v>0</v>
      </c>
      <c r="V15" s="876">
        <v>0</v>
      </c>
      <c r="W15" s="877">
        <v>0</v>
      </c>
      <c r="X15" s="874">
        <v>0</v>
      </c>
      <c r="Y15" s="781">
        <v>0</v>
      </c>
      <c r="Z15" s="874">
        <v>0</v>
      </c>
      <c r="AA15" s="885">
        <v>0</v>
      </c>
      <c r="AB15" s="783">
        <v>0</v>
      </c>
      <c r="AC15" s="874">
        <v>0</v>
      </c>
      <c r="AD15" s="874">
        <v>0</v>
      </c>
      <c r="AE15" s="876">
        <v>0</v>
      </c>
      <c r="AF15" s="877">
        <v>0</v>
      </c>
      <c r="AG15" s="876">
        <v>0</v>
      </c>
      <c r="AH15" s="771">
        <f t="shared" si="3"/>
        <v>0</v>
      </c>
      <c r="AI15" s="771">
        <f t="shared" si="4"/>
        <v>0</v>
      </c>
      <c r="AJ15" s="260"/>
      <c r="AK15" s="132" t="str">
        <f t="shared" si="5"/>
        <v xml:space="preserve"> </v>
      </c>
      <c r="AL15" s="260"/>
      <c r="AN15" s="260"/>
      <c r="AO15" s="260"/>
      <c r="AT15" s="298" t="s">
        <v>700</v>
      </c>
      <c r="DS15" s="276"/>
      <c r="DT15" s="680"/>
      <c r="DU15" s="675" t="s">
        <v>415</v>
      </c>
      <c r="DV15" s="675" t="s">
        <v>1188</v>
      </c>
      <c r="DW15" s="675" t="s">
        <v>1134</v>
      </c>
      <c r="DX15" s="675" t="s">
        <v>1134</v>
      </c>
      <c r="DY15" s="675" t="s">
        <v>1259</v>
      </c>
      <c r="DZ15" s="675" t="s">
        <v>1134</v>
      </c>
      <c r="EA15" s="675" t="s">
        <v>1134</v>
      </c>
      <c r="EB15" s="675" t="s">
        <v>1135</v>
      </c>
      <c r="EC15" s="675" t="s">
        <v>1134</v>
      </c>
      <c r="ED15" s="675" t="s">
        <v>1136</v>
      </c>
    </row>
    <row r="16" spans="1:135" x14ac:dyDescent="0.2">
      <c r="A16" s="261" t="s">
        <v>701</v>
      </c>
      <c r="B16" s="393" t="s">
        <v>76</v>
      </c>
      <c r="C16" s="628">
        <v>9</v>
      </c>
      <c r="D16" s="874">
        <v>540</v>
      </c>
      <c r="E16" s="874">
        <v>0</v>
      </c>
      <c r="F16" s="874">
        <v>0</v>
      </c>
      <c r="G16" s="781">
        <v>0</v>
      </c>
      <c r="H16" s="874">
        <v>0</v>
      </c>
      <c r="I16" s="874">
        <v>0</v>
      </c>
      <c r="J16" s="786">
        <f t="shared" si="1"/>
        <v>540</v>
      </c>
      <c r="K16" s="875">
        <v>0</v>
      </c>
      <c r="L16" s="874">
        <v>0</v>
      </c>
      <c r="M16" s="876">
        <v>0</v>
      </c>
      <c r="N16" s="884">
        <v>270</v>
      </c>
      <c r="O16" s="876">
        <v>0</v>
      </c>
      <c r="P16" s="885">
        <v>270</v>
      </c>
      <c r="Q16" s="875">
        <v>0</v>
      </c>
      <c r="R16" s="874">
        <v>0</v>
      </c>
      <c r="S16" s="886">
        <v>0</v>
      </c>
      <c r="T16" s="874">
        <v>0</v>
      </c>
      <c r="U16" s="874">
        <v>0</v>
      </c>
      <c r="V16" s="876">
        <v>0</v>
      </c>
      <c r="W16" s="877">
        <v>609</v>
      </c>
      <c r="X16" s="874">
        <v>0</v>
      </c>
      <c r="Y16" s="781">
        <v>609</v>
      </c>
      <c r="Z16" s="874">
        <v>0</v>
      </c>
      <c r="AA16" s="885">
        <v>609</v>
      </c>
      <c r="AB16" s="783">
        <v>0</v>
      </c>
      <c r="AC16" s="874">
        <v>0</v>
      </c>
      <c r="AD16" s="874">
        <v>0</v>
      </c>
      <c r="AE16" s="876">
        <v>0</v>
      </c>
      <c r="AF16" s="877">
        <v>0</v>
      </c>
      <c r="AG16" s="876">
        <v>0</v>
      </c>
      <c r="AH16" s="771">
        <f t="shared" si="3"/>
        <v>879</v>
      </c>
      <c r="AI16" s="771">
        <f t="shared" si="4"/>
        <v>1419</v>
      </c>
      <c r="AJ16" s="260"/>
      <c r="AK16" s="132" t="str">
        <f t="shared" si="5"/>
        <v xml:space="preserve"> </v>
      </c>
      <c r="AL16" s="260"/>
      <c r="AN16" s="260"/>
      <c r="AO16" s="260"/>
      <c r="AT16" s="298" t="s">
        <v>702</v>
      </c>
      <c r="DS16" s="276"/>
      <c r="DT16" s="680"/>
      <c r="DU16" s="675" t="s">
        <v>415</v>
      </c>
      <c r="DV16" s="675" t="s">
        <v>1187</v>
      </c>
      <c r="DW16" s="675" t="s">
        <v>1134</v>
      </c>
      <c r="DX16" s="675" t="s">
        <v>1134</v>
      </c>
      <c r="DY16" s="675" t="s">
        <v>1260</v>
      </c>
      <c r="DZ16" s="675" t="s">
        <v>1134</v>
      </c>
      <c r="EA16" s="675" t="s">
        <v>1134</v>
      </c>
      <c r="EB16" s="675" t="s">
        <v>1135</v>
      </c>
      <c r="EC16" s="675" t="s">
        <v>1134</v>
      </c>
      <c r="ED16" s="675" t="s">
        <v>1136</v>
      </c>
    </row>
    <row r="17" spans="1:134" x14ac:dyDescent="0.2">
      <c r="A17" s="394" t="s">
        <v>703</v>
      </c>
      <c r="B17" s="395" t="s">
        <v>77</v>
      </c>
      <c r="C17" s="628">
        <v>10</v>
      </c>
      <c r="D17" s="874">
        <v>540</v>
      </c>
      <c r="E17" s="874">
        <v>0</v>
      </c>
      <c r="F17" s="874">
        <v>0</v>
      </c>
      <c r="G17" s="781">
        <v>0</v>
      </c>
      <c r="H17" s="874">
        <v>0</v>
      </c>
      <c r="I17" s="874">
        <v>0</v>
      </c>
      <c r="J17" s="786">
        <f t="shared" si="1"/>
        <v>540</v>
      </c>
      <c r="K17" s="875">
        <v>0</v>
      </c>
      <c r="L17" s="874">
        <v>0</v>
      </c>
      <c r="M17" s="876">
        <v>0</v>
      </c>
      <c r="N17" s="884">
        <v>270</v>
      </c>
      <c r="O17" s="876">
        <v>0</v>
      </c>
      <c r="P17" s="885">
        <v>270</v>
      </c>
      <c r="Q17" s="875">
        <v>0</v>
      </c>
      <c r="R17" s="874">
        <v>0</v>
      </c>
      <c r="S17" s="886">
        <v>0</v>
      </c>
      <c r="T17" s="874">
        <v>0</v>
      </c>
      <c r="U17" s="874">
        <v>0</v>
      </c>
      <c r="V17" s="876">
        <v>0</v>
      </c>
      <c r="W17" s="877">
        <v>609</v>
      </c>
      <c r="X17" s="874">
        <v>0</v>
      </c>
      <c r="Y17" s="781">
        <v>609</v>
      </c>
      <c r="Z17" s="874">
        <v>0</v>
      </c>
      <c r="AA17" s="885">
        <v>609</v>
      </c>
      <c r="AB17" s="783">
        <v>0</v>
      </c>
      <c r="AC17" s="874">
        <v>0</v>
      </c>
      <c r="AD17" s="874">
        <v>0</v>
      </c>
      <c r="AE17" s="876">
        <v>0</v>
      </c>
      <c r="AF17" s="877">
        <v>0</v>
      </c>
      <c r="AG17" s="876">
        <v>0</v>
      </c>
      <c r="AH17" s="771">
        <f t="shared" si="3"/>
        <v>879</v>
      </c>
      <c r="AI17" s="771">
        <f t="shared" si="4"/>
        <v>1419</v>
      </c>
      <c r="AJ17" s="260"/>
      <c r="AK17" s="132" t="str">
        <f t="shared" si="5"/>
        <v xml:space="preserve"> </v>
      </c>
      <c r="AL17" s="260"/>
      <c r="AN17" s="260"/>
      <c r="AO17" s="260"/>
      <c r="AT17" s="298" t="s">
        <v>704</v>
      </c>
      <c r="DS17" s="276"/>
      <c r="DT17" s="680"/>
      <c r="DU17" s="675" t="s">
        <v>415</v>
      </c>
      <c r="DV17" s="675" t="s">
        <v>1188</v>
      </c>
      <c r="DW17" s="675" t="s">
        <v>1134</v>
      </c>
      <c r="DX17" s="675" t="s">
        <v>1134</v>
      </c>
      <c r="DY17" s="675" t="s">
        <v>1260</v>
      </c>
      <c r="DZ17" s="675" t="s">
        <v>1134</v>
      </c>
      <c r="EA17" s="675" t="s">
        <v>1134</v>
      </c>
      <c r="EB17" s="675" t="s">
        <v>1135</v>
      </c>
      <c r="EC17" s="675" t="s">
        <v>1134</v>
      </c>
      <c r="ED17" s="675" t="s">
        <v>1136</v>
      </c>
    </row>
    <row r="18" spans="1:134" x14ac:dyDescent="0.2">
      <c r="A18" s="261" t="s">
        <v>705</v>
      </c>
      <c r="B18" s="261" t="s">
        <v>76</v>
      </c>
      <c r="C18" s="628">
        <v>11</v>
      </c>
      <c r="D18" s="874">
        <v>176</v>
      </c>
      <c r="E18" s="874">
        <v>0</v>
      </c>
      <c r="F18" s="874">
        <v>0</v>
      </c>
      <c r="G18" s="781">
        <v>0</v>
      </c>
      <c r="H18" s="874">
        <v>0</v>
      </c>
      <c r="I18" s="874">
        <v>0</v>
      </c>
      <c r="J18" s="786">
        <f t="shared" si="1"/>
        <v>176</v>
      </c>
      <c r="K18" s="875">
        <v>0</v>
      </c>
      <c r="L18" s="874">
        <v>0</v>
      </c>
      <c r="M18" s="876">
        <v>0</v>
      </c>
      <c r="N18" s="884">
        <v>83</v>
      </c>
      <c r="O18" s="876">
        <v>0</v>
      </c>
      <c r="P18" s="885">
        <v>83</v>
      </c>
      <c r="Q18" s="875">
        <v>0</v>
      </c>
      <c r="R18" s="874">
        <v>0</v>
      </c>
      <c r="S18" s="886">
        <v>24</v>
      </c>
      <c r="T18" s="874">
        <v>0</v>
      </c>
      <c r="U18" s="874">
        <v>24</v>
      </c>
      <c r="V18" s="876">
        <v>0</v>
      </c>
      <c r="W18" s="877">
        <v>155</v>
      </c>
      <c r="X18" s="874">
        <v>0</v>
      </c>
      <c r="Y18" s="781">
        <v>155</v>
      </c>
      <c r="Z18" s="874">
        <v>0</v>
      </c>
      <c r="AA18" s="885">
        <v>155</v>
      </c>
      <c r="AB18" s="783">
        <v>0</v>
      </c>
      <c r="AC18" s="874">
        <v>0</v>
      </c>
      <c r="AD18" s="874">
        <v>0</v>
      </c>
      <c r="AE18" s="876">
        <v>0</v>
      </c>
      <c r="AF18" s="877">
        <v>0</v>
      </c>
      <c r="AG18" s="876">
        <v>0</v>
      </c>
      <c r="AH18" s="771">
        <f t="shared" si="3"/>
        <v>262</v>
      </c>
      <c r="AI18" s="771">
        <f t="shared" si="4"/>
        <v>438</v>
      </c>
      <c r="AJ18" s="260"/>
      <c r="AK18" s="132" t="str">
        <f t="shared" si="5"/>
        <v xml:space="preserve"> </v>
      </c>
      <c r="AL18" s="260"/>
      <c r="AN18" s="260"/>
      <c r="AO18" s="260"/>
      <c r="AT18" s="298" t="s">
        <v>706</v>
      </c>
      <c r="DS18" s="276"/>
      <c r="DT18" s="680"/>
      <c r="DU18" s="675" t="s">
        <v>415</v>
      </c>
      <c r="DV18" s="675" t="s">
        <v>1187</v>
      </c>
      <c r="DW18" s="675" t="s">
        <v>1134</v>
      </c>
      <c r="DX18" s="675" t="s">
        <v>1134</v>
      </c>
      <c r="DY18" s="675" t="s">
        <v>1261</v>
      </c>
      <c r="DZ18" s="675" t="s">
        <v>1134</v>
      </c>
      <c r="EA18" s="675" t="s">
        <v>1134</v>
      </c>
      <c r="EB18" s="675" t="s">
        <v>1135</v>
      </c>
      <c r="EC18" s="675" t="s">
        <v>1134</v>
      </c>
      <c r="ED18" s="675" t="s">
        <v>1136</v>
      </c>
    </row>
    <row r="19" spans="1:134" x14ac:dyDescent="0.2">
      <c r="A19" s="392" t="s">
        <v>699</v>
      </c>
      <c r="B19" s="261" t="s">
        <v>77</v>
      </c>
      <c r="C19" s="628">
        <v>12</v>
      </c>
      <c r="D19" s="874">
        <v>176</v>
      </c>
      <c r="E19" s="874">
        <v>0</v>
      </c>
      <c r="F19" s="874">
        <v>0</v>
      </c>
      <c r="G19" s="781">
        <v>0</v>
      </c>
      <c r="H19" s="874">
        <v>0</v>
      </c>
      <c r="I19" s="874">
        <v>0</v>
      </c>
      <c r="J19" s="786">
        <f t="shared" si="1"/>
        <v>176</v>
      </c>
      <c r="K19" s="875">
        <v>0</v>
      </c>
      <c r="L19" s="874">
        <v>0</v>
      </c>
      <c r="M19" s="876">
        <v>0</v>
      </c>
      <c r="N19" s="884">
        <v>83</v>
      </c>
      <c r="O19" s="876">
        <v>0</v>
      </c>
      <c r="P19" s="885">
        <v>83</v>
      </c>
      <c r="Q19" s="875">
        <v>0</v>
      </c>
      <c r="R19" s="874">
        <v>0</v>
      </c>
      <c r="S19" s="886">
        <v>24</v>
      </c>
      <c r="T19" s="874">
        <v>0</v>
      </c>
      <c r="U19" s="874">
        <v>24</v>
      </c>
      <c r="V19" s="876">
        <v>0</v>
      </c>
      <c r="W19" s="877">
        <v>155</v>
      </c>
      <c r="X19" s="874">
        <v>0</v>
      </c>
      <c r="Y19" s="781">
        <v>155</v>
      </c>
      <c r="Z19" s="874">
        <v>0</v>
      </c>
      <c r="AA19" s="885">
        <v>155</v>
      </c>
      <c r="AB19" s="783">
        <v>0</v>
      </c>
      <c r="AC19" s="874">
        <v>0</v>
      </c>
      <c r="AD19" s="874">
        <v>0</v>
      </c>
      <c r="AE19" s="876">
        <v>0</v>
      </c>
      <c r="AF19" s="877">
        <v>0</v>
      </c>
      <c r="AG19" s="876">
        <v>0</v>
      </c>
      <c r="AH19" s="771">
        <f t="shared" si="3"/>
        <v>262</v>
      </c>
      <c r="AI19" s="771">
        <f t="shared" si="4"/>
        <v>438</v>
      </c>
      <c r="AJ19" s="260"/>
      <c r="AK19" s="132" t="str">
        <f t="shared" si="5"/>
        <v xml:space="preserve"> </v>
      </c>
      <c r="AL19" s="260"/>
      <c r="AN19" s="260"/>
      <c r="AO19" s="260"/>
      <c r="AT19" s="298" t="s">
        <v>707</v>
      </c>
      <c r="DS19" s="276"/>
      <c r="DT19" s="680"/>
      <c r="DU19" s="675" t="s">
        <v>415</v>
      </c>
      <c r="DV19" s="675" t="s">
        <v>1188</v>
      </c>
      <c r="DW19" s="675" t="s">
        <v>1134</v>
      </c>
      <c r="DX19" s="675" t="s">
        <v>1134</v>
      </c>
      <c r="DY19" s="675" t="s">
        <v>1261</v>
      </c>
      <c r="DZ19" s="675" t="s">
        <v>1134</v>
      </c>
      <c r="EA19" s="675" t="s">
        <v>1134</v>
      </c>
      <c r="EB19" s="675" t="s">
        <v>1135</v>
      </c>
      <c r="EC19" s="675" t="s">
        <v>1134</v>
      </c>
      <c r="ED19" s="675" t="s">
        <v>1136</v>
      </c>
    </row>
    <row r="20" spans="1:134" x14ac:dyDescent="0.2">
      <c r="A20" s="262" t="s">
        <v>789</v>
      </c>
      <c r="B20" s="262" t="s">
        <v>76</v>
      </c>
      <c r="C20" s="628">
        <v>13</v>
      </c>
      <c r="D20" s="874">
        <v>85</v>
      </c>
      <c r="E20" s="874">
        <v>0</v>
      </c>
      <c r="F20" s="874">
        <v>0</v>
      </c>
      <c r="G20" s="781">
        <v>0</v>
      </c>
      <c r="H20" s="874">
        <v>0</v>
      </c>
      <c r="I20" s="874">
        <v>0</v>
      </c>
      <c r="J20" s="786">
        <f t="shared" si="1"/>
        <v>85</v>
      </c>
      <c r="K20" s="875">
        <v>0</v>
      </c>
      <c r="L20" s="874">
        <v>0</v>
      </c>
      <c r="M20" s="876">
        <v>0</v>
      </c>
      <c r="N20" s="884">
        <v>202</v>
      </c>
      <c r="O20" s="876">
        <v>0</v>
      </c>
      <c r="P20" s="885">
        <v>202</v>
      </c>
      <c r="Q20" s="875">
        <v>0</v>
      </c>
      <c r="R20" s="874">
        <v>0</v>
      </c>
      <c r="S20" s="886">
        <v>100</v>
      </c>
      <c r="T20" s="874">
        <v>0</v>
      </c>
      <c r="U20" s="874">
        <v>100</v>
      </c>
      <c r="V20" s="876">
        <v>0</v>
      </c>
      <c r="W20" s="877">
        <v>45</v>
      </c>
      <c r="X20" s="874">
        <v>0</v>
      </c>
      <c r="Y20" s="781">
        <v>45</v>
      </c>
      <c r="Z20" s="874">
        <v>0</v>
      </c>
      <c r="AA20" s="885">
        <v>45</v>
      </c>
      <c r="AB20" s="783">
        <v>2</v>
      </c>
      <c r="AC20" s="874">
        <v>2</v>
      </c>
      <c r="AD20" s="874">
        <v>0</v>
      </c>
      <c r="AE20" s="876">
        <v>0</v>
      </c>
      <c r="AF20" s="877">
        <v>0</v>
      </c>
      <c r="AG20" s="876">
        <v>0</v>
      </c>
      <c r="AH20" s="771">
        <f t="shared" si="3"/>
        <v>349</v>
      </c>
      <c r="AI20" s="771">
        <f t="shared" si="4"/>
        <v>434</v>
      </c>
      <c r="AJ20" s="260"/>
      <c r="AK20" s="132" t="str">
        <f t="shared" si="5"/>
        <v xml:space="preserve"> </v>
      </c>
      <c r="AL20" s="260"/>
      <c r="AN20" s="260"/>
      <c r="AO20" s="260"/>
      <c r="AT20" s="298" t="s">
        <v>708</v>
      </c>
      <c r="DS20" s="276"/>
      <c r="DT20" s="680"/>
      <c r="DU20" s="675" t="s">
        <v>415</v>
      </c>
      <c r="DV20" s="675" t="s">
        <v>1187</v>
      </c>
      <c r="DW20" s="675" t="s">
        <v>1134</v>
      </c>
      <c r="DX20" s="675" t="s">
        <v>1134</v>
      </c>
      <c r="DY20" s="675" t="s">
        <v>1262</v>
      </c>
      <c r="DZ20" s="675" t="s">
        <v>1134</v>
      </c>
      <c r="EA20" s="675" t="s">
        <v>1134</v>
      </c>
      <c r="EB20" s="675" t="s">
        <v>1135</v>
      </c>
      <c r="EC20" s="675" t="s">
        <v>1134</v>
      </c>
      <c r="ED20" s="675" t="s">
        <v>1136</v>
      </c>
    </row>
    <row r="21" spans="1:134" x14ac:dyDescent="0.2">
      <c r="A21" s="390" t="s">
        <v>709</v>
      </c>
      <c r="B21" s="385" t="s">
        <v>77</v>
      </c>
      <c r="C21" s="155">
        <v>14</v>
      </c>
      <c r="D21" s="771">
        <f>ROUND('Table 8'!$C$66,3)</f>
        <v>85</v>
      </c>
      <c r="E21" s="771">
        <f>ROUND('Table 8'!$D$66,3)</f>
        <v>0</v>
      </c>
      <c r="F21" s="771">
        <f>ROUND('Table 8'!$E$66,3)</f>
        <v>0</v>
      </c>
      <c r="G21" s="771">
        <f>ROUND('Table 8'!$F$66,3)</f>
        <v>0</v>
      </c>
      <c r="H21" s="771">
        <f>ROUND('Table 8'!$G$66,3)</f>
        <v>0</v>
      </c>
      <c r="I21" s="771">
        <f>ROUND('Table 8'!$H$66,3)</f>
        <v>0</v>
      </c>
      <c r="J21" s="786">
        <f t="shared" si="1"/>
        <v>85</v>
      </c>
      <c r="K21" s="771">
        <f>ROUND('Table 8'!$J$66,3)</f>
        <v>0</v>
      </c>
      <c r="L21" s="771">
        <f>ROUND('Table 8'!$K$66,3)</f>
        <v>0</v>
      </c>
      <c r="M21" s="787">
        <f>ROUND('Table 8'!$L$66,3)</f>
        <v>0</v>
      </c>
      <c r="N21" s="788">
        <f>ROUND('Table 8'!$M$66,3)</f>
        <v>202</v>
      </c>
      <c r="O21" s="787">
        <f>ROUND('Table 8'!$N$66,3)</f>
        <v>0</v>
      </c>
      <c r="P21" s="786">
        <f>ROUND('Table 8'!$O$66,3)</f>
        <v>202</v>
      </c>
      <c r="Q21" s="785">
        <f>ROUND('Table 8'!$P$66,3)</f>
        <v>0</v>
      </c>
      <c r="R21" s="771">
        <f>ROUND('Table 8'!$Q$66,3)</f>
        <v>0</v>
      </c>
      <c r="S21" s="787">
        <f>ROUND('Table 8'!$R$66,3)</f>
        <v>100</v>
      </c>
      <c r="T21" s="771">
        <f>ROUND('Table 8'!$S$66,3)</f>
        <v>0</v>
      </c>
      <c r="U21" s="771">
        <f>ROUND('Table 8'!$T$66,3)</f>
        <v>100</v>
      </c>
      <c r="V21" s="787">
        <f>ROUND('Table 8'!$U$66,3)</f>
        <v>0</v>
      </c>
      <c r="W21" s="788">
        <f>ROUND('Table 8'!$V$66,3)</f>
        <v>45</v>
      </c>
      <c r="X21" s="771">
        <f>ROUND('Table 8'!$W$66,3)</f>
        <v>0</v>
      </c>
      <c r="Y21" s="771">
        <f>ROUND('Table 8'!$X$66,3)</f>
        <v>45</v>
      </c>
      <c r="Z21" s="771">
        <f>ROUND('Table 8'!$Y$66,3)</f>
        <v>0</v>
      </c>
      <c r="AA21" s="786">
        <f>ROUND('Table 8'!$Z$66,3)</f>
        <v>45</v>
      </c>
      <c r="AB21" s="785">
        <f>ROUND('Table 8'!$AA$66,3)</f>
        <v>2</v>
      </c>
      <c r="AC21" s="771">
        <f>ROUND('Table 8'!$AB$66,3)</f>
        <v>2</v>
      </c>
      <c r="AD21" s="771">
        <f>ROUND('Table 8'!$AC$66,3)</f>
        <v>0</v>
      </c>
      <c r="AE21" s="787">
        <f>ROUND('Table 8'!$AD$66,3)</f>
        <v>0</v>
      </c>
      <c r="AF21" s="788">
        <f>ROUND('Table 8'!$AE$66,3)</f>
        <v>0</v>
      </c>
      <c r="AG21" s="787">
        <f>ROUND('Table 8'!$AF$66,3)</f>
        <v>0</v>
      </c>
      <c r="AH21" s="771">
        <f t="shared" si="3"/>
        <v>349</v>
      </c>
      <c r="AI21" s="771">
        <f t="shared" si="4"/>
        <v>434</v>
      </c>
      <c r="AJ21" s="260"/>
      <c r="AK21" s="132" t="str">
        <f t="shared" si="5"/>
        <v xml:space="preserve"> </v>
      </c>
      <c r="AL21" s="260"/>
      <c r="AN21" s="260"/>
      <c r="AO21" s="260"/>
      <c r="AT21" s="298" t="s">
        <v>710</v>
      </c>
      <c r="DS21" s="276"/>
      <c r="DT21" s="680"/>
      <c r="DU21" s="675" t="s">
        <v>415</v>
      </c>
      <c r="DV21" s="675" t="s">
        <v>1188</v>
      </c>
      <c r="DW21" s="675" t="s">
        <v>1134</v>
      </c>
      <c r="DX21" s="675" t="s">
        <v>1134</v>
      </c>
      <c r="DY21" s="675" t="s">
        <v>1262</v>
      </c>
      <c r="DZ21" s="675" t="s">
        <v>1134</v>
      </c>
      <c r="EA21" s="675" t="s">
        <v>1134</v>
      </c>
      <c r="EB21" s="675" t="s">
        <v>1135</v>
      </c>
      <c r="EC21" s="675" t="s">
        <v>1134</v>
      </c>
      <c r="ED21" s="675" t="s">
        <v>1136</v>
      </c>
    </row>
    <row r="22" spans="1:134" x14ac:dyDescent="0.2">
      <c r="A22" s="261" t="s">
        <v>711</v>
      </c>
      <c r="B22" s="261" t="s">
        <v>76</v>
      </c>
      <c r="C22" s="628">
        <v>15</v>
      </c>
      <c r="D22" s="874">
        <v>0</v>
      </c>
      <c r="E22" s="874">
        <v>0</v>
      </c>
      <c r="F22" s="874">
        <v>0</v>
      </c>
      <c r="G22" s="781">
        <v>0</v>
      </c>
      <c r="H22" s="874">
        <v>0</v>
      </c>
      <c r="I22" s="874">
        <v>0</v>
      </c>
      <c r="J22" s="786">
        <f t="shared" si="1"/>
        <v>0</v>
      </c>
      <c r="K22" s="875">
        <v>0</v>
      </c>
      <c r="L22" s="874">
        <v>0</v>
      </c>
      <c r="M22" s="876">
        <v>0</v>
      </c>
      <c r="N22" s="884">
        <v>0</v>
      </c>
      <c r="O22" s="876">
        <v>0</v>
      </c>
      <c r="P22" s="885">
        <v>0</v>
      </c>
      <c r="Q22" s="875">
        <v>0</v>
      </c>
      <c r="R22" s="874">
        <v>0</v>
      </c>
      <c r="S22" s="886">
        <v>0</v>
      </c>
      <c r="T22" s="874">
        <v>0</v>
      </c>
      <c r="U22" s="874">
        <v>0</v>
      </c>
      <c r="V22" s="876">
        <v>0</v>
      </c>
      <c r="W22" s="877">
        <v>0</v>
      </c>
      <c r="X22" s="874">
        <v>0</v>
      </c>
      <c r="Y22" s="781">
        <v>0</v>
      </c>
      <c r="Z22" s="874">
        <v>0</v>
      </c>
      <c r="AA22" s="885">
        <v>0</v>
      </c>
      <c r="AB22" s="783">
        <v>0</v>
      </c>
      <c r="AC22" s="874">
        <v>0</v>
      </c>
      <c r="AD22" s="874">
        <v>0</v>
      </c>
      <c r="AE22" s="876">
        <v>0</v>
      </c>
      <c r="AF22" s="877">
        <v>0</v>
      </c>
      <c r="AG22" s="876">
        <v>0</v>
      </c>
      <c r="AH22" s="771">
        <f t="shared" si="3"/>
        <v>0</v>
      </c>
      <c r="AI22" s="771">
        <f t="shared" si="4"/>
        <v>0</v>
      </c>
      <c r="AJ22" s="260"/>
      <c r="AK22" s="132" t="str">
        <f t="shared" si="5"/>
        <v xml:space="preserve"> </v>
      </c>
      <c r="AL22" s="260"/>
      <c r="AN22" s="260"/>
      <c r="AO22" s="260"/>
      <c r="AT22" s="298" t="s">
        <v>712</v>
      </c>
      <c r="DS22" s="276"/>
      <c r="DT22" s="680"/>
      <c r="DU22" s="675" t="s">
        <v>415</v>
      </c>
      <c r="DV22" s="675" t="s">
        <v>1187</v>
      </c>
      <c r="DW22" s="675" t="s">
        <v>1134</v>
      </c>
      <c r="DX22" s="675" t="s">
        <v>1134</v>
      </c>
      <c r="DY22" s="675" t="s">
        <v>1263</v>
      </c>
      <c r="DZ22" s="675" t="s">
        <v>1134</v>
      </c>
      <c r="EA22" s="675" t="s">
        <v>1134</v>
      </c>
      <c r="EB22" s="675" t="s">
        <v>1135</v>
      </c>
      <c r="EC22" s="675" t="s">
        <v>1134</v>
      </c>
      <c r="ED22" s="675" t="s">
        <v>1136</v>
      </c>
    </row>
    <row r="23" spans="1:134" x14ac:dyDescent="0.2">
      <c r="A23" s="387" t="s">
        <v>713</v>
      </c>
      <c r="B23" s="385" t="s">
        <v>77</v>
      </c>
      <c r="C23" s="155">
        <v>16</v>
      </c>
      <c r="D23" s="771">
        <f>ROUND('Table 9'!$C$66,3)</f>
        <v>0</v>
      </c>
      <c r="E23" s="771">
        <f>ROUND('Table 9'!$D$66,3)</f>
        <v>0</v>
      </c>
      <c r="F23" s="771">
        <f>ROUND('Table 9'!$E$66,3)</f>
        <v>0</v>
      </c>
      <c r="G23" s="771">
        <f>ROUND('Table 9'!$F$66,3)</f>
        <v>0</v>
      </c>
      <c r="H23" s="771">
        <f>ROUND('Table 9'!$G$66,3)</f>
        <v>0</v>
      </c>
      <c r="I23" s="771">
        <f>ROUND('Table 9'!$H$66,3)</f>
        <v>0</v>
      </c>
      <c r="J23" s="786">
        <f t="shared" si="1"/>
        <v>0</v>
      </c>
      <c r="K23" s="771">
        <f>ROUND('Table 9'!$J$66,3)</f>
        <v>0</v>
      </c>
      <c r="L23" s="771">
        <f>ROUND('Table 9'!$K$66,3)</f>
        <v>0</v>
      </c>
      <c r="M23" s="787">
        <f>ROUND('Table 9'!$L$66,3)</f>
        <v>0</v>
      </c>
      <c r="N23" s="788">
        <f>ROUND('Table 9'!$M$66,3)</f>
        <v>0</v>
      </c>
      <c r="O23" s="787">
        <f>ROUND('Table 9'!$N$66,3)</f>
        <v>0</v>
      </c>
      <c r="P23" s="786">
        <f>ROUND('Table 9'!$O$66,3)</f>
        <v>0</v>
      </c>
      <c r="Q23" s="785">
        <f>ROUND('Table 9'!$P$66,3)</f>
        <v>0</v>
      </c>
      <c r="R23" s="771">
        <f>ROUND('Table 9'!$Q$66,3)</f>
        <v>0</v>
      </c>
      <c r="S23" s="787">
        <f>ROUND('Table 9'!$R$66,3)</f>
        <v>0</v>
      </c>
      <c r="T23" s="771">
        <f>ROUND('Table 9'!$S$66,3)</f>
        <v>0</v>
      </c>
      <c r="U23" s="771">
        <f>ROUND('Table 9'!$T$66,3)</f>
        <v>0</v>
      </c>
      <c r="V23" s="787">
        <f>ROUND('Table 9'!$U$66,3)</f>
        <v>0</v>
      </c>
      <c r="W23" s="788">
        <f>ROUND('Table 9'!$V$66,3)</f>
        <v>0</v>
      </c>
      <c r="X23" s="771">
        <f>ROUND('Table 9'!$W$66,3)</f>
        <v>0</v>
      </c>
      <c r="Y23" s="771">
        <f>ROUND('Table 9'!$X$66,3)</f>
        <v>0</v>
      </c>
      <c r="Z23" s="771">
        <f>ROUND('Table 9'!$Y$66,3)</f>
        <v>0</v>
      </c>
      <c r="AA23" s="786">
        <f>ROUND('Table 9'!$Z$66,3)</f>
        <v>0</v>
      </c>
      <c r="AB23" s="785">
        <f>ROUND('Table 9'!$AA$66,3)</f>
        <v>0</v>
      </c>
      <c r="AC23" s="771">
        <f>ROUND('Table 9'!$AB$66,3)</f>
        <v>0</v>
      </c>
      <c r="AD23" s="771">
        <f>ROUND('Table 9'!$AC$66,3)</f>
        <v>0</v>
      </c>
      <c r="AE23" s="787">
        <f>ROUND('Table 9'!$AD$66,3)</f>
        <v>0</v>
      </c>
      <c r="AF23" s="788">
        <f>ROUND('Table 9'!$AE$66,3)</f>
        <v>0</v>
      </c>
      <c r="AG23" s="787">
        <f>ROUND('Table 9'!$AF$66,3)</f>
        <v>0</v>
      </c>
      <c r="AH23" s="771">
        <f t="shared" si="3"/>
        <v>0</v>
      </c>
      <c r="AI23" s="771">
        <f t="shared" si="4"/>
        <v>0</v>
      </c>
      <c r="AJ23" s="260"/>
      <c r="AK23" s="132" t="str">
        <f t="shared" si="5"/>
        <v xml:space="preserve"> </v>
      </c>
      <c r="AL23" s="260"/>
      <c r="AN23" s="260"/>
      <c r="AO23" s="260"/>
      <c r="AT23" s="298" t="s">
        <v>714</v>
      </c>
      <c r="DS23" s="276"/>
      <c r="DT23" s="680"/>
      <c r="DU23" s="675" t="s">
        <v>415</v>
      </c>
      <c r="DV23" s="675" t="s">
        <v>1188</v>
      </c>
      <c r="DW23" s="675" t="s">
        <v>1134</v>
      </c>
      <c r="DX23" s="675" t="s">
        <v>1134</v>
      </c>
      <c r="DY23" s="675" t="s">
        <v>1263</v>
      </c>
      <c r="DZ23" s="675" t="s">
        <v>1134</v>
      </c>
      <c r="EA23" s="675" t="s">
        <v>1134</v>
      </c>
      <c r="EB23" s="675" t="s">
        <v>1135</v>
      </c>
      <c r="EC23" s="675" t="s">
        <v>1134</v>
      </c>
      <c r="ED23" s="675" t="s">
        <v>1136</v>
      </c>
    </row>
    <row r="24" spans="1:134" x14ac:dyDescent="0.2">
      <c r="A24" s="396" t="s">
        <v>715</v>
      </c>
      <c r="B24" s="385" t="s">
        <v>76</v>
      </c>
      <c r="C24" s="155">
        <v>17</v>
      </c>
      <c r="D24" s="771">
        <f t="shared" ref="D24:I25" si="6">ROUND(D14+D16+D18+D20+D22,3)</f>
        <v>801</v>
      </c>
      <c r="E24" s="771">
        <f t="shared" si="6"/>
        <v>0</v>
      </c>
      <c r="F24" s="771">
        <f t="shared" si="6"/>
        <v>0</v>
      </c>
      <c r="G24" s="771">
        <f t="shared" si="6"/>
        <v>0</v>
      </c>
      <c r="H24" s="771">
        <f t="shared" si="6"/>
        <v>0</v>
      </c>
      <c r="I24" s="771">
        <f t="shared" si="6"/>
        <v>0</v>
      </c>
      <c r="J24" s="786">
        <f t="shared" si="1"/>
        <v>801</v>
      </c>
      <c r="K24" s="771">
        <f t="shared" ref="K24:AG25" si="7">ROUND(K14+K16+K18+K20+K22,3)</f>
        <v>0</v>
      </c>
      <c r="L24" s="771">
        <f t="shared" si="7"/>
        <v>0</v>
      </c>
      <c r="M24" s="787">
        <f t="shared" si="7"/>
        <v>0</v>
      </c>
      <c r="N24" s="788">
        <f t="shared" si="7"/>
        <v>555</v>
      </c>
      <c r="O24" s="787">
        <f t="shared" si="7"/>
        <v>0</v>
      </c>
      <c r="P24" s="786">
        <f t="shared" si="7"/>
        <v>555</v>
      </c>
      <c r="Q24" s="785">
        <f t="shared" si="7"/>
        <v>0</v>
      </c>
      <c r="R24" s="771">
        <f t="shared" si="7"/>
        <v>0</v>
      </c>
      <c r="S24" s="787">
        <f t="shared" si="7"/>
        <v>124</v>
      </c>
      <c r="T24" s="771">
        <f t="shared" si="7"/>
        <v>0</v>
      </c>
      <c r="U24" s="771">
        <f t="shared" si="7"/>
        <v>124</v>
      </c>
      <c r="V24" s="787">
        <f t="shared" si="7"/>
        <v>0</v>
      </c>
      <c r="W24" s="788">
        <f t="shared" si="7"/>
        <v>809</v>
      </c>
      <c r="X24" s="771">
        <f t="shared" si="7"/>
        <v>0</v>
      </c>
      <c r="Y24" s="771">
        <f t="shared" si="7"/>
        <v>809</v>
      </c>
      <c r="Z24" s="771">
        <f t="shared" si="7"/>
        <v>0</v>
      </c>
      <c r="AA24" s="786">
        <f t="shared" si="7"/>
        <v>809</v>
      </c>
      <c r="AB24" s="785">
        <f t="shared" si="7"/>
        <v>2</v>
      </c>
      <c r="AC24" s="771">
        <f t="shared" si="7"/>
        <v>2</v>
      </c>
      <c r="AD24" s="771">
        <f t="shared" si="7"/>
        <v>0</v>
      </c>
      <c r="AE24" s="787">
        <f t="shared" si="7"/>
        <v>0</v>
      </c>
      <c r="AF24" s="788">
        <f t="shared" si="7"/>
        <v>0</v>
      </c>
      <c r="AG24" s="787">
        <f t="shared" si="7"/>
        <v>0</v>
      </c>
      <c r="AH24" s="771">
        <f t="shared" si="3"/>
        <v>1490</v>
      </c>
      <c r="AI24" s="771">
        <f t="shared" si="4"/>
        <v>2291</v>
      </c>
      <c r="AJ24" s="260"/>
      <c r="AK24" s="132" t="str">
        <f t="shared" si="5"/>
        <v xml:space="preserve"> </v>
      </c>
      <c r="AL24" s="260"/>
      <c r="AN24" s="260"/>
      <c r="AO24" s="260"/>
      <c r="AT24" s="298" t="s">
        <v>716</v>
      </c>
      <c r="DS24" s="276"/>
      <c r="DT24" s="680"/>
      <c r="DU24" s="675" t="s">
        <v>415</v>
      </c>
      <c r="DV24" s="675" t="s">
        <v>1187</v>
      </c>
      <c r="DW24" s="675" t="s">
        <v>1134</v>
      </c>
      <c r="DX24" s="675" t="s">
        <v>1134</v>
      </c>
      <c r="DY24" s="675" t="s">
        <v>1264</v>
      </c>
      <c r="DZ24" s="675" t="s">
        <v>1134</v>
      </c>
      <c r="EA24" s="675" t="s">
        <v>1134</v>
      </c>
      <c r="EB24" s="675" t="s">
        <v>1135</v>
      </c>
      <c r="EC24" s="675" t="s">
        <v>1134</v>
      </c>
      <c r="ED24" s="675" t="s">
        <v>1136</v>
      </c>
    </row>
    <row r="25" spans="1:134" ht="13.5" thickBot="1" x14ac:dyDescent="0.25">
      <c r="A25" s="397" t="s">
        <v>717</v>
      </c>
      <c r="B25" s="398" t="s">
        <v>77</v>
      </c>
      <c r="C25" s="629">
        <v>18</v>
      </c>
      <c r="D25" s="883">
        <f t="shared" si="6"/>
        <v>801</v>
      </c>
      <c r="E25" s="883">
        <f t="shared" si="6"/>
        <v>0</v>
      </c>
      <c r="F25" s="883">
        <f t="shared" si="6"/>
        <v>0</v>
      </c>
      <c r="G25" s="883">
        <f t="shared" si="6"/>
        <v>0</v>
      </c>
      <c r="H25" s="883">
        <f t="shared" si="6"/>
        <v>0</v>
      </c>
      <c r="I25" s="883">
        <f t="shared" si="6"/>
        <v>0</v>
      </c>
      <c r="J25" s="879">
        <f t="shared" si="1"/>
        <v>801</v>
      </c>
      <c r="K25" s="883">
        <f t="shared" si="7"/>
        <v>0</v>
      </c>
      <c r="L25" s="883">
        <f t="shared" si="7"/>
        <v>0</v>
      </c>
      <c r="M25" s="887">
        <f t="shared" si="7"/>
        <v>0</v>
      </c>
      <c r="N25" s="888">
        <f t="shared" si="7"/>
        <v>555</v>
      </c>
      <c r="O25" s="887">
        <f t="shared" si="7"/>
        <v>0</v>
      </c>
      <c r="P25" s="889">
        <f t="shared" si="7"/>
        <v>555</v>
      </c>
      <c r="Q25" s="890">
        <f t="shared" si="7"/>
        <v>0</v>
      </c>
      <c r="R25" s="883">
        <f t="shared" si="7"/>
        <v>0</v>
      </c>
      <c r="S25" s="887">
        <f t="shared" si="7"/>
        <v>124</v>
      </c>
      <c r="T25" s="883">
        <f t="shared" si="7"/>
        <v>0</v>
      </c>
      <c r="U25" s="883">
        <f t="shared" si="7"/>
        <v>124</v>
      </c>
      <c r="V25" s="887">
        <f t="shared" si="7"/>
        <v>0</v>
      </c>
      <c r="W25" s="888">
        <f t="shared" si="7"/>
        <v>809</v>
      </c>
      <c r="X25" s="883">
        <f t="shared" si="7"/>
        <v>0</v>
      </c>
      <c r="Y25" s="883">
        <f t="shared" si="7"/>
        <v>809</v>
      </c>
      <c r="Z25" s="883">
        <f t="shared" si="7"/>
        <v>0</v>
      </c>
      <c r="AA25" s="889">
        <f t="shared" si="7"/>
        <v>809</v>
      </c>
      <c r="AB25" s="890">
        <f t="shared" si="7"/>
        <v>2</v>
      </c>
      <c r="AC25" s="883">
        <f t="shared" si="7"/>
        <v>2</v>
      </c>
      <c r="AD25" s="883">
        <f t="shared" si="7"/>
        <v>0</v>
      </c>
      <c r="AE25" s="887">
        <f t="shared" si="7"/>
        <v>0</v>
      </c>
      <c r="AF25" s="888">
        <f t="shared" si="7"/>
        <v>0</v>
      </c>
      <c r="AG25" s="887">
        <f t="shared" si="7"/>
        <v>0</v>
      </c>
      <c r="AH25" s="883">
        <f t="shared" si="3"/>
        <v>1490</v>
      </c>
      <c r="AI25" s="883">
        <f t="shared" si="4"/>
        <v>2291</v>
      </c>
      <c r="AJ25" s="260"/>
      <c r="AK25" s="132" t="str">
        <f t="shared" si="5"/>
        <v xml:space="preserve"> </v>
      </c>
      <c r="AL25" s="260"/>
      <c r="AN25" s="260"/>
      <c r="AO25" s="260"/>
      <c r="AT25" s="298" t="s">
        <v>718</v>
      </c>
      <c r="DS25" s="276"/>
      <c r="DT25" s="680"/>
      <c r="DU25" s="675" t="s">
        <v>415</v>
      </c>
      <c r="DV25" s="675" t="s">
        <v>1188</v>
      </c>
      <c r="DW25" s="675" t="s">
        <v>1134</v>
      </c>
      <c r="DX25" s="675" t="s">
        <v>1134</v>
      </c>
      <c r="DY25" s="675" t="s">
        <v>1264</v>
      </c>
      <c r="DZ25" s="675" t="s">
        <v>1134</v>
      </c>
      <c r="EA25" s="675" t="s">
        <v>1134</v>
      </c>
      <c r="EB25" s="675" t="s">
        <v>1135</v>
      </c>
      <c r="EC25" s="675" t="s">
        <v>1134</v>
      </c>
      <c r="ED25" s="675" t="s">
        <v>1136</v>
      </c>
    </row>
    <row r="26" spans="1:134" x14ac:dyDescent="0.2">
      <c r="A26" s="400"/>
      <c r="C26" s="630"/>
      <c r="AE26" s="260"/>
      <c r="AF26" s="260"/>
      <c r="AG26" s="260"/>
      <c r="AH26" s="260"/>
      <c r="AI26" s="260"/>
      <c r="AJ26" s="260"/>
      <c r="AK26" s="314"/>
      <c r="AT26" s="320"/>
      <c r="DS26" s="680"/>
      <c r="DT26" s="680"/>
      <c r="DU26" s="680"/>
      <c r="DV26" s="680"/>
      <c r="DW26" s="680"/>
      <c r="DX26" s="680"/>
      <c r="DY26" s="680"/>
      <c r="DZ26" s="680"/>
      <c r="EA26" s="685"/>
      <c r="EB26" s="680"/>
      <c r="EC26" s="680"/>
      <c r="ED26" s="680"/>
    </row>
    <row r="27" spans="1:134" x14ac:dyDescent="0.2">
      <c r="A27" s="243" t="s">
        <v>719</v>
      </c>
      <c r="B27" s="243">
        <f>IF(QuestYear&lt;2020,'Days Equivalent Calculation'!F12,'New Days Equivalent Calculation'!F12)</f>
        <v>2025</v>
      </c>
      <c r="C27" s="630"/>
      <c r="AE27" s="260"/>
      <c r="AF27" s="260"/>
      <c r="AG27" s="260"/>
      <c r="AH27" s="260"/>
      <c r="AI27" s="260"/>
      <c r="AJ27" s="260"/>
      <c r="AK27" s="314"/>
      <c r="AT27" s="321"/>
      <c r="DS27" s="680"/>
      <c r="DT27" s="680"/>
      <c r="DU27" s="680"/>
      <c r="DV27" s="680"/>
      <c r="DW27" s="680"/>
      <c r="DX27" s="680"/>
      <c r="DY27" s="680"/>
      <c r="DZ27" s="680"/>
      <c r="EA27" s="685"/>
      <c r="EB27" s="680"/>
      <c r="EC27" s="680"/>
      <c r="ED27" s="680"/>
    </row>
    <row r="28" spans="1:134" x14ac:dyDescent="0.2">
      <c r="A28" s="263" t="s">
        <v>854</v>
      </c>
      <c r="B28" s="401"/>
      <c r="C28" s="628">
        <v>19</v>
      </c>
      <c r="D28" s="58"/>
      <c r="E28" s="58"/>
      <c r="F28" s="58"/>
      <c r="G28" s="58"/>
      <c r="H28" s="58"/>
      <c r="I28" s="58"/>
      <c r="J28" s="61"/>
      <c r="K28" s="62"/>
      <c r="L28" s="58"/>
      <c r="M28" s="874">
        <v>10777</v>
      </c>
      <c r="N28" s="58"/>
      <c r="O28" s="59"/>
      <c r="P28" s="61"/>
      <c r="Q28" s="62"/>
      <c r="R28" s="58"/>
      <c r="S28" s="58"/>
      <c r="T28" s="59"/>
      <c r="U28" s="59"/>
      <c r="V28" s="61"/>
      <c r="W28" s="62"/>
      <c r="X28" s="58"/>
      <c r="Y28" s="58"/>
      <c r="Z28" s="58"/>
      <c r="AA28" s="61"/>
      <c r="AB28" s="62"/>
      <c r="AC28" s="58"/>
      <c r="AD28" s="59"/>
      <c r="AE28" s="61"/>
      <c r="AF28" s="62"/>
      <c r="AG28" s="58"/>
      <c r="AH28" s="58"/>
      <c r="AI28" s="58"/>
      <c r="AJ28" s="260"/>
      <c r="AK28" s="132"/>
      <c r="AL28" s="260"/>
      <c r="AN28" s="260"/>
      <c r="AO28" s="260"/>
      <c r="AT28" s="298" t="s">
        <v>720</v>
      </c>
      <c r="DS28" s="276"/>
      <c r="DT28" s="680"/>
      <c r="DU28" s="675" t="s">
        <v>1133</v>
      </c>
      <c r="DV28" s="675" t="s">
        <v>1265</v>
      </c>
      <c r="DW28" s="675" t="s">
        <v>1134</v>
      </c>
      <c r="DX28" s="675" t="s">
        <v>1134</v>
      </c>
      <c r="DY28" s="675" t="s">
        <v>1134</v>
      </c>
      <c r="DZ28" s="675" t="s">
        <v>1134</v>
      </c>
      <c r="EA28" s="675" t="s">
        <v>1134</v>
      </c>
      <c r="EB28" s="675" t="s">
        <v>1135</v>
      </c>
      <c r="EC28" s="675" t="s">
        <v>1134</v>
      </c>
      <c r="ED28" s="675" t="s">
        <v>1136</v>
      </c>
    </row>
    <row r="29" spans="1:134" x14ac:dyDescent="0.2">
      <c r="A29" s="263" t="s">
        <v>635</v>
      </c>
      <c r="B29" s="401"/>
      <c r="C29" s="628">
        <v>20</v>
      </c>
      <c r="D29" s="58"/>
      <c r="E29" s="58"/>
      <c r="F29" s="58"/>
      <c r="G29" s="58"/>
      <c r="H29" s="58"/>
      <c r="I29" s="58"/>
      <c r="J29" s="61"/>
      <c r="K29" s="62"/>
      <c r="L29" s="58"/>
      <c r="M29" s="874">
        <v>0</v>
      </c>
      <c r="N29" s="58"/>
      <c r="O29" s="59"/>
      <c r="P29" s="61"/>
      <c r="Q29" s="62"/>
      <c r="R29" s="58"/>
      <c r="S29" s="58"/>
      <c r="T29" s="59"/>
      <c r="U29" s="59"/>
      <c r="V29" s="61"/>
      <c r="W29" s="62"/>
      <c r="X29" s="58"/>
      <c r="Y29" s="58"/>
      <c r="Z29" s="58"/>
      <c r="AA29" s="61"/>
      <c r="AB29" s="62"/>
      <c r="AC29" s="58"/>
      <c r="AD29" s="59"/>
      <c r="AE29" s="61"/>
      <c r="AF29" s="62"/>
      <c r="AG29" s="58"/>
      <c r="AH29" s="58"/>
      <c r="AI29" s="58"/>
      <c r="AJ29" s="260"/>
      <c r="AK29" s="132"/>
      <c r="AL29" s="260"/>
      <c r="AN29" s="260"/>
      <c r="AO29" s="260"/>
      <c r="AT29" s="298" t="s">
        <v>721</v>
      </c>
      <c r="DS29" s="276"/>
      <c r="DT29" s="680"/>
      <c r="DU29" s="675" t="s">
        <v>1165</v>
      </c>
      <c r="DV29" s="675" t="s">
        <v>1266</v>
      </c>
      <c r="DW29" s="675" t="s">
        <v>1134</v>
      </c>
      <c r="DX29" s="675" t="s">
        <v>1134</v>
      </c>
      <c r="DY29" s="675" t="s">
        <v>1134</v>
      </c>
      <c r="DZ29" s="675" t="s">
        <v>1134</v>
      </c>
      <c r="EA29" s="675" t="s">
        <v>1134</v>
      </c>
      <c r="EB29" s="675" t="s">
        <v>1135</v>
      </c>
      <c r="EC29" s="675" t="s">
        <v>1134</v>
      </c>
      <c r="ED29" s="675" t="s">
        <v>1136</v>
      </c>
    </row>
    <row r="30" spans="1:134" x14ac:dyDescent="0.2">
      <c r="A30" s="264" t="s">
        <v>873</v>
      </c>
      <c r="B30" s="401"/>
      <c r="C30" s="628">
        <v>21</v>
      </c>
      <c r="D30" s="58"/>
      <c r="E30" s="58"/>
      <c r="F30" s="58"/>
      <c r="G30" s="58"/>
      <c r="H30" s="58"/>
      <c r="I30" s="58"/>
      <c r="J30" s="885">
        <v>56756</v>
      </c>
      <c r="K30" s="62"/>
      <c r="L30" s="58"/>
      <c r="M30" s="874">
        <v>18032</v>
      </c>
      <c r="N30" s="58"/>
      <c r="O30" s="59"/>
      <c r="P30" s="61"/>
      <c r="Q30" s="62"/>
      <c r="R30" s="58"/>
      <c r="S30" s="58"/>
      <c r="T30" s="59"/>
      <c r="U30" s="59"/>
      <c r="V30" s="61"/>
      <c r="W30" s="62"/>
      <c r="X30" s="58"/>
      <c r="Y30" s="58"/>
      <c r="Z30" s="58"/>
      <c r="AA30" s="61"/>
      <c r="AB30" s="62"/>
      <c r="AC30" s="58"/>
      <c r="AD30" s="59"/>
      <c r="AE30" s="61"/>
      <c r="AF30" s="62"/>
      <c r="AG30" s="58"/>
      <c r="AH30" s="874">
        <v>81653</v>
      </c>
      <c r="AI30" s="58"/>
      <c r="AJ30" s="260"/>
      <c r="AK30" s="132"/>
      <c r="AL30" s="260"/>
      <c r="AN30" s="260"/>
      <c r="AO30" s="260"/>
      <c r="AT30" s="298" t="s">
        <v>722</v>
      </c>
      <c r="DS30" s="276"/>
      <c r="DT30" s="680"/>
      <c r="DU30" s="675" t="s">
        <v>552</v>
      </c>
      <c r="DV30" s="675" t="s">
        <v>1267</v>
      </c>
      <c r="DW30" s="675" t="s">
        <v>1134</v>
      </c>
      <c r="DX30" s="675" t="s">
        <v>1134</v>
      </c>
      <c r="DY30" s="675" t="s">
        <v>1134</v>
      </c>
      <c r="DZ30" s="675" t="s">
        <v>1134</v>
      </c>
      <c r="EA30" s="675" t="s">
        <v>1134</v>
      </c>
      <c r="EB30" s="675" t="s">
        <v>1135</v>
      </c>
      <c r="EC30" s="675" t="s">
        <v>1134</v>
      </c>
      <c r="ED30" s="675" t="s">
        <v>1136</v>
      </c>
    </row>
    <row r="31" spans="1:134" x14ac:dyDescent="0.2">
      <c r="A31" s="264" t="s">
        <v>874</v>
      </c>
      <c r="B31" s="401"/>
      <c r="C31" s="628">
        <v>22</v>
      </c>
      <c r="D31" s="58"/>
      <c r="E31" s="58"/>
      <c r="F31" s="58"/>
      <c r="G31" s="58"/>
      <c r="H31" s="58"/>
      <c r="I31" s="58"/>
      <c r="J31" s="885">
        <v>909</v>
      </c>
      <c r="K31" s="62"/>
      <c r="L31" s="58"/>
      <c r="M31" s="874">
        <v>13489</v>
      </c>
      <c r="N31" s="58"/>
      <c r="O31" s="59"/>
      <c r="P31" s="61"/>
      <c r="Q31" s="62"/>
      <c r="R31" s="58"/>
      <c r="S31" s="58"/>
      <c r="T31" s="59"/>
      <c r="U31" s="59"/>
      <c r="V31" s="61"/>
      <c r="W31" s="62"/>
      <c r="X31" s="58"/>
      <c r="Y31" s="58"/>
      <c r="Z31" s="58"/>
      <c r="AA31" s="61"/>
      <c r="AB31" s="62"/>
      <c r="AC31" s="58"/>
      <c r="AD31" s="59"/>
      <c r="AE31" s="61"/>
      <c r="AF31" s="62"/>
      <c r="AG31" s="58"/>
      <c r="AH31" s="874">
        <v>99624</v>
      </c>
      <c r="AI31" s="58"/>
      <c r="AJ31" s="260"/>
      <c r="AK31" s="132"/>
      <c r="AL31" s="260"/>
      <c r="AN31" s="260"/>
      <c r="AO31" s="260"/>
      <c r="AT31" s="298" t="s">
        <v>723</v>
      </c>
      <c r="DS31" s="276"/>
      <c r="DT31" s="680"/>
      <c r="DU31" s="675" t="s">
        <v>571</v>
      </c>
      <c r="DV31" s="675" t="s">
        <v>1268</v>
      </c>
      <c r="DW31" s="675" t="s">
        <v>1134</v>
      </c>
      <c r="DX31" s="675" t="s">
        <v>1134</v>
      </c>
      <c r="DY31" s="675" t="s">
        <v>1134</v>
      </c>
      <c r="DZ31" s="675" t="s">
        <v>1134</v>
      </c>
      <c r="EA31" s="675" t="s">
        <v>1134</v>
      </c>
      <c r="EB31" s="675" t="s">
        <v>1135</v>
      </c>
      <c r="EC31" s="675" t="s">
        <v>1134</v>
      </c>
      <c r="ED31" s="675" t="s">
        <v>1136</v>
      </c>
    </row>
    <row r="32" spans="1:134" x14ac:dyDescent="0.2">
      <c r="A32" s="265" t="s">
        <v>653</v>
      </c>
      <c r="B32" s="401"/>
      <c r="C32" s="628">
        <v>23</v>
      </c>
      <c r="D32" s="58"/>
      <c r="E32" s="58"/>
      <c r="F32" s="58"/>
      <c r="G32" s="58"/>
      <c r="H32" s="58"/>
      <c r="I32" s="58"/>
      <c r="J32" s="885">
        <v>55592</v>
      </c>
      <c r="K32" s="62"/>
      <c r="L32" s="58"/>
      <c r="M32" s="58"/>
      <c r="N32" s="58"/>
      <c r="O32" s="59"/>
      <c r="P32" s="61"/>
      <c r="Q32" s="62"/>
      <c r="R32" s="58"/>
      <c r="S32" s="58"/>
      <c r="T32" s="59"/>
      <c r="U32" s="59"/>
      <c r="V32" s="61"/>
      <c r="W32" s="62"/>
      <c r="X32" s="58"/>
      <c r="Y32" s="58"/>
      <c r="Z32" s="58"/>
      <c r="AA32" s="61"/>
      <c r="AB32" s="62"/>
      <c r="AC32" s="58"/>
      <c r="AD32" s="59"/>
      <c r="AE32" s="61"/>
      <c r="AF32" s="62"/>
      <c r="AG32" s="58"/>
      <c r="AH32" s="58"/>
      <c r="AI32" s="58"/>
      <c r="AJ32" s="260"/>
      <c r="AK32" s="132"/>
      <c r="AL32" s="260"/>
      <c r="AN32" s="260"/>
      <c r="AO32" s="260"/>
      <c r="AT32" s="298" t="s">
        <v>724</v>
      </c>
      <c r="DS32" s="276"/>
      <c r="DT32" s="680"/>
      <c r="DU32" s="675" t="s">
        <v>1137</v>
      </c>
      <c r="DV32" s="675" t="s">
        <v>1269</v>
      </c>
      <c r="DW32" s="675" t="s">
        <v>1134</v>
      </c>
      <c r="DX32" s="675" t="s">
        <v>1134</v>
      </c>
      <c r="DY32" s="675" t="s">
        <v>1134</v>
      </c>
      <c r="DZ32" s="675" t="s">
        <v>1134</v>
      </c>
      <c r="EA32" s="675" t="s">
        <v>1134</v>
      </c>
      <c r="EB32" s="675" t="s">
        <v>1135</v>
      </c>
      <c r="EC32" s="675" t="s">
        <v>1134</v>
      </c>
      <c r="ED32" s="675" t="s">
        <v>1136</v>
      </c>
    </row>
    <row r="33" spans="1:134" x14ac:dyDescent="0.2">
      <c r="A33" s="263" t="s">
        <v>638</v>
      </c>
      <c r="B33" s="401"/>
      <c r="C33" s="628">
        <v>24</v>
      </c>
      <c r="D33" s="58"/>
      <c r="E33" s="58"/>
      <c r="F33" s="58"/>
      <c r="G33" s="58"/>
      <c r="H33" s="58"/>
      <c r="I33" s="58"/>
      <c r="J33" s="61"/>
      <c r="K33" s="62"/>
      <c r="L33" s="58"/>
      <c r="M33" s="874">
        <v>0</v>
      </c>
      <c r="N33" s="58"/>
      <c r="O33" s="59"/>
      <c r="P33" s="61"/>
      <c r="Q33" s="62"/>
      <c r="R33" s="58"/>
      <c r="S33" s="58"/>
      <c r="T33" s="59"/>
      <c r="U33" s="59"/>
      <c r="V33" s="61"/>
      <c r="W33" s="62"/>
      <c r="X33" s="58"/>
      <c r="Y33" s="58"/>
      <c r="Z33" s="58"/>
      <c r="AA33" s="61"/>
      <c r="AB33" s="62"/>
      <c r="AC33" s="58"/>
      <c r="AD33" s="59"/>
      <c r="AE33" s="61"/>
      <c r="AF33" s="62"/>
      <c r="AG33" s="58"/>
      <c r="AH33" s="874">
        <v>12317</v>
      </c>
      <c r="AI33" s="58"/>
      <c r="AJ33" s="260"/>
      <c r="AK33" s="132"/>
      <c r="AL33" s="260"/>
      <c r="AN33" s="260"/>
      <c r="AO33" s="260"/>
      <c r="AT33" s="298" t="s">
        <v>725</v>
      </c>
      <c r="DS33" s="276"/>
      <c r="DT33" s="680"/>
      <c r="DU33" s="675" t="s">
        <v>1166</v>
      </c>
      <c r="DV33" s="675" t="s">
        <v>1270</v>
      </c>
      <c r="DW33" s="675" t="s">
        <v>1134</v>
      </c>
      <c r="DX33" s="675" t="s">
        <v>1134</v>
      </c>
      <c r="DY33" s="675" t="s">
        <v>1134</v>
      </c>
      <c r="DZ33" s="675" t="s">
        <v>1134</v>
      </c>
      <c r="EA33" s="675" t="s">
        <v>1134</v>
      </c>
      <c r="EB33" s="675" t="s">
        <v>1135</v>
      </c>
      <c r="EC33" s="675" t="s">
        <v>1134</v>
      </c>
      <c r="ED33" s="675" t="s">
        <v>1136</v>
      </c>
    </row>
    <row r="34" spans="1:134" x14ac:dyDescent="0.2">
      <c r="A34" s="266" t="s">
        <v>855</v>
      </c>
      <c r="B34" s="401"/>
      <c r="C34" s="628">
        <v>25</v>
      </c>
      <c r="D34" s="58"/>
      <c r="E34" s="58"/>
      <c r="F34" s="58"/>
      <c r="G34" s="58"/>
      <c r="H34" s="58"/>
      <c r="I34" s="58"/>
      <c r="J34" s="61"/>
      <c r="K34" s="62"/>
      <c r="L34" s="58"/>
      <c r="M34" s="874">
        <v>5664</v>
      </c>
      <c r="N34" s="874">
        <v>4183.57</v>
      </c>
      <c r="O34" s="59"/>
      <c r="P34" s="61"/>
      <c r="Q34" s="875">
        <v>1.37</v>
      </c>
      <c r="R34" s="874">
        <v>0</v>
      </c>
      <c r="S34" s="874">
        <v>3439</v>
      </c>
      <c r="T34" s="59"/>
      <c r="U34" s="59"/>
      <c r="V34" s="885">
        <v>72.72</v>
      </c>
      <c r="W34" s="62"/>
      <c r="X34" s="58"/>
      <c r="Y34" s="874">
        <v>5350.64</v>
      </c>
      <c r="Z34" s="62"/>
      <c r="AA34" s="61"/>
      <c r="AB34" s="874">
        <v>0</v>
      </c>
      <c r="AC34" s="58"/>
      <c r="AD34" s="59"/>
      <c r="AE34" s="61"/>
      <c r="AF34" s="62"/>
      <c r="AG34" s="58"/>
      <c r="AH34" s="58"/>
      <c r="AI34" s="58"/>
      <c r="AJ34" s="260"/>
      <c r="AK34" s="132"/>
      <c r="AL34" s="260"/>
      <c r="AN34" s="260"/>
      <c r="AO34" s="260"/>
      <c r="AT34" s="298" t="s">
        <v>726</v>
      </c>
      <c r="DS34" s="276"/>
      <c r="DT34" s="680"/>
      <c r="DU34" s="675" t="s">
        <v>914</v>
      </c>
      <c r="DV34" s="675" t="s">
        <v>1271</v>
      </c>
      <c r="DW34" s="675" t="s">
        <v>1134</v>
      </c>
      <c r="DX34" s="675" t="s">
        <v>1134</v>
      </c>
      <c r="DY34" s="675" t="s">
        <v>1134</v>
      </c>
      <c r="DZ34" s="675" t="s">
        <v>1134</v>
      </c>
      <c r="EA34" s="675" t="s">
        <v>1134</v>
      </c>
      <c r="EB34" s="675" t="s">
        <v>1135</v>
      </c>
      <c r="EC34" s="675" t="s">
        <v>1134</v>
      </c>
      <c r="ED34" s="675" t="s">
        <v>1136</v>
      </c>
    </row>
    <row r="35" spans="1:134" x14ac:dyDescent="0.2">
      <c r="A35" s="402" t="s">
        <v>875</v>
      </c>
      <c r="B35" s="261" t="s">
        <v>727</v>
      </c>
      <c r="C35" s="628">
        <v>26</v>
      </c>
      <c r="D35" s="58"/>
      <c r="E35" s="58"/>
      <c r="F35" s="58"/>
      <c r="G35" s="58"/>
      <c r="H35" s="58"/>
      <c r="I35" s="58"/>
      <c r="J35" s="885">
        <v>4410</v>
      </c>
      <c r="K35" s="62"/>
      <c r="L35" s="58"/>
      <c r="M35" s="874">
        <v>1808</v>
      </c>
      <c r="N35" s="58"/>
      <c r="O35" s="59"/>
      <c r="P35" s="61"/>
      <c r="Q35" s="62"/>
      <c r="R35" s="58"/>
      <c r="S35" s="58"/>
      <c r="T35" s="59"/>
      <c r="U35" s="59"/>
      <c r="V35" s="61"/>
      <c r="W35" s="62"/>
      <c r="X35" s="58"/>
      <c r="Y35" s="58"/>
      <c r="Z35" s="58"/>
      <c r="AA35" s="61"/>
      <c r="AB35" s="62"/>
      <c r="AC35" s="58"/>
      <c r="AD35" s="59"/>
      <c r="AE35" s="61"/>
      <c r="AF35" s="62"/>
      <c r="AG35" s="58"/>
      <c r="AH35" s="874">
        <v>8960</v>
      </c>
      <c r="AI35" s="58"/>
      <c r="AJ35" s="260"/>
      <c r="AK35" s="132"/>
      <c r="AL35" s="260"/>
      <c r="AN35" s="260"/>
      <c r="AO35" s="260"/>
      <c r="AT35" s="298" t="s">
        <v>728</v>
      </c>
      <c r="DS35" s="276"/>
      <c r="DT35" s="680"/>
      <c r="DU35" s="675" t="s">
        <v>415</v>
      </c>
      <c r="DV35" s="675" t="s">
        <v>1272</v>
      </c>
      <c r="DW35" s="675" t="s">
        <v>1134</v>
      </c>
      <c r="DX35" s="675" t="s">
        <v>1134</v>
      </c>
      <c r="DY35" s="675" t="s">
        <v>1140</v>
      </c>
      <c r="DZ35" s="675" t="s">
        <v>1134</v>
      </c>
      <c r="EA35" s="675" t="s">
        <v>1134</v>
      </c>
      <c r="EB35" s="675" t="s">
        <v>1135</v>
      </c>
      <c r="EC35" s="675" t="s">
        <v>1134</v>
      </c>
      <c r="ED35" s="675" t="s">
        <v>1136</v>
      </c>
    </row>
    <row r="36" spans="1:134" x14ac:dyDescent="0.2">
      <c r="A36" s="392" t="s">
        <v>729</v>
      </c>
      <c r="B36" s="393" t="s">
        <v>730</v>
      </c>
      <c r="C36" s="628">
        <v>27</v>
      </c>
      <c r="D36" s="58"/>
      <c r="E36" s="58"/>
      <c r="F36" s="58"/>
      <c r="G36" s="58"/>
      <c r="H36" s="58"/>
      <c r="I36" s="58"/>
      <c r="J36" s="885">
        <v>4497</v>
      </c>
      <c r="K36" s="62"/>
      <c r="L36" s="58"/>
      <c r="M36" s="874">
        <v>1495</v>
      </c>
      <c r="N36" s="58"/>
      <c r="O36" s="59"/>
      <c r="P36" s="61"/>
      <c r="Q36" s="62"/>
      <c r="R36" s="58"/>
      <c r="S36" s="58"/>
      <c r="T36" s="59"/>
      <c r="U36" s="59"/>
      <c r="V36" s="61"/>
      <c r="W36" s="62"/>
      <c r="X36" s="58"/>
      <c r="Y36" s="58"/>
      <c r="Z36" s="58"/>
      <c r="AA36" s="61"/>
      <c r="AB36" s="62"/>
      <c r="AC36" s="58"/>
      <c r="AD36" s="59"/>
      <c r="AE36" s="61"/>
      <c r="AF36" s="62"/>
      <c r="AG36" s="58"/>
      <c r="AH36" s="874">
        <v>9157</v>
      </c>
      <c r="AI36" s="58"/>
      <c r="AJ36" s="260"/>
      <c r="AK36" s="132"/>
      <c r="AL36" s="260"/>
      <c r="AN36" s="260"/>
      <c r="AO36" s="260"/>
      <c r="AT36" s="298" t="s">
        <v>731</v>
      </c>
      <c r="DS36" s="276"/>
      <c r="DT36" s="680"/>
      <c r="DU36" s="675" t="s">
        <v>415</v>
      </c>
      <c r="DV36" s="675" t="s">
        <v>1273</v>
      </c>
      <c r="DW36" s="675" t="s">
        <v>1134</v>
      </c>
      <c r="DX36" s="675" t="s">
        <v>1134</v>
      </c>
      <c r="DY36" s="675" t="s">
        <v>1140</v>
      </c>
      <c r="DZ36" s="675" t="s">
        <v>1134</v>
      </c>
      <c r="EA36" s="675" t="s">
        <v>1134</v>
      </c>
      <c r="EB36" s="675" t="s">
        <v>1135</v>
      </c>
      <c r="EC36" s="675" t="s">
        <v>1134</v>
      </c>
      <c r="ED36" s="675" t="s">
        <v>1136</v>
      </c>
    </row>
    <row r="37" spans="1:134" ht="13.5" thickBot="1" x14ac:dyDescent="0.25">
      <c r="A37" s="403" t="s">
        <v>876</v>
      </c>
      <c r="B37" s="404"/>
      <c r="C37" s="631">
        <v>28</v>
      </c>
      <c r="D37" s="214"/>
      <c r="E37" s="214"/>
      <c r="F37" s="214"/>
      <c r="G37" s="214"/>
      <c r="H37" s="214"/>
      <c r="I37" s="214"/>
      <c r="J37" s="215"/>
      <c r="K37" s="216"/>
      <c r="L37" s="214"/>
      <c r="M37" s="878">
        <v>263</v>
      </c>
      <c r="N37" s="214"/>
      <c r="O37" s="217"/>
      <c r="P37" s="215"/>
      <c r="Q37" s="216"/>
      <c r="R37" s="214"/>
      <c r="S37" s="214"/>
      <c r="T37" s="217"/>
      <c r="U37" s="217"/>
      <c r="V37" s="215"/>
      <c r="W37" s="216"/>
      <c r="X37" s="214"/>
      <c r="Y37" s="214"/>
      <c r="Z37" s="214"/>
      <c r="AA37" s="215"/>
      <c r="AB37" s="216"/>
      <c r="AC37" s="214"/>
      <c r="AD37" s="217"/>
      <c r="AE37" s="215"/>
      <c r="AF37" s="216"/>
      <c r="AG37" s="214"/>
      <c r="AH37" s="214"/>
      <c r="AI37" s="214"/>
      <c r="AJ37" s="260"/>
      <c r="AK37" s="132"/>
      <c r="AL37" s="260"/>
      <c r="AN37" s="260"/>
      <c r="AO37" s="260"/>
      <c r="AT37" s="298" t="s">
        <v>732</v>
      </c>
      <c r="DS37" s="276"/>
      <c r="DT37" s="680"/>
      <c r="DU37" s="675" t="s">
        <v>1137</v>
      </c>
      <c r="DV37" s="675" t="s">
        <v>1274</v>
      </c>
      <c r="DW37" s="675" t="s">
        <v>1134</v>
      </c>
      <c r="DX37" s="675" t="s">
        <v>1134</v>
      </c>
      <c r="DY37" s="675" t="s">
        <v>1134</v>
      </c>
      <c r="DZ37" s="675" t="s">
        <v>1134</v>
      </c>
      <c r="EA37" s="675" t="s">
        <v>1134</v>
      </c>
      <c r="EB37" s="675" t="s">
        <v>1135</v>
      </c>
      <c r="EC37" s="675" t="s">
        <v>1134</v>
      </c>
      <c r="ED37" s="675" t="s">
        <v>1136</v>
      </c>
    </row>
    <row r="38" spans="1:134" ht="22.5" customHeight="1" x14ac:dyDescent="0.2">
      <c r="A38" s="410"/>
      <c r="C38" s="411"/>
      <c r="D38" s="260"/>
      <c r="E38" s="260"/>
      <c r="F38" s="260"/>
      <c r="G38" s="260"/>
      <c r="H38" s="260"/>
      <c r="I38" s="260"/>
      <c r="M38" s="260"/>
      <c r="AE38" s="260"/>
      <c r="AF38" s="260"/>
      <c r="AG38" s="260"/>
      <c r="AH38" s="260"/>
      <c r="AI38" s="260"/>
      <c r="AJ38" s="260"/>
      <c r="AK38" s="314"/>
      <c r="AT38" s="320"/>
      <c r="DS38" s="276"/>
      <c r="DT38" s="680"/>
      <c r="DU38" s="675"/>
      <c r="DV38" s="675"/>
      <c r="DW38" s="675"/>
      <c r="DX38" s="675"/>
      <c r="DY38" s="675"/>
      <c r="DZ38" s="675"/>
      <c r="EA38" s="675"/>
      <c r="EB38" s="675"/>
      <c r="EC38" s="675"/>
      <c r="ED38" s="675"/>
    </row>
    <row r="39" spans="1:134" ht="22.5" customHeight="1" x14ac:dyDescent="0.2">
      <c r="M39" s="260"/>
      <c r="AE39" s="260"/>
      <c r="AF39" s="260"/>
      <c r="AG39" s="260"/>
      <c r="AH39" s="260"/>
      <c r="AI39" s="260"/>
      <c r="AJ39" s="260"/>
      <c r="AK39" s="314"/>
      <c r="AT39" s="322"/>
      <c r="DS39" s="276"/>
      <c r="DT39" s="680"/>
      <c r="DU39" s="675"/>
      <c r="DV39" s="675"/>
      <c r="DW39" s="675"/>
      <c r="DX39" s="675"/>
      <c r="DY39" s="675"/>
      <c r="DZ39" s="675"/>
      <c r="EA39" s="675"/>
      <c r="EB39" s="675"/>
      <c r="EC39" s="675"/>
      <c r="ED39" s="675"/>
    </row>
    <row r="40" spans="1:134" x14ac:dyDescent="0.2">
      <c r="A40" s="412" t="s">
        <v>1351</v>
      </c>
      <c r="B40" s="732"/>
      <c r="C40" s="733">
        <v>29</v>
      </c>
      <c r="D40" s="1168" t="str">
        <f>IF('Table 1'!$E$3&lt;2020, "Not applicable", IF('New Days Equivalent Calculation'!E50=1,'New Days Equivalent Calculation'!I76, IF('New Days Equivalent Calculation'!E50=2,'New Days Equivalent Calculation'!I77,'New Days Equivalent Calculation'!I78)))</f>
        <v>4% default value for naphtha yield</v>
      </c>
      <c r="E40" s="1169"/>
      <c r="F40" s="1169"/>
      <c r="G40" s="1170"/>
      <c r="H40" s="734" t="s">
        <v>1357</v>
      </c>
      <c r="M40" s="260"/>
      <c r="AE40" s="260"/>
      <c r="AF40" s="260"/>
      <c r="AG40" s="260"/>
      <c r="AH40" s="260"/>
      <c r="AI40" s="260"/>
      <c r="AJ40" s="260"/>
      <c r="AK40" s="260"/>
      <c r="AT40" s="267"/>
      <c r="DS40" s="276"/>
      <c r="DT40" s="680"/>
      <c r="DU40" s="675"/>
      <c r="DV40" s="675"/>
      <c r="DW40" s="675"/>
      <c r="DX40" s="675"/>
      <c r="DY40" s="675"/>
      <c r="DZ40" s="675"/>
      <c r="EA40" s="675"/>
      <c r="EB40" s="675"/>
      <c r="EC40" s="675"/>
      <c r="ED40" s="675"/>
    </row>
    <row r="41" spans="1:134" x14ac:dyDescent="0.2">
      <c r="A41" s="412" t="s">
        <v>1352</v>
      </c>
      <c r="B41" s="732"/>
      <c r="C41" s="733">
        <v>30</v>
      </c>
      <c r="D41" s="1023" t="str">
        <f>IF('Table 1'!$E$3&lt;2020,'Days Equivalent Calculation'!F77,'New Days Equivalent Calculation'!F78)</f>
        <v>Net Imports</v>
      </c>
      <c r="E41" s="1024"/>
      <c r="F41" s="735">
        <f>IF(D41="Inland Consumption",1,0)</f>
        <v>0</v>
      </c>
      <c r="M41" s="260"/>
      <c r="AE41" s="260"/>
      <c r="AF41" s="260"/>
      <c r="AG41" s="260"/>
      <c r="AH41" s="260"/>
      <c r="AI41" s="260"/>
      <c r="AJ41" s="260"/>
      <c r="AK41" s="260"/>
      <c r="AT41" s="267"/>
      <c r="DS41" s="276"/>
      <c r="DT41" s="680"/>
      <c r="DU41" s="675"/>
      <c r="DV41" s="675"/>
      <c r="DW41" s="675"/>
      <c r="DX41" s="675"/>
      <c r="DY41" s="675"/>
      <c r="DZ41" s="675"/>
      <c r="EA41" s="675"/>
      <c r="EB41" s="675"/>
      <c r="EC41" s="675"/>
      <c r="ED41" s="675"/>
    </row>
    <row r="42" spans="1:134" x14ac:dyDescent="0.2">
      <c r="A42" s="412" t="s">
        <v>1353</v>
      </c>
      <c r="B42" s="732"/>
      <c r="C42" s="155">
        <v>31</v>
      </c>
      <c r="D42" s="1025">
        <f>IF('Table 1'!$E$3&lt;2020,'Days Equivalent Calculation'!$F$78,'New Days Equivalent Calculation'!$F$79)</f>
        <v>3918.4360273972597</v>
      </c>
      <c r="E42" s="1026"/>
      <c r="M42" s="260"/>
      <c r="AE42" s="260"/>
      <c r="AF42" s="260"/>
      <c r="AG42" s="260"/>
      <c r="AH42" s="260"/>
      <c r="AI42" s="1082"/>
      <c r="AJ42" s="260"/>
      <c r="AK42" s="260"/>
      <c r="AT42" s="298" t="s">
        <v>1373</v>
      </c>
      <c r="DS42" s="276"/>
      <c r="DT42" s="680"/>
      <c r="DU42" s="675" t="s">
        <v>415</v>
      </c>
      <c r="DV42" s="675" t="s">
        <v>1188</v>
      </c>
      <c r="DW42" s="675" t="s">
        <v>1134</v>
      </c>
      <c r="DX42" s="675" t="s">
        <v>1134</v>
      </c>
      <c r="DY42" s="675" t="s">
        <v>1275</v>
      </c>
      <c r="DZ42" s="675" t="s">
        <v>1134</v>
      </c>
      <c r="EA42" s="675" t="s">
        <v>1134</v>
      </c>
      <c r="EB42" s="675" t="s">
        <v>1135</v>
      </c>
      <c r="EC42" s="675" t="s">
        <v>1134</v>
      </c>
      <c r="ED42" s="675" t="s">
        <v>1136</v>
      </c>
    </row>
    <row r="43" spans="1:134" x14ac:dyDescent="0.2">
      <c r="A43" s="412" t="s">
        <v>1354</v>
      </c>
      <c r="B43" s="732"/>
      <c r="C43" s="733">
        <v>32</v>
      </c>
      <c r="D43" s="1025">
        <f>IF(F41=1,"",IF('Table 1'!$E$3&lt;2020,'Days Equivalent Calculation'!$F$79,'New Days Equivalent Calculation'!$F$80))</f>
        <v>43.538178082191777</v>
      </c>
      <c r="E43" s="1026"/>
      <c r="M43" s="260"/>
      <c r="AE43" s="260"/>
      <c r="AF43" s="260"/>
      <c r="AG43" s="260"/>
      <c r="AH43" s="260"/>
      <c r="AI43" s="1082"/>
      <c r="AJ43" s="260"/>
      <c r="AK43" s="260"/>
      <c r="AT43" s="298" t="s">
        <v>1370</v>
      </c>
      <c r="DS43" s="276"/>
      <c r="DT43" s="680"/>
      <c r="DU43" s="675" t="s">
        <v>552</v>
      </c>
      <c r="DV43" s="675" t="s">
        <v>1276</v>
      </c>
      <c r="DW43" s="675" t="s">
        <v>1134</v>
      </c>
      <c r="DX43" s="675" t="s">
        <v>1134</v>
      </c>
      <c r="DY43" s="675" t="s">
        <v>1134</v>
      </c>
      <c r="DZ43" s="675" t="s">
        <v>1134</v>
      </c>
      <c r="EA43" s="675" t="s">
        <v>1134</v>
      </c>
      <c r="EB43" s="675" t="s">
        <v>1135</v>
      </c>
      <c r="EC43" s="675" t="s">
        <v>1134</v>
      </c>
      <c r="ED43" s="675" t="s">
        <v>1136</v>
      </c>
    </row>
    <row r="44" spans="1:134" x14ac:dyDescent="0.2">
      <c r="A44" s="412" t="s">
        <v>1355</v>
      </c>
      <c r="B44" s="732"/>
      <c r="C44" s="733">
        <v>33</v>
      </c>
      <c r="D44" s="1025" t="str">
        <f>IF(F41&lt;&gt;1,"",IF('Table 1'!$E$3&lt;2020,'Days Equivalent Calculation'!$F$79,'New Days Equivalent Calculation'!$F$80))</f>
        <v/>
      </c>
      <c r="E44" s="1026"/>
      <c r="M44" s="260"/>
      <c r="AE44" s="260"/>
      <c r="AF44" s="260"/>
      <c r="AG44" s="260"/>
      <c r="AH44" s="260"/>
      <c r="AI44" s="1082"/>
      <c r="AJ44" s="260"/>
      <c r="AK44" s="260"/>
      <c r="AT44" s="298" t="s">
        <v>1372</v>
      </c>
      <c r="DS44" s="276"/>
      <c r="DT44" s="680"/>
      <c r="DU44" s="675" t="s">
        <v>1174</v>
      </c>
      <c r="DV44" s="675" t="s">
        <v>1277</v>
      </c>
      <c r="DW44" s="675" t="s">
        <v>1134</v>
      </c>
      <c r="DX44" s="675" t="s">
        <v>1134</v>
      </c>
      <c r="DY44" s="675" t="s">
        <v>1134</v>
      </c>
      <c r="DZ44" s="675" t="s">
        <v>1134</v>
      </c>
      <c r="EA44" s="675" t="s">
        <v>1134</v>
      </c>
      <c r="EB44" s="675" t="s">
        <v>1135</v>
      </c>
      <c r="EC44" s="675" t="s">
        <v>1134</v>
      </c>
      <c r="ED44" s="675" t="s">
        <v>1136</v>
      </c>
    </row>
    <row r="45" spans="1:134" x14ac:dyDescent="0.2">
      <c r="A45" s="412" t="s">
        <v>1356</v>
      </c>
      <c r="B45" s="732"/>
      <c r="C45" s="733">
        <v>34</v>
      </c>
      <c r="D45" s="1066" t="str">
        <f>IF('Table 1'!$E$3&lt;2020,'Days Equivalent Calculation'!$F$128,'New Days Equivalent Calculation'!$I$121)</f>
        <v>Annex III (b)</v>
      </c>
      <c r="E45" s="1067"/>
      <c r="AE45" s="260"/>
      <c r="AF45" s="260"/>
      <c r="AG45" s="260"/>
      <c r="AH45" s="260"/>
      <c r="AI45" s="1082"/>
      <c r="AJ45" s="260"/>
      <c r="AK45" s="260"/>
      <c r="DS45" s="276"/>
      <c r="DT45" s="680"/>
      <c r="DU45" s="675"/>
      <c r="DV45" s="675"/>
      <c r="DW45" s="675"/>
      <c r="DX45" s="675"/>
      <c r="DY45" s="675"/>
      <c r="DZ45" s="675"/>
      <c r="EA45" s="675"/>
      <c r="EB45" s="675"/>
      <c r="EC45" s="675"/>
      <c r="ED45" s="675"/>
    </row>
    <row r="46" spans="1:134" x14ac:dyDescent="0.2">
      <c r="A46" s="412" t="s">
        <v>734</v>
      </c>
      <c r="B46" s="413"/>
      <c r="C46" s="1151">
        <v>35</v>
      </c>
      <c r="D46" s="1068"/>
      <c r="E46" s="1069"/>
      <c r="AE46" s="260"/>
      <c r="AF46" s="260"/>
      <c r="AG46" s="260"/>
      <c r="AH46" s="260"/>
      <c r="AI46" s="1082"/>
      <c r="AJ46" s="767"/>
      <c r="AK46" s="260"/>
      <c r="DS46" s="276"/>
      <c r="DT46" s="680"/>
      <c r="DU46" s="675"/>
      <c r="DV46" s="675"/>
      <c r="DW46" s="675"/>
      <c r="DX46" s="675"/>
      <c r="DY46" s="675"/>
      <c r="DZ46" s="675"/>
      <c r="EA46" s="675"/>
      <c r="EB46" s="675"/>
      <c r="EC46" s="675"/>
      <c r="ED46" s="675"/>
    </row>
    <row r="47" spans="1:134" x14ac:dyDescent="0.2">
      <c r="A47" s="414" t="s">
        <v>737</v>
      </c>
      <c r="B47" s="415"/>
      <c r="C47" s="1152"/>
      <c r="D47" s="1070">
        <f>IF('Table 1'!$E$3&lt;2020,'Days Equivalent Calculation'!$F$133,'New Days Equivalent Calculation'!$F$122)</f>
        <v>52.856000000000002</v>
      </c>
      <c r="E47" s="1031"/>
      <c r="AE47" s="260"/>
      <c r="AF47" s="260"/>
      <c r="AG47" s="260"/>
      <c r="AH47" s="260"/>
      <c r="AI47" s="1082"/>
      <c r="AJ47" s="473"/>
      <c r="AK47" s="260"/>
      <c r="AT47" s="298" t="s">
        <v>738</v>
      </c>
      <c r="DS47" s="276"/>
      <c r="DT47" s="680"/>
      <c r="DU47" s="675" t="s">
        <v>415</v>
      </c>
      <c r="DV47" s="675" t="s">
        <v>1188</v>
      </c>
      <c r="DW47" s="675" t="s">
        <v>1134</v>
      </c>
      <c r="DX47" s="675" t="s">
        <v>1134</v>
      </c>
      <c r="DY47" s="675" t="s">
        <v>1264</v>
      </c>
      <c r="DZ47" s="675" t="s">
        <v>1134</v>
      </c>
      <c r="EA47" s="675" t="s">
        <v>1134</v>
      </c>
      <c r="EB47" s="675" t="s">
        <v>1278</v>
      </c>
      <c r="EC47" s="675" t="s">
        <v>1134</v>
      </c>
      <c r="ED47" s="675" t="s">
        <v>1279</v>
      </c>
    </row>
    <row r="48" spans="1:134" x14ac:dyDescent="0.2">
      <c r="A48" s="764" t="s">
        <v>1351</v>
      </c>
      <c r="B48" s="735"/>
      <c r="C48" s="765"/>
      <c r="D48" s="1088">
        <f>IF('Table 1'!$E$3&lt;2020, 'Days Equivalent Calculation'!$F$55, 'New Days Equivalent Calculation'!$E$50)</f>
        <v>1</v>
      </c>
      <c r="E48" s="1032"/>
      <c r="AE48" s="260"/>
      <c r="AF48" s="260"/>
      <c r="AG48" s="260"/>
      <c r="AH48" s="260"/>
      <c r="AI48" s="1082"/>
      <c r="AJ48" s="473"/>
      <c r="AK48" s="260"/>
      <c r="AT48" s="298" t="s">
        <v>1371</v>
      </c>
      <c r="DS48" s="276"/>
      <c r="DT48" s="680"/>
      <c r="DU48" s="675" t="s">
        <v>415</v>
      </c>
      <c r="DV48" s="675" t="s">
        <v>1188</v>
      </c>
      <c r="DW48" s="675" t="s">
        <v>1134</v>
      </c>
      <c r="DX48" s="675" t="s">
        <v>1134</v>
      </c>
      <c r="DY48" s="675" t="s">
        <v>1264</v>
      </c>
      <c r="DZ48" s="675" t="s">
        <v>1134</v>
      </c>
      <c r="EA48" s="675" t="s">
        <v>1134</v>
      </c>
      <c r="EB48" s="675" t="s">
        <v>1280</v>
      </c>
      <c r="EC48" s="675" t="s">
        <v>1134</v>
      </c>
      <c r="ED48" s="675" t="s">
        <v>1279</v>
      </c>
    </row>
    <row r="49" spans="1:134" x14ac:dyDescent="0.2">
      <c r="A49" s="766" t="s">
        <v>1352</v>
      </c>
      <c r="B49" s="735"/>
      <c r="C49" s="735"/>
      <c r="D49" s="1089">
        <f>IF('Table 1'!$E$3&lt;2020,IF('Days Equivalent Calculation'!$F$78='Days Equivalent Calculation'!$L$67, 2, 1),IF('New Days Equivalent Calculation'!$F$79='New Days Equivalent Calculation'!$L$72, 2, 1))</f>
        <v>1</v>
      </c>
      <c r="E49" s="1032"/>
      <c r="AE49" s="260"/>
      <c r="AF49" s="260"/>
      <c r="AG49" s="260"/>
      <c r="AH49" s="260"/>
      <c r="AI49" s="1082"/>
      <c r="AJ49" s="260"/>
      <c r="AK49" s="260"/>
      <c r="AT49" s="298" t="s">
        <v>1369</v>
      </c>
      <c r="DS49" s="276"/>
      <c r="DT49" s="680"/>
      <c r="DU49" s="675" t="s">
        <v>415</v>
      </c>
      <c r="DV49" s="675" t="s">
        <v>1188</v>
      </c>
      <c r="DW49" s="675" t="s">
        <v>1134</v>
      </c>
      <c r="DX49" s="675" t="s">
        <v>1134</v>
      </c>
      <c r="DY49" s="675" t="s">
        <v>1264</v>
      </c>
      <c r="DZ49" s="675" t="s">
        <v>1134</v>
      </c>
      <c r="EA49" s="675" t="s">
        <v>1134</v>
      </c>
      <c r="EB49" s="675" t="s">
        <v>1281</v>
      </c>
      <c r="EC49" s="675" t="s">
        <v>1134</v>
      </c>
      <c r="ED49" s="675" t="s">
        <v>1279</v>
      </c>
    </row>
    <row r="50" spans="1:134" x14ac:dyDescent="0.2">
      <c r="A50" s="766" t="s">
        <v>1356</v>
      </c>
      <c r="B50" s="735"/>
      <c r="C50" s="735"/>
      <c r="D50" s="1089">
        <f>IF(RIGHT(D45,2) = "a)", 1, 2)</f>
        <v>2</v>
      </c>
      <c r="E50" s="1032"/>
      <c r="AE50" s="260"/>
      <c r="AF50" s="260"/>
      <c r="AG50" s="260"/>
      <c r="AH50" s="260"/>
      <c r="AI50" s="1082"/>
      <c r="AJ50" s="260"/>
      <c r="AK50" s="260"/>
      <c r="AT50" s="298" t="s">
        <v>736</v>
      </c>
      <c r="DS50" s="276"/>
      <c r="DT50" s="680"/>
      <c r="DU50" s="675" t="s">
        <v>415</v>
      </c>
      <c r="DV50" s="675" t="s">
        <v>1188</v>
      </c>
      <c r="DW50" s="675" t="s">
        <v>1134</v>
      </c>
      <c r="DX50" s="675" t="s">
        <v>1134</v>
      </c>
      <c r="DY50" s="675" t="s">
        <v>1264</v>
      </c>
      <c r="DZ50" s="675" t="s">
        <v>1134</v>
      </c>
      <c r="EA50" s="675" t="s">
        <v>1134</v>
      </c>
      <c r="EB50" s="675" t="s">
        <v>1282</v>
      </c>
      <c r="EC50" s="675" t="s">
        <v>1134</v>
      </c>
      <c r="ED50" s="675" t="s">
        <v>1279</v>
      </c>
    </row>
    <row r="51" spans="1:134" x14ac:dyDescent="0.2">
      <c r="A51" s="374" t="s">
        <v>888</v>
      </c>
      <c r="J51" s="375" t="s">
        <v>74</v>
      </c>
      <c r="AE51" s="260"/>
      <c r="AF51" s="260"/>
      <c r="AG51" s="260"/>
      <c r="AH51" s="260"/>
      <c r="AI51" s="260"/>
      <c r="AJ51" s="260"/>
      <c r="AK51" s="260"/>
      <c r="AT51" s="323"/>
      <c r="DS51" s="276"/>
      <c r="DT51" s="680"/>
      <c r="DU51" s="675"/>
      <c r="DV51" s="675"/>
      <c r="DW51" s="675"/>
      <c r="DX51" s="675"/>
      <c r="DY51" s="675"/>
      <c r="DZ51" s="675"/>
      <c r="EA51" s="675"/>
      <c r="EB51" s="675"/>
      <c r="EC51" s="675"/>
      <c r="ED51" s="675"/>
    </row>
    <row r="52" spans="1:134" ht="12.75" customHeight="1" x14ac:dyDescent="0.2">
      <c r="A52" s="376"/>
      <c r="B52" s="377"/>
      <c r="C52" s="378"/>
      <c r="D52" s="1154" t="s">
        <v>656</v>
      </c>
      <c r="E52" s="1156" t="s">
        <v>657</v>
      </c>
      <c r="F52" s="1156" t="s">
        <v>647</v>
      </c>
      <c r="G52" s="1158" t="s">
        <v>666</v>
      </c>
      <c r="H52" s="281"/>
      <c r="I52" s="1160" t="s">
        <v>885</v>
      </c>
      <c r="J52" s="1171" t="s">
        <v>11</v>
      </c>
      <c r="K52" s="1166" t="s">
        <v>8</v>
      </c>
      <c r="L52" s="1164" t="s">
        <v>9</v>
      </c>
      <c r="M52" s="1162" t="s">
        <v>10</v>
      </c>
      <c r="N52" s="1114" t="s">
        <v>659</v>
      </c>
      <c r="O52" s="329"/>
      <c r="P52" s="190"/>
      <c r="Q52" s="1166" t="s">
        <v>660</v>
      </c>
      <c r="R52" s="1164" t="s">
        <v>661</v>
      </c>
      <c r="S52" s="1116" t="s">
        <v>668</v>
      </c>
      <c r="T52" s="191"/>
      <c r="U52" s="192"/>
      <c r="V52" s="1162" t="s">
        <v>664</v>
      </c>
      <c r="W52" s="193"/>
      <c r="X52" s="190"/>
      <c r="Y52" s="1118" t="s">
        <v>670</v>
      </c>
      <c r="Z52" s="190"/>
      <c r="AA52" s="190"/>
      <c r="AB52" s="1114" t="s">
        <v>628</v>
      </c>
      <c r="AC52" s="190"/>
      <c r="AD52" s="190"/>
      <c r="AE52" s="190"/>
      <c r="AF52" s="1166" t="s">
        <v>629</v>
      </c>
      <c r="AG52" s="1160" t="s">
        <v>630</v>
      </c>
      <c r="AH52" s="1120" t="s">
        <v>631</v>
      </c>
      <c r="AI52" s="1120" t="s">
        <v>679</v>
      </c>
      <c r="AJ52" s="260"/>
      <c r="AK52" s="1139" t="s">
        <v>350</v>
      </c>
      <c r="AT52" s="323"/>
      <c r="DS52" s="276"/>
      <c r="DT52" s="680"/>
      <c r="DU52" s="675"/>
      <c r="DV52" s="675"/>
      <c r="DW52" s="675"/>
      <c r="DX52" s="675"/>
      <c r="DY52" s="675"/>
      <c r="DZ52" s="675"/>
      <c r="EA52" s="675"/>
      <c r="EB52" s="675"/>
      <c r="EC52" s="675"/>
      <c r="ED52" s="675"/>
    </row>
    <row r="53" spans="1:134" ht="56.25" x14ac:dyDescent="0.2">
      <c r="A53" s="379"/>
      <c r="B53" s="302"/>
      <c r="C53" s="380"/>
      <c r="D53" s="1155"/>
      <c r="E53" s="1157"/>
      <c r="F53" s="1157"/>
      <c r="G53" s="1159"/>
      <c r="H53" s="248" t="s">
        <v>667</v>
      </c>
      <c r="I53" s="1161"/>
      <c r="J53" s="1172"/>
      <c r="K53" s="1167"/>
      <c r="L53" s="1165"/>
      <c r="M53" s="1163"/>
      <c r="N53" s="1115"/>
      <c r="O53" s="250" t="s">
        <v>623</v>
      </c>
      <c r="P53" s="251" t="s">
        <v>626</v>
      </c>
      <c r="Q53" s="1167"/>
      <c r="R53" s="1165"/>
      <c r="S53" s="1117"/>
      <c r="T53" s="254" t="s">
        <v>662</v>
      </c>
      <c r="U53" s="250" t="s">
        <v>663</v>
      </c>
      <c r="V53" s="1163"/>
      <c r="W53" s="256" t="s">
        <v>627</v>
      </c>
      <c r="X53" s="257" t="s">
        <v>669</v>
      </c>
      <c r="Y53" s="1119"/>
      <c r="Z53" s="250" t="s">
        <v>624</v>
      </c>
      <c r="AA53" s="254" t="s">
        <v>671</v>
      </c>
      <c r="AB53" s="1115"/>
      <c r="AC53" s="250" t="s">
        <v>674</v>
      </c>
      <c r="AD53" s="254" t="s">
        <v>1411</v>
      </c>
      <c r="AE53" s="254" t="s">
        <v>675</v>
      </c>
      <c r="AF53" s="1167"/>
      <c r="AG53" s="1161"/>
      <c r="AH53" s="1121"/>
      <c r="AI53" s="1121"/>
      <c r="AJ53" s="302"/>
      <c r="AK53" s="1140"/>
      <c r="AL53" s="302"/>
      <c r="AT53" s="323"/>
      <c r="DS53" s="276"/>
      <c r="DT53" s="680"/>
      <c r="DU53" s="675"/>
      <c r="DV53" s="675"/>
      <c r="DW53" s="675"/>
      <c r="DX53" s="675"/>
      <c r="DY53" s="675"/>
      <c r="DZ53" s="675"/>
      <c r="EA53" s="675"/>
      <c r="EB53" s="675"/>
      <c r="EC53" s="675"/>
      <c r="ED53" s="675"/>
    </row>
    <row r="54" spans="1:134" x14ac:dyDescent="0.2">
      <c r="A54" s="381"/>
      <c r="B54" s="382"/>
      <c r="C54" s="383"/>
      <c r="D54" s="246" t="s">
        <v>152</v>
      </c>
      <c r="E54" s="247" t="s">
        <v>153</v>
      </c>
      <c r="F54" s="247" t="s">
        <v>154</v>
      </c>
      <c r="G54" s="180" t="s">
        <v>155</v>
      </c>
      <c r="H54" s="247" t="s">
        <v>156</v>
      </c>
      <c r="I54" s="247" t="s">
        <v>157</v>
      </c>
      <c r="J54" s="199" t="s">
        <v>158</v>
      </c>
      <c r="K54" s="246" t="s">
        <v>159</v>
      </c>
      <c r="L54" s="246" t="s">
        <v>160</v>
      </c>
      <c r="M54" s="249" t="s">
        <v>161</v>
      </c>
      <c r="N54" s="179" t="s">
        <v>162</v>
      </c>
      <c r="O54" s="247" t="s">
        <v>163</v>
      </c>
      <c r="P54" s="252" t="s">
        <v>164</v>
      </c>
      <c r="Q54" s="253" t="s">
        <v>165</v>
      </c>
      <c r="R54" s="252" t="s">
        <v>166</v>
      </c>
      <c r="S54" s="180" t="s">
        <v>167</v>
      </c>
      <c r="T54" s="247" t="s">
        <v>168</v>
      </c>
      <c r="U54" s="247" t="s">
        <v>169</v>
      </c>
      <c r="V54" s="255" t="s">
        <v>170</v>
      </c>
      <c r="W54" s="246" t="s">
        <v>171</v>
      </c>
      <c r="X54" s="247" t="s">
        <v>172</v>
      </c>
      <c r="Y54" s="176" t="s">
        <v>173</v>
      </c>
      <c r="Z54" s="252" t="s">
        <v>174</v>
      </c>
      <c r="AA54" s="252" t="s">
        <v>175</v>
      </c>
      <c r="AB54" s="179" t="s">
        <v>176</v>
      </c>
      <c r="AC54" s="252" t="s">
        <v>177</v>
      </c>
      <c r="AD54" s="252" t="s">
        <v>181</v>
      </c>
      <c r="AE54" s="252" t="s">
        <v>417</v>
      </c>
      <c r="AF54" s="259" t="s">
        <v>672</v>
      </c>
      <c r="AG54" s="252" t="s">
        <v>678</v>
      </c>
      <c r="AH54" s="90" t="s">
        <v>499</v>
      </c>
      <c r="AI54" s="90" t="s">
        <v>680</v>
      </c>
      <c r="AJ54" s="302"/>
      <c r="AK54" s="90" t="s">
        <v>1413</v>
      </c>
      <c r="AL54" s="302"/>
      <c r="AT54" s="323"/>
      <c r="DS54" s="276"/>
      <c r="DT54" s="680"/>
      <c r="DU54" s="675"/>
      <c r="DV54" s="675"/>
      <c r="DW54" s="675"/>
      <c r="DX54" s="675"/>
      <c r="DY54" s="675"/>
      <c r="DZ54" s="675"/>
      <c r="EA54" s="675"/>
      <c r="EB54" s="675"/>
      <c r="EC54" s="675"/>
      <c r="ED54" s="675"/>
    </row>
    <row r="55" spans="1:134" x14ac:dyDescent="0.2">
      <c r="A55" s="261" t="s">
        <v>744</v>
      </c>
      <c r="B55" s="261" t="s">
        <v>76</v>
      </c>
      <c r="C55" s="628">
        <v>36</v>
      </c>
      <c r="D55" s="874">
        <v>3876.7080000000001</v>
      </c>
      <c r="E55" s="874">
        <v>356.16899999999998</v>
      </c>
      <c r="F55" s="874">
        <v>0</v>
      </c>
      <c r="G55" s="781">
        <v>0</v>
      </c>
      <c r="H55" s="874">
        <v>0</v>
      </c>
      <c r="I55" s="874">
        <v>0</v>
      </c>
      <c r="J55" s="786">
        <f>ROUND(SUM(D55:G55,I55),3)</f>
        <v>4232.8770000000004</v>
      </c>
      <c r="K55" s="875">
        <v>0</v>
      </c>
      <c r="L55" s="874">
        <v>95.394999999999996</v>
      </c>
      <c r="M55" s="876">
        <v>1523.4190000000001</v>
      </c>
      <c r="N55" s="802">
        <v>304.30900000000003</v>
      </c>
      <c r="O55" s="874">
        <v>0</v>
      </c>
      <c r="P55" s="876">
        <v>0</v>
      </c>
      <c r="Q55" s="877">
        <v>19.257999999999999</v>
      </c>
      <c r="R55" s="874">
        <v>0</v>
      </c>
      <c r="S55" s="781">
        <v>353.541</v>
      </c>
      <c r="T55" s="874">
        <v>0</v>
      </c>
      <c r="U55" s="874">
        <v>353.541</v>
      </c>
      <c r="V55" s="876">
        <v>83.691999999999993</v>
      </c>
      <c r="W55" s="877">
        <v>1227.9490000000001</v>
      </c>
      <c r="X55" s="874">
        <v>434.56599999999997</v>
      </c>
      <c r="Y55" s="781">
        <v>1662.5150000000001</v>
      </c>
      <c r="Z55" s="874">
        <v>0</v>
      </c>
      <c r="AA55" s="876">
        <v>0</v>
      </c>
      <c r="AB55" s="802">
        <v>1644.3910000000001</v>
      </c>
      <c r="AC55" s="874">
        <v>995.36199999999997</v>
      </c>
      <c r="AD55" s="874">
        <v>0</v>
      </c>
      <c r="AE55" s="876">
        <v>649.029</v>
      </c>
      <c r="AF55" s="877">
        <v>8.8789999999999996</v>
      </c>
      <c r="AG55" s="876">
        <v>222.643</v>
      </c>
      <c r="AH55" s="771">
        <f>ROUND(SUM(K55:N55,Q55:S55,V55,Y55,AB55,AF55:AG55),3)</f>
        <v>5918.0420000000004</v>
      </c>
      <c r="AI55" s="771">
        <f>ROUND(J55+AH55,3)</f>
        <v>10150.919</v>
      </c>
      <c r="AJ55" s="260"/>
      <c r="AK55" s="132"/>
      <c r="AL55" s="260"/>
      <c r="AN55" s="260"/>
      <c r="AO55" s="260"/>
      <c r="AT55" s="299" t="s">
        <v>739</v>
      </c>
      <c r="DS55" s="276"/>
      <c r="DT55" s="680"/>
      <c r="DU55" s="675" t="s">
        <v>415</v>
      </c>
      <c r="DV55" s="675" t="s">
        <v>1187</v>
      </c>
      <c r="DW55" s="675" t="s">
        <v>1134</v>
      </c>
      <c r="DX55" s="675" t="s">
        <v>1134</v>
      </c>
      <c r="DY55" s="675" t="s">
        <v>1283</v>
      </c>
      <c r="DZ55" s="675" t="s">
        <v>1134</v>
      </c>
      <c r="EA55" s="675" t="s">
        <v>1134</v>
      </c>
      <c r="EB55" s="675" t="s">
        <v>1135</v>
      </c>
      <c r="EC55" s="675" t="s">
        <v>1134</v>
      </c>
      <c r="ED55" s="675" t="s">
        <v>1136</v>
      </c>
    </row>
    <row r="56" spans="1:134" ht="13.5" thickBot="1" x14ac:dyDescent="0.25">
      <c r="A56" s="416" t="s">
        <v>740</v>
      </c>
      <c r="B56" s="403" t="s">
        <v>77</v>
      </c>
      <c r="C56" s="631">
        <v>37</v>
      </c>
      <c r="D56" s="878">
        <v>4087.9870000000001</v>
      </c>
      <c r="E56" s="878">
        <v>270.245</v>
      </c>
      <c r="F56" s="878">
        <v>0</v>
      </c>
      <c r="G56" s="810">
        <v>0</v>
      </c>
      <c r="H56" s="878">
        <v>0</v>
      </c>
      <c r="I56" s="878">
        <v>0</v>
      </c>
      <c r="J56" s="879">
        <f>ROUND(SUM(D56:G56,I56),3)</f>
        <v>4358.232</v>
      </c>
      <c r="K56" s="878">
        <v>0</v>
      </c>
      <c r="L56" s="878">
        <v>95.194000000000003</v>
      </c>
      <c r="M56" s="880">
        <v>1488.1320000000001</v>
      </c>
      <c r="N56" s="881">
        <v>261.93799999999999</v>
      </c>
      <c r="O56" s="878">
        <v>0</v>
      </c>
      <c r="P56" s="880">
        <v>0</v>
      </c>
      <c r="Q56" s="882">
        <v>19.254000000000001</v>
      </c>
      <c r="R56" s="878">
        <v>0</v>
      </c>
      <c r="S56" s="810">
        <v>386.02499999999998</v>
      </c>
      <c r="T56" s="878">
        <v>0</v>
      </c>
      <c r="U56" s="878">
        <v>386.02499999999998</v>
      </c>
      <c r="V56" s="880">
        <v>91.738</v>
      </c>
      <c r="W56" s="882">
        <v>1236.4390000000001</v>
      </c>
      <c r="X56" s="878">
        <v>547.97299999999996</v>
      </c>
      <c r="Y56" s="810">
        <v>1784.412</v>
      </c>
      <c r="Z56" s="878">
        <v>0</v>
      </c>
      <c r="AA56" s="880">
        <v>0</v>
      </c>
      <c r="AB56" s="881">
        <v>1881.867</v>
      </c>
      <c r="AC56" s="878">
        <v>1092.1959999999999</v>
      </c>
      <c r="AD56" s="878">
        <v>0</v>
      </c>
      <c r="AE56" s="880">
        <v>789.67100000000005</v>
      </c>
      <c r="AF56" s="882">
        <v>17.594999999999999</v>
      </c>
      <c r="AG56" s="880">
        <v>222.751</v>
      </c>
      <c r="AH56" s="883">
        <f>ROUND(SUM(K56:N56,Q56:S56,V56,Y56,AB56,AF56:AG56),3)</f>
        <v>6248.9059999999999</v>
      </c>
      <c r="AI56" s="883">
        <f>ROUND(J56+AH56,3)</f>
        <v>10607.138000000001</v>
      </c>
      <c r="AJ56" s="260"/>
      <c r="AK56" s="132"/>
      <c r="AL56" s="260"/>
      <c r="AN56" s="260"/>
      <c r="AO56" s="260"/>
      <c r="AT56" s="299" t="s">
        <v>741</v>
      </c>
      <c r="DS56" s="276"/>
      <c r="DT56" s="680"/>
      <c r="DU56" s="675" t="s">
        <v>415</v>
      </c>
      <c r="DV56" s="675" t="s">
        <v>1188</v>
      </c>
      <c r="DW56" s="675" t="s">
        <v>1134</v>
      </c>
      <c r="DX56" s="675" t="s">
        <v>1134</v>
      </c>
      <c r="DY56" s="675" t="s">
        <v>1283</v>
      </c>
      <c r="DZ56" s="675" t="s">
        <v>1134</v>
      </c>
      <c r="EA56" s="675" t="s">
        <v>1134</v>
      </c>
      <c r="EB56" s="675" t="s">
        <v>1135</v>
      </c>
      <c r="EC56" s="675" t="s">
        <v>1134</v>
      </c>
      <c r="ED56" s="675" t="s">
        <v>1136</v>
      </c>
    </row>
    <row r="57" spans="1:134" ht="22.5" customHeight="1" x14ac:dyDescent="0.2">
      <c r="A57" s="417"/>
      <c r="B57" s="280"/>
      <c r="AE57" s="260"/>
      <c r="AF57" s="260"/>
      <c r="AG57" s="260"/>
      <c r="AH57" s="260"/>
      <c r="AI57" s="260"/>
      <c r="AJ57" s="260"/>
      <c r="AK57" s="260"/>
      <c r="AM57" s="260"/>
    </row>
    <row r="58" spans="1:134" ht="22.5" customHeight="1" x14ac:dyDescent="0.2">
      <c r="A58" s="400"/>
      <c r="AE58" s="260"/>
      <c r="AF58" s="260"/>
      <c r="AG58" s="260"/>
      <c r="AH58" s="260"/>
      <c r="AI58" s="260"/>
      <c r="AJ58" s="260"/>
      <c r="AK58" s="260"/>
      <c r="AM58" s="260"/>
    </row>
    <row r="59" spans="1:134" x14ac:dyDescent="0.2">
      <c r="AE59" s="260"/>
      <c r="AF59" s="260"/>
      <c r="AG59" s="260"/>
      <c r="AH59" s="260"/>
      <c r="AI59" s="260"/>
      <c r="AJ59" s="260"/>
      <c r="AK59" s="260"/>
      <c r="AM59" s="260"/>
    </row>
    <row r="60" spans="1:134" x14ac:dyDescent="0.2">
      <c r="AE60" s="260"/>
      <c r="AF60" s="260"/>
      <c r="AG60" s="260"/>
      <c r="AH60" s="260"/>
      <c r="AI60" s="260"/>
      <c r="AJ60" s="260"/>
      <c r="AK60" s="260"/>
      <c r="AM60" s="260"/>
    </row>
    <row r="61" spans="1:134" x14ac:dyDescent="0.2">
      <c r="A61" s="418"/>
      <c r="B61" s="280"/>
      <c r="C61" s="411"/>
      <c r="D61" s="260"/>
      <c r="E61" s="260"/>
      <c r="F61" s="260"/>
      <c r="G61" s="260"/>
      <c r="H61" s="260"/>
      <c r="I61" s="260"/>
      <c r="J61" s="260"/>
      <c r="K61" s="260"/>
      <c r="L61" s="260"/>
      <c r="M61" s="260"/>
      <c r="N61" s="260"/>
      <c r="O61" s="260"/>
      <c r="P61" s="260"/>
      <c r="Q61" s="260"/>
      <c r="R61" s="260"/>
      <c r="S61" s="260"/>
      <c r="T61" s="260"/>
      <c r="U61" s="260"/>
      <c r="V61" s="260"/>
      <c r="W61" s="260"/>
      <c r="X61" s="260"/>
      <c r="Y61" s="260"/>
      <c r="Z61" s="260"/>
      <c r="AA61" s="260"/>
      <c r="AB61" s="260"/>
      <c r="AC61" s="260"/>
      <c r="AD61" s="260"/>
      <c r="AE61" s="260"/>
      <c r="AF61" s="260"/>
      <c r="AG61" s="260"/>
      <c r="AH61" s="260"/>
      <c r="AI61" s="260"/>
      <c r="AJ61" s="260"/>
      <c r="AK61" s="260"/>
      <c r="AM61" s="260"/>
    </row>
    <row r="62" spans="1:134" ht="27" customHeight="1" x14ac:dyDescent="0.2">
      <c r="A62" s="300"/>
      <c r="B62" s="279"/>
      <c r="C62" s="279"/>
      <c r="D62" s="279" t="str">
        <f t="shared" ref="D62:AI62" si="8">IF(MIN(D10:D25,D55:D56)&lt;0,"Negative number","")</f>
        <v/>
      </c>
      <c r="E62" s="279" t="str">
        <f t="shared" si="8"/>
        <v/>
      </c>
      <c r="F62" s="279" t="str">
        <f t="shared" si="8"/>
        <v/>
      </c>
      <c r="G62" s="279" t="str">
        <f t="shared" si="8"/>
        <v/>
      </c>
      <c r="H62" s="279" t="str">
        <f t="shared" si="8"/>
        <v/>
      </c>
      <c r="I62" s="279" t="str">
        <f t="shared" si="8"/>
        <v/>
      </c>
      <c r="J62" s="279" t="str">
        <f t="shared" si="8"/>
        <v/>
      </c>
      <c r="K62" s="279" t="str">
        <f t="shared" si="8"/>
        <v/>
      </c>
      <c r="L62" s="279" t="str">
        <f t="shared" si="8"/>
        <v/>
      </c>
      <c r="M62" s="279" t="str">
        <f t="shared" si="8"/>
        <v/>
      </c>
      <c r="N62" s="279" t="str">
        <f t="shared" si="8"/>
        <v/>
      </c>
      <c r="O62" s="279" t="str">
        <f t="shared" si="8"/>
        <v/>
      </c>
      <c r="P62" s="279" t="str">
        <f t="shared" si="8"/>
        <v/>
      </c>
      <c r="Q62" s="279" t="str">
        <f t="shared" si="8"/>
        <v/>
      </c>
      <c r="R62" s="279" t="str">
        <f t="shared" si="8"/>
        <v/>
      </c>
      <c r="S62" s="279" t="str">
        <f t="shared" si="8"/>
        <v/>
      </c>
      <c r="T62" s="279" t="str">
        <f t="shared" si="8"/>
        <v/>
      </c>
      <c r="U62" s="279" t="str">
        <f t="shared" si="8"/>
        <v/>
      </c>
      <c r="V62" s="279" t="str">
        <f t="shared" si="8"/>
        <v/>
      </c>
      <c r="W62" s="279" t="str">
        <f t="shared" si="8"/>
        <v/>
      </c>
      <c r="X62" s="279" t="str">
        <f t="shared" si="8"/>
        <v/>
      </c>
      <c r="Y62" s="279" t="str">
        <f t="shared" si="8"/>
        <v/>
      </c>
      <c r="Z62" s="279" t="str">
        <f t="shared" si="8"/>
        <v/>
      </c>
      <c r="AA62" s="279" t="str">
        <f t="shared" si="8"/>
        <v/>
      </c>
      <c r="AB62" s="279" t="str">
        <f t="shared" si="8"/>
        <v/>
      </c>
      <c r="AC62" s="279" t="str">
        <f t="shared" si="8"/>
        <v/>
      </c>
      <c r="AD62" s="279"/>
      <c r="AE62" s="279" t="str">
        <f t="shared" si="8"/>
        <v/>
      </c>
      <c r="AF62" s="279" t="str">
        <f t="shared" si="8"/>
        <v/>
      </c>
      <c r="AG62" s="279" t="str">
        <f t="shared" si="8"/>
        <v/>
      </c>
      <c r="AH62" s="279" t="str">
        <f t="shared" si="8"/>
        <v/>
      </c>
      <c r="AI62" s="279" t="str">
        <f t="shared" si="8"/>
        <v/>
      </c>
      <c r="AJ62" s="300"/>
      <c r="AK62" s="300"/>
      <c r="AL62" s="300"/>
      <c r="AM62" s="260"/>
    </row>
    <row r="63" spans="1:134" x14ac:dyDescent="0.2">
      <c r="A63" s="269"/>
      <c r="B63" s="419"/>
      <c r="C63" s="419"/>
      <c r="D63" s="279" t="str">
        <f>IF(AND(D8-ROUND(SUM(D10,D12,D14,D16,D18),3)=0,D9-ROUND(SUM(D11,D13,D15,D17,D19),3)=0),"","Error: category (EU-a)")</f>
        <v/>
      </c>
      <c r="E63" s="279" t="str">
        <f t="shared" ref="E63:AI63" si="9">IF(AND(E8-ROUND(SUM(E10,E12,E14,E16,E18),3)=0,E9-ROUND(SUM(E11,E13,E15,E17,E19),3)=0),"","Error: category (EU-a)")</f>
        <v/>
      </c>
      <c r="F63" s="279" t="str">
        <f t="shared" si="9"/>
        <v/>
      </c>
      <c r="G63" s="279" t="str">
        <f t="shared" si="9"/>
        <v/>
      </c>
      <c r="H63" s="279" t="str">
        <f t="shared" si="9"/>
        <v/>
      </c>
      <c r="I63" s="279" t="str">
        <f t="shared" si="9"/>
        <v/>
      </c>
      <c r="J63" s="279" t="str">
        <f t="shared" si="9"/>
        <v/>
      </c>
      <c r="K63" s="279" t="str">
        <f t="shared" si="9"/>
        <v/>
      </c>
      <c r="L63" s="279" t="str">
        <f t="shared" si="9"/>
        <v/>
      </c>
      <c r="M63" s="279" t="str">
        <f t="shared" si="9"/>
        <v/>
      </c>
      <c r="N63" s="279" t="str">
        <f t="shared" si="9"/>
        <v/>
      </c>
      <c r="O63" s="279" t="str">
        <f t="shared" si="9"/>
        <v/>
      </c>
      <c r="P63" s="279" t="str">
        <f t="shared" si="9"/>
        <v/>
      </c>
      <c r="Q63" s="279" t="str">
        <f t="shared" si="9"/>
        <v/>
      </c>
      <c r="R63" s="279" t="str">
        <f t="shared" si="9"/>
        <v/>
      </c>
      <c r="S63" s="279" t="str">
        <f t="shared" si="9"/>
        <v/>
      </c>
      <c r="T63" s="279" t="str">
        <f t="shared" si="9"/>
        <v/>
      </c>
      <c r="U63" s="279" t="str">
        <f t="shared" si="9"/>
        <v/>
      </c>
      <c r="V63" s="279" t="str">
        <f t="shared" si="9"/>
        <v/>
      </c>
      <c r="W63" s="279" t="str">
        <f t="shared" si="9"/>
        <v/>
      </c>
      <c r="X63" s="279" t="str">
        <f t="shared" si="9"/>
        <v/>
      </c>
      <c r="Y63" s="279" t="str">
        <f t="shared" si="9"/>
        <v/>
      </c>
      <c r="Z63" s="279" t="str">
        <f t="shared" si="9"/>
        <v/>
      </c>
      <c r="AA63" s="279" t="str">
        <f t="shared" si="9"/>
        <v/>
      </c>
      <c r="AB63" s="279" t="str">
        <f t="shared" si="9"/>
        <v/>
      </c>
      <c r="AC63" s="279" t="str">
        <f t="shared" si="9"/>
        <v/>
      </c>
      <c r="AD63" s="279"/>
      <c r="AE63" s="279" t="str">
        <f t="shared" si="9"/>
        <v/>
      </c>
      <c r="AF63" s="279" t="str">
        <f t="shared" si="9"/>
        <v/>
      </c>
      <c r="AG63" s="279" t="str">
        <f t="shared" si="9"/>
        <v/>
      </c>
      <c r="AH63" s="279" t="str">
        <f t="shared" si="9"/>
        <v/>
      </c>
      <c r="AI63" s="279" t="str">
        <f t="shared" si="9"/>
        <v/>
      </c>
      <c r="AJ63" s="279"/>
      <c r="AK63" s="420"/>
      <c r="AL63" s="420"/>
      <c r="AM63" s="260"/>
    </row>
    <row r="64" spans="1:134" x14ac:dyDescent="0.2">
      <c r="A64" s="269"/>
      <c r="B64" s="419"/>
      <c r="C64" s="419"/>
      <c r="D64" s="420"/>
      <c r="E64" s="420"/>
      <c r="F64" s="420"/>
      <c r="G64" s="420"/>
      <c r="H64" s="420"/>
      <c r="I64" s="420"/>
      <c r="J64" s="420"/>
      <c r="K64" s="420"/>
      <c r="L64" s="420"/>
      <c r="M64" s="420"/>
      <c r="N64" s="420"/>
      <c r="O64" s="420"/>
      <c r="P64" s="420"/>
      <c r="Q64" s="420"/>
      <c r="R64" s="420"/>
      <c r="S64" s="420"/>
      <c r="T64" s="420"/>
      <c r="U64" s="420"/>
      <c r="V64" s="420"/>
      <c r="W64" s="420"/>
      <c r="X64" s="420"/>
      <c r="Y64" s="420"/>
      <c r="Z64" s="420"/>
      <c r="AA64" s="420"/>
      <c r="AB64" s="420"/>
      <c r="AC64" s="420"/>
      <c r="AD64" s="420"/>
      <c r="AE64" s="420"/>
      <c r="AF64" s="420"/>
      <c r="AG64" s="420"/>
      <c r="AH64" s="420"/>
      <c r="AI64" s="420"/>
      <c r="AJ64" s="420"/>
      <c r="AK64" s="420"/>
      <c r="AL64" s="420"/>
      <c r="AM64" s="260"/>
    </row>
    <row r="65" spans="1:39" x14ac:dyDescent="0.2">
      <c r="A65" s="421"/>
      <c r="I65" s="422"/>
      <c r="J65" s="423"/>
      <c r="AM65" s="260"/>
    </row>
    <row r="66" spans="1:39" x14ac:dyDescent="0.2">
      <c r="A66" s="280"/>
      <c r="I66" s="422"/>
      <c r="J66" s="423"/>
      <c r="AM66" s="260"/>
    </row>
    <row r="67" spans="1:39" x14ac:dyDescent="0.2">
      <c r="A67" s="280"/>
      <c r="I67" s="422"/>
      <c r="J67" s="423"/>
      <c r="AM67" s="260"/>
    </row>
    <row r="68" spans="1:39" x14ac:dyDescent="0.2">
      <c r="A68" s="280"/>
      <c r="I68" s="422"/>
      <c r="J68" s="423"/>
      <c r="AM68" s="260"/>
    </row>
    <row r="71" spans="1:39" x14ac:dyDescent="0.2">
      <c r="D71" s="424" t="s">
        <v>742</v>
      </c>
    </row>
    <row r="76" spans="1:39" ht="15" x14ac:dyDescent="0.25">
      <c r="I76" s="324"/>
    </row>
    <row r="127" spans="123:134" x14ac:dyDescent="0.2">
      <c r="DS127" s="317"/>
      <c r="DT127" s="317"/>
      <c r="DU127" s="317"/>
      <c r="DV127" s="317"/>
      <c r="DW127" s="317"/>
      <c r="DX127" s="317"/>
      <c r="DY127" s="317"/>
      <c r="DZ127" s="317"/>
      <c r="EA127" s="317"/>
      <c r="EB127" s="317"/>
      <c r="EC127" s="317"/>
      <c r="ED127" s="317"/>
    </row>
    <row r="130" spans="2:134" s="317" customFormat="1" hidden="1" x14ac:dyDescent="0.2">
      <c r="B130" s="325" t="s">
        <v>329</v>
      </c>
      <c r="D130" s="294" t="s">
        <v>330</v>
      </c>
      <c r="E130" s="294" t="s">
        <v>6</v>
      </c>
      <c r="F130" s="294" t="s">
        <v>331</v>
      </c>
      <c r="G130" s="294" t="s">
        <v>332</v>
      </c>
      <c r="H130" s="294" t="s">
        <v>333</v>
      </c>
      <c r="I130" s="294" t="s">
        <v>334</v>
      </c>
      <c r="J130" s="294" t="s">
        <v>335</v>
      </c>
      <c r="K130" s="294" t="s">
        <v>353</v>
      </c>
      <c r="L130" s="295" t="s">
        <v>9</v>
      </c>
      <c r="M130" s="295" t="s">
        <v>354</v>
      </c>
      <c r="N130" s="295" t="s">
        <v>355</v>
      </c>
      <c r="O130" s="295" t="s">
        <v>356</v>
      </c>
      <c r="P130" s="295" t="s">
        <v>891</v>
      </c>
      <c r="Q130" s="295" t="s">
        <v>357</v>
      </c>
      <c r="R130" s="295" t="s">
        <v>358</v>
      </c>
      <c r="S130" s="295" t="s">
        <v>359</v>
      </c>
      <c r="T130" s="295" t="s">
        <v>878</v>
      </c>
      <c r="U130" s="295" t="s">
        <v>879</v>
      </c>
      <c r="V130" s="295" t="s">
        <v>360</v>
      </c>
      <c r="W130" s="295" t="s">
        <v>361</v>
      </c>
      <c r="X130" s="295" t="s">
        <v>363</v>
      </c>
      <c r="Y130" s="295" t="s">
        <v>364</v>
      </c>
      <c r="Z130" s="295" t="s">
        <v>362</v>
      </c>
      <c r="AA130" s="295" t="s">
        <v>880</v>
      </c>
      <c r="AB130" s="295" t="s">
        <v>367</v>
      </c>
      <c r="AC130" s="295" t="s">
        <v>365</v>
      </c>
      <c r="AD130" s="295" t="s">
        <v>1412</v>
      </c>
      <c r="AE130" s="295" t="s">
        <v>366</v>
      </c>
      <c r="AF130" s="295" t="s">
        <v>368</v>
      </c>
      <c r="AG130" s="295" t="s">
        <v>606</v>
      </c>
      <c r="AH130" s="295" t="s">
        <v>369</v>
      </c>
      <c r="AI130" s="295" t="s">
        <v>416</v>
      </c>
      <c r="AJ130" s="295" t="s">
        <v>738</v>
      </c>
      <c r="AT130" s="296"/>
      <c r="DS130" s="267"/>
      <c r="DT130" s="267"/>
      <c r="DU130" s="267"/>
      <c r="DV130" s="267"/>
      <c r="DW130" s="267"/>
      <c r="DX130" s="267"/>
      <c r="DY130" s="267"/>
      <c r="DZ130" s="267"/>
      <c r="EA130" s="267"/>
      <c r="EB130" s="267"/>
      <c r="EC130" s="267"/>
      <c r="ED130" s="267"/>
    </row>
    <row r="133" spans="2:134" x14ac:dyDescent="0.2">
      <c r="B133" s="260"/>
    </row>
    <row r="997" spans="1:131" x14ac:dyDescent="0.2">
      <c r="EA997" s="317"/>
    </row>
    <row r="1000" spans="1:131" ht="22.5" hidden="1" x14ac:dyDescent="0.2">
      <c r="A1000" s="681" t="s">
        <v>1113</v>
      </c>
      <c r="D1000" s="682" t="s">
        <v>1114</v>
      </c>
      <c r="E1000" s="682" t="s">
        <v>1115</v>
      </c>
      <c r="F1000" s="682" t="s">
        <v>1116</v>
      </c>
      <c r="G1000" s="682" t="s">
        <v>1117</v>
      </c>
      <c r="H1000" s="682" t="s">
        <v>1118</v>
      </c>
      <c r="I1000" s="682" t="s">
        <v>1119</v>
      </c>
      <c r="J1000" s="682" t="s">
        <v>1120</v>
      </c>
      <c r="K1000" s="682" t="s">
        <v>1143</v>
      </c>
      <c r="L1000" s="682" t="s">
        <v>1144</v>
      </c>
      <c r="M1000" s="682" t="s">
        <v>1145</v>
      </c>
      <c r="N1000" s="682" t="s">
        <v>1146</v>
      </c>
      <c r="O1000" s="682" t="s">
        <v>1147</v>
      </c>
      <c r="P1000" s="682" t="s">
        <v>1148</v>
      </c>
      <c r="Q1000" s="682" t="s">
        <v>1149</v>
      </c>
      <c r="R1000" s="682" t="s">
        <v>1150</v>
      </c>
      <c r="S1000" s="682" t="s">
        <v>1151</v>
      </c>
      <c r="T1000" s="682" t="s">
        <v>1152</v>
      </c>
      <c r="U1000" s="682" t="s">
        <v>1153</v>
      </c>
      <c r="V1000" s="682" t="s">
        <v>1154</v>
      </c>
      <c r="W1000" s="682" t="s">
        <v>1155</v>
      </c>
      <c r="X1000" s="682" t="s">
        <v>1156</v>
      </c>
      <c r="Y1000" s="682" t="s">
        <v>1157</v>
      </c>
      <c r="Z1000" s="682" t="s">
        <v>1158</v>
      </c>
      <c r="AA1000" s="682" t="s">
        <v>1159</v>
      </c>
      <c r="AB1000" s="682" t="s">
        <v>1160</v>
      </c>
      <c r="AC1000" s="682" t="s">
        <v>1161</v>
      </c>
      <c r="AD1000" s="682" t="s">
        <v>1414</v>
      </c>
      <c r="AE1000" s="682" t="s">
        <v>1162</v>
      </c>
      <c r="AF1000" s="682" t="s">
        <v>1163</v>
      </c>
      <c r="AG1000" s="682" t="s">
        <v>1406</v>
      </c>
      <c r="AH1000" s="682" t="s">
        <v>1178</v>
      </c>
      <c r="AI1000" s="682" t="s">
        <v>1164</v>
      </c>
      <c r="AT1000" s="267"/>
    </row>
  </sheetData>
  <sheetProtection algorithmName="SHA-512" hashValue="RVSV8mD1LCkmrjlwtMy5ZmzmATM2QAEz4+d74xspyGfRQhd3rAlRRA+YZGHNy+Eaqcv/fENTb6/zULf12WGBKA==" saltValue="zz9Qtz8qsBnF/Tck4aV9pQ==" spinCount="100000" sheet="1" objects="1" scenarios="1"/>
  <mergeCells count="45">
    <mergeCell ref="M5:M6"/>
    <mergeCell ref="D40:G40"/>
    <mergeCell ref="R52:R53"/>
    <mergeCell ref="D52:D53"/>
    <mergeCell ref="E52:E53"/>
    <mergeCell ref="F52:F53"/>
    <mergeCell ref="G52:G53"/>
    <mergeCell ref="J52:J53"/>
    <mergeCell ref="I52:I53"/>
    <mergeCell ref="K52:K53"/>
    <mergeCell ref="L52:L53"/>
    <mergeCell ref="M52:M53"/>
    <mergeCell ref="N52:N53"/>
    <mergeCell ref="Q52:Q53"/>
    <mergeCell ref="AH52:AH53"/>
    <mergeCell ref="AI52:AI53"/>
    <mergeCell ref="AK5:AK6"/>
    <mergeCell ref="AK52:AK53"/>
    <mergeCell ref="S52:S53"/>
    <mergeCell ref="V52:V53"/>
    <mergeCell ref="Y52:Y53"/>
    <mergeCell ref="AG5:AG6"/>
    <mergeCell ref="AH5:AH6"/>
    <mergeCell ref="AI5:AI6"/>
    <mergeCell ref="AB52:AB53"/>
    <mergeCell ref="AF52:AF53"/>
    <mergeCell ref="AG52:AG53"/>
    <mergeCell ref="AB5:AB6"/>
    <mergeCell ref="AF5:AF6"/>
    <mergeCell ref="C46:C47"/>
    <mergeCell ref="D1:AI3"/>
    <mergeCell ref="D5:D6"/>
    <mergeCell ref="E5:E6"/>
    <mergeCell ref="F5:F6"/>
    <mergeCell ref="G5:G6"/>
    <mergeCell ref="J5:J6"/>
    <mergeCell ref="S5:S6"/>
    <mergeCell ref="I5:I6"/>
    <mergeCell ref="V5:V6"/>
    <mergeCell ref="Y5:Y6"/>
    <mergeCell ref="R5:R6"/>
    <mergeCell ref="N5:N6"/>
    <mergeCell ref="Q5:Q6"/>
    <mergeCell ref="K5:K6"/>
    <mergeCell ref="L5:L6"/>
  </mergeCells>
  <dataValidations count="1">
    <dataValidation type="decimal" operator="greaterThanOrEqual" allowBlank="1" showErrorMessage="1" errorTitle="Input error" error="Numbers only!" sqref="D8:AI25 AH35:AH36 J35:J36 AB34 Y34 V34 Q34:S34 N34 AH33 M33:M37 AH30:AH31 J30:J32 M28:M31 D55:AI56" xr:uid="{00000000-0002-0000-0600-000000000000}">
      <formula1>-10000000</formula1>
    </dataValidation>
  </dataValidations>
  <pageMargins left="0.39370078740157483" right="0.39370078740157483" top="0.78740157480314965" bottom="0.78740157480314965" header="0.39370078740157483" footer="0.39370078740157483"/>
  <pageSetup paperSize="9" scale="42" orientation="landscape" r:id="rId1"/>
  <headerFooter alignWithMargins="0">
    <oddHeader>&amp;A</oddHeader>
    <oddFooter>Page &amp;P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07">
    <pageSetUpPr fitToPage="1"/>
  </sheetPr>
  <dimension ref="A1:EE1000"/>
  <sheetViews>
    <sheetView zoomScaleNormal="100" workbookViewId="0">
      <pane xSplit="2" ySplit="7" topLeftCell="C8" activePane="bottomRight" state="frozen"/>
      <selection activeCell="ED11" sqref="ED11"/>
      <selection pane="topRight" activeCell="ED11" sqref="ED11"/>
      <selection pane="bottomLeft" activeCell="ED11" sqref="ED11"/>
      <selection pane="bottomRight" activeCell="C8" sqref="C8"/>
    </sheetView>
  </sheetViews>
  <sheetFormatPr defaultColWidth="9.140625" defaultRowHeight="12.75" x14ac:dyDescent="0.2"/>
  <cols>
    <col min="1" max="1" width="31.28515625" style="2" customWidth="1"/>
    <col min="2" max="2" width="3.5703125" style="2" customWidth="1"/>
    <col min="3" max="28" width="9.28515625" style="2" customWidth="1"/>
    <col min="29" max="29" width="10.140625" style="2" customWidth="1"/>
    <col min="30" max="34" width="9.28515625" style="2" customWidth="1"/>
    <col min="35" max="35" width="2" style="2" customWidth="1"/>
    <col min="36" max="36" width="76.140625" style="2" customWidth="1"/>
    <col min="37" max="37" width="9.140625" style="2" customWidth="1"/>
    <col min="38" max="38" width="3.42578125" style="141" customWidth="1"/>
    <col min="39" max="39" width="9.140625" style="141"/>
    <col min="40" max="44" width="9.140625" style="2"/>
    <col min="45" max="45" width="3.7109375" style="2" hidden="1" customWidth="1"/>
    <col min="46" max="46" width="13.42578125" style="2" hidden="1" customWidth="1"/>
    <col min="47" max="122" width="9.140625" style="2"/>
    <col min="123" max="135" width="9.140625" style="2" hidden="1" customWidth="1"/>
    <col min="136" max="16384" width="9.140625" style="2"/>
  </cols>
  <sheetData>
    <row r="1" spans="1:135" x14ac:dyDescent="0.2">
      <c r="A1" s="1" t="s">
        <v>611</v>
      </c>
      <c r="B1" s="1"/>
      <c r="AS1" s="141"/>
      <c r="AT1" s="303" t="s">
        <v>351</v>
      </c>
    </row>
    <row r="2" spans="1:135" x14ac:dyDescent="0.2">
      <c r="A2" s="24" t="str">
        <f>IF('Table 1'!D2=0,"",'Table 1'!D2)</f>
        <v>Netherlands</v>
      </c>
      <c r="B2" s="28"/>
      <c r="AS2" s="141"/>
      <c r="AT2" s="338" t="s">
        <v>415</v>
      </c>
    </row>
    <row r="3" spans="1:135" x14ac:dyDescent="0.2">
      <c r="A3" s="24" t="str">
        <f>IF('Table 1'!D3=0,"",'Table 1'!D3 &amp; " " &amp; QuestYear)</f>
        <v>September 2026</v>
      </c>
      <c r="B3" s="24"/>
      <c r="AS3" s="141"/>
      <c r="AT3" s="303" t="s">
        <v>586</v>
      </c>
    </row>
    <row r="4" spans="1:135" x14ac:dyDescent="0.2">
      <c r="A4" s="5" t="s">
        <v>857</v>
      </c>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H4" s="25" t="s">
        <v>108</v>
      </c>
      <c r="AS4" s="141"/>
      <c r="AT4" s="425" t="s">
        <v>587</v>
      </c>
    </row>
    <row r="5" spans="1:135" ht="12.75" customHeight="1" x14ac:dyDescent="0.2">
      <c r="A5" s="242"/>
      <c r="B5" s="203"/>
      <c r="C5" s="1106" t="s">
        <v>656</v>
      </c>
      <c r="D5" s="1106" t="s">
        <v>657</v>
      </c>
      <c r="E5" s="1106" t="s">
        <v>647</v>
      </c>
      <c r="F5" s="1158" t="s">
        <v>666</v>
      </c>
      <c r="G5" s="281"/>
      <c r="H5" s="1150" t="s">
        <v>885</v>
      </c>
      <c r="I5" s="1110" t="s">
        <v>645</v>
      </c>
      <c r="J5" s="1122" t="s">
        <v>8</v>
      </c>
      <c r="K5" s="1124" t="s">
        <v>9</v>
      </c>
      <c r="L5" s="1126" t="s">
        <v>10</v>
      </c>
      <c r="M5" s="1114" t="s">
        <v>659</v>
      </c>
      <c r="N5" s="329"/>
      <c r="O5" s="190"/>
      <c r="P5" s="1122" t="s">
        <v>660</v>
      </c>
      <c r="Q5" s="1124" t="s">
        <v>661</v>
      </c>
      <c r="R5" s="1116" t="s">
        <v>668</v>
      </c>
      <c r="S5" s="191"/>
      <c r="T5" s="192"/>
      <c r="U5" s="1126" t="s">
        <v>664</v>
      </c>
      <c r="V5" s="193"/>
      <c r="W5" s="190"/>
      <c r="X5" s="1118" t="s">
        <v>670</v>
      </c>
      <c r="Y5" s="190"/>
      <c r="Z5" s="190"/>
      <c r="AA5" s="1114" t="s">
        <v>628</v>
      </c>
      <c r="AB5" s="190"/>
      <c r="AC5" s="190"/>
      <c r="AD5" s="190"/>
      <c r="AE5" s="1122" t="s">
        <v>629</v>
      </c>
      <c r="AF5" s="1150" t="s">
        <v>630</v>
      </c>
      <c r="AG5" s="1120" t="s">
        <v>631</v>
      </c>
      <c r="AH5" s="1120" t="s">
        <v>679</v>
      </c>
      <c r="AJ5" s="1139" t="s">
        <v>350</v>
      </c>
      <c r="AS5" s="141"/>
    </row>
    <row r="6" spans="1:135" ht="45" customHeight="1" x14ac:dyDescent="0.25">
      <c r="A6" s="201"/>
      <c r="B6" s="202"/>
      <c r="C6" s="1107"/>
      <c r="D6" s="1107"/>
      <c r="E6" s="1107"/>
      <c r="F6" s="1159"/>
      <c r="G6" s="99" t="s">
        <v>667</v>
      </c>
      <c r="H6" s="1138"/>
      <c r="I6" s="1111"/>
      <c r="J6" s="1123"/>
      <c r="K6" s="1125"/>
      <c r="L6" s="1127"/>
      <c r="M6" s="1115"/>
      <c r="N6" s="184" t="s">
        <v>623</v>
      </c>
      <c r="O6" s="185" t="s">
        <v>626</v>
      </c>
      <c r="P6" s="1123"/>
      <c r="Q6" s="1125"/>
      <c r="R6" s="1117"/>
      <c r="S6" s="186" t="s">
        <v>662</v>
      </c>
      <c r="T6" s="187" t="s">
        <v>663</v>
      </c>
      <c r="U6" s="1127"/>
      <c r="V6" s="188" t="s">
        <v>627</v>
      </c>
      <c r="W6" s="189" t="s">
        <v>669</v>
      </c>
      <c r="X6" s="1119"/>
      <c r="Y6" s="184" t="s">
        <v>624</v>
      </c>
      <c r="Z6" s="186" t="s">
        <v>671</v>
      </c>
      <c r="AA6" s="1115"/>
      <c r="AB6" s="187" t="s">
        <v>674</v>
      </c>
      <c r="AC6" s="186" t="s">
        <v>1411</v>
      </c>
      <c r="AD6" s="196" t="s">
        <v>872</v>
      </c>
      <c r="AE6" s="1123"/>
      <c r="AF6" s="1138"/>
      <c r="AG6" s="1121"/>
      <c r="AH6" s="1121"/>
      <c r="AI6" s="27"/>
      <c r="AJ6" s="1140"/>
      <c r="AS6" s="141"/>
      <c r="AT6" s="141"/>
      <c r="DS6" s="643" t="s">
        <v>1121</v>
      </c>
      <c r="DT6" s="666"/>
      <c r="DU6" s="645"/>
      <c r="DV6" s="645"/>
      <c r="DW6" s="645"/>
      <c r="DX6" s="645"/>
      <c r="DY6" s="645"/>
      <c r="DZ6" s="645"/>
      <c r="EA6" s="645"/>
      <c r="EB6" s="645"/>
      <c r="EC6" s="645"/>
      <c r="ED6" s="645"/>
    </row>
    <row r="7" spans="1:135" ht="12.75" customHeight="1" x14ac:dyDescent="0.2">
      <c r="A7" s="97"/>
      <c r="B7" s="98"/>
      <c r="C7" s="87" t="s">
        <v>152</v>
      </c>
      <c r="D7" s="86" t="s">
        <v>153</v>
      </c>
      <c r="E7" s="86" t="s">
        <v>154</v>
      </c>
      <c r="F7" s="180" t="s">
        <v>155</v>
      </c>
      <c r="G7" s="198" t="s">
        <v>156</v>
      </c>
      <c r="H7" s="198" t="s">
        <v>157</v>
      </c>
      <c r="I7" s="199" t="s">
        <v>158</v>
      </c>
      <c r="J7" s="87" t="s">
        <v>159</v>
      </c>
      <c r="K7" s="87" t="s">
        <v>160</v>
      </c>
      <c r="L7" s="96" t="s">
        <v>161</v>
      </c>
      <c r="M7" s="179" t="s">
        <v>162</v>
      </c>
      <c r="N7" s="198" t="s">
        <v>163</v>
      </c>
      <c r="O7" s="89" t="s">
        <v>164</v>
      </c>
      <c r="P7" s="95" t="s">
        <v>165</v>
      </c>
      <c r="Q7" s="177" t="s">
        <v>166</v>
      </c>
      <c r="R7" s="180" t="s">
        <v>167</v>
      </c>
      <c r="S7" s="198" t="s">
        <v>168</v>
      </c>
      <c r="T7" s="86" t="s">
        <v>169</v>
      </c>
      <c r="U7" s="94" t="s">
        <v>170</v>
      </c>
      <c r="V7" s="87" t="s">
        <v>171</v>
      </c>
      <c r="W7" s="101" t="s">
        <v>172</v>
      </c>
      <c r="X7" s="176" t="s">
        <v>173</v>
      </c>
      <c r="Y7" s="200" t="s">
        <v>174</v>
      </c>
      <c r="Z7" s="89" t="s">
        <v>175</v>
      </c>
      <c r="AA7" s="179" t="s">
        <v>176</v>
      </c>
      <c r="AB7" s="200" t="s">
        <v>177</v>
      </c>
      <c r="AC7" s="200" t="s">
        <v>181</v>
      </c>
      <c r="AD7" s="89" t="s">
        <v>417</v>
      </c>
      <c r="AE7" s="178" t="s">
        <v>672</v>
      </c>
      <c r="AF7" s="89" t="s">
        <v>678</v>
      </c>
      <c r="AG7" s="90" t="s">
        <v>499</v>
      </c>
      <c r="AH7" s="90" t="s">
        <v>680</v>
      </c>
      <c r="AI7" s="27"/>
      <c r="AJ7" s="90" t="s">
        <v>1413</v>
      </c>
      <c r="AS7" s="141"/>
      <c r="AT7" s="303" t="s">
        <v>553</v>
      </c>
      <c r="DS7" s="646" t="s">
        <v>1122</v>
      </c>
      <c r="DT7" s="646" t="s">
        <v>1113</v>
      </c>
      <c r="DU7" s="646" t="s">
        <v>1123</v>
      </c>
      <c r="DV7" s="646" t="s">
        <v>1124</v>
      </c>
      <c r="DW7" s="646" t="s">
        <v>1125</v>
      </c>
      <c r="DX7" s="646" t="s">
        <v>1126</v>
      </c>
      <c r="DY7" s="646" t="s">
        <v>415</v>
      </c>
      <c r="DZ7" s="646" t="s">
        <v>1127</v>
      </c>
      <c r="EA7" s="646" t="s">
        <v>1128</v>
      </c>
      <c r="EB7" s="646" t="s">
        <v>1129</v>
      </c>
      <c r="EC7" s="646" t="s">
        <v>1130</v>
      </c>
      <c r="ED7" s="646" t="s">
        <v>1131</v>
      </c>
      <c r="EE7" s="646" t="s">
        <v>1244</v>
      </c>
    </row>
    <row r="8" spans="1:135" x14ac:dyDescent="0.2">
      <c r="A8" s="225" t="s">
        <v>930</v>
      </c>
      <c r="B8" s="632">
        <v>1</v>
      </c>
      <c r="C8" s="770">
        <v>0</v>
      </c>
      <c r="D8" s="830">
        <v>0</v>
      </c>
      <c r="E8" s="830">
        <v>0</v>
      </c>
      <c r="F8" s="866">
        <v>0</v>
      </c>
      <c r="G8" s="830">
        <v>0</v>
      </c>
      <c r="H8" s="830">
        <v>0</v>
      </c>
      <c r="I8" s="828">
        <f t="shared" ref="I8:I64" si="0">ROUND(SUM(C8:F8,H8),3)</f>
        <v>0</v>
      </c>
      <c r="J8" s="832">
        <v>0</v>
      </c>
      <c r="K8" s="832">
        <v>0</v>
      </c>
      <c r="L8" s="830">
        <v>0</v>
      </c>
      <c r="M8" s="802">
        <v>0</v>
      </c>
      <c r="N8" s="832">
        <v>0</v>
      </c>
      <c r="O8" s="833">
        <v>0</v>
      </c>
      <c r="P8" s="832">
        <v>0</v>
      </c>
      <c r="Q8" s="832">
        <v>0</v>
      </c>
      <c r="R8" s="781">
        <v>0</v>
      </c>
      <c r="S8" s="830">
        <v>0</v>
      </c>
      <c r="T8" s="830">
        <v>0</v>
      </c>
      <c r="U8" s="834">
        <v>0</v>
      </c>
      <c r="V8" s="832">
        <v>0</v>
      </c>
      <c r="W8" s="831">
        <v>0</v>
      </c>
      <c r="X8" s="783">
        <v>0</v>
      </c>
      <c r="Y8" s="830">
        <v>0</v>
      </c>
      <c r="Z8" s="833">
        <v>0</v>
      </c>
      <c r="AA8" s="802">
        <v>0</v>
      </c>
      <c r="AB8" s="835">
        <v>0</v>
      </c>
      <c r="AC8" s="835">
        <v>0</v>
      </c>
      <c r="AD8" s="833">
        <v>0</v>
      </c>
      <c r="AE8" s="836">
        <v>0</v>
      </c>
      <c r="AF8" s="836">
        <v>0</v>
      </c>
      <c r="AG8" s="827">
        <f t="shared" ref="AG8:AG64" si="1">ROUND(SUM(J8:M8,P8:R8,U8,X8,AA8,AE8:AF8),3)</f>
        <v>0</v>
      </c>
      <c r="AH8" s="827">
        <f t="shared" ref="AH8:AH64" si="2">ROUND(SUM(I8,AG8),3)</f>
        <v>0</v>
      </c>
      <c r="AI8" s="466">
        <f>IF(ROUND(I8-SUM(C8:F8,H8),3)=0,0,1)+IF(ROUND(AG8-SUM(J8:M8,P8:R8,U8,X8,AA8,AE8:AF8),3)=0,0,1)+IF(ROUND(AH8-SUM(AG8,I8),3)=0,0,1)</f>
        <v>0</v>
      </c>
      <c r="AJ8" s="467" t="str">
        <f>IF(AI8=0," ",IF(AI8=1,"A total is not equal to the sum of its components: ",AI8&amp;" totals are not equal to the sum of their components: "))&amp;IF(AI8=0,"",IF(I8-SUM(C8:F8,H8)=0,"","Total crude. ")&amp;IF(AG8-SUM(J8:M8,P8:R8,U8,X8,AA8,AE8:AF8)=0,"","Total products. ")&amp;IF(AH8-SUM(AG8,I8)=0,"","Total oil."))</f>
        <v xml:space="preserve"> </v>
      </c>
      <c r="AS8" s="130" t="s">
        <v>932</v>
      </c>
      <c r="AT8" s="130" t="s">
        <v>931</v>
      </c>
      <c r="DS8" s="647" t="str">
        <f>VLOOKUP(CountryUser, Param!$C$9:$E$67, 3, 0)</f>
        <v>NL</v>
      </c>
      <c r="DT8" s="647" t="s">
        <v>1132</v>
      </c>
      <c r="DU8" s="667" t="s">
        <v>415</v>
      </c>
      <c r="DV8" s="667" t="s">
        <v>1188</v>
      </c>
      <c r="DW8" s="667" t="s">
        <v>1134</v>
      </c>
      <c r="DX8" s="667" t="s">
        <v>1134</v>
      </c>
      <c r="DY8" s="667" t="s">
        <v>1189</v>
      </c>
      <c r="DZ8" s="667" t="s">
        <v>1134</v>
      </c>
      <c r="EA8" s="667" t="s">
        <v>932</v>
      </c>
      <c r="EB8" s="667" t="s">
        <v>1135</v>
      </c>
      <c r="EC8" s="667" t="s">
        <v>1134</v>
      </c>
      <c r="ED8" s="667" t="s">
        <v>1136</v>
      </c>
      <c r="EE8" s="667" t="str">
        <f>QuestYear&amp;"-"&amp;TEXT(MATCH(FirstMonth, Param!C71:C82,0), "00")</f>
        <v>2026-09</v>
      </c>
    </row>
    <row r="9" spans="1:135" x14ac:dyDescent="0.2">
      <c r="A9" s="225" t="s">
        <v>554</v>
      </c>
      <c r="B9" s="632">
        <v>2</v>
      </c>
      <c r="C9" s="770">
        <v>0</v>
      </c>
      <c r="D9" s="830">
        <v>0</v>
      </c>
      <c r="E9" s="830">
        <v>0</v>
      </c>
      <c r="F9" s="866">
        <v>0</v>
      </c>
      <c r="G9" s="830">
        <v>0</v>
      </c>
      <c r="H9" s="830">
        <v>0</v>
      </c>
      <c r="I9" s="828">
        <f t="shared" si="0"/>
        <v>0</v>
      </c>
      <c r="J9" s="832">
        <v>0</v>
      </c>
      <c r="K9" s="832">
        <v>0</v>
      </c>
      <c r="L9" s="830">
        <v>0</v>
      </c>
      <c r="M9" s="802">
        <v>0</v>
      </c>
      <c r="N9" s="832">
        <v>0</v>
      </c>
      <c r="O9" s="833">
        <v>0</v>
      </c>
      <c r="P9" s="832">
        <v>0</v>
      </c>
      <c r="Q9" s="832">
        <v>0</v>
      </c>
      <c r="R9" s="781">
        <v>0</v>
      </c>
      <c r="S9" s="830">
        <v>0</v>
      </c>
      <c r="T9" s="830">
        <v>0</v>
      </c>
      <c r="U9" s="834">
        <v>0</v>
      </c>
      <c r="V9" s="832">
        <v>0</v>
      </c>
      <c r="W9" s="831">
        <v>0</v>
      </c>
      <c r="X9" s="783">
        <v>0</v>
      </c>
      <c r="Y9" s="830">
        <v>0</v>
      </c>
      <c r="Z9" s="833">
        <v>0</v>
      </c>
      <c r="AA9" s="802">
        <v>0</v>
      </c>
      <c r="AB9" s="835">
        <v>0</v>
      </c>
      <c r="AC9" s="835">
        <v>0</v>
      </c>
      <c r="AD9" s="833">
        <v>0</v>
      </c>
      <c r="AE9" s="836">
        <v>0</v>
      </c>
      <c r="AF9" s="836">
        <v>0</v>
      </c>
      <c r="AG9" s="827">
        <f t="shared" si="1"/>
        <v>0</v>
      </c>
      <c r="AH9" s="827">
        <f t="shared" si="2"/>
        <v>0</v>
      </c>
      <c r="AI9" s="466">
        <f t="shared" ref="AI9:AI63" si="3">IF(ROUND(I9-SUM(C9:F9,H9),3)=0,0,1)+IF(ROUND(AG9-SUM(J9:M9,P9:R9,U9,X9,AA9,AE9:AF9),3)=0,0,1)+IF(ROUND(AH9-SUM(AG9,I9),3)=0,0,1)</f>
        <v>0</v>
      </c>
      <c r="AJ9" s="467" t="str">
        <f t="shared" ref="AJ9:AJ63" si="4">IF(AI9=0," ",IF(AI9=1,"A total is not equal to the sum of its components: ",AI9&amp;" totals are not equal to the sum of their components: "))&amp;IF(AI9=0,"",IF(I9-SUM(C9:F9,H9)=0,"","Total crude. ")&amp;IF(AG9-SUM(J9:M9,P9:R9,U9,X9,AA9,AE9:AF9)=0,"","Total products. ")&amp;IF(AH9-SUM(AG9,I9)=0,"","Total oil."))</f>
        <v xml:space="preserve"> </v>
      </c>
      <c r="AS9" s="130" t="s">
        <v>501</v>
      </c>
      <c r="AT9" s="130" t="s">
        <v>502</v>
      </c>
      <c r="DS9" s="647"/>
      <c r="DT9" s="647"/>
      <c r="DU9" s="667" t="s">
        <v>415</v>
      </c>
      <c r="DV9" s="667" t="s">
        <v>1188</v>
      </c>
      <c r="DW9" s="667" t="s">
        <v>1134</v>
      </c>
      <c r="DX9" s="667" t="s">
        <v>1134</v>
      </c>
      <c r="DY9" s="667" t="s">
        <v>1189</v>
      </c>
      <c r="DZ9" s="667" t="s">
        <v>1134</v>
      </c>
      <c r="EA9" s="667" t="s">
        <v>501</v>
      </c>
      <c r="EB9" s="667" t="s">
        <v>1135</v>
      </c>
      <c r="EC9" s="667" t="s">
        <v>1134</v>
      </c>
      <c r="ED9" s="667" t="s">
        <v>1136</v>
      </c>
      <c r="EE9" s="1077"/>
    </row>
    <row r="10" spans="1:135" x14ac:dyDescent="0.2">
      <c r="A10" s="225" t="s">
        <v>115</v>
      </c>
      <c r="B10" s="632">
        <v>3</v>
      </c>
      <c r="C10" s="830">
        <v>0</v>
      </c>
      <c r="D10" s="830">
        <v>0</v>
      </c>
      <c r="E10" s="830">
        <v>0</v>
      </c>
      <c r="F10" s="866">
        <v>0</v>
      </c>
      <c r="G10" s="830">
        <v>0</v>
      </c>
      <c r="H10" s="830">
        <v>0</v>
      </c>
      <c r="I10" s="828">
        <f t="shared" si="0"/>
        <v>0</v>
      </c>
      <c r="J10" s="832">
        <v>0</v>
      </c>
      <c r="K10" s="832">
        <v>0</v>
      </c>
      <c r="L10" s="830">
        <v>0</v>
      </c>
      <c r="M10" s="802">
        <v>0</v>
      </c>
      <c r="N10" s="832">
        <v>0</v>
      </c>
      <c r="O10" s="833">
        <v>0</v>
      </c>
      <c r="P10" s="832">
        <v>0</v>
      </c>
      <c r="Q10" s="832">
        <v>0</v>
      </c>
      <c r="R10" s="781">
        <v>0</v>
      </c>
      <c r="S10" s="830">
        <v>0</v>
      </c>
      <c r="T10" s="830">
        <v>0</v>
      </c>
      <c r="U10" s="834">
        <v>0</v>
      </c>
      <c r="V10" s="832">
        <v>0</v>
      </c>
      <c r="W10" s="831">
        <v>0</v>
      </c>
      <c r="X10" s="783">
        <v>0</v>
      </c>
      <c r="Y10" s="830">
        <v>0</v>
      </c>
      <c r="Z10" s="833">
        <v>0</v>
      </c>
      <c r="AA10" s="802">
        <v>0</v>
      </c>
      <c r="AB10" s="835">
        <v>0</v>
      </c>
      <c r="AC10" s="835">
        <v>0</v>
      </c>
      <c r="AD10" s="833">
        <v>0</v>
      </c>
      <c r="AE10" s="836">
        <v>0</v>
      </c>
      <c r="AF10" s="836">
        <v>0</v>
      </c>
      <c r="AG10" s="827">
        <f t="shared" si="1"/>
        <v>0</v>
      </c>
      <c r="AH10" s="827">
        <f t="shared" si="2"/>
        <v>0</v>
      </c>
      <c r="AI10" s="466">
        <f t="shared" si="3"/>
        <v>0</v>
      </c>
      <c r="AJ10" s="467" t="str">
        <f t="shared" si="4"/>
        <v xml:space="preserve"> </v>
      </c>
      <c r="AS10" s="139" t="s">
        <v>232</v>
      </c>
      <c r="AT10" s="139" t="s">
        <v>231</v>
      </c>
      <c r="DS10" s="668"/>
      <c r="DT10" s="668"/>
      <c r="DU10" s="667" t="s">
        <v>415</v>
      </c>
      <c r="DV10" s="667" t="s">
        <v>1188</v>
      </c>
      <c r="DW10" s="667" t="s">
        <v>1134</v>
      </c>
      <c r="DX10" s="667" t="s">
        <v>1134</v>
      </c>
      <c r="DY10" s="667" t="s">
        <v>1189</v>
      </c>
      <c r="DZ10" s="667" t="s">
        <v>1134</v>
      </c>
      <c r="EA10" s="667" t="s">
        <v>232</v>
      </c>
      <c r="EB10" s="667" t="s">
        <v>1135</v>
      </c>
      <c r="EC10" s="667" t="s">
        <v>1134</v>
      </c>
      <c r="ED10" s="667" t="s">
        <v>1136</v>
      </c>
    </row>
    <row r="11" spans="1:135" x14ac:dyDescent="0.2">
      <c r="A11" s="225" t="s">
        <v>15</v>
      </c>
      <c r="B11" s="632">
        <v>4</v>
      </c>
      <c r="C11" s="830">
        <v>0</v>
      </c>
      <c r="D11" s="830">
        <v>0</v>
      </c>
      <c r="E11" s="830">
        <v>0</v>
      </c>
      <c r="F11" s="866">
        <v>0</v>
      </c>
      <c r="G11" s="830">
        <v>0</v>
      </c>
      <c r="H11" s="830">
        <v>0</v>
      </c>
      <c r="I11" s="828">
        <f t="shared" si="0"/>
        <v>0</v>
      </c>
      <c r="J11" s="832">
        <v>0</v>
      </c>
      <c r="K11" s="832">
        <v>0</v>
      </c>
      <c r="L11" s="830">
        <v>0</v>
      </c>
      <c r="M11" s="802">
        <v>0</v>
      </c>
      <c r="N11" s="832">
        <v>0</v>
      </c>
      <c r="O11" s="833">
        <v>0</v>
      </c>
      <c r="P11" s="832">
        <v>0</v>
      </c>
      <c r="Q11" s="832">
        <v>0</v>
      </c>
      <c r="R11" s="781">
        <v>0</v>
      </c>
      <c r="S11" s="830">
        <v>0</v>
      </c>
      <c r="T11" s="830">
        <v>0</v>
      </c>
      <c r="U11" s="834">
        <v>0</v>
      </c>
      <c r="V11" s="832">
        <v>0</v>
      </c>
      <c r="W11" s="831">
        <v>0</v>
      </c>
      <c r="X11" s="783">
        <v>0</v>
      </c>
      <c r="Y11" s="830">
        <v>0</v>
      </c>
      <c r="Z11" s="833">
        <v>0</v>
      </c>
      <c r="AA11" s="802">
        <v>0</v>
      </c>
      <c r="AB11" s="835">
        <v>0</v>
      </c>
      <c r="AC11" s="835">
        <v>0</v>
      </c>
      <c r="AD11" s="833">
        <v>0</v>
      </c>
      <c r="AE11" s="836">
        <v>0</v>
      </c>
      <c r="AF11" s="836">
        <v>0</v>
      </c>
      <c r="AG11" s="827">
        <f t="shared" si="1"/>
        <v>0</v>
      </c>
      <c r="AH11" s="827">
        <f t="shared" si="2"/>
        <v>0</v>
      </c>
      <c r="AI11" s="466">
        <f t="shared" si="3"/>
        <v>0</v>
      </c>
      <c r="AJ11" s="467" t="str">
        <f t="shared" si="4"/>
        <v xml:space="preserve"> </v>
      </c>
      <c r="AS11" s="139" t="s">
        <v>234</v>
      </c>
      <c r="AT11" s="139" t="s">
        <v>233</v>
      </c>
      <c r="DS11" s="648"/>
      <c r="DT11" s="648"/>
      <c r="DU11" s="667" t="s">
        <v>415</v>
      </c>
      <c r="DV11" s="667" t="s">
        <v>1188</v>
      </c>
      <c r="DW11" s="667" t="s">
        <v>1134</v>
      </c>
      <c r="DX11" s="667" t="s">
        <v>1134</v>
      </c>
      <c r="DY11" s="667" t="s">
        <v>1189</v>
      </c>
      <c r="DZ11" s="667" t="s">
        <v>1134</v>
      </c>
      <c r="EA11" s="667" t="s">
        <v>234</v>
      </c>
      <c r="EB11" s="667" t="s">
        <v>1135</v>
      </c>
      <c r="EC11" s="667" t="s">
        <v>1134</v>
      </c>
      <c r="ED11" s="667" t="s">
        <v>1136</v>
      </c>
    </row>
    <row r="12" spans="1:135" x14ac:dyDescent="0.2">
      <c r="A12" s="225" t="s">
        <v>556</v>
      </c>
      <c r="B12" s="632">
        <v>5</v>
      </c>
      <c r="C12" s="830">
        <v>0</v>
      </c>
      <c r="D12" s="830">
        <v>0</v>
      </c>
      <c r="E12" s="830">
        <v>0</v>
      </c>
      <c r="F12" s="866">
        <v>0</v>
      </c>
      <c r="G12" s="830">
        <v>0</v>
      </c>
      <c r="H12" s="830">
        <v>0</v>
      </c>
      <c r="I12" s="828">
        <f t="shared" si="0"/>
        <v>0</v>
      </c>
      <c r="J12" s="832">
        <v>0</v>
      </c>
      <c r="K12" s="832">
        <v>0</v>
      </c>
      <c r="L12" s="830">
        <v>0</v>
      </c>
      <c r="M12" s="802">
        <v>0</v>
      </c>
      <c r="N12" s="832">
        <v>0</v>
      </c>
      <c r="O12" s="833">
        <v>0</v>
      </c>
      <c r="P12" s="832">
        <v>0</v>
      </c>
      <c r="Q12" s="832">
        <v>0</v>
      </c>
      <c r="R12" s="781">
        <v>0</v>
      </c>
      <c r="S12" s="830">
        <v>0</v>
      </c>
      <c r="T12" s="830">
        <v>0</v>
      </c>
      <c r="U12" s="834">
        <v>0</v>
      </c>
      <c r="V12" s="832">
        <v>0</v>
      </c>
      <c r="W12" s="831">
        <v>0</v>
      </c>
      <c r="X12" s="783">
        <v>0</v>
      </c>
      <c r="Y12" s="830">
        <v>0</v>
      </c>
      <c r="Z12" s="833">
        <v>0</v>
      </c>
      <c r="AA12" s="802">
        <v>0</v>
      </c>
      <c r="AB12" s="835">
        <v>0</v>
      </c>
      <c r="AC12" s="835">
        <v>0</v>
      </c>
      <c r="AD12" s="833">
        <v>0</v>
      </c>
      <c r="AE12" s="836">
        <v>0</v>
      </c>
      <c r="AF12" s="836">
        <v>0</v>
      </c>
      <c r="AG12" s="827">
        <f t="shared" si="1"/>
        <v>0</v>
      </c>
      <c r="AH12" s="827">
        <f t="shared" si="2"/>
        <v>0</v>
      </c>
      <c r="AI12" s="466">
        <f t="shared" si="3"/>
        <v>0</v>
      </c>
      <c r="AJ12" s="467" t="str">
        <f t="shared" si="4"/>
        <v xml:space="preserve"> </v>
      </c>
      <c r="AS12" s="130" t="s">
        <v>505</v>
      </c>
      <c r="AT12" s="130" t="s">
        <v>506</v>
      </c>
      <c r="DS12" s="648"/>
      <c r="DT12" s="648"/>
      <c r="DU12" s="667" t="s">
        <v>415</v>
      </c>
      <c r="DV12" s="667" t="s">
        <v>1188</v>
      </c>
      <c r="DW12" s="667" t="s">
        <v>1134</v>
      </c>
      <c r="DX12" s="667" t="s">
        <v>1134</v>
      </c>
      <c r="DY12" s="667" t="s">
        <v>1189</v>
      </c>
      <c r="DZ12" s="667" t="s">
        <v>1134</v>
      </c>
      <c r="EA12" s="667" t="s">
        <v>505</v>
      </c>
      <c r="EB12" s="667" t="s">
        <v>1135</v>
      </c>
      <c r="EC12" s="667" t="s">
        <v>1134</v>
      </c>
      <c r="ED12" s="667" t="s">
        <v>1136</v>
      </c>
    </row>
    <row r="13" spans="1:135" x14ac:dyDescent="0.2">
      <c r="A13" s="225" t="s">
        <v>116</v>
      </c>
      <c r="B13" s="632">
        <v>6</v>
      </c>
      <c r="C13" s="830">
        <v>0</v>
      </c>
      <c r="D13" s="830">
        <v>0</v>
      </c>
      <c r="E13" s="830">
        <v>0</v>
      </c>
      <c r="F13" s="866">
        <v>0</v>
      </c>
      <c r="G13" s="830">
        <v>0</v>
      </c>
      <c r="H13" s="830">
        <v>0</v>
      </c>
      <c r="I13" s="828">
        <f t="shared" si="0"/>
        <v>0</v>
      </c>
      <c r="J13" s="832">
        <v>0</v>
      </c>
      <c r="K13" s="832">
        <v>0</v>
      </c>
      <c r="L13" s="830">
        <v>0</v>
      </c>
      <c r="M13" s="802">
        <v>0</v>
      </c>
      <c r="N13" s="832">
        <v>0</v>
      </c>
      <c r="O13" s="833">
        <v>0</v>
      </c>
      <c r="P13" s="832">
        <v>0</v>
      </c>
      <c r="Q13" s="832">
        <v>0</v>
      </c>
      <c r="R13" s="781">
        <v>0</v>
      </c>
      <c r="S13" s="830">
        <v>0</v>
      </c>
      <c r="T13" s="830">
        <v>0</v>
      </c>
      <c r="U13" s="834">
        <v>0</v>
      </c>
      <c r="V13" s="832">
        <v>0</v>
      </c>
      <c r="W13" s="831">
        <v>0</v>
      </c>
      <c r="X13" s="783">
        <v>0</v>
      </c>
      <c r="Y13" s="830">
        <v>0</v>
      </c>
      <c r="Z13" s="833">
        <v>0</v>
      </c>
      <c r="AA13" s="802">
        <v>0</v>
      </c>
      <c r="AB13" s="835">
        <v>0</v>
      </c>
      <c r="AC13" s="835">
        <v>0</v>
      </c>
      <c r="AD13" s="833">
        <v>0</v>
      </c>
      <c r="AE13" s="836">
        <v>0</v>
      </c>
      <c r="AF13" s="836">
        <v>0</v>
      </c>
      <c r="AG13" s="827">
        <f t="shared" si="1"/>
        <v>0</v>
      </c>
      <c r="AH13" s="827">
        <f t="shared" si="2"/>
        <v>0</v>
      </c>
      <c r="AI13" s="466">
        <f t="shared" si="3"/>
        <v>0</v>
      </c>
      <c r="AJ13" s="467" t="str">
        <f t="shared" si="4"/>
        <v xml:space="preserve"> </v>
      </c>
      <c r="AS13" s="139" t="s">
        <v>236</v>
      </c>
      <c r="AT13" s="139" t="s">
        <v>235</v>
      </c>
      <c r="DS13" s="648"/>
      <c r="DT13" s="648"/>
      <c r="DU13" s="667" t="s">
        <v>415</v>
      </c>
      <c r="DV13" s="667" t="s">
        <v>1188</v>
      </c>
      <c r="DW13" s="667" t="s">
        <v>1134</v>
      </c>
      <c r="DX13" s="667" t="s">
        <v>1134</v>
      </c>
      <c r="DY13" s="667" t="s">
        <v>1189</v>
      </c>
      <c r="DZ13" s="667" t="s">
        <v>1134</v>
      </c>
      <c r="EA13" s="667" t="s">
        <v>236</v>
      </c>
      <c r="EB13" s="667" t="s">
        <v>1135</v>
      </c>
      <c r="EC13" s="667" t="s">
        <v>1134</v>
      </c>
      <c r="ED13" s="667" t="s">
        <v>1136</v>
      </c>
    </row>
    <row r="14" spans="1:135" x14ac:dyDescent="0.2">
      <c r="A14" s="225" t="s">
        <v>595</v>
      </c>
      <c r="B14" s="632">
        <v>7</v>
      </c>
      <c r="C14" s="830">
        <v>0</v>
      </c>
      <c r="D14" s="830">
        <v>0</v>
      </c>
      <c r="E14" s="830">
        <v>0</v>
      </c>
      <c r="F14" s="866">
        <v>0</v>
      </c>
      <c r="G14" s="830">
        <v>0</v>
      </c>
      <c r="H14" s="830">
        <v>0</v>
      </c>
      <c r="I14" s="828">
        <f t="shared" si="0"/>
        <v>0</v>
      </c>
      <c r="J14" s="832">
        <v>0</v>
      </c>
      <c r="K14" s="832">
        <v>0</v>
      </c>
      <c r="L14" s="830">
        <v>0</v>
      </c>
      <c r="M14" s="802">
        <v>0</v>
      </c>
      <c r="N14" s="832">
        <v>0</v>
      </c>
      <c r="O14" s="833">
        <v>0</v>
      </c>
      <c r="P14" s="832">
        <v>0</v>
      </c>
      <c r="Q14" s="832">
        <v>0</v>
      </c>
      <c r="R14" s="781">
        <v>0</v>
      </c>
      <c r="S14" s="830">
        <v>0</v>
      </c>
      <c r="T14" s="830">
        <v>0</v>
      </c>
      <c r="U14" s="834">
        <v>0</v>
      </c>
      <c r="V14" s="832">
        <v>0</v>
      </c>
      <c r="W14" s="831">
        <v>0</v>
      </c>
      <c r="X14" s="783">
        <v>0</v>
      </c>
      <c r="Y14" s="830">
        <v>0</v>
      </c>
      <c r="Z14" s="833">
        <v>0</v>
      </c>
      <c r="AA14" s="802">
        <v>0</v>
      </c>
      <c r="AB14" s="835">
        <v>0</v>
      </c>
      <c r="AC14" s="835">
        <v>0</v>
      </c>
      <c r="AD14" s="833">
        <v>0</v>
      </c>
      <c r="AE14" s="836">
        <v>0</v>
      </c>
      <c r="AF14" s="836">
        <v>0</v>
      </c>
      <c r="AG14" s="827">
        <f t="shared" si="1"/>
        <v>0</v>
      </c>
      <c r="AH14" s="827">
        <f t="shared" si="2"/>
        <v>0</v>
      </c>
      <c r="AI14" s="466">
        <f t="shared" si="3"/>
        <v>0</v>
      </c>
      <c r="AJ14" s="467" t="str">
        <f t="shared" si="4"/>
        <v xml:space="preserve"> </v>
      </c>
      <c r="AS14" s="139" t="s">
        <v>537</v>
      </c>
      <c r="AT14" s="139" t="s">
        <v>538</v>
      </c>
      <c r="DS14" s="648"/>
      <c r="DT14" s="648"/>
      <c r="DU14" s="667" t="s">
        <v>415</v>
      </c>
      <c r="DV14" s="667" t="s">
        <v>1188</v>
      </c>
      <c r="DW14" s="667" t="s">
        <v>1134</v>
      </c>
      <c r="DX14" s="667" t="s">
        <v>1134</v>
      </c>
      <c r="DY14" s="667" t="s">
        <v>1189</v>
      </c>
      <c r="DZ14" s="667" t="s">
        <v>1134</v>
      </c>
      <c r="EA14" s="667" t="s">
        <v>537</v>
      </c>
      <c r="EB14" s="667" t="s">
        <v>1135</v>
      </c>
      <c r="EC14" s="667" t="s">
        <v>1134</v>
      </c>
      <c r="ED14" s="667" t="s">
        <v>1136</v>
      </c>
    </row>
    <row r="15" spans="1:135" x14ac:dyDescent="0.2">
      <c r="A15" s="225" t="s">
        <v>20</v>
      </c>
      <c r="B15" s="632">
        <v>8</v>
      </c>
      <c r="C15" s="830">
        <v>0</v>
      </c>
      <c r="D15" s="830">
        <v>0</v>
      </c>
      <c r="E15" s="830">
        <v>0</v>
      </c>
      <c r="F15" s="866">
        <v>0</v>
      </c>
      <c r="G15" s="830">
        <v>0</v>
      </c>
      <c r="H15" s="830">
        <v>0</v>
      </c>
      <c r="I15" s="828">
        <f t="shared" si="0"/>
        <v>0</v>
      </c>
      <c r="J15" s="832">
        <v>0</v>
      </c>
      <c r="K15" s="832">
        <v>0</v>
      </c>
      <c r="L15" s="830">
        <v>0</v>
      </c>
      <c r="M15" s="802">
        <v>0</v>
      </c>
      <c r="N15" s="832">
        <v>0</v>
      </c>
      <c r="O15" s="833">
        <v>0</v>
      </c>
      <c r="P15" s="832">
        <v>0</v>
      </c>
      <c r="Q15" s="832">
        <v>0</v>
      </c>
      <c r="R15" s="781">
        <v>0</v>
      </c>
      <c r="S15" s="830">
        <v>0</v>
      </c>
      <c r="T15" s="830">
        <v>0</v>
      </c>
      <c r="U15" s="834">
        <v>0</v>
      </c>
      <c r="V15" s="832">
        <v>0</v>
      </c>
      <c r="W15" s="831">
        <v>0</v>
      </c>
      <c r="X15" s="783">
        <v>0</v>
      </c>
      <c r="Y15" s="830">
        <v>0</v>
      </c>
      <c r="Z15" s="833">
        <v>0</v>
      </c>
      <c r="AA15" s="802">
        <v>0</v>
      </c>
      <c r="AB15" s="835">
        <v>0</v>
      </c>
      <c r="AC15" s="835">
        <v>0</v>
      </c>
      <c r="AD15" s="833">
        <v>0</v>
      </c>
      <c r="AE15" s="836">
        <v>0</v>
      </c>
      <c r="AF15" s="836">
        <v>0</v>
      </c>
      <c r="AG15" s="827">
        <f t="shared" si="1"/>
        <v>0</v>
      </c>
      <c r="AH15" s="827">
        <f t="shared" si="2"/>
        <v>0</v>
      </c>
      <c r="AI15" s="466">
        <f t="shared" si="3"/>
        <v>0</v>
      </c>
      <c r="AJ15" s="467" t="str">
        <f t="shared" si="4"/>
        <v xml:space="preserve"> </v>
      </c>
      <c r="AS15" s="139" t="s">
        <v>433</v>
      </c>
      <c r="AT15" s="139" t="s">
        <v>434</v>
      </c>
      <c r="DS15" s="648"/>
      <c r="DT15" s="648"/>
      <c r="DU15" s="667" t="s">
        <v>415</v>
      </c>
      <c r="DV15" s="667" t="s">
        <v>1188</v>
      </c>
      <c r="DW15" s="667" t="s">
        <v>1134</v>
      </c>
      <c r="DX15" s="667" t="s">
        <v>1134</v>
      </c>
      <c r="DY15" s="667" t="s">
        <v>1189</v>
      </c>
      <c r="DZ15" s="667" t="s">
        <v>1134</v>
      </c>
      <c r="EA15" s="667" t="s">
        <v>433</v>
      </c>
      <c r="EB15" s="667" t="s">
        <v>1135</v>
      </c>
      <c r="EC15" s="667" t="s">
        <v>1134</v>
      </c>
      <c r="ED15" s="667" t="s">
        <v>1136</v>
      </c>
    </row>
    <row r="16" spans="1:135" x14ac:dyDescent="0.2">
      <c r="A16" s="225" t="s">
        <v>117</v>
      </c>
      <c r="B16" s="632">
        <v>9</v>
      </c>
      <c r="C16" s="830">
        <v>0</v>
      </c>
      <c r="D16" s="830">
        <v>0</v>
      </c>
      <c r="E16" s="830">
        <v>0</v>
      </c>
      <c r="F16" s="866">
        <v>0</v>
      </c>
      <c r="G16" s="830">
        <v>0</v>
      </c>
      <c r="H16" s="830">
        <v>0</v>
      </c>
      <c r="I16" s="828">
        <f t="shared" si="0"/>
        <v>0</v>
      </c>
      <c r="J16" s="832">
        <v>0</v>
      </c>
      <c r="K16" s="832">
        <v>0</v>
      </c>
      <c r="L16" s="837">
        <v>0</v>
      </c>
      <c r="M16" s="802">
        <v>0</v>
      </c>
      <c r="N16" s="838">
        <v>0</v>
      </c>
      <c r="O16" s="833">
        <v>0</v>
      </c>
      <c r="P16" s="832">
        <v>0</v>
      </c>
      <c r="Q16" s="832">
        <v>0</v>
      </c>
      <c r="R16" s="781">
        <v>0</v>
      </c>
      <c r="S16" s="830">
        <v>0</v>
      </c>
      <c r="T16" s="830">
        <v>0</v>
      </c>
      <c r="U16" s="834">
        <v>0</v>
      </c>
      <c r="V16" s="832">
        <v>0</v>
      </c>
      <c r="W16" s="831">
        <v>0</v>
      </c>
      <c r="X16" s="783">
        <v>0</v>
      </c>
      <c r="Y16" s="830">
        <v>0</v>
      </c>
      <c r="Z16" s="833">
        <v>0</v>
      </c>
      <c r="AA16" s="802">
        <v>0</v>
      </c>
      <c r="AB16" s="835">
        <v>0</v>
      </c>
      <c r="AC16" s="835">
        <v>0</v>
      </c>
      <c r="AD16" s="833">
        <v>0</v>
      </c>
      <c r="AE16" s="836">
        <v>0</v>
      </c>
      <c r="AF16" s="836">
        <v>0</v>
      </c>
      <c r="AG16" s="827">
        <f t="shared" si="1"/>
        <v>0</v>
      </c>
      <c r="AH16" s="827">
        <f t="shared" si="2"/>
        <v>0</v>
      </c>
      <c r="AI16" s="466">
        <f t="shared" si="3"/>
        <v>0</v>
      </c>
      <c r="AJ16" s="467" t="str">
        <f t="shared" si="4"/>
        <v xml:space="preserve"> </v>
      </c>
      <c r="AS16" s="139" t="s">
        <v>238</v>
      </c>
      <c r="AT16" s="139" t="s">
        <v>237</v>
      </c>
      <c r="DS16" s="648"/>
      <c r="DT16" s="648"/>
      <c r="DU16" s="667" t="s">
        <v>415</v>
      </c>
      <c r="DV16" s="667" t="s">
        <v>1188</v>
      </c>
      <c r="DW16" s="667" t="s">
        <v>1134</v>
      </c>
      <c r="DX16" s="667" t="s">
        <v>1134</v>
      </c>
      <c r="DY16" s="667" t="s">
        <v>1189</v>
      </c>
      <c r="DZ16" s="667" t="s">
        <v>1134</v>
      </c>
      <c r="EA16" s="667" t="s">
        <v>238</v>
      </c>
      <c r="EB16" s="667" t="s">
        <v>1135</v>
      </c>
      <c r="EC16" s="667" t="s">
        <v>1134</v>
      </c>
      <c r="ED16" s="667" t="s">
        <v>1136</v>
      </c>
    </row>
    <row r="17" spans="1:134" x14ac:dyDescent="0.2">
      <c r="A17" s="225" t="s">
        <v>613</v>
      </c>
      <c r="B17" s="632">
        <v>10</v>
      </c>
      <c r="C17" s="830">
        <v>0</v>
      </c>
      <c r="D17" s="830">
        <v>0</v>
      </c>
      <c r="E17" s="830">
        <v>0</v>
      </c>
      <c r="F17" s="866">
        <v>0</v>
      </c>
      <c r="G17" s="830">
        <v>0</v>
      </c>
      <c r="H17" s="830">
        <v>0</v>
      </c>
      <c r="I17" s="828">
        <f t="shared" si="0"/>
        <v>0</v>
      </c>
      <c r="J17" s="832">
        <v>0</v>
      </c>
      <c r="K17" s="832">
        <v>0</v>
      </c>
      <c r="L17" s="837">
        <v>0</v>
      </c>
      <c r="M17" s="802">
        <v>0</v>
      </c>
      <c r="N17" s="838">
        <v>0</v>
      </c>
      <c r="O17" s="833">
        <v>0</v>
      </c>
      <c r="P17" s="832">
        <v>0</v>
      </c>
      <c r="Q17" s="832">
        <v>0</v>
      </c>
      <c r="R17" s="781">
        <v>0</v>
      </c>
      <c r="S17" s="830">
        <v>0</v>
      </c>
      <c r="T17" s="830">
        <v>0</v>
      </c>
      <c r="U17" s="834">
        <v>0</v>
      </c>
      <c r="V17" s="832">
        <v>0</v>
      </c>
      <c r="W17" s="831">
        <v>0</v>
      </c>
      <c r="X17" s="783">
        <v>0</v>
      </c>
      <c r="Y17" s="830">
        <v>0</v>
      </c>
      <c r="Z17" s="833">
        <v>0</v>
      </c>
      <c r="AA17" s="802">
        <v>0</v>
      </c>
      <c r="AB17" s="835">
        <v>0</v>
      </c>
      <c r="AC17" s="835">
        <v>0</v>
      </c>
      <c r="AD17" s="833">
        <v>0</v>
      </c>
      <c r="AE17" s="836">
        <v>0</v>
      </c>
      <c r="AF17" s="836">
        <v>0</v>
      </c>
      <c r="AG17" s="827">
        <f t="shared" si="1"/>
        <v>0</v>
      </c>
      <c r="AH17" s="827">
        <f t="shared" si="2"/>
        <v>0</v>
      </c>
      <c r="AI17" s="466">
        <f t="shared" si="3"/>
        <v>0</v>
      </c>
      <c r="AJ17" s="467" t="str">
        <f t="shared" si="4"/>
        <v xml:space="preserve"> </v>
      </c>
      <c r="AS17" s="139" t="s">
        <v>617</v>
      </c>
      <c r="AT17" s="139" t="s">
        <v>618</v>
      </c>
      <c r="DS17" s="648"/>
      <c r="DT17" s="648"/>
      <c r="DU17" s="667" t="s">
        <v>415</v>
      </c>
      <c r="DV17" s="667" t="s">
        <v>1188</v>
      </c>
      <c r="DW17" s="667" t="s">
        <v>1134</v>
      </c>
      <c r="DX17" s="667" t="s">
        <v>1134</v>
      </c>
      <c r="DY17" s="667" t="s">
        <v>1189</v>
      </c>
      <c r="DZ17" s="667" t="s">
        <v>1134</v>
      </c>
      <c r="EA17" s="667" t="s">
        <v>617</v>
      </c>
      <c r="EB17" s="667" t="s">
        <v>1135</v>
      </c>
      <c r="EC17" s="667" t="s">
        <v>1134</v>
      </c>
      <c r="ED17" s="667" t="s">
        <v>1136</v>
      </c>
    </row>
    <row r="18" spans="1:134" x14ac:dyDescent="0.2">
      <c r="A18" s="225" t="s">
        <v>23</v>
      </c>
      <c r="B18" s="632">
        <v>11</v>
      </c>
      <c r="C18" s="830">
        <v>0</v>
      </c>
      <c r="D18" s="830">
        <v>0</v>
      </c>
      <c r="E18" s="830">
        <v>0</v>
      </c>
      <c r="F18" s="866">
        <v>0</v>
      </c>
      <c r="G18" s="830">
        <v>0</v>
      </c>
      <c r="H18" s="830">
        <v>0</v>
      </c>
      <c r="I18" s="828">
        <f t="shared" si="0"/>
        <v>0</v>
      </c>
      <c r="J18" s="832">
        <v>0</v>
      </c>
      <c r="K18" s="832">
        <v>0</v>
      </c>
      <c r="L18" s="837">
        <v>0</v>
      </c>
      <c r="M18" s="802">
        <v>0</v>
      </c>
      <c r="N18" s="838">
        <v>0</v>
      </c>
      <c r="O18" s="833">
        <v>0</v>
      </c>
      <c r="P18" s="832">
        <v>0</v>
      </c>
      <c r="Q18" s="832">
        <v>0</v>
      </c>
      <c r="R18" s="781">
        <v>0</v>
      </c>
      <c r="S18" s="830">
        <v>0</v>
      </c>
      <c r="T18" s="830">
        <v>0</v>
      </c>
      <c r="U18" s="834">
        <v>0</v>
      </c>
      <c r="V18" s="832">
        <v>0</v>
      </c>
      <c r="W18" s="831">
        <v>0</v>
      </c>
      <c r="X18" s="783">
        <v>0</v>
      </c>
      <c r="Y18" s="830">
        <v>0</v>
      </c>
      <c r="Z18" s="833">
        <v>0</v>
      </c>
      <c r="AA18" s="802">
        <v>0</v>
      </c>
      <c r="AB18" s="835">
        <v>0</v>
      </c>
      <c r="AC18" s="835">
        <v>0</v>
      </c>
      <c r="AD18" s="833">
        <v>0</v>
      </c>
      <c r="AE18" s="836">
        <v>0</v>
      </c>
      <c r="AF18" s="836">
        <v>0</v>
      </c>
      <c r="AG18" s="827">
        <f t="shared" si="1"/>
        <v>0</v>
      </c>
      <c r="AH18" s="827">
        <f t="shared" si="2"/>
        <v>0</v>
      </c>
      <c r="AI18" s="466">
        <f t="shared" si="3"/>
        <v>0</v>
      </c>
      <c r="AJ18" s="467" t="str">
        <f t="shared" si="4"/>
        <v xml:space="preserve"> </v>
      </c>
      <c r="AS18" s="130" t="s">
        <v>439</v>
      </c>
      <c r="AT18" s="130" t="s">
        <v>440</v>
      </c>
      <c r="DS18" s="648"/>
      <c r="DT18" s="648"/>
      <c r="DU18" s="667" t="s">
        <v>415</v>
      </c>
      <c r="DV18" s="667" t="s">
        <v>1188</v>
      </c>
      <c r="DW18" s="667" t="s">
        <v>1134</v>
      </c>
      <c r="DX18" s="667" t="s">
        <v>1134</v>
      </c>
      <c r="DY18" s="667" t="s">
        <v>1189</v>
      </c>
      <c r="DZ18" s="667" t="s">
        <v>1134</v>
      </c>
      <c r="EA18" s="667" t="s">
        <v>439</v>
      </c>
      <c r="EB18" s="667" t="s">
        <v>1135</v>
      </c>
      <c r="EC18" s="667" t="s">
        <v>1134</v>
      </c>
      <c r="ED18" s="667" t="s">
        <v>1136</v>
      </c>
    </row>
    <row r="19" spans="1:134" x14ac:dyDescent="0.2">
      <c r="A19" s="225" t="s">
        <v>964</v>
      </c>
      <c r="B19" s="632">
        <v>12</v>
      </c>
      <c r="C19" s="830">
        <v>0</v>
      </c>
      <c r="D19" s="830">
        <v>0</v>
      </c>
      <c r="E19" s="830">
        <v>0</v>
      </c>
      <c r="F19" s="866">
        <v>0</v>
      </c>
      <c r="G19" s="830">
        <v>0</v>
      </c>
      <c r="H19" s="830">
        <v>0</v>
      </c>
      <c r="I19" s="828">
        <f t="shared" si="0"/>
        <v>0</v>
      </c>
      <c r="J19" s="832">
        <v>0</v>
      </c>
      <c r="K19" s="832">
        <v>0</v>
      </c>
      <c r="L19" s="837">
        <v>0</v>
      </c>
      <c r="M19" s="802">
        <v>0</v>
      </c>
      <c r="N19" s="838">
        <v>0</v>
      </c>
      <c r="O19" s="833">
        <v>0</v>
      </c>
      <c r="P19" s="832">
        <v>0</v>
      </c>
      <c r="Q19" s="832">
        <v>0</v>
      </c>
      <c r="R19" s="781">
        <v>0</v>
      </c>
      <c r="S19" s="830">
        <v>0</v>
      </c>
      <c r="T19" s="830">
        <v>0</v>
      </c>
      <c r="U19" s="834">
        <v>0</v>
      </c>
      <c r="V19" s="832">
        <v>0</v>
      </c>
      <c r="W19" s="831">
        <v>0</v>
      </c>
      <c r="X19" s="783">
        <v>0</v>
      </c>
      <c r="Y19" s="830">
        <v>0</v>
      </c>
      <c r="Z19" s="833">
        <v>0</v>
      </c>
      <c r="AA19" s="802">
        <v>0</v>
      </c>
      <c r="AB19" s="835">
        <v>0</v>
      </c>
      <c r="AC19" s="835">
        <v>0</v>
      </c>
      <c r="AD19" s="833">
        <v>0</v>
      </c>
      <c r="AE19" s="836">
        <v>0</v>
      </c>
      <c r="AF19" s="836">
        <v>0</v>
      </c>
      <c r="AG19" s="827">
        <f t="shared" si="1"/>
        <v>0</v>
      </c>
      <c r="AH19" s="827">
        <f t="shared" si="2"/>
        <v>0</v>
      </c>
      <c r="AI19" s="466">
        <f t="shared" si="3"/>
        <v>0</v>
      </c>
      <c r="AJ19" s="467" t="str">
        <f t="shared" si="4"/>
        <v xml:space="preserve"> </v>
      </c>
      <c r="AS19" s="130" t="s">
        <v>1034</v>
      </c>
      <c r="AT19" s="130" t="s">
        <v>1035</v>
      </c>
      <c r="DS19" s="648"/>
      <c r="DT19" s="648"/>
      <c r="DU19" s="667" t="s">
        <v>415</v>
      </c>
      <c r="DV19" s="667" t="s">
        <v>1188</v>
      </c>
      <c r="DW19" s="667" t="s">
        <v>1134</v>
      </c>
      <c r="DX19" s="667" t="s">
        <v>1134</v>
      </c>
      <c r="DY19" s="667" t="s">
        <v>1189</v>
      </c>
      <c r="DZ19" s="667" t="s">
        <v>1134</v>
      </c>
      <c r="EA19" s="667" t="s">
        <v>1034</v>
      </c>
      <c r="EB19" s="667" t="s">
        <v>1135</v>
      </c>
      <c r="EC19" s="667" t="s">
        <v>1134</v>
      </c>
      <c r="ED19" s="667" t="s">
        <v>1136</v>
      </c>
    </row>
    <row r="20" spans="1:134" x14ac:dyDescent="0.2">
      <c r="A20" s="225" t="s">
        <v>567</v>
      </c>
      <c r="B20" s="632">
        <v>13</v>
      </c>
      <c r="C20" s="830">
        <v>0</v>
      </c>
      <c r="D20" s="830">
        <v>0</v>
      </c>
      <c r="E20" s="830">
        <v>0</v>
      </c>
      <c r="F20" s="866">
        <v>0</v>
      </c>
      <c r="G20" s="830">
        <v>0</v>
      </c>
      <c r="H20" s="830">
        <v>0</v>
      </c>
      <c r="I20" s="828">
        <f t="shared" si="0"/>
        <v>0</v>
      </c>
      <c r="J20" s="832">
        <v>0</v>
      </c>
      <c r="K20" s="832">
        <v>0</v>
      </c>
      <c r="L20" s="837">
        <v>0</v>
      </c>
      <c r="M20" s="802">
        <v>0</v>
      </c>
      <c r="N20" s="838">
        <v>0</v>
      </c>
      <c r="O20" s="833">
        <v>0</v>
      </c>
      <c r="P20" s="832">
        <v>0</v>
      </c>
      <c r="Q20" s="832">
        <v>0</v>
      </c>
      <c r="R20" s="781">
        <v>0</v>
      </c>
      <c r="S20" s="830">
        <v>0</v>
      </c>
      <c r="T20" s="830">
        <v>0</v>
      </c>
      <c r="U20" s="834">
        <v>0</v>
      </c>
      <c r="V20" s="832">
        <v>0</v>
      </c>
      <c r="W20" s="831">
        <v>0</v>
      </c>
      <c r="X20" s="783">
        <v>0</v>
      </c>
      <c r="Y20" s="830">
        <v>0</v>
      </c>
      <c r="Z20" s="833">
        <v>0</v>
      </c>
      <c r="AA20" s="802">
        <v>0</v>
      </c>
      <c r="AB20" s="835">
        <v>0</v>
      </c>
      <c r="AC20" s="835">
        <v>0</v>
      </c>
      <c r="AD20" s="833">
        <v>0</v>
      </c>
      <c r="AE20" s="836">
        <v>0</v>
      </c>
      <c r="AF20" s="836">
        <v>0</v>
      </c>
      <c r="AG20" s="827">
        <f t="shared" si="1"/>
        <v>0</v>
      </c>
      <c r="AH20" s="827">
        <f t="shared" si="2"/>
        <v>0</v>
      </c>
      <c r="AI20" s="466">
        <f t="shared" si="3"/>
        <v>0</v>
      </c>
      <c r="AJ20" s="467" t="str">
        <f t="shared" si="4"/>
        <v xml:space="preserve"> </v>
      </c>
      <c r="AS20" s="139" t="s">
        <v>539</v>
      </c>
      <c r="AT20" s="139" t="s">
        <v>540</v>
      </c>
      <c r="DS20" s="648"/>
      <c r="DT20" s="648"/>
      <c r="DU20" s="667" t="s">
        <v>415</v>
      </c>
      <c r="DV20" s="667" t="s">
        <v>1188</v>
      </c>
      <c r="DW20" s="667" t="s">
        <v>1134</v>
      </c>
      <c r="DX20" s="667" t="s">
        <v>1134</v>
      </c>
      <c r="DY20" s="667" t="s">
        <v>1189</v>
      </c>
      <c r="DZ20" s="667" t="s">
        <v>1134</v>
      </c>
      <c r="EA20" s="667" t="s">
        <v>539</v>
      </c>
      <c r="EB20" s="667" t="s">
        <v>1135</v>
      </c>
      <c r="EC20" s="667" t="s">
        <v>1134</v>
      </c>
      <c r="ED20" s="667" t="s">
        <v>1136</v>
      </c>
    </row>
    <row r="21" spans="1:134" x14ac:dyDescent="0.2">
      <c r="A21" s="225" t="s">
        <v>150</v>
      </c>
      <c r="B21" s="632">
        <v>14</v>
      </c>
      <c r="C21" s="830">
        <v>0</v>
      </c>
      <c r="D21" s="830">
        <v>0</v>
      </c>
      <c r="E21" s="830">
        <v>0</v>
      </c>
      <c r="F21" s="866">
        <v>0</v>
      </c>
      <c r="G21" s="830">
        <v>0</v>
      </c>
      <c r="H21" s="830">
        <v>0</v>
      </c>
      <c r="I21" s="828">
        <f t="shared" si="0"/>
        <v>0</v>
      </c>
      <c r="J21" s="832">
        <v>0</v>
      </c>
      <c r="K21" s="832">
        <v>0</v>
      </c>
      <c r="L21" s="837">
        <v>0</v>
      </c>
      <c r="M21" s="802">
        <v>0</v>
      </c>
      <c r="N21" s="838">
        <v>0</v>
      </c>
      <c r="O21" s="833">
        <v>0</v>
      </c>
      <c r="P21" s="832">
        <v>0</v>
      </c>
      <c r="Q21" s="832">
        <v>0</v>
      </c>
      <c r="R21" s="781">
        <v>0</v>
      </c>
      <c r="S21" s="830">
        <v>0</v>
      </c>
      <c r="T21" s="830">
        <v>0</v>
      </c>
      <c r="U21" s="834">
        <v>0</v>
      </c>
      <c r="V21" s="832">
        <v>0</v>
      </c>
      <c r="W21" s="831">
        <v>0</v>
      </c>
      <c r="X21" s="783">
        <v>0</v>
      </c>
      <c r="Y21" s="830">
        <v>0</v>
      </c>
      <c r="Z21" s="833">
        <v>0</v>
      </c>
      <c r="AA21" s="802">
        <v>35</v>
      </c>
      <c r="AB21" s="835">
        <v>0</v>
      </c>
      <c r="AC21" s="835">
        <v>0</v>
      </c>
      <c r="AD21" s="833">
        <v>35</v>
      </c>
      <c r="AE21" s="836">
        <v>0</v>
      </c>
      <c r="AF21" s="836">
        <v>0</v>
      </c>
      <c r="AG21" s="827">
        <f t="shared" si="1"/>
        <v>35</v>
      </c>
      <c r="AH21" s="827">
        <f t="shared" si="2"/>
        <v>35</v>
      </c>
      <c r="AI21" s="466">
        <f t="shared" si="3"/>
        <v>0</v>
      </c>
      <c r="AJ21" s="467" t="str">
        <f t="shared" si="4"/>
        <v xml:space="preserve"> </v>
      </c>
      <c r="AS21" s="139" t="s">
        <v>445</v>
      </c>
      <c r="AT21" s="139" t="s">
        <v>446</v>
      </c>
      <c r="DS21" s="648"/>
      <c r="DT21" s="648"/>
      <c r="DU21" s="667" t="s">
        <v>415</v>
      </c>
      <c r="DV21" s="667" t="s">
        <v>1188</v>
      </c>
      <c r="DW21" s="667" t="s">
        <v>1134</v>
      </c>
      <c r="DX21" s="667" t="s">
        <v>1134</v>
      </c>
      <c r="DY21" s="667" t="s">
        <v>1189</v>
      </c>
      <c r="DZ21" s="667" t="s">
        <v>1134</v>
      </c>
      <c r="EA21" s="667" t="s">
        <v>445</v>
      </c>
      <c r="EB21" s="667" t="s">
        <v>1135</v>
      </c>
      <c r="EC21" s="667" t="s">
        <v>1134</v>
      </c>
      <c r="ED21" s="667" t="s">
        <v>1136</v>
      </c>
    </row>
    <row r="22" spans="1:134" x14ac:dyDescent="0.2">
      <c r="A22" s="225" t="s">
        <v>25</v>
      </c>
      <c r="B22" s="632">
        <v>15</v>
      </c>
      <c r="C22" s="830">
        <v>0</v>
      </c>
      <c r="D22" s="830">
        <v>0</v>
      </c>
      <c r="E22" s="830">
        <v>0</v>
      </c>
      <c r="F22" s="866">
        <v>0</v>
      </c>
      <c r="G22" s="830">
        <v>0</v>
      </c>
      <c r="H22" s="830">
        <v>0</v>
      </c>
      <c r="I22" s="828">
        <f t="shared" si="0"/>
        <v>0</v>
      </c>
      <c r="J22" s="832">
        <v>0</v>
      </c>
      <c r="K22" s="832">
        <v>0</v>
      </c>
      <c r="L22" s="837">
        <v>0</v>
      </c>
      <c r="M22" s="802">
        <v>0</v>
      </c>
      <c r="N22" s="838">
        <v>0</v>
      </c>
      <c r="O22" s="833">
        <v>0</v>
      </c>
      <c r="P22" s="832">
        <v>0</v>
      </c>
      <c r="Q22" s="832">
        <v>0</v>
      </c>
      <c r="R22" s="781">
        <v>0</v>
      </c>
      <c r="S22" s="830">
        <v>0</v>
      </c>
      <c r="T22" s="830">
        <v>0</v>
      </c>
      <c r="U22" s="834">
        <v>0</v>
      </c>
      <c r="V22" s="832">
        <v>0</v>
      </c>
      <c r="W22" s="831">
        <v>0</v>
      </c>
      <c r="X22" s="783">
        <v>0</v>
      </c>
      <c r="Y22" s="830">
        <v>0</v>
      </c>
      <c r="Z22" s="833">
        <v>0</v>
      </c>
      <c r="AA22" s="802">
        <v>0</v>
      </c>
      <c r="AB22" s="835">
        <v>0</v>
      </c>
      <c r="AC22" s="835">
        <v>0</v>
      </c>
      <c r="AD22" s="833">
        <v>0</v>
      </c>
      <c r="AE22" s="836">
        <v>0</v>
      </c>
      <c r="AF22" s="836">
        <v>0</v>
      </c>
      <c r="AG22" s="827">
        <f t="shared" si="1"/>
        <v>0</v>
      </c>
      <c r="AH22" s="827">
        <f t="shared" si="2"/>
        <v>0</v>
      </c>
      <c r="AI22" s="466">
        <f t="shared" si="3"/>
        <v>0</v>
      </c>
      <c r="AJ22" s="467" t="str">
        <f t="shared" si="4"/>
        <v xml:space="preserve"> </v>
      </c>
      <c r="AS22" s="139" t="s">
        <v>240</v>
      </c>
      <c r="AT22" s="139" t="s">
        <v>239</v>
      </c>
      <c r="DS22" s="648"/>
      <c r="DT22" s="648"/>
      <c r="DU22" s="667" t="s">
        <v>415</v>
      </c>
      <c r="DV22" s="667" t="s">
        <v>1188</v>
      </c>
      <c r="DW22" s="667" t="s">
        <v>1134</v>
      </c>
      <c r="DX22" s="667" t="s">
        <v>1134</v>
      </c>
      <c r="DY22" s="667" t="s">
        <v>1189</v>
      </c>
      <c r="DZ22" s="667" t="s">
        <v>1134</v>
      </c>
      <c r="EA22" s="667" t="s">
        <v>240</v>
      </c>
      <c r="EB22" s="667" t="s">
        <v>1135</v>
      </c>
      <c r="EC22" s="667" t="s">
        <v>1134</v>
      </c>
      <c r="ED22" s="667" t="s">
        <v>1136</v>
      </c>
    </row>
    <row r="23" spans="1:134" x14ac:dyDescent="0.2">
      <c r="A23" s="225" t="s">
        <v>118</v>
      </c>
      <c r="B23" s="632">
        <v>16</v>
      </c>
      <c r="C23" s="830">
        <v>21</v>
      </c>
      <c r="D23" s="830">
        <v>0</v>
      </c>
      <c r="E23" s="830">
        <v>0</v>
      </c>
      <c r="F23" s="866">
        <v>0</v>
      </c>
      <c r="G23" s="830">
        <v>0</v>
      </c>
      <c r="H23" s="830">
        <v>0</v>
      </c>
      <c r="I23" s="828">
        <f t="shared" si="0"/>
        <v>21</v>
      </c>
      <c r="J23" s="832">
        <v>0</v>
      </c>
      <c r="K23" s="832">
        <v>0</v>
      </c>
      <c r="L23" s="837">
        <v>0</v>
      </c>
      <c r="M23" s="802">
        <v>0</v>
      </c>
      <c r="N23" s="838">
        <v>0</v>
      </c>
      <c r="O23" s="833">
        <v>0</v>
      </c>
      <c r="P23" s="832">
        <v>0</v>
      </c>
      <c r="Q23" s="832">
        <v>0</v>
      </c>
      <c r="R23" s="781">
        <v>0</v>
      </c>
      <c r="S23" s="830">
        <v>0</v>
      </c>
      <c r="T23" s="830">
        <v>0</v>
      </c>
      <c r="U23" s="834">
        <v>0</v>
      </c>
      <c r="V23" s="832">
        <v>0</v>
      </c>
      <c r="W23" s="831">
        <v>0</v>
      </c>
      <c r="X23" s="783">
        <v>0</v>
      </c>
      <c r="Y23" s="830">
        <v>0</v>
      </c>
      <c r="Z23" s="833">
        <v>0</v>
      </c>
      <c r="AA23" s="802">
        <v>0</v>
      </c>
      <c r="AB23" s="835">
        <v>0</v>
      </c>
      <c r="AC23" s="835">
        <v>0</v>
      </c>
      <c r="AD23" s="833">
        <v>0</v>
      </c>
      <c r="AE23" s="836">
        <v>0</v>
      </c>
      <c r="AF23" s="836">
        <v>0</v>
      </c>
      <c r="AG23" s="827">
        <f t="shared" si="1"/>
        <v>0</v>
      </c>
      <c r="AH23" s="827">
        <f t="shared" si="2"/>
        <v>21</v>
      </c>
      <c r="AI23" s="466">
        <f t="shared" si="3"/>
        <v>0</v>
      </c>
      <c r="AJ23" s="467" t="str">
        <f t="shared" si="4"/>
        <v xml:space="preserve"> </v>
      </c>
      <c r="AS23" s="139" t="s">
        <v>242</v>
      </c>
      <c r="AT23" s="139" t="s">
        <v>241</v>
      </c>
      <c r="DS23" s="648"/>
      <c r="DT23" s="648"/>
      <c r="DU23" s="667" t="s">
        <v>415</v>
      </c>
      <c r="DV23" s="667" t="s">
        <v>1188</v>
      </c>
      <c r="DW23" s="667" t="s">
        <v>1134</v>
      </c>
      <c r="DX23" s="667" t="s">
        <v>1134</v>
      </c>
      <c r="DY23" s="667" t="s">
        <v>1189</v>
      </c>
      <c r="DZ23" s="667" t="s">
        <v>1134</v>
      </c>
      <c r="EA23" s="667" t="s">
        <v>242</v>
      </c>
      <c r="EB23" s="667" t="s">
        <v>1135</v>
      </c>
      <c r="EC23" s="667" t="s">
        <v>1134</v>
      </c>
      <c r="ED23" s="667" t="s">
        <v>1136</v>
      </c>
    </row>
    <row r="24" spans="1:134" x14ac:dyDescent="0.2">
      <c r="A24" s="225" t="s">
        <v>557</v>
      </c>
      <c r="B24" s="632">
        <v>17</v>
      </c>
      <c r="C24" s="830">
        <v>0</v>
      </c>
      <c r="D24" s="830">
        <v>0</v>
      </c>
      <c r="E24" s="830">
        <v>0</v>
      </c>
      <c r="F24" s="866">
        <v>0</v>
      </c>
      <c r="G24" s="830">
        <v>0</v>
      </c>
      <c r="H24" s="830">
        <v>0</v>
      </c>
      <c r="I24" s="828">
        <f t="shared" si="0"/>
        <v>0</v>
      </c>
      <c r="J24" s="832">
        <v>0</v>
      </c>
      <c r="K24" s="832">
        <v>0</v>
      </c>
      <c r="L24" s="837">
        <v>0</v>
      </c>
      <c r="M24" s="802">
        <v>0</v>
      </c>
      <c r="N24" s="838">
        <v>0</v>
      </c>
      <c r="O24" s="833">
        <v>0</v>
      </c>
      <c r="P24" s="832">
        <v>0</v>
      </c>
      <c r="Q24" s="832">
        <v>0</v>
      </c>
      <c r="R24" s="781">
        <v>0</v>
      </c>
      <c r="S24" s="830">
        <v>0</v>
      </c>
      <c r="T24" s="830">
        <v>0</v>
      </c>
      <c r="U24" s="834">
        <v>0</v>
      </c>
      <c r="V24" s="832">
        <v>0</v>
      </c>
      <c r="W24" s="831">
        <v>0</v>
      </c>
      <c r="X24" s="783">
        <v>0</v>
      </c>
      <c r="Y24" s="830">
        <v>0</v>
      </c>
      <c r="Z24" s="833">
        <v>0</v>
      </c>
      <c r="AA24" s="802">
        <v>0</v>
      </c>
      <c r="AB24" s="835">
        <v>0</v>
      </c>
      <c r="AC24" s="835">
        <v>0</v>
      </c>
      <c r="AD24" s="833">
        <v>0</v>
      </c>
      <c r="AE24" s="836">
        <v>0</v>
      </c>
      <c r="AF24" s="836">
        <v>0</v>
      </c>
      <c r="AG24" s="827">
        <f t="shared" si="1"/>
        <v>0</v>
      </c>
      <c r="AH24" s="827">
        <f t="shared" si="2"/>
        <v>0</v>
      </c>
      <c r="AI24" s="466">
        <f t="shared" si="3"/>
        <v>0</v>
      </c>
      <c r="AJ24" s="467" t="str">
        <f t="shared" si="4"/>
        <v xml:space="preserve"> </v>
      </c>
      <c r="AS24" s="139" t="s">
        <v>507</v>
      </c>
      <c r="AT24" s="139" t="s">
        <v>508</v>
      </c>
      <c r="DS24" s="648"/>
      <c r="DT24" s="648"/>
      <c r="DU24" s="667" t="s">
        <v>415</v>
      </c>
      <c r="DV24" s="667" t="s">
        <v>1188</v>
      </c>
      <c r="DW24" s="667" t="s">
        <v>1134</v>
      </c>
      <c r="DX24" s="667" t="s">
        <v>1134</v>
      </c>
      <c r="DY24" s="667" t="s">
        <v>1189</v>
      </c>
      <c r="DZ24" s="667" t="s">
        <v>1134</v>
      </c>
      <c r="EA24" s="667" t="s">
        <v>507</v>
      </c>
      <c r="EB24" s="667" t="s">
        <v>1135</v>
      </c>
      <c r="EC24" s="667" t="s">
        <v>1134</v>
      </c>
      <c r="ED24" s="667" t="s">
        <v>1136</v>
      </c>
    </row>
    <row r="25" spans="1:134" x14ac:dyDescent="0.2">
      <c r="A25" s="225" t="s">
        <v>119</v>
      </c>
      <c r="B25" s="632">
        <v>18</v>
      </c>
      <c r="C25" s="830">
        <v>0</v>
      </c>
      <c r="D25" s="830">
        <v>0</v>
      </c>
      <c r="E25" s="830">
        <v>0</v>
      </c>
      <c r="F25" s="866">
        <v>0</v>
      </c>
      <c r="G25" s="830">
        <v>0</v>
      </c>
      <c r="H25" s="830">
        <v>0</v>
      </c>
      <c r="I25" s="828">
        <f t="shared" si="0"/>
        <v>0</v>
      </c>
      <c r="J25" s="832">
        <v>0</v>
      </c>
      <c r="K25" s="832">
        <v>0</v>
      </c>
      <c r="L25" s="837">
        <v>0</v>
      </c>
      <c r="M25" s="802">
        <v>0</v>
      </c>
      <c r="N25" s="838">
        <v>0</v>
      </c>
      <c r="O25" s="833">
        <v>0</v>
      </c>
      <c r="P25" s="832">
        <v>0</v>
      </c>
      <c r="Q25" s="832">
        <v>0</v>
      </c>
      <c r="R25" s="781">
        <v>0</v>
      </c>
      <c r="S25" s="830">
        <v>0</v>
      </c>
      <c r="T25" s="830">
        <v>0</v>
      </c>
      <c r="U25" s="834">
        <v>0</v>
      </c>
      <c r="V25" s="832">
        <v>0</v>
      </c>
      <c r="W25" s="831">
        <v>0</v>
      </c>
      <c r="X25" s="783">
        <v>0</v>
      </c>
      <c r="Y25" s="830">
        <v>0</v>
      </c>
      <c r="Z25" s="833">
        <v>0</v>
      </c>
      <c r="AA25" s="802">
        <v>0</v>
      </c>
      <c r="AB25" s="835">
        <v>0</v>
      </c>
      <c r="AC25" s="835">
        <v>0</v>
      </c>
      <c r="AD25" s="833">
        <v>0</v>
      </c>
      <c r="AE25" s="836">
        <v>0</v>
      </c>
      <c r="AF25" s="836">
        <v>0</v>
      </c>
      <c r="AG25" s="827">
        <f t="shared" si="1"/>
        <v>0</v>
      </c>
      <c r="AH25" s="827">
        <f t="shared" si="2"/>
        <v>0</v>
      </c>
      <c r="AI25" s="466">
        <f t="shared" si="3"/>
        <v>0</v>
      </c>
      <c r="AJ25" s="467" t="str">
        <f t="shared" si="4"/>
        <v xml:space="preserve"> </v>
      </c>
      <c r="AS25" s="139" t="s">
        <v>244</v>
      </c>
      <c r="AT25" s="139" t="s">
        <v>243</v>
      </c>
      <c r="DS25" s="648"/>
      <c r="DT25" s="648"/>
      <c r="DU25" s="667" t="s">
        <v>415</v>
      </c>
      <c r="DV25" s="667" t="s">
        <v>1188</v>
      </c>
      <c r="DW25" s="667" t="s">
        <v>1134</v>
      </c>
      <c r="DX25" s="667" t="s">
        <v>1134</v>
      </c>
      <c r="DY25" s="667" t="s">
        <v>1189</v>
      </c>
      <c r="DZ25" s="667" t="s">
        <v>1134</v>
      </c>
      <c r="EA25" s="667" t="s">
        <v>244</v>
      </c>
      <c r="EB25" s="667" t="s">
        <v>1135</v>
      </c>
      <c r="EC25" s="667" t="s">
        <v>1134</v>
      </c>
      <c r="ED25" s="667" t="s">
        <v>1136</v>
      </c>
    </row>
    <row r="26" spans="1:134" x14ac:dyDescent="0.2">
      <c r="A26" s="225" t="s">
        <v>30</v>
      </c>
      <c r="B26" s="632">
        <v>19</v>
      </c>
      <c r="C26" s="830">
        <v>148</v>
      </c>
      <c r="D26" s="830">
        <v>0</v>
      </c>
      <c r="E26" s="830">
        <v>0</v>
      </c>
      <c r="F26" s="866">
        <v>0</v>
      </c>
      <c r="G26" s="830">
        <v>0</v>
      </c>
      <c r="H26" s="830">
        <v>0</v>
      </c>
      <c r="I26" s="828">
        <f t="shared" si="0"/>
        <v>148</v>
      </c>
      <c r="J26" s="832">
        <v>0</v>
      </c>
      <c r="K26" s="832">
        <v>0</v>
      </c>
      <c r="L26" s="837">
        <v>0</v>
      </c>
      <c r="M26" s="802">
        <v>30</v>
      </c>
      <c r="N26" s="838">
        <v>0</v>
      </c>
      <c r="O26" s="833">
        <v>30</v>
      </c>
      <c r="P26" s="832">
        <v>0</v>
      </c>
      <c r="Q26" s="832">
        <v>0</v>
      </c>
      <c r="R26" s="781">
        <v>0</v>
      </c>
      <c r="S26" s="830">
        <v>0</v>
      </c>
      <c r="T26" s="830">
        <v>0</v>
      </c>
      <c r="U26" s="834">
        <v>0</v>
      </c>
      <c r="V26" s="832">
        <v>0</v>
      </c>
      <c r="W26" s="831">
        <v>0</v>
      </c>
      <c r="X26" s="783">
        <v>0</v>
      </c>
      <c r="Y26" s="830">
        <v>0</v>
      </c>
      <c r="Z26" s="833">
        <v>0</v>
      </c>
      <c r="AA26" s="802">
        <v>0</v>
      </c>
      <c r="AB26" s="835">
        <v>0</v>
      </c>
      <c r="AC26" s="835">
        <v>0</v>
      </c>
      <c r="AD26" s="833">
        <v>0</v>
      </c>
      <c r="AE26" s="836">
        <v>0</v>
      </c>
      <c r="AF26" s="836">
        <v>456</v>
      </c>
      <c r="AG26" s="827">
        <f t="shared" si="1"/>
        <v>486</v>
      </c>
      <c r="AH26" s="827">
        <f t="shared" si="2"/>
        <v>634</v>
      </c>
      <c r="AI26" s="466">
        <f t="shared" si="3"/>
        <v>0</v>
      </c>
      <c r="AJ26" s="467" t="str">
        <f t="shared" si="4"/>
        <v xml:space="preserve"> </v>
      </c>
      <c r="AS26" s="139" t="s">
        <v>246</v>
      </c>
      <c r="AT26" s="139" t="s">
        <v>245</v>
      </c>
      <c r="DS26" s="648"/>
      <c r="DT26" s="648"/>
      <c r="DU26" s="667" t="s">
        <v>415</v>
      </c>
      <c r="DV26" s="667" t="s">
        <v>1188</v>
      </c>
      <c r="DW26" s="667" t="s">
        <v>1134</v>
      </c>
      <c r="DX26" s="667" t="s">
        <v>1134</v>
      </c>
      <c r="DY26" s="667" t="s">
        <v>1189</v>
      </c>
      <c r="DZ26" s="667" t="s">
        <v>1134</v>
      </c>
      <c r="EA26" s="667" t="s">
        <v>246</v>
      </c>
      <c r="EB26" s="667" t="s">
        <v>1135</v>
      </c>
      <c r="EC26" s="667" t="s">
        <v>1134</v>
      </c>
      <c r="ED26" s="667" t="s">
        <v>1136</v>
      </c>
    </row>
    <row r="27" spans="1:134" x14ac:dyDescent="0.2">
      <c r="A27" s="225" t="s">
        <v>558</v>
      </c>
      <c r="B27" s="632">
        <v>20</v>
      </c>
      <c r="C27" s="830">
        <v>0</v>
      </c>
      <c r="D27" s="830">
        <v>0</v>
      </c>
      <c r="E27" s="830">
        <v>0</v>
      </c>
      <c r="F27" s="866">
        <v>0</v>
      </c>
      <c r="G27" s="830">
        <v>0</v>
      </c>
      <c r="H27" s="830">
        <v>0</v>
      </c>
      <c r="I27" s="828">
        <f t="shared" si="0"/>
        <v>0</v>
      </c>
      <c r="J27" s="832">
        <v>0</v>
      </c>
      <c r="K27" s="832">
        <v>0</v>
      </c>
      <c r="L27" s="837">
        <v>0</v>
      </c>
      <c r="M27" s="802">
        <v>0</v>
      </c>
      <c r="N27" s="838">
        <v>0</v>
      </c>
      <c r="O27" s="833">
        <v>0</v>
      </c>
      <c r="P27" s="832">
        <v>0</v>
      </c>
      <c r="Q27" s="832">
        <v>0</v>
      </c>
      <c r="R27" s="781">
        <v>0</v>
      </c>
      <c r="S27" s="830">
        <v>0</v>
      </c>
      <c r="T27" s="830">
        <v>0</v>
      </c>
      <c r="U27" s="834">
        <v>0</v>
      </c>
      <c r="V27" s="832">
        <v>0</v>
      </c>
      <c r="W27" s="831">
        <v>0</v>
      </c>
      <c r="X27" s="783">
        <v>0</v>
      </c>
      <c r="Y27" s="830">
        <v>0</v>
      </c>
      <c r="Z27" s="833">
        <v>0</v>
      </c>
      <c r="AA27" s="802">
        <v>0</v>
      </c>
      <c r="AB27" s="835">
        <v>0</v>
      </c>
      <c r="AC27" s="835">
        <v>0</v>
      </c>
      <c r="AD27" s="833">
        <v>0</v>
      </c>
      <c r="AE27" s="836">
        <v>0</v>
      </c>
      <c r="AF27" s="836">
        <v>0</v>
      </c>
      <c r="AG27" s="827">
        <f t="shared" si="1"/>
        <v>0</v>
      </c>
      <c r="AH27" s="827">
        <f t="shared" si="2"/>
        <v>0</v>
      </c>
      <c r="AI27" s="466">
        <f t="shared" si="3"/>
        <v>0</v>
      </c>
      <c r="AJ27" s="467" t="str">
        <f t="shared" si="4"/>
        <v xml:space="preserve"> </v>
      </c>
      <c r="AS27" s="139" t="s">
        <v>509</v>
      </c>
      <c r="AT27" s="139" t="s">
        <v>510</v>
      </c>
      <c r="DS27" s="648"/>
      <c r="DT27" s="648"/>
      <c r="DU27" s="667" t="s">
        <v>415</v>
      </c>
      <c r="DV27" s="667" t="s">
        <v>1188</v>
      </c>
      <c r="DW27" s="667" t="s">
        <v>1134</v>
      </c>
      <c r="DX27" s="667" t="s">
        <v>1134</v>
      </c>
      <c r="DY27" s="667" t="s">
        <v>1189</v>
      </c>
      <c r="DZ27" s="667" t="s">
        <v>1134</v>
      </c>
      <c r="EA27" s="667" t="s">
        <v>509</v>
      </c>
      <c r="EB27" s="667" t="s">
        <v>1135</v>
      </c>
      <c r="EC27" s="667" t="s">
        <v>1134</v>
      </c>
      <c r="ED27" s="667" t="s">
        <v>1136</v>
      </c>
    </row>
    <row r="28" spans="1:134" x14ac:dyDescent="0.2">
      <c r="A28" s="225" t="s">
        <v>120</v>
      </c>
      <c r="B28" s="632">
        <v>21</v>
      </c>
      <c r="C28" s="830">
        <v>262</v>
      </c>
      <c r="D28" s="830">
        <v>0</v>
      </c>
      <c r="E28" s="830">
        <v>0</v>
      </c>
      <c r="F28" s="866">
        <v>0</v>
      </c>
      <c r="G28" s="830">
        <v>0</v>
      </c>
      <c r="H28" s="830">
        <v>0</v>
      </c>
      <c r="I28" s="828">
        <f t="shared" si="0"/>
        <v>262</v>
      </c>
      <c r="J28" s="832">
        <v>0</v>
      </c>
      <c r="K28" s="832">
        <v>0</v>
      </c>
      <c r="L28" s="837">
        <v>0</v>
      </c>
      <c r="M28" s="802">
        <v>25</v>
      </c>
      <c r="N28" s="838">
        <v>0</v>
      </c>
      <c r="O28" s="833">
        <v>25</v>
      </c>
      <c r="P28" s="832">
        <v>0</v>
      </c>
      <c r="Q28" s="832">
        <v>0</v>
      </c>
      <c r="R28" s="781">
        <v>10</v>
      </c>
      <c r="S28" s="830">
        <v>0</v>
      </c>
      <c r="T28" s="830">
        <v>10</v>
      </c>
      <c r="U28" s="834">
        <v>0</v>
      </c>
      <c r="V28" s="832">
        <v>16</v>
      </c>
      <c r="W28" s="831">
        <v>0</v>
      </c>
      <c r="X28" s="783">
        <v>16</v>
      </c>
      <c r="Y28" s="830">
        <v>0</v>
      </c>
      <c r="Z28" s="833">
        <v>16</v>
      </c>
      <c r="AA28" s="802">
        <v>0</v>
      </c>
      <c r="AB28" s="835">
        <v>0</v>
      </c>
      <c r="AC28" s="835">
        <v>0</v>
      </c>
      <c r="AD28" s="833">
        <v>0</v>
      </c>
      <c r="AE28" s="836">
        <v>0</v>
      </c>
      <c r="AF28" s="836">
        <v>0</v>
      </c>
      <c r="AG28" s="827">
        <f t="shared" si="1"/>
        <v>51</v>
      </c>
      <c r="AH28" s="827">
        <f t="shared" si="2"/>
        <v>313</v>
      </c>
      <c r="AI28" s="466">
        <f t="shared" si="3"/>
        <v>0</v>
      </c>
      <c r="AJ28" s="467" t="str">
        <f t="shared" si="4"/>
        <v xml:space="preserve"> </v>
      </c>
      <c r="AS28" s="139" t="s">
        <v>248</v>
      </c>
      <c r="AT28" s="139" t="s">
        <v>247</v>
      </c>
      <c r="DS28" s="648"/>
      <c r="DT28" s="648"/>
      <c r="DU28" s="667" t="s">
        <v>415</v>
      </c>
      <c r="DV28" s="667" t="s">
        <v>1188</v>
      </c>
      <c r="DW28" s="667" t="s">
        <v>1134</v>
      </c>
      <c r="DX28" s="667" t="s">
        <v>1134</v>
      </c>
      <c r="DY28" s="667" t="s">
        <v>1189</v>
      </c>
      <c r="DZ28" s="667" t="s">
        <v>1134</v>
      </c>
      <c r="EA28" s="667" t="s">
        <v>248</v>
      </c>
      <c r="EB28" s="667" t="s">
        <v>1135</v>
      </c>
      <c r="EC28" s="667" t="s">
        <v>1134</v>
      </c>
      <c r="ED28" s="667" t="s">
        <v>1136</v>
      </c>
    </row>
    <row r="29" spans="1:134" x14ac:dyDescent="0.2">
      <c r="A29" s="225" t="s">
        <v>121</v>
      </c>
      <c r="B29" s="632">
        <v>22</v>
      </c>
      <c r="C29" s="830">
        <v>0</v>
      </c>
      <c r="D29" s="830">
        <v>0</v>
      </c>
      <c r="E29" s="830">
        <v>0</v>
      </c>
      <c r="F29" s="866">
        <v>0</v>
      </c>
      <c r="G29" s="830">
        <v>0</v>
      </c>
      <c r="H29" s="830">
        <v>0</v>
      </c>
      <c r="I29" s="828">
        <f t="shared" si="0"/>
        <v>0</v>
      </c>
      <c r="J29" s="832">
        <v>0</v>
      </c>
      <c r="K29" s="832">
        <v>0</v>
      </c>
      <c r="L29" s="837">
        <v>0</v>
      </c>
      <c r="M29" s="802">
        <v>0</v>
      </c>
      <c r="N29" s="838">
        <v>0</v>
      </c>
      <c r="O29" s="833">
        <v>0</v>
      </c>
      <c r="P29" s="832">
        <v>0</v>
      </c>
      <c r="Q29" s="832">
        <v>0</v>
      </c>
      <c r="R29" s="781">
        <v>0</v>
      </c>
      <c r="S29" s="830">
        <v>0</v>
      </c>
      <c r="T29" s="830">
        <v>0</v>
      </c>
      <c r="U29" s="834">
        <v>0</v>
      </c>
      <c r="V29" s="832">
        <v>0</v>
      </c>
      <c r="W29" s="831">
        <v>0</v>
      </c>
      <c r="X29" s="783">
        <v>0</v>
      </c>
      <c r="Y29" s="830">
        <v>0</v>
      </c>
      <c r="Z29" s="833">
        <v>0</v>
      </c>
      <c r="AA29" s="802">
        <v>0</v>
      </c>
      <c r="AB29" s="835">
        <v>0</v>
      </c>
      <c r="AC29" s="835">
        <v>0</v>
      </c>
      <c r="AD29" s="833">
        <v>0</v>
      </c>
      <c r="AE29" s="836">
        <v>0</v>
      </c>
      <c r="AF29" s="836">
        <v>0</v>
      </c>
      <c r="AG29" s="827">
        <f t="shared" si="1"/>
        <v>0</v>
      </c>
      <c r="AH29" s="827">
        <f t="shared" si="2"/>
        <v>0</v>
      </c>
      <c r="AI29" s="466">
        <f t="shared" si="3"/>
        <v>0</v>
      </c>
      <c r="AJ29" s="467" t="str">
        <f t="shared" si="4"/>
        <v xml:space="preserve"> </v>
      </c>
      <c r="AS29" s="139" t="s">
        <v>250</v>
      </c>
      <c r="AT29" s="139" t="s">
        <v>249</v>
      </c>
      <c r="DS29" s="648"/>
      <c r="DT29" s="648"/>
      <c r="DU29" s="667" t="s">
        <v>415</v>
      </c>
      <c r="DV29" s="667" t="s">
        <v>1188</v>
      </c>
      <c r="DW29" s="667" t="s">
        <v>1134</v>
      </c>
      <c r="DX29" s="667" t="s">
        <v>1134</v>
      </c>
      <c r="DY29" s="667" t="s">
        <v>1189</v>
      </c>
      <c r="DZ29" s="667" t="s">
        <v>1134</v>
      </c>
      <c r="EA29" s="667" t="s">
        <v>250</v>
      </c>
      <c r="EB29" s="667" t="s">
        <v>1135</v>
      </c>
      <c r="EC29" s="667" t="s">
        <v>1134</v>
      </c>
      <c r="ED29" s="667" t="s">
        <v>1136</v>
      </c>
    </row>
    <row r="30" spans="1:134" x14ac:dyDescent="0.2">
      <c r="A30" s="225" t="s">
        <v>122</v>
      </c>
      <c r="B30" s="632">
        <v>23</v>
      </c>
      <c r="C30" s="830">
        <v>0</v>
      </c>
      <c r="D30" s="830">
        <v>0</v>
      </c>
      <c r="E30" s="830">
        <v>0</v>
      </c>
      <c r="F30" s="866">
        <v>0</v>
      </c>
      <c r="G30" s="830">
        <v>0</v>
      </c>
      <c r="H30" s="830">
        <v>0</v>
      </c>
      <c r="I30" s="828">
        <f t="shared" si="0"/>
        <v>0</v>
      </c>
      <c r="J30" s="832">
        <v>0</v>
      </c>
      <c r="K30" s="832">
        <v>0</v>
      </c>
      <c r="L30" s="837">
        <v>0</v>
      </c>
      <c r="M30" s="802">
        <v>0</v>
      </c>
      <c r="N30" s="838">
        <v>0</v>
      </c>
      <c r="O30" s="833">
        <v>0</v>
      </c>
      <c r="P30" s="832">
        <v>0</v>
      </c>
      <c r="Q30" s="832">
        <v>0</v>
      </c>
      <c r="R30" s="781">
        <v>0</v>
      </c>
      <c r="S30" s="830">
        <v>0</v>
      </c>
      <c r="T30" s="830">
        <v>0</v>
      </c>
      <c r="U30" s="834">
        <v>0</v>
      </c>
      <c r="V30" s="832">
        <v>0</v>
      </c>
      <c r="W30" s="831">
        <v>0</v>
      </c>
      <c r="X30" s="783">
        <v>0</v>
      </c>
      <c r="Y30" s="830">
        <v>0</v>
      </c>
      <c r="Z30" s="833">
        <v>0</v>
      </c>
      <c r="AA30" s="802">
        <v>0</v>
      </c>
      <c r="AB30" s="835">
        <v>0</v>
      </c>
      <c r="AC30" s="835">
        <v>0</v>
      </c>
      <c r="AD30" s="833">
        <v>0</v>
      </c>
      <c r="AE30" s="836">
        <v>0</v>
      </c>
      <c r="AF30" s="836">
        <v>0</v>
      </c>
      <c r="AG30" s="827">
        <f t="shared" si="1"/>
        <v>0</v>
      </c>
      <c r="AH30" s="827">
        <f t="shared" si="2"/>
        <v>0</v>
      </c>
      <c r="AI30" s="466">
        <f t="shared" si="3"/>
        <v>0</v>
      </c>
      <c r="AJ30" s="467" t="str">
        <f t="shared" si="4"/>
        <v xml:space="preserve"> </v>
      </c>
      <c r="AS30" s="139" t="s">
        <v>252</v>
      </c>
      <c r="AT30" s="139" t="s">
        <v>251</v>
      </c>
      <c r="DS30" s="648"/>
      <c r="DT30" s="648"/>
      <c r="DU30" s="667" t="s">
        <v>415</v>
      </c>
      <c r="DV30" s="667" t="s">
        <v>1188</v>
      </c>
      <c r="DW30" s="667" t="s">
        <v>1134</v>
      </c>
      <c r="DX30" s="667" t="s">
        <v>1134</v>
      </c>
      <c r="DY30" s="667" t="s">
        <v>1189</v>
      </c>
      <c r="DZ30" s="667" t="s">
        <v>1134</v>
      </c>
      <c r="EA30" s="667" t="s">
        <v>252</v>
      </c>
      <c r="EB30" s="667" t="s">
        <v>1135</v>
      </c>
      <c r="EC30" s="667" t="s">
        <v>1134</v>
      </c>
      <c r="ED30" s="667" t="s">
        <v>1136</v>
      </c>
    </row>
    <row r="31" spans="1:134" x14ac:dyDescent="0.2">
      <c r="A31" s="225" t="s">
        <v>123</v>
      </c>
      <c r="B31" s="632">
        <v>24</v>
      </c>
      <c r="C31" s="830">
        <v>0</v>
      </c>
      <c r="D31" s="830">
        <v>0</v>
      </c>
      <c r="E31" s="830">
        <v>0</v>
      </c>
      <c r="F31" s="866">
        <v>0</v>
      </c>
      <c r="G31" s="830">
        <v>0</v>
      </c>
      <c r="H31" s="830">
        <v>0</v>
      </c>
      <c r="I31" s="828">
        <f t="shared" si="0"/>
        <v>0</v>
      </c>
      <c r="J31" s="832">
        <v>0</v>
      </c>
      <c r="K31" s="832">
        <v>0</v>
      </c>
      <c r="L31" s="837">
        <v>0</v>
      </c>
      <c r="M31" s="802">
        <v>0</v>
      </c>
      <c r="N31" s="838">
        <v>0</v>
      </c>
      <c r="O31" s="833">
        <v>0</v>
      </c>
      <c r="P31" s="832">
        <v>0</v>
      </c>
      <c r="Q31" s="832">
        <v>0</v>
      </c>
      <c r="R31" s="781">
        <v>0</v>
      </c>
      <c r="S31" s="830">
        <v>0</v>
      </c>
      <c r="T31" s="830">
        <v>0</v>
      </c>
      <c r="U31" s="834">
        <v>0</v>
      </c>
      <c r="V31" s="832">
        <v>0</v>
      </c>
      <c r="W31" s="831">
        <v>0</v>
      </c>
      <c r="X31" s="783">
        <v>0</v>
      </c>
      <c r="Y31" s="830">
        <v>0</v>
      </c>
      <c r="Z31" s="833">
        <v>0</v>
      </c>
      <c r="AA31" s="802">
        <v>0</v>
      </c>
      <c r="AB31" s="835">
        <v>0</v>
      </c>
      <c r="AC31" s="835">
        <v>0</v>
      </c>
      <c r="AD31" s="833">
        <v>0</v>
      </c>
      <c r="AE31" s="836">
        <v>0</v>
      </c>
      <c r="AF31" s="836">
        <v>0</v>
      </c>
      <c r="AG31" s="827">
        <f t="shared" si="1"/>
        <v>0</v>
      </c>
      <c r="AH31" s="827">
        <f t="shared" si="2"/>
        <v>0</v>
      </c>
      <c r="AI31" s="466">
        <f t="shared" si="3"/>
        <v>0</v>
      </c>
      <c r="AJ31" s="467" t="str">
        <f t="shared" si="4"/>
        <v xml:space="preserve"> </v>
      </c>
      <c r="AS31" s="139" t="s">
        <v>254</v>
      </c>
      <c r="AT31" s="139" t="s">
        <v>253</v>
      </c>
      <c r="DS31" s="648"/>
      <c r="DT31" s="648"/>
      <c r="DU31" s="667" t="s">
        <v>415</v>
      </c>
      <c r="DV31" s="667" t="s">
        <v>1188</v>
      </c>
      <c r="DW31" s="667" t="s">
        <v>1134</v>
      </c>
      <c r="DX31" s="667" t="s">
        <v>1134</v>
      </c>
      <c r="DY31" s="667" t="s">
        <v>1189</v>
      </c>
      <c r="DZ31" s="667" t="s">
        <v>1134</v>
      </c>
      <c r="EA31" s="667" t="s">
        <v>254</v>
      </c>
      <c r="EB31" s="667" t="s">
        <v>1135</v>
      </c>
      <c r="EC31" s="667" t="s">
        <v>1134</v>
      </c>
      <c r="ED31" s="667" t="s">
        <v>1136</v>
      </c>
    </row>
    <row r="32" spans="1:134" x14ac:dyDescent="0.2">
      <c r="A32" s="225" t="s">
        <v>124</v>
      </c>
      <c r="B32" s="632">
        <v>25</v>
      </c>
      <c r="C32" s="830">
        <v>9</v>
      </c>
      <c r="D32" s="830">
        <v>0</v>
      </c>
      <c r="E32" s="830">
        <v>0</v>
      </c>
      <c r="F32" s="866">
        <v>0</v>
      </c>
      <c r="G32" s="830">
        <v>0</v>
      </c>
      <c r="H32" s="830">
        <v>0</v>
      </c>
      <c r="I32" s="828">
        <f t="shared" si="0"/>
        <v>9</v>
      </c>
      <c r="J32" s="832">
        <v>0</v>
      </c>
      <c r="K32" s="832">
        <v>0</v>
      </c>
      <c r="L32" s="837">
        <v>0</v>
      </c>
      <c r="M32" s="802">
        <v>30</v>
      </c>
      <c r="N32" s="838">
        <v>0</v>
      </c>
      <c r="O32" s="833">
        <v>30</v>
      </c>
      <c r="P32" s="832">
        <v>0</v>
      </c>
      <c r="Q32" s="832">
        <v>0</v>
      </c>
      <c r="R32" s="781">
        <v>0</v>
      </c>
      <c r="S32" s="830">
        <v>0</v>
      </c>
      <c r="T32" s="830">
        <v>0</v>
      </c>
      <c r="U32" s="834">
        <v>0</v>
      </c>
      <c r="V32" s="832">
        <v>54</v>
      </c>
      <c r="W32" s="831">
        <v>0</v>
      </c>
      <c r="X32" s="783">
        <v>54</v>
      </c>
      <c r="Y32" s="830">
        <v>0</v>
      </c>
      <c r="Z32" s="833">
        <v>54</v>
      </c>
      <c r="AA32" s="802">
        <v>0</v>
      </c>
      <c r="AB32" s="835">
        <v>0</v>
      </c>
      <c r="AC32" s="835">
        <v>0</v>
      </c>
      <c r="AD32" s="833">
        <v>0</v>
      </c>
      <c r="AE32" s="836">
        <v>0</v>
      </c>
      <c r="AF32" s="836">
        <v>0</v>
      </c>
      <c r="AG32" s="827">
        <f t="shared" si="1"/>
        <v>84</v>
      </c>
      <c r="AH32" s="827">
        <f t="shared" si="2"/>
        <v>93</v>
      </c>
      <c r="AI32" s="466">
        <f t="shared" si="3"/>
        <v>0</v>
      </c>
      <c r="AJ32" s="467" t="str">
        <f t="shared" si="4"/>
        <v xml:space="preserve"> </v>
      </c>
      <c r="AS32" s="139" t="s">
        <v>256</v>
      </c>
      <c r="AT32" s="139" t="s">
        <v>255</v>
      </c>
      <c r="DS32" s="648"/>
      <c r="DT32" s="648"/>
      <c r="DU32" s="667" t="s">
        <v>415</v>
      </c>
      <c r="DV32" s="667" t="s">
        <v>1188</v>
      </c>
      <c r="DW32" s="667" t="s">
        <v>1134</v>
      </c>
      <c r="DX32" s="667" t="s">
        <v>1134</v>
      </c>
      <c r="DY32" s="667" t="s">
        <v>1189</v>
      </c>
      <c r="DZ32" s="667" t="s">
        <v>1134</v>
      </c>
      <c r="EA32" s="667" t="s">
        <v>256</v>
      </c>
      <c r="EB32" s="667" t="s">
        <v>1135</v>
      </c>
      <c r="EC32" s="667" t="s">
        <v>1134</v>
      </c>
      <c r="ED32" s="667" t="s">
        <v>1136</v>
      </c>
    </row>
    <row r="33" spans="1:134" x14ac:dyDescent="0.2">
      <c r="A33" s="225" t="s">
        <v>97</v>
      </c>
      <c r="B33" s="632">
        <v>26</v>
      </c>
      <c r="C33" s="830">
        <v>0</v>
      </c>
      <c r="D33" s="830">
        <v>0</v>
      </c>
      <c r="E33" s="830">
        <v>0</v>
      </c>
      <c r="F33" s="866">
        <v>0</v>
      </c>
      <c r="G33" s="830">
        <v>0</v>
      </c>
      <c r="H33" s="830">
        <v>0</v>
      </c>
      <c r="I33" s="828">
        <f t="shared" si="0"/>
        <v>0</v>
      </c>
      <c r="J33" s="832">
        <v>0</v>
      </c>
      <c r="K33" s="832">
        <v>0</v>
      </c>
      <c r="L33" s="837">
        <v>0</v>
      </c>
      <c r="M33" s="802">
        <v>0</v>
      </c>
      <c r="N33" s="838">
        <v>0</v>
      </c>
      <c r="O33" s="833">
        <v>0</v>
      </c>
      <c r="P33" s="832">
        <v>0</v>
      </c>
      <c r="Q33" s="832">
        <v>0</v>
      </c>
      <c r="R33" s="781">
        <v>0</v>
      </c>
      <c r="S33" s="830">
        <v>0</v>
      </c>
      <c r="T33" s="830">
        <v>0</v>
      </c>
      <c r="U33" s="834">
        <v>0</v>
      </c>
      <c r="V33" s="832">
        <v>0</v>
      </c>
      <c r="W33" s="831">
        <v>0</v>
      </c>
      <c r="X33" s="783">
        <v>0</v>
      </c>
      <c r="Y33" s="830">
        <v>0</v>
      </c>
      <c r="Z33" s="833">
        <v>0</v>
      </c>
      <c r="AA33" s="802">
        <v>0</v>
      </c>
      <c r="AB33" s="835">
        <v>0</v>
      </c>
      <c r="AC33" s="835">
        <v>0</v>
      </c>
      <c r="AD33" s="833">
        <v>0</v>
      </c>
      <c r="AE33" s="836">
        <v>0</v>
      </c>
      <c r="AF33" s="836">
        <v>0</v>
      </c>
      <c r="AG33" s="827">
        <f t="shared" si="1"/>
        <v>0</v>
      </c>
      <c r="AH33" s="827">
        <f t="shared" si="2"/>
        <v>0</v>
      </c>
      <c r="AI33" s="466">
        <f t="shared" si="3"/>
        <v>0</v>
      </c>
      <c r="AJ33" s="467" t="str">
        <f t="shared" si="4"/>
        <v xml:space="preserve"> </v>
      </c>
      <c r="AS33" s="139" t="s">
        <v>572</v>
      </c>
      <c r="AT33" s="139" t="s">
        <v>573</v>
      </c>
      <c r="DS33" s="648"/>
      <c r="DT33" s="648"/>
      <c r="DU33" s="667" t="s">
        <v>415</v>
      </c>
      <c r="DV33" s="667" t="s">
        <v>1188</v>
      </c>
      <c r="DW33" s="667" t="s">
        <v>1134</v>
      </c>
      <c r="DX33" s="667" t="s">
        <v>1134</v>
      </c>
      <c r="DY33" s="667" t="s">
        <v>1189</v>
      </c>
      <c r="DZ33" s="667" t="s">
        <v>1134</v>
      </c>
      <c r="EA33" s="667" t="s">
        <v>572</v>
      </c>
      <c r="EB33" s="667" t="s">
        <v>1135</v>
      </c>
      <c r="EC33" s="667" t="s">
        <v>1134</v>
      </c>
      <c r="ED33" s="667" t="s">
        <v>1136</v>
      </c>
    </row>
    <row r="34" spans="1:134" x14ac:dyDescent="0.2">
      <c r="A34" s="225" t="s">
        <v>125</v>
      </c>
      <c r="B34" s="632">
        <v>27</v>
      </c>
      <c r="C34" s="830">
        <v>217</v>
      </c>
      <c r="D34" s="830">
        <v>0</v>
      </c>
      <c r="E34" s="830">
        <v>0</v>
      </c>
      <c r="F34" s="866">
        <v>0</v>
      </c>
      <c r="G34" s="830">
        <v>0</v>
      </c>
      <c r="H34" s="830">
        <v>0</v>
      </c>
      <c r="I34" s="828">
        <f t="shared" si="0"/>
        <v>217</v>
      </c>
      <c r="J34" s="832">
        <v>0</v>
      </c>
      <c r="K34" s="832">
        <v>0</v>
      </c>
      <c r="L34" s="837">
        <v>0</v>
      </c>
      <c r="M34" s="802">
        <v>0</v>
      </c>
      <c r="N34" s="838">
        <v>0</v>
      </c>
      <c r="O34" s="833">
        <v>0</v>
      </c>
      <c r="P34" s="832">
        <v>0</v>
      </c>
      <c r="Q34" s="832">
        <v>0</v>
      </c>
      <c r="R34" s="781">
        <v>0</v>
      </c>
      <c r="S34" s="830">
        <v>0</v>
      </c>
      <c r="T34" s="830">
        <v>0</v>
      </c>
      <c r="U34" s="834">
        <v>0</v>
      </c>
      <c r="V34" s="832">
        <v>0</v>
      </c>
      <c r="W34" s="831">
        <v>0</v>
      </c>
      <c r="X34" s="783">
        <v>0</v>
      </c>
      <c r="Y34" s="830">
        <v>0</v>
      </c>
      <c r="Z34" s="833">
        <v>0</v>
      </c>
      <c r="AA34" s="802">
        <v>0</v>
      </c>
      <c r="AB34" s="835">
        <v>0</v>
      </c>
      <c r="AC34" s="835">
        <v>0</v>
      </c>
      <c r="AD34" s="833">
        <v>0</v>
      </c>
      <c r="AE34" s="836">
        <v>0</v>
      </c>
      <c r="AF34" s="836">
        <v>70</v>
      </c>
      <c r="AG34" s="827">
        <f t="shared" si="1"/>
        <v>70</v>
      </c>
      <c r="AH34" s="827">
        <f t="shared" si="2"/>
        <v>287</v>
      </c>
      <c r="AI34" s="466">
        <f t="shared" si="3"/>
        <v>0</v>
      </c>
      <c r="AJ34" s="467" t="str">
        <f t="shared" si="4"/>
        <v xml:space="preserve"> </v>
      </c>
      <c r="AS34" s="139" t="s">
        <v>258</v>
      </c>
      <c r="AT34" s="139" t="s">
        <v>257</v>
      </c>
      <c r="DS34" s="648"/>
      <c r="DT34" s="648"/>
      <c r="DU34" s="667" t="s">
        <v>415</v>
      </c>
      <c r="DV34" s="667" t="s">
        <v>1188</v>
      </c>
      <c r="DW34" s="667" t="s">
        <v>1134</v>
      </c>
      <c r="DX34" s="667" t="s">
        <v>1134</v>
      </c>
      <c r="DY34" s="667" t="s">
        <v>1189</v>
      </c>
      <c r="DZ34" s="667" t="s">
        <v>1134</v>
      </c>
      <c r="EA34" s="667" t="s">
        <v>258</v>
      </c>
      <c r="EB34" s="667" t="s">
        <v>1135</v>
      </c>
      <c r="EC34" s="667" t="s">
        <v>1134</v>
      </c>
      <c r="ED34" s="667" t="s">
        <v>1136</v>
      </c>
    </row>
    <row r="35" spans="1:134" x14ac:dyDescent="0.2">
      <c r="A35" s="225" t="s">
        <v>126</v>
      </c>
      <c r="B35" s="632">
        <v>28</v>
      </c>
      <c r="C35" s="830">
        <v>0</v>
      </c>
      <c r="D35" s="830">
        <v>0</v>
      </c>
      <c r="E35" s="830">
        <v>0</v>
      </c>
      <c r="F35" s="866">
        <v>0</v>
      </c>
      <c r="G35" s="830">
        <v>0</v>
      </c>
      <c r="H35" s="830">
        <v>0</v>
      </c>
      <c r="I35" s="828">
        <f t="shared" si="0"/>
        <v>0</v>
      </c>
      <c r="J35" s="832">
        <v>0</v>
      </c>
      <c r="K35" s="832">
        <v>0</v>
      </c>
      <c r="L35" s="837">
        <v>0</v>
      </c>
      <c r="M35" s="802">
        <v>0</v>
      </c>
      <c r="N35" s="838">
        <v>0</v>
      </c>
      <c r="O35" s="833">
        <v>0</v>
      </c>
      <c r="P35" s="832">
        <v>0</v>
      </c>
      <c r="Q35" s="832">
        <v>0</v>
      </c>
      <c r="R35" s="781">
        <v>0</v>
      </c>
      <c r="S35" s="830">
        <v>0</v>
      </c>
      <c r="T35" s="830">
        <v>0</v>
      </c>
      <c r="U35" s="834">
        <v>0</v>
      </c>
      <c r="V35" s="832">
        <v>0</v>
      </c>
      <c r="W35" s="831">
        <v>0</v>
      </c>
      <c r="X35" s="783">
        <v>0</v>
      </c>
      <c r="Y35" s="830">
        <v>0</v>
      </c>
      <c r="Z35" s="833">
        <v>0</v>
      </c>
      <c r="AA35" s="802">
        <v>0</v>
      </c>
      <c r="AB35" s="835">
        <v>0</v>
      </c>
      <c r="AC35" s="835">
        <v>0</v>
      </c>
      <c r="AD35" s="833">
        <v>0</v>
      </c>
      <c r="AE35" s="836">
        <v>0</v>
      </c>
      <c r="AF35" s="836">
        <v>0</v>
      </c>
      <c r="AG35" s="827">
        <f t="shared" si="1"/>
        <v>0</v>
      </c>
      <c r="AH35" s="827">
        <f t="shared" si="2"/>
        <v>0</v>
      </c>
      <c r="AI35" s="466">
        <f t="shared" si="3"/>
        <v>0</v>
      </c>
      <c r="AJ35" s="467" t="str">
        <f t="shared" si="4"/>
        <v xml:space="preserve"> </v>
      </c>
      <c r="AS35" s="139" t="s">
        <v>260</v>
      </c>
      <c r="AT35" s="139" t="s">
        <v>259</v>
      </c>
      <c r="DS35" s="648"/>
      <c r="DT35" s="648"/>
      <c r="DU35" s="667" t="s">
        <v>415</v>
      </c>
      <c r="DV35" s="667" t="s">
        <v>1188</v>
      </c>
      <c r="DW35" s="667" t="s">
        <v>1134</v>
      </c>
      <c r="DX35" s="667" t="s">
        <v>1134</v>
      </c>
      <c r="DY35" s="667" t="s">
        <v>1189</v>
      </c>
      <c r="DZ35" s="667" t="s">
        <v>1134</v>
      </c>
      <c r="EA35" s="667" t="s">
        <v>260</v>
      </c>
      <c r="EB35" s="667" t="s">
        <v>1135</v>
      </c>
      <c r="EC35" s="667" t="s">
        <v>1134</v>
      </c>
      <c r="ED35" s="667" t="s">
        <v>1136</v>
      </c>
    </row>
    <row r="36" spans="1:134" x14ac:dyDescent="0.2">
      <c r="A36" s="225" t="s">
        <v>127</v>
      </c>
      <c r="B36" s="632">
        <v>29</v>
      </c>
      <c r="C36" s="830">
        <v>0</v>
      </c>
      <c r="D36" s="830">
        <v>0</v>
      </c>
      <c r="E36" s="830">
        <v>0</v>
      </c>
      <c r="F36" s="866">
        <v>0</v>
      </c>
      <c r="G36" s="830">
        <v>0</v>
      </c>
      <c r="H36" s="830">
        <v>0</v>
      </c>
      <c r="I36" s="828">
        <f t="shared" si="0"/>
        <v>0</v>
      </c>
      <c r="J36" s="832">
        <v>0</v>
      </c>
      <c r="K36" s="832">
        <v>0</v>
      </c>
      <c r="L36" s="837">
        <v>0</v>
      </c>
      <c r="M36" s="802">
        <v>0</v>
      </c>
      <c r="N36" s="838">
        <v>0</v>
      </c>
      <c r="O36" s="833">
        <v>0</v>
      </c>
      <c r="P36" s="832">
        <v>0</v>
      </c>
      <c r="Q36" s="832">
        <v>0</v>
      </c>
      <c r="R36" s="781">
        <v>0</v>
      </c>
      <c r="S36" s="830">
        <v>0</v>
      </c>
      <c r="T36" s="830">
        <v>0</v>
      </c>
      <c r="U36" s="834">
        <v>0</v>
      </c>
      <c r="V36" s="832">
        <v>0</v>
      </c>
      <c r="W36" s="831">
        <v>0</v>
      </c>
      <c r="X36" s="783">
        <v>0</v>
      </c>
      <c r="Y36" s="830">
        <v>0</v>
      </c>
      <c r="Z36" s="833">
        <v>0</v>
      </c>
      <c r="AA36" s="802">
        <v>0</v>
      </c>
      <c r="AB36" s="835">
        <v>0</v>
      </c>
      <c r="AC36" s="835">
        <v>0</v>
      </c>
      <c r="AD36" s="833">
        <v>0</v>
      </c>
      <c r="AE36" s="836">
        <v>0</v>
      </c>
      <c r="AF36" s="836">
        <v>0</v>
      </c>
      <c r="AG36" s="827">
        <f t="shared" si="1"/>
        <v>0</v>
      </c>
      <c r="AH36" s="827">
        <f t="shared" si="2"/>
        <v>0</v>
      </c>
      <c r="AI36" s="466">
        <f t="shared" si="3"/>
        <v>0</v>
      </c>
      <c r="AJ36" s="467" t="str">
        <f t="shared" si="4"/>
        <v xml:space="preserve"> </v>
      </c>
      <c r="AS36" s="139" t="s">
        <v>262</v>
      </c>
      <c r="AT36" s="139" t="s">
        <v>261</v>
      </c>
      <c r="DS36" s="648"/>
      <c r="DT36" s="648"/>
      <c r="DU36" s="667" t="s">
        <v>415</v>
      </c>
      <c r="DV36" s="667" t="s">
        <v>1188</v>
      </c>
      <c r="DW36" s="667" t="s">
        <v>1134</v>
      </c>
      <c r="DX36" s="667" t="s">
        <v>1134</v>
      </c>
      <c r="DY36" s="667" t="s">
        <v>1189</v>
      </c>
      <c r="DZ36" s="667" t="s">
        <v>1134</v>
      </c>
      <c r="EA36" s="667" t="s">
        <v>262</v>
      </c>
      <c r="EB36" s="667" t="s">
        <v>1135</v>
      </c>
      <c r="EC36" s="667" t="s">
        <v>1134</v>
      </c>
      <c r="ED36" s="667" t="s">
        <v>1136</v>
      </c>
    </row>
    <row r="37" spans="1:134" x14ac:dyDescent="0.2">
      <c r="A37" s="225" t="s">
        <v>983</v>
      </c>
      <c r="B37" s="632">
        <v>30</v>
      </c>
      <c r="C37" s="830">
        <v>0</v>
      </c>
      <c r="D37" s="830">
        <v>0</v>
      </c>
      <c r="E37" s="830">
        <v>0</v>
      </c>
      <c r="F37" s="866">
        <v>0</v>
      </c>
      <c r="G37" s="830">
        <v>0</v>
      </c>
      <c r="H37" s="830">
        <v>0</v>
      </c>
      <c r="I37" s="828">
        <f t="shared" si="0"/>
        <v>0</v>
      </c>
      <c r="J37" s="832">
        <v>0</v>
      </c>
      <c r="K37" s="832">
        <v>0</v>
      </c>
      <c r="L37" s="837">
        <v>0</v>
      </c>
      <c r="M37" s="802">
        <v>0</v>
      </c>
      <c r="N37" s="838">
        <v>0</v>
      </c>
      <c r="O37" s="833">
        <v>0</v>
      </c>
      <c r="P37" s="832">
        <v>0</v>
      </c>
      <c r="Q37" s="832">
        <v>0</v>
      </c>
      <c r="R37" s="781">
        <v>0</v>
      </c>
      <c r="S37" s="830">
        <v>0</v>
      </c>
      <c r="T37" s="830">
        <v>0</v>
      </c>
      <c r="U37" s="834">
        <v>0</v>
      </c>
      <c r="V37" s="832">
        <v>0</v>
      </c>
      <c r="W37" s="831">
        <v>0</v>
      </c>
      <c r="X37" s="783">
        <v>0</v>
      </c>
      <c r="Y37" s="830">
        <v>0</v>
      </c>
      <c r="Z37" s="833">
        <v>0</v>
      </c>
      <c r="AA37" s="802">
        <v>0</v>
      </c>
      <c r="AB37" s="835">
        <v>0</v>
      </c>
      <c r="AC37" s="835">
        <v>0</v>
      </c>
      <c r="AD37" s="833">
        <v>0</v>
      </c>
      <c r="AE37" s="836">
        <v>0</v>
      </c>
      <c r="AF37" s="836">
        <v>0</v>
      </c>
      <c r="AG37" s="827">
        <f t="shared" si="1"/>
        <v>0</v>
      </c>
      <c r="AH37" s="827">
        <f t="shared" si="2"/>
        <v>0</v>
      </c>
      <c r="AI37" s="466">
        <f t="shared" si="3"/>
        <v>0</v>
      </c>
      <c r="AJ37" s="467" t="str">
        <f t="shared" si="4"/>
        <v xml:space="preserve"> </v>
      </c>
      <c r="AS37" s="139" t="s">
        <v>929</v>
      </c>
      <c r="AT37" s="139" t="s">
        <v>928</v>
      </c>
      <c r="DS37" s="648"/>
      <c r="DT37" s="648"/>
      <c r="DU37" s="667" t="s">
        <v>415</v>
      </c>
      <c r="DV37" s="667" t="s">
        <v>1188</v>
      </c>
      <c r="DW37" s="667" t="s">
        <v>1134</v>
      </c>
      <c r="DX37" s="667" t="s">
        <v>1134</v>
      </c>
      <c r="DY37" s="667" t="s">
        <v>1189</v>
      </c>
      <c r="DZ37" s="667" t="s">
        <v>1134</v>
      </c>
      <c r="EA37" s="667" t="s">
        <v>929</v>
      </c>
      <c r="EB37" s="667" t="s">
        <v>1135</v>
      </c>
      <c r="EC37" s="667" t="s">
        <v>1134</v>
      </c>
      <c r="ED37" s="667" t="s">
        <v>1136</v>
      </c>
    </row>
    <row r="38" spans="1:134" x14ac:dyDescent="0.2">
      <c r="A38" s="225" t="s">
        <v>561</v>
      </c>
      <c r="B38" s="632">
        <v>31</v>
      </c>
      <c r="C38" s="830">
        <v>0</v>
      </c>
      <c r="D38" s="830">
        <v>0</v>
      </c>
      <c r="E38" s="830">
        <v>0</v>
      </c>
      <c r="F38" s="866">
        <v>0</v>
      </c>
      <c r="G38" s="830">
        <v>0</v>
      </c>
      <c r="H38" s="830">
        <v>0</v>
      </c>
      <c r="I38" s="828">
        <f t="shared" si="0"/>
        <v>0</v>
      </c>
      <c r="J38" s="832">
        <v>0</v>
      </c>
      <c r="K38" s="832">
        <v>0</v>
      </c>
      <c r="L38" s="837">
        <v>0</v>
      </c>
      <c r="M38" s="802">
        <v>0</v>
      </c>
      <c r="N38" s="838">
        <v>0</v>
      </c>
      <c r="O38" s="833">
        <v>0</v>
      </c>
      <c r="P38" s="832">
        <v>0</v>
      </c>
      <c r="Q38" s="832">
        <v>0</v>
      </c>
      <c r="R38" s="781">
        <v>0</v>
      </c>
      <c r="S38" s="830">
        <v>0</v>
      </c>
      <c r="T38" s="830">
        <v>0</v>
      </c>
      <c r="U38" s="834">
        <v>0</v>
      </c>
      <c r="V38" s="832">
        <v>0</v>
      </c>
      <c r="W38" s="831">
        <v>0</v>
      </c>
      <c r="X38" s="783">
        <v>0</v>
      </c>
      <c r="Y38" s="830">
        <v>0</v>
      </c>
      <c r="Z38" s="833">
        <v>0</v>
      </c>
      <c r="AA38" s="802">
        <v>0</v>
      </c>
      <c r="AB38" s="835">
        <v>0</v>
      </c>
      <c r="AC38" s="835">
        <v>0</v>
      </c>
      <c r="AD38" s="833">
        <v>0</v>
      </c>
      <c r="AE38" s="836">
        <v>0</v>
      </c>
      <c r="AF38" s="836">
        <v>0</v>
      </c>
      <c r="AG38" s="827">
        <f t="shared" si="1"/>
        <v>0</v>
      </c>
      <c r="AH38" s="827">
        <f t="shared" si="2"/>
        <v>0</v>
      </c>
      <c r="AI38" s="466">
        <f t="shared" si="3"/>
        <v>0</v>
      </c>
      <c r="AJ38" s="467" t="str">
        <f t="shared" si="4"/>
        <v xml:space="preserve"> </v>
      </c>
      <c r="AS38" s="139" t="s">
        <v>515</v>
      </c>
      <c r="AT38" s="139" t="s">
        <v>516</v>
      </c>
      <c r="DS38" s="648"/>
      <c r="DT38" s="648"/>
      <c r="DU38" s="667" t="s">
        <v>415</v>
      </c>
      <c r="DV38" s="667" t="s">
        <v>1188</v>
      </c>
      <c r="DW38" s="667" t="s">
        <v>1134</v>
      </c>
      <c r="DX38" s="667" t="s">
        <v>1134</v>
      </c>
      <c r="DY38" s="667" t="s">
        <v>1189</v>
      </c>
      <c r="DZ38" s="667" t="s">
        <v>1134</v>
      </c>
      <c r="EA38" s="667" t="s">
        <v>515</v>
      </c>
      <c r="EB38" s="667" t="s">
        <v>1135</v>
      </c>
      <c r="EC38" s="667" t="s">
        <v>1134</v>
      </c>
      <c r="ED38" s="667" t="s">
        <v>1136</v>
      </c>
    </row>
    <row r="39" spans="1:134" x14ac:dyDescent="0.2">
      <c r="A39" s="225" t="s">
        <v>562</v>
      </c>
      <c r="B39" s="632">
        <v>32</v>
      </c>
      <c r="C39" s="830">
        <v>0</v>
      </c>
      <c r="D39" s="830">
        <v>0</v>
      </c>
      <c r="E39" s="830">
        <v>0</v>
      </c>
      <c r="F39" s="866">
        <v>0</v>
      </c>
      <c r="G39" s="830">
        <v>0</v>
      </c>
      <c r="H39" s="830">
        <v>0</v>
      </c>
      <c r="I39" s="828">
        <f t="shared" si="0"/>
        <v>0</v>
      </c>
      <c r="J39" s="832">
        <v>0</v>
      </c>
      <c r="K39" s="832">
        <v>0</v>
      </c>
      <c r="L39" s="830">
        <v>0</v>
      </c>
      <c r="M39" s="802">
        <v>0</v>
      </c>
      <c r="N39" s="832">
        <v>0</v>
      </c>
      <c r="O39" s="833">
        <v>0</v>
      </c>
      <c r="P39" s="832">
        <v>0</v>
      </c>
      <c r="Q39" s="832">
        <v>0</v>
      </c>
      <c r="R39" s="781">
        <v>0</v>
      </c>
      <c r="S39" s="830">
        <v>0</v>
      </c>
      <c r="T39" s="830">
        <v>0</v>
      </c>
      <c r="U39" s="834">
        <v>0</v>
      </c>
      <c r="V39" s="832">
        <v>0</v>
      </c>
      <c r="W39" s="831">
        <v>0</v>
      </c>
      <c r="X39" s="783">
        <v>0</v>
      </c>
      <c r="Y39" s="830">
        <v>0</v>
      </c>
      <c r="Z39" s="833">
        <v>0</v>
      </c>
      <c r="AA39" s="802">
        <v>0</v>
      </c>
      <c r="AB39" s="835">
        <v>0</v>
      </c>
      <c r="AC39" s="835">
        <v>0</v>
      </c>
      <c r="AD39" s="833">
        <v>0</v>
      </c>
      <c r="AE39" s="836">
        <v>0</v>
      </c>
      <c r="AF39" s="836">
        <v>0</v>
      </c>
      <c r="AG39" s="827">
        <f t="shared" si="1"/>
        <v>0</v>
      </c>
      <c r="AH39" s="827">
        <f t="shared" si="2"/>
        <v>0</v>
      </c>
      <c r="AI39" s="466">
        <f t="shared" si="3"/>
        <v>0</v>
      </c>
      <c r="AJ39" s="467" t="str">
        <f t="shared" si="4"/>
        <v xml:space="preserve"> </v>
      </c>
      <c r="AS39" s="139" t="s">
        <v>517</v>
      </c>
      <c r="AT39" s="139" t="s">
        <v>518</v>
      </c>
      <c r="DS39" s="648"/>
      <c r="DT39" s="648"/>
      <c r="DU39" s="667" t="s">
        <v>415</v>
      </c>
      <c r="DV39" s="667" t="s">
        <v>1188</v>
      </c>
      <c r="DW39" s="667" t="s">
        <v>1134</v>
      </c>
      <c r="DX39" s="667" t="s">
        <v>1134</v>
      </c>
      <c r="DY39" s="667" t="s">
        <v>1189</v>
      </c>
      <c r="DZ39" s="667" t="s">
        <v>1134</v>
      </c>
      <c r="EA39" s="667" t="s">
        <v>517</v>
      </c>
      <c r="EB39" s="667" t="s">
        <v>1135</v>
      </c>
      <c r="EC39" s="667" t="s">
        <v>1134</v>
      </c>
      <c r="ED39" s="667" t="s">
        <v>1136</v>
      </c>
    </row>
    <row r="40" spans="1:134" x14ac:dyDescent="0.2">
      <c r="A40" s="225" t="s">
        <v>128</v>
      </c>
      <c r="B40" s="632">
        <v>33</v>
      </c>
      <c r="C40" s="830">
        <v>141</v>
      </c>
      <c r="D40" s="830">
        <v>0</v>
      </c>
      <c r="E40" s="830">
        <v>0</v>
      </c>
      <c r="F40" s="866">
        <v>0</v>
      </c>
      <c r="G40" s="830">
        <v>0</v>
      </c>
      <c r="H40" s="830">
        <v>0</v>
      </c>
      <c r="I40" s="828">
        <f t="shared" si="0"/>
        <v>141</v>
      </c>
      <c r="J40" s="832">
        <v>0</v>
      </c>
      <c r="K40" s="832">
        <v>0</v>
      </c>
      <c r="L40" s="830">
        <v>0</v>
      </c>
      <c r="M40" s="802">
        <v>0</v>
      </c>
      <c r="N40" s="832">
        <v>0</v>
      </c>
      <c r="O40" s="833">
        <v>0</v>
      </c>
      <c r="P40" s="832">
        <v>0</v>
      </c>
      <c r="Q40" s="832">
        <v>0</v>
      </c>
      <c r="R40" s="781">
        <v>10</v>
      </c>
      <c r="S40" s="830">
        <v>0</v>
      </c>
      <c r="T40" s="830">
        <v>10</v>
      </c>
      <c r="U40" s="834">
        <v>0</v>
      </c>
      <c r="V40" s="832">
        <v>1</v>
      </c>
      <c r="W40" s="831">
        <v>0</v>
      </c>
      <c r="X40" s="783">
        <v>1</v>
      </c>
      <c r="Y40" s="830">
        <v>0</v>
      </c>
      <c r="Z40" s="833">
        <v>1</v>
      </c>
      <c r="AA40" s="802">
        <v>25</v>
      </c>
      <c r="AB40" s="835">
        <v>25</v>
      </c>
      <c r="AC40" s="835">
        <v>0</v>
      </c>
      <c r="AD40" s="833">
        <v>0</v>
      </c>
      <c r="AE40" s="836">
        <v>0</v>
      </c>
      <c r="AF40" s="836">
        <v>0</v>
      </c>
      <c r="AG40" s="827">
        <f t="shared" si="1"/>
        <v>36</v>
      </c>
      <c r="AH40" s="827">
        <f t="shared" si="2"/>
        <v>177</v>
      </c>
      <c r="AI40" s="466">
        <f t="shared" si="3"/>
        <v>0</v>
      </c>
      <c r="AJ40" s="467" t="str">
        <f t="shared" si="4"/>
        <v xml:space="preserve"> </v>
      </c>
      <c r="AS40" s="139" t="s">
        <v>264</v>
      </c>
      <c r="AT40" s="139" t="s">
        <v>263</v>
      </c>
      <c r="DS40" s="648"/>
      <c r="DT40" s="648"/>
      <c r="DU40" s="667" t="s">
        <v>415</v>
      </c>
      <c r="DV40" s="667" t="s">
        <v>1188</v>
      </c>
      <c r="DW40" s="667" t="s">
        <v>1134</v>
      </c>
      <c r="DX40" s="667" t="s">
        <v>1134</v>
      </c>
      <c r="DY40" s="667" t="s">
        <v>1189</v>
      </c>
      <c r="DZ40" s="667" t="s">
        <v>1134</v>
      </c>
      <c r="EA40" s="667" t="s">
        <v>264</v>
      </c>
      <c r="EB40" s="667" t="s">
        <v>1135</v>
      </c>
      <c r="EC40" s="667" t="s">
        <v>1134</v>
      </c>
      <c r="ED40" s="667" t="s">
        <v>1136</v>
      </c>
    </row>
    <row r="41" spans="1:134" x14ac:dyDescent="0.2">
      <c r="A41" s="225" t="s">
        <v>151</v>
      </c>
      <c r="B41" s="632">
        <v>34</v>
      </c>
      <c r="C41" s="830">
        <v>0</v>
      </c>
      <c r="D41" s="830">
        <v>0</v>
      </c>
      <c r="E41" s="830">
        <v>0</v>
      </c>
      <c r="F41" s="866">
        <v>0</v>
      </c>
      <c r="G41" s="830">
        <v>0</v>
      </c>
      <c r="H41" s="830">
        <v>0</v>
      </c>
      <c r="I41" s="828">
        <f t="shared" si="0"/>
        <v>0</v>
      </c>
      <c r="J41" s="832">
        <v>0</v>
      </c>
      <c r="K41" s="832">
        <v>0</v>
      </c>
      <c r="L41" s="830">
        <v>0</v>
      </c>
      <c r="M41" s="802">
        <v>0</v>
      </c>
      <c r="N41" s="832">
        <v>0</v>
      </c>
      <c r="O41" s="833">
        <v>0</v>
      </c>
      <c r="P41" s="832">
        <v>0</v>
      </c>
      <c r="Q41" s="832">
        <v>0</v>
      </c>
      <c r="R41" s="781">
        <v>0</v>
      </c>
      <c r="S41" s="830">
        <v>0</v>
      </c>
      <c r="T41" s="830">
        <v>0</v>
      </c>
      <c r="U41" s="834">
        <v>0</v>
      </c>
      <c r="V41" s="832">
        <v>0</v>
      </c>
      <c r="W41" s="831">
        <v>0</v>
      </c>
      <c r="X41" s="783">
        <v>0</v>
      </c>
      <c r="Y41" s="830">
        <v>0</v>
      </c>
      <c r="Z41" s="833">
        <v>0</v>
      </c>
      <c r="AA41" s="802">
        <v>0</v>
      </c>
      <c r="AB41" s="835">
        <v>0</v>
      </c>
      <c r="AC41" s="835">
        <v>0</v>
      </c>
      <c r="AD41" s="833">
        <v>0</v>
      </c>
      <c r="AE41" s="836">
        <v>0</v>
      </c>
      <c r="AF41" s="836">
        <v>0</v>
      </c>
      <c r="AG41" s="827">
        <f t="shared" si="1"/>
        <v>0</v>
      </c>
      <c r="AH41" s="827">
        <f t="shared" si="2"/>
        <v>0</v>
      </c>
      <c r="AI41" s="466">
        <f t="shared" si="3"/>
        <v>0</v>
      </c>
      <c r="AJ41" s="467" t="str">
        <f t="shared" si="4"/>
        <v xml:space="preserve"> </v>
      </c>
      <c r="AS41" s="139" t="s">
        <v>469</v>
      </c>
      <c r="AT41" s="139" t="s">
        <v>470</v>
      </c>
      <c r="DS41" s="648"/>
      <c r="DT41" s="648"/>
      <c r="DU41" s="667" t="s">
        <v>415</v>
      </c>
      <c r="DV41" s="667" t="s">
        <v>1188</v>
      </c>
      <c r="DW41" s="667" t="s">
        <v>1134</v>
      </c>
      <c r="DX41" s="667" t="s">
        <v>1134</v>
      </c>
      <c r="DY41" s="667" t="s">
        <v>1189</v>
      </c>
      <c r="DZ41" s="667" t="s">
        <v>1134</v>
      </c>
      <c r="EA41" s="667" t="s">
        <v>469</v>
      </c>
      <c r="EB41" s="667" t="s">
        <v>1135</v>
      </c>
      <c r="EC41" s="667" t="s">
        <v>1134</v>
      </c>
      <c r="ED41" s="667" t="s">
        <v>1136</v>
      </c>
    </row>
    <row r="42" spans="1:134" x14ac:dyDescent="0.2">
      <c r="A42" s="225" t="s">
        <v>129</v>
      </c>
      <c r="B42" s="632">
        <v>35</v>
      </c>
      <c r="C42" s="830">
        <v>0</v>
      </c>
      <c r="D42" s="830">
        <v>0</v>
      </c>
      <c r="E42" s="830">
        <v>0</v>
      </c>
      <c r="F42" s="866">
        <v>0</v>
      </c>
      <c r="G42" s="830">
        <v>0</v>
      </c>
      <c r="H42" s="830">
        <v>0</v>
      </c>
      <c r="I42" s="828">
        <f t="shared" si="0"/>
        <v>0</v>
      </c>
      <c r="J42" s="832">
        <v>0</v>
      </c>
      <c r="K42" s="832">
        <v>0</v>
      </c>
      <c r="L42" s="837">
        <v>0</v>
      </c>
      <c r="M42" s="802">
        <v>0</v>
      </c>
      <c r="N42" s="838">
        <v>0</v>
      </c>
      <c r="O42" s="833">
        <v>0</v>
      </c>
      <c r="P42" s="832">
        <v>0</v>
      </c>
      <c r="Q42" s="832">
        <v>0</v>
      </c>
      <c r="R42" s="781">
        <v>0</v>
      </c>
      <c r="S42" s="830">
        <v>0</v>
      </c>
      <c r="T42" s="830">
        <v>0</v>
      </c>
      <c r="U42" s="834">
        <v>0</v>
      </c>
      <c r="V42" s="832">
        <v>0</v>
      </c>
      <c r="W42" s="831">
        <v>0</v>
      </c>
      <c r="X42" s="783">
        <v>0</v>
      </c>
      <c r="Y42" s="830">
        <v>0</v>
      </c>
      <c r="Z42" s="833">
        <v>0</v>
      </c>
      <c r="AA42" s="802">
        <v>0</v>
      </c>
      <c r="AB42" s="835">
        <v>0</v>
      </c>
      <c r="AC42" s="835">
        <v>0</v>
      </c>
      <c r="AD42" s="833">
        <v>0</v>
      </c>
      <c r="AE42" s="836">
        <v>0</v>
      </c>
      <c r="AF42" s="836">
        <v>0</v>
      </c>
      <c r="AG42" s="827">
        <f t="shared" si="1"/>
        <v>0</v>
      </c>
      <c r="AH42" s="827">
        <f t="shared" si="2"/>
        <v>0</v>
      </c>
      <c r="AI42" s="466">
        <f t="shared" si="3"/>
        <v>0</v>
      </c>
      <c r="AJ42" s="467" t="str">
        <f t="shared" si="4"/>
        <v xml:space="preserve"> </v>
      </c>
      <c r="AS42" s="139" t="s">
        <v>266</v>
      </c>
      <c r="AT42" s="139" t="s">
        <v>265</v>
      </c>
      <c r="DS42" s="648"/>
      <c r="DT42" s="648"/>
      <c r="DU42" s="667" t="s">
        <v>415</v>
      </c>
      <c r="DV42" s="667" t="s">
        <v>1188</v>
      </c>
      <c r="DW42" s="667" t="s">
        <v>1134</v>
      </c>
      <c r="DX42" s="667" t="s">
        <v>1134</v>
      </c>
      <c r="DY42" s="667" t="s">
        <v>1189</v>
      </c>
      <c r="DZ42" s="667" t="s">
        <v>1134</v>
      </c>
      <c r="EA42" s="667" t="s">
        <v>266</v>
      </c>
      <c r="EB42" s="667" t="s">
        <v>1135</v>
      </c>
      <c r="EC42" s="667" t="s">
        <v>1134</v>
      </c>
      <c r="ED42" s="667" t="s">
        <v>1136</v>
      </c>
    </row>
    <row r="43" spans="1:134" x14ac:dyDescent="0.2">
      <c r="A43" s="225" t="s">
        <v>939</v>
      </c>
      <c r="B43" s="632">
        <v>36</v>
      </c>
      <c r="C43" s="830">
        <v>0</v>
      </c>
      <c r="D43" s="830">
        <v>0</v>
      </c>
      <c r="E43" s="830">
        <v>0</v>
      </c>
      <c r="F43" s="866">
        <v>0</v>
      </c>
      <c r="G43" s="830">
        <v>0</v>
      </c>
      <c r="H43" s="830">
        <v>0</v>
      </c>
      <c r="I43" s="828">
        <f t="shared" si="0"/>
        <v>0</v>
      </c>
      <c r="J43" s="832">
        <v>0</v>
      </c>
      <c r="K43" s="832">
        <v>0</v>
      </c>
      <c r="L43" s="837">
        <v>0</v>
      </c>
      <c r="M43" s="802">
        <v>0</v>
      </c>
      <c r="N43" s="838">
        <v>0</v>
      </c>
      <c r="O43" s="833">
        <v>0</v>
      </c>
      <c r="P43" s="832">
        <v>0</v>
      </c>
      <c r="Q43" s="832">
        <v>0</v>
      </c>
      <c r="R43" s="781">
        <v>0</v>
      </c>
      <c r="S43" s="830">
        <v>0</v>
      </c>
      <c r="T43" s="830">
        <v>0</v>
      </c>
      <c r="U43" s="834">
        <v>0</v>
      </c>
      <c r="V43" s="832">
        <v>0</v>
      </c>
      <c r="W43" s="831">
        <v>0</v>
      </c>
      <c r="X43" s="783">
        <v>0</v>
      </c>
      <c r="Y43" s="830">
        <v>0</v>
      </c>
      <c r="Z43" s="833">
        <v>0</v>
      </c>
      <c r="AA43" s="802">
        <v>0</v>
      </c>
      <c r="AB43" s="835">
        <v>0</v>
      </c>
      <c r="AC43" s="835">
        <v>0</v>
      </c>
      <c r="AD43" s="833">
        <v>0</v>
      </c>
      <c r="AE43" s="836">
        <v>0</v>
      </c>
      <c r="AF43" s="836">
        <v>0</v>
      </c>
      <c r="AG43" s="827">
        <f t="shared" si="1"/>
        <v>0</v>
      </c>
      <c r="AH43" s="827">
        <f t="shared" si="2"/>
        <v>0</v>
      </c>
      <c r="AI43" s="466">
        <f t="shared" si="3"/>
        <v>0</v>
      </c>
      <c r="AJ43" s="467" t="str">
        <f t="shared" si="4"/>
        <v xml:space="preserve"> </v>
      </c>
      <c r="AS43" s="139" t="s">
        <v>519</v>
      </c>
      <c r="AT43" s="139" t="s">
        <v>520</v>
      </c>
      <c r="DS43" s="648"/>
      <c r="DT43" s="648"/>
      <c r="DU43" s="667" t="s">
        <v>415</v>
      </c>
      <c r="DV43" s="667" t="s">
        <v>1188</v>
      </c>
      <c r="DW43" s="667" t="s">
        <v>1134</v>
      </c>
      <c r="DX43" s="667" t="s">
        <v>1134</v>
      </c>
      <c r="DY43" s="667" t="s">
        <v>1189</v>
      </c>
      <c r="DZ43" s="667" t="s">
        <v>1134</v>
      </c>
      <c r="EA43" s="667" t="s">
        <v>519</v>
      </c>
      <c r="EB43" s="667" t="s">
        <v>1135</v>
      </c>
      <c r="EC43" s="667" t="s">
        <v>1134</v>
      </c>
      <c r="ED43" s="667" t="s">
        <v>1136</v>
      </c>
    </row>
    <row r="44" spans="1:134" x14ac:dyDescent="0.2">
      <c r="A44" s="225" t="s">
        <v>568</v>
      </c>
      <c r="B44" s="632">
        <v>37</v>
      </c>
      <c r="C44" s="830">
        <v>0</v>
      </c>
      <c r="D44" s="830">
        <v>0</v>
      </c>
      <c r="E44" s="830">
        <v>0</v>
      </c>
      <c r="F44" s="866">
        <v>0</v>
      </c>
      <c r="G44" s="830">
        <v>0</v>
      </c>
      <c r="H44" s="830">
        <v>0</v>
      </c>
      <c r="I44" s="828">
        <f t="shared" si="0"/>
        <v>0</v>
      </c>
      <c r="J44" s="832">
        <v>0</v>
      </c>
      <c r="K44" s="832">
        <v>0</v>
      </c>
      <c r="L44" s="837">
        <v>0</v>
      </c>
      <c r="M44" s="802">
        <v>0</v>
      </c>
      <c r="N44" s="838">
        <v>0</v>
      </c>
      <c r="O44" s="833">
        <v>0</v>
      </c>
      <c r="P44" s="832">
        <v>0</v>
      </c>
      <c r="Q44" s="832">
        <v>0</v>
      </c>
      <c r="R44" s="781">
        <v>0</v>
      </c>
      <c r="S44" s="830">
        <v>0</v>
      </c>
      <c r="T44" s="830">
        <v>0</v>
      </c>
      <c r="U44" s="834">
        <v>0</v>
      </c>
      <c r="V44" s="832">
        <v>0</v>
      </c>
      <c r="W44" s="831">
        <v>0</v>
      </c>
      <c r="X44" s="783">
        <v>0</v>
      </c>
      <c r="Y44" s="830">
        <v>0</v>
      </c>
      <c r="Z44" s="833">
        <v>0</v>
      </c>
      <c r="AA44" s="802">
        <v>0</v>
      </c>
      <c r="AB44" s="835">
        <v>0</v>
      </c>
      <c r="AC44" s="835">
        <v>0</v>
      </c>
      <c r="AD44" s="833">
        <v>0</v>
      </c>
      <c r="AE44" s="836">
        <v>0</v>
      </c>
      <c r="AF44" s="836">
        <v>0</v>
      </c>
      <c r="AG44" s="827">
        <f t="shared" si="1"/>
        <v>0</v>
      </c>
      <c r="AH44" s="827">
        <f t="shared" si="2"/>
        <v>0</v>
      </c>
      <c r="AI44" s="466">
        <f t="shared" si="3"/>
        <v>0</v>
      </c>
      <c r="AJ44" s="467" t="str">
        <f t="shared" si="4"/>
        <v xml:space="preserve"> </v>
      </c>
      <c r="AS44" s="139" t="s">
        <v>542</v>
      </c>
      <c r="AT44" s="139" t="s">
        <v>543</v>
      </c>
      <c r="DS44" s="648"/>
      <c r="DT44" s="648"/>
      <c r="DU44" s="667" t="s">
        <v>415</v>
      </c>
      <c r="DV44" s="667" t="s">
        <v>1188</v>
      </c>
      <c r="DW44" s="667" t="s">
        <v>1134</v>
      </c>
      <c r="DX44" s="667" t="s">
        <v>1134</v>
      </c>
      <c r="DY44" s="667" t="s">
        <v>1189</v>
      </c>
      <c r="DZ44" s="667" t="s">
        <v>1134</v>
      </c>
      <c r="EA44" s="667" t="s">
        <v>542</v>
      </c>
      <c r="EB44" s="667" t="s">
        <v>1135</v>
      </c>
      <c r="EC44" s="667" t="s">
        <v>1134</v>
      </c>
      <c r="ED44" s="667" t="s">
        <v>1136</v>
      </c>
    </row>
    <row r="45" spans="1:134" x14ac:dyDescent="0.2">
      <c r="A45" s="225" t="s">
        <v>130</v>
      </c>
      <c r="B45" s="632">
        <v>38</v>
      </c>
      <c r="C45" s="830">
        <v>0</v>
      </c>
      <c r="D45" s="830">
        <v>0</v>
      </c>
      <c r="E45" s="830">
        <v>0</v>
      </c>
      <c r="F45" s="866">
        <v>0</v>
      </c>
      <c r="G45" s="830">
        <v>0</v>
      </c>
      <c r="H45" s="830">
        <v>0</v>
      </c>
      <c r="I45" s="828">
        <f t="shared" si="0"/>
        <v>0</v>
      </c>
      <c r="J45" s="832">
        <v>0</v>
      </c>
      <c r="K45" s="832">
        <v>0</v>
      </c>
      <c r="L45" s="837">
        <v>0</v>
      </c>
      <c r="M45" s="802">
        <v>0</v>
      </c>
      <c r="N45" s="838">
        <v>0</v>
      </c>
      <c r="O45" s="833">
        <v>0</v>
      </c>
      <c r="P45" s="832">
        <v>0</v>
      </c>
      <c r="Q45" s="832">
        <v>0</v>
      </c>
      <c r="R45" s="781">
        <v>0</v>
      </c>
      <c r="S45" s="830">
        <v>0</v>
      </c>
      <c r="T45" s="830">
        <v>0</v>
      </c>
      <c r="U45" s="834">
        <v>0</v>
      </c>
      <c r="V45" s="832">
        <v>0</v>
      </c>
      <c r="W45" s="831">
        <v>0</v>
      </c>
      <c r="X45" s="783">
        <v>0</v>
      </c>
      <c r="Y45" s="830">
        <v>0</v>
      </c>
      <c r="Z45" s="833">
        <v>0</v>
      </c>
      <c r="AA45" s="802">
        <v>0</v>
      </c>
      <c r="AB45" s="835">
        <v>0</v>
      </c>
      <c r="AC45" s="835">
        <v>0</v>
      </c>
      <c r="AD45" s="833">
        <v>0</v>
      </c>
      <c r="AE45" s="836">
        <v>0</v>
      </c>
      <c r="AF45" s="836">
        <v>0</v>
      </c>
      <c r="AG45" s="827">
        <f t="shared" si="1"/>
        <v>0</v>
      </c>
      <c r="AH45" s="827">
        <f t="shared" si="2"/>
        <v>0</v>
      </c>
      <c r="AI45" s="466">
        <f t="shared" si="3"/>
        <v>0</v>
      </c>
      <c r="AJ45" s="467" t="str">
        <f t="shared" si="4"/>
        <v xml:space="preserve"> </v>
      </c>
      <c r="AS45" s="139" t="s">
        <v>268</v>
      </c>
      <c r="AT45" s="139" t="s">
        <v>267</v>
      </c>
      <c r="DS45" s="648"/>
      <c r="DT45" s="648"/>
      <c r="DU45" s="667" t="s">
        <v>415</v>
      </c>
      <c r="DV45" s="667" t="s">
        <v>1188</v>
      </c>
      <c r="DW45" s="667" t="s">
        <v>1134</v>
      </c>
      <c r="DX45" s="667" t="s">
        <v>1134</v>
      </c>
      <c r="DY45" s="667" t="s">
        <v>1189</v>
      </c>
      <c r="DZ45" s="667" t="s">
        <v>1134</v>
      </c>
      <c r="EA45" s="667" t="s">
        <v>268</v>
      </c>
      <c r="EB45" s="667" t="s">
        <v>1135</v>
      </c>
      <c r="EC45" s="667" t="s">
        <v>1134</v>
      </c>
      <c r="ED45" s="667" t="s">
        <v>1136</v>
      </c>
    </row>
    <row r="46" spans="1:134" x14ac:dyDescent="0.2">
      <c r="A46" s="427" t="s">
        <v>131</v>
      </c>
      <c r="B46" s="632">
        <v>39</v>
      </c>
      <c r="C46" s="830">
        <v>0</v>
      </c>
      <c r="D46" s="830">
        <v>0</v>
      </c>
      <c r="E46" s="830">
        <v>0</v>
      </c>
      <c r="F46" s="866">
        <v>0</v>
      </c>
      <c r="G46" s="830">
        <v>0</v>
      </c>
      <c r="H46" s="830">
        <v>0</v>
      </c>
      <c r="I46" s="828">
        <f t="shared" si="0"/>
        <v>0</v>
      </c>
      <c r="J46" s="832">
        <v>0</v>
      </c>
      <c r="K46" s="832">
        <v>0</v>
      </c>
      <c r="L46" s="837">
        <v>0</v>
      </c>
      <c r="M46" s="802">
        <v>0</v>
      </c>
      <c r="N46" s="838">
        <v>0</v>
      </c>
      <c r="O46" s="833">
        <v>0</v>
      </c>
      <c r="P46" s="832">
        <v>0</v>
      </c>
      <c r="Q46" s="832">
        <v>0</v>
      </c>
      <c r="R46" s="781">
        <v>0</v>
      </c>
      <c r="S46" s="830">
        <v>0</v>
      </c>
      <c r="T46" s="830">
        <v>0</v>
      </c>
      <c r="U46" s="834">
        <v>0</v>
      </c>
      <c r="V46" s="832">
        <v>0</v>
      </c>
      <c r="W46" s="831">
        <v>0</v>
      </c>
      <c r="X46" s="783">
        <v>0</v>
      </c>
      <c r="Y46" s="830">
        <v>0</v>
      </c>
      <c r="Z46" s="833">
        <v>0</v>
      </c>
      <c r="AA46" s="802">
        <v>0</v>
      </c>
      <c r="AB46" s="835">
        <v>0</v>
      </c>
      <c r="AC46" s="835">
        <v>0</v>
      </c>
      <c r="AD46" s="833">
        <v>0</v>
      </c>
      <c r="AE46" s="836">
        <v>0</v>
      </c>
      <c r="AF46" s="836">
        <v>0</v>
      </c>
      <c r="AG46" s="827">
        <f t="shared" si="1"/>
        <v>0</v>
      </c>
      <c r="AH46" s="827">
        <f t="shared" si="2"/>
        <v>0</v>
      </c>
      <c r="AI46" s="466">
        <f t="shared" si="3"/>
        <v>0</v>
      </c>
      <c r="AJ46" s="467" t="str">
        <f t="shared" si="4"/>
        <v xml:space="preserve"> </v>
      </c>
      <c r="AS46" s="139" t="s">
        <v>269</v>
      </c>
      <c r="AT46" s="139" t="s">
        <v>269</v>
      </c>
      <c r="DS46" s="648"/>
      <c r="DT46" s="648"/>
      <c r="DU46" s="667" t="s">
        <v>415</v>
      </c>
      <c r="DV46" s="667" t="s">
        <v>1188</v>
      </c>
      <c r="DW46" s="667" t="s">
        <v>1134</v>
      </c>
      <c r="DX46" s="667" t="s">
        <v>1134</v>
      </c>
      <c r="DY46" s="667" t="s">
        <v>1189</v>
      </c>
      <c r="DZ46" s="667" t="s">
        <v>1134</v>
      </c>
      <c r="EA46" s="667" t="s">
        <v>269</v>
      </c>
      <c r="EB46" s="667" t="s">
        <v>1135</v>
      </c>
      <c r="EC46" s="667" t="s">
        <v>1134</v>
      </c>
      <c r="ED46" s="667" t="s">
        <v>1136</v>
      </c>
    </row>
    <row r="47" spans="1:134" x14ac:dyDescent="0.2">
      <c r="A47" s="74" t="s">
        <v>1365</v>
      </c>
      <c r="B47" s="632">
        <v>40</v>
      </c>
      <c r="C47" s="830">
        <v>0</v>
      </c>
      <c r="D47" s="830">
        <v>0</v>
      </c>
      <c r="E47" s="830">
        <v>0</v>
      </c>
      <c r="F47" s="866">
        <v>0</v>
      </c>
      <c r="G47" s="830">
        <v>0</v>
      </c>
      <c r="H47" s="830">
        <v>0</v>
      </c>
      <c r="I47" s="828">
        <f t="shared" si="0"/>
        <v>0</v>
      </c>
      <c r="J47" s="832">
        <v>0</v>
      </c>
      <c r="K47" s="832">
        <v>0</v>
      </c>
      <c r="L47" s="830">
        <v>0</v>
      </c>
      <c r="M47" s="802">
        <v>0</v>
      </c>
      <c r="N47" s="832">
        <v>0</v>
      </c>
      <c r="O47" s="833">
        <v>0</v>
      </c>
      <c r="P47" s="832">
        <v>0</v>
      </c>
      <c r="Q47" s="832">
        <v>0</v>
      </c>
      <c r="R47" s="781">
        <v>0</v>
      </c>
      <c r="S47" s="830">
        <v>0</v>
      </c>
      <c r="T47" s="830">
        <v>0</v>
      </c>
      <c r="U47" s="834">
        <v>0</v>
      </c>
      <c r="V47" s="832">
        <v>0</v>
      </c>
      <c r="W47" s="831">
        <v>0</v>
      </c>
      <c r="X47" s="783">
        <v>0</v>
      </c>
      <c r="Y47" s="830">
        <v>0</v>
      </c>
      <c r="Z47" s="833">
        <v>0</v>
      </c>
      <c r="AA47" s="802">
        <v>0</v>
      </c>
      <c r="AB47" s="835">
        <v>0</v>
      </c>
      <c r="AC47" s="835">
        <v>0</v>
      </c>
      <c r="AD47" s="833">
        <v>0</v>
      </c>
      <c r="AE47" s="836">
        <v>0</v>
      </c>
      <c r="AF47" s="836">
        <v>0</v>
      </c>
      <c r="AG47" s="827">
        <f t="shared" si="1"/>
        <v>0</v>
      </c>
      <c r="AH47" s="827">
        <f t="shared" si="2"/>
        <v>0</v>
      </c>
      <c r="AI47" s="466">
        <f t="shared" si="3"/>
        <v>0</v>
      </c>
      <c r="AJ47" s="467" t="str">
        <f t="shared" si="4"/>
        <v xml:space="preserve"> </v>
      </c>
      <c r="AS47" s="139" t="s">
        <v>541</v>
      </c>
      <c r="AT47" s="1086" t="s">
        <v>1402</v>
      </c>
      <c r="DS47" s="648"/>
      <c r="DT47" s="648"/>
      <c r="DU47" s="667" t="s">
        <v>415</v>
      </c>
      <c r="DV47" s="667" t="s">
        <v>1188</v>
      </c>
      <c r="DW47" s="667" t="s">
        <v>1134</v>
      </c>
      <c r="DX47" s="667" t="s">
        <v>1134</v>
      </c>
      <c r="DY47" s="667" t="s">
        <v>1189</v>
      </c>
      <c r="DZ47" s="667" t="s">
        <v>1134</v>
      </c>
      <c r="EA47" s="667" t="s">
        <v>541</v>
      </c>
      <c r="EB47" s="667" t="s">
        <v>1135</v>
      </c>
      <c r="EC47" s="667" t="s">
        <v>1134</v>
      </c>
      <c r="ED47" s="667" t="s">
        <v>1136</v>
      </c>
    </row>
    <row r="48" spans="1:134" x14ac:dyDescent="0.2">
      <c r="A48" s="427" t="s">
        <v>132</v>
      </c>
      <c r="B48" s="632">
        <v>41</v>
      </c>
      <c r="C48" s="830">
        <v>0</v>
      </c>
      <c r="D48" s="830">
        <v>0</v>
      </c>
      <c r="E48" s="830">
        <v>0</v>
      </c>
      <c r="F48" s="866">
        <v>0</v>
      </c>
      <c r="G48" s="830">
        <v>0</v>
      </c>
      <c r="H48" s="830">
        <v>0</v>
      </c>
      <c r="I48" s="828">
        <f t="shared" si="0"/>
        <v>0</v>
      </c>
      <c r="J48" s="832">
        <v>0</v>
      </c>
      <c r="K48" s="832">
        <v>0</v>
      </c>
      <c r="L48" s="830">
        <v>0</v>
      </c>
      <c r="M48" s="802">
        <v>0</v>
      </c>
      <c r="N48" s="832">
        <v>0</v>
      </c>
      <c r="O48" s="833">
        <v>0</v>
      </c>
      <c r="P48" s="832">
        <v>0</v>
      </c>
      <c r="Q48" s="832">
        <v>0</v>
      </c>
      <c r="R48" s="781">
        <v>0</v>
      </c>
      <c r="S48" s="830">
        <v>0</v>
      </c>
      <c r="T48" s="830">
        <v>0</v>
      </c>
      <c r="U48" s="834">
        <v>0</v>
      </c>
      <c r="V48" s="832">
        <v>0</v>
      </c>
      <c r="W48" s="831">
        <v>0</v>
      </c>
      <c r="X48" s="783">
        <v>0</v>
      </c>
      <c r="Y48" s="830">
        <v>0</v>
      </c>
      <c r="Z48" s="833">
        <v>0</v>
      </c>
      <c r="AA48" s="802">
        <v>0</v>
      </c>
      <c r="AB48" s="835">
        <v>0</v>
      </c>
      <c r="AC48" s="835">
        <v>0</v>
      </c>
      <c r="AD48" s="833">
        <v>0</v>
      </c>
      <c r="AE48" s="836">
        <v>0</v>
      </c>
      <c r="AF48" s="836">
        <v>0</v>
      </c>
      <c r="AG48" s="827">
        <f t="shared" si="1"/>
        <v>0</v>
      </c>
      <c r="AH48" s="827">
        <f t="shared" si="2"/>
        <v>0</v>
      </c>
      <c r="AI48" s="466">
        <f t="shared" si="3"/>
        <v>0</v>
      </c>
      <c r="AJ48" s="467" t="str">
        <f t="shared" si="4"/>
        <v xml:space="preserve"> </v>
      </c>
      <c r="AS48" s="139" t="s">
        <v>271</v>
      </c>
      <c r="AT48" s="139" t="s">
        <v>270</v>
      </c>
      <c r="DS48" s="648"/>
      <c r="DT48" s="648"/>
      <c r="DU48" s="667" t="s">
        <v>415</v>
      </c>
      <c r="DV48" s="667" t="s">
        <v>1188</v>
      </c>
      <c r="DW48" s="667" t="s">
        <v>1134</v>
      </c>
      <c r="DX48" s="667" t="s">
        <v>1134</v>
      </c>
      <c r="DY48" s="667" t="s">
        <v>1189</v>
      </c>
      <c r="DZ48" s="667" t="s">
        <v>1134</v>
      </c>
      <c r="EA48" s="667" t="s">
        <v>271</v>
      </c>
      <c r="EB48" s="667" t="s">
        <v>1135</v>
      </c>
      <c r="EC48" s="667" t="s">
        <v>1134</v>
      </c>
      <c r="ED48" s="667" t="s">
        <v>1136</v>
      </c>
    </row>
    <row r="49" spans="1:134" x14ac:dyDescent="0.2">
      <c r="A49" s="427" t="s">
        <v>133</v>
      </c>
      <c r="B49" s="632">
        <v>42</v>
      </c>
      <c r="C49" s="830">
        <v>0</v>
      </c>
      <c r="D49" s="830">
        <v>0</v>
      </c>
      <c r="E49" s="830">
        <v>0</v>
      </c>
      <c r="F49" s="866">
        <v>0</v>
      </c>
      <c r="G49" s="830">
        <v>0</v>
      </c>
      <c r="H49" s="830">
        <v>0</v>
      </c>
      <c r="I49" s="828">
        <f t="shared" si="0"/>
        <v>0</v>
      </c>
      <c r="J49" s="832">
        <v>0</v>
      </c>
      <c r="K49" s="832">
        <v>0</v>
      </c>
      <c r="L49" s="830">
        <v>0</v>
      </c>
      <c r="M49" s="802">
        <v>0</v>
      </c>
      <c r="N49" s="832">
        <v>0</v>
      </c>
      <c r="O49" s="833">
        <v>0</v>
      </c>
      <c r="P49" s="832">
        <v>0</v>
      </c>
      <c r="Q49" s="832">
        <v>0</v>
      </c>
      <c r="R49" s="781">
        <v>0</v>
      </c>
      <c r="S49" s="830">
        <v>0</v>
      </c>
      <c r="T49" s="830">
        <v>0</v>
      </c>
      <c r="U49" s="834">
        <v>0</v>
      </c>
      <c r="V49" s="832">
        <v>0</v>
      </c>
      <c r="W49" s="831">
        <v>0</v>
      </c>
      <c r="X49" s="783">
        <v>0</v>
      </c>
      <c r="Y49" s="830">
        <v>0</v>
      </c>
      <c r="Z49" s="833">
        <v>0</v>
      </c>
      <c r="AA49" s="802">
        <v>0</v>
      </c>
      <c r="AB49" s="835">
        <v>0</v>
      </c>
      <c r="AC49" s="835">
        <v>0</v>
      </c>
      <c r="AD49" s="833">
        <v>0</v>
      </c>
      <c r="AE49" s="836">
        <v>0</v>
      </c>
      <c r="AF49" s="836">
        <v>0</v>
      </c>
      <c r="AG49" s="827">
        <f t="shared" si="1"/>
        <v>0</v>
      </c>
      <c r="AH49" s="827">
        <f t="shared" si="2"/>
        <v>0</v>
      </c>
      <c r="AI49" s="466">
        <f t="shared" si="3"/>
        <v>0</v>
      </c>
      <c r="AJ49" s="467" t="str">
        <f t="shared" si="4"/>
        <v xml:space="preserve"> </v>
      </c>
      <c r="AS49" s="139" t="s">
        <v>273</v>
      </c>
      <c r="AT49" s="139" t="s">
        <v>272</v>
      </c>
      <c r="DS49" s="648"/>
      <c r="DT49" s="648"/>
      <c r="DU49" s="667" t="s">
        <v>415</v>
      </c>
      <c r="DV49" s="667" t="s">
        <v>1188</v>
      </c>
      <c r="DW49" s="667" t="s">
        <v>1134</v>
      </c>
      <c r="DX49" s="667" t="s">
        <v>1134</v>
      </c>
      <c r="DY49" s="667" t="s">
        <v>1189</v>
      </c>
      <c r="DZ49" s="667" t="s">
        <v>1134</v>
      </c>
      <c r="EA49" s="667" t="s">
        <v>273</v>
      </c>
      <c r="EB49" s="667" t="s">
        <v>1135</v>
      </c>
      <c r="EC49" s="667" t="s">
        <v>1134</v>
      </c>
      <c r="ED49" s="667" t="s">
        <v>1136</v>
      </c>
    </row>
    <row r="50" spans="1:134" x14ac:dyDescent="0.2">
      <c r="A50" s="427" t="s">
        <v>134</v>
      </c>
      <c r="B50" s="632">
        <v>43</v>
      </c>
      <c r="C50" s="830">
        <v>100</v>
      </c>
      <c r="D50" s="830">
        <v>0</v>
      </c>
      <c r="E50" s="830">
        <v>0</v>
      </c>
      <c r="F50" s="866">
        <v>0</v>
      </c>
      <c r="G50" s="830">
        <v>0</v>
      </c>
      <c r="H50" s="830">
        <v>0</v>
      </c>
      <c r="I50" s="828">
        <f t="shared" si="0"/>
        <v>100</v>
      </c>
      <c r="J50" s="832">
        <v>0</v>
      </c>
      <c r="K50" s="832">
        <v>0</v>
      </c>
      <c r="L50" s="830">
        <v>0</v>
      </c>
      <c r="M50" s="802">
        <v>0</v>
      </c>
      <c r="N50" s="832">
        <v>0</v>
      </c>
      <c r="O50" s="833">
        <v>0</v>
      </c>
      <c r="P50" s="832">
        <v>0</v>
      </c>
      <c r="Q50" s="832">
        <v>0</v>
      </c>
      <c r="R50" s="781">
        <v>0</v>
      </c>
      <c r="S50" s="830">
        <v>0</v>
      </c>
      <c r="T50" s="830">
        <v>0</v>
      </c>
      <c r="U50" s="834">
        <v>0</v>
      </c>
      <c r="V50" s="832">
        <v>0</v>
      </c>
      <c r="W50" s="831">
        <v>0</v>
      </c>
      <c r="X50" s="783">
        <v>0</v>
      </c>
      <c r="Y50" s="830">
        <v>0</v>
      </c>
      <c r="Z50" s="833">
        <v>0</v>
      </c>
      <c r="AA50" s="802">
        <v>0</v>
      </c>
      <c r="AB50" s="835">
        <v>0</v>
      </c>
      <c r="AC50" s="835">
        <v>0</v>
      </c>
      <c r="AD50" s="833">
        <v>0</v>
      </c>
      <c r="AE50" s="836">
        <v>0</v>
      </c>
      <c r="AF50" s="836">
        <v>60</v>
      </c>
      <c r="AG50" s="827">
        <f t="shared" si="1"/>
        <v>60</v>
      </c>
      <c r="AH50" s="827">
        <f t="shared" si="2"/>
        <v>160</v>
      </c>
      <c r="AI50" s="466">
        <f t="shared" si="3"/>
        <v>0</v>
      </c>
      <c r="AJ50" s="467" t="str">
        <f t="shared" si="4"/>
        <v xml:space="preserve"> </v>
      </c>
      <c r="AS50" s="139" t="s">
        <v>275</v>
      </c>
      <c r="AT50" s="139" t="s">
        <v>274</v>
      </c>
      <c r="DS50" s="648"/>
      <c r="DT50" s="648"/>
      <c r="DU50" s="667" t="s">
        <v>415</v>
      </c>
      <c r="DV50" s="667" t="s">
        <v>1188</v>
      </c>
      <c r="DW50" s="667" t="s">
        <v>1134</v>
      </c>
      <c r="DX50" s="667" t="s">
        <v>1134</v>
      </c>
      <c r="DY50" s="667" t="s">
        <v>1189</v>
      </c>
      <c r="DZ50" s="667" t="s">
        <v>1134</v>
      </c>
      <c r="EA50" s="667" t="s">
        <v>275</v>
      </c>
      <c r="EB50" s="667" t="s">
        <v>1135</v>
      </c>
      <c r="EC50" s="667" t="s">
        <v>1134</v>
      </c>
      <c r="ED50" s="667" t="s">
        <v>1136</v>
      </c>
    </row>
    <row r="51" spans="1:134" x14ac:dyDescent="0.2">
      <c r="A51" s="427" t="s">
        <v>59</v>
      </c>
      <c r="B51" s="632">
        <v>44</v>
      </c>
      <c r="C51" s="830">
        <v>309</v>
      </c>
      <c r="D51" s="830">
        <v>0</v>
      </c>
      <c r="E51" s="830">
        <v>0</v>
      </c>
      <c r="F51" s="866">
        <v>0</v>
      </c>
      <c r="G51" s="830">
        <v>0</v>
      </c>
      <c r="H51" s="830">
        <v>0</v>
      </c>
      <c r="I51" s="828">
        <f t="shared" si="0"/>
        <v>309</v>
      </c>
      <c r="J51" s="832">
        <v>0</v>
      </c>
      <c r="K51" s="832">
        <v>0</v>
      </c>
      <c r="L51" s="830">
        <v>0</v>
      </c>
      <c r="M51" s="802">
        <v>0</v>
      </c>
      <c r="N51" s="832">
        <v>0</v>
      </c>
      <c r="O51" s="833">
        <v>0</v>
      </c>
      <c r="P51" s="832">
        <v>0</v>
      </c>
      <c r="Q51" s="832">
        <v>0</v>
      </c>
      <c r="R51" s="781">
        <v>0</v>
      </c>
      <c r="S51" s="830">
        <v>0</v>
      </c>
      <c r="T51" s="830">
        <v>0</v>
      </c>
      <c r="U51" s="834">
        <v>0</v>
      </c>
      <c r="V51" s="832">
        <v>0</v>
      </c>
      <c r="W51" s="831">
        <v>0</v>
      </c>
      <c r="X51" s="783">
        <v>0</v>
      </c>
      <c r="Y51" s="830">
        <v>0</v>
      </c>
      <c r="Z51" s="833">
        <v>0</v>
      </c>
      <c r="AA51" s="802">
        <v>96</v>
      </c>
      <c r="AB51" s="835">
        <v>0</v>
      </c>
      <c r="AC51" s="835">
        <v>0</v>
      </c>
      <c r="AD51" s="833">
        <v>96</v>
      </c>
      <c r="AE51" s="836">
        <v>0</v>
      </c>
      <c r="AF51" s="836">
        <v>0</v>
      </c>
      <c r="AG51" s="827">
        <f t="shared" si="1"/>
        <v>96</v>
      </c>
      <c r="AH51" s="827">
        <f t="shared" si="2"/>
        <v>405</v>
      </c>
      <c r="AI51" s="466">
        <f t="shared" si="3"/>
        <v>0</v>
      </c>
      <c r="AJ51" s="467" t="str">
        <f t="shared" si="4"/>
        <v xml:space="preserve"> </v>
      </c>
      <c r="AS51" s="139" t="s">
        <v>487</v>
      </c>
      <c r="AT51" s="139" t="s">
        <v>488</v>
      </c>
      <c r="DS51" s="648"/>
      <c r="DT51" s="648"/>
      <c r="DU51" s="667" t="s">
        <v>415</v>
      </c>
      <c r="DV51" s="667" t="s">
        <v>1188</v>
      </c>
      <c r="DW51" s="667" t="s">
        <v>1134</v>
      </c>
      <c r="DX51" s="667" t="s">
        <v>1134</v>
      </c>
      <c r="DY51" s="667" t="s">
        <v>1189</v>
      </c>
      <c r="DZ51" s="667" t="s">
        <v>1134</v>
      </c>
      <c r="EA51" s="667" t="s">
        <v>487</v>
      </c>
      <c r="EB51" s="667" t="s">
        <v>1135</v>
      </c>
      <c r="EC51" s="667" t="s">
        <v>1134</v>
      </c>
      <c r="ED51" s="667" t="s">
        <v>1136</v>
      </c>
    </row>
    <row r="52" spans="1:134" x14ac:dyDescent="0.2">
      <c r="A52" s="427" t="s">
        <v>621</v>
      </c>
      <c r="B52" s="632">
        <v>45</v>
      </c>
      <c r="C52" s="830">
        <v>0</v>
      </c>
      <c r="D52" s="830">
        <v>0</v>
      </c>
      <c r="E52" s="830">
        <v>0</v>
      </c>
      <c r="F52" s="866">
        <v>0</v>
      </c>
      <c r="G52" s="830">
        <v>0</v>
      </c>
      <c r="H52" s="830">
        <v>0</v>
      </c>
      <c r="I52" s="828">
        <f t="shared" si="0"/>
        <v>0</v>
      </c>
      <c r="J52" s="832">
        <v>0</v>
      </c>
      <c r="K52" s="832">
        <v>0</v>
      </c>
      <c r="L52" s="837">
        <v>0</v>
      </c>
      <c r="M52" s="802">
        <v>0</v>
      </c>
      <c r="N52" s="838">
        <v>0</v>
      </c>
      <c r="O52" s="833">
        <v>0</v>
      </c>
      <c r="P52" s="832">
        <v>0</v>
      </c>
      <c r="Q52" s="832">
        <v>0</v>
      </c>
      <c r="R52" s="781">
        <v>0</v>
      </c>
      <c r="S52" s="830">
        <v>0</v>
      </c>
      <c r="T52" s="830">
        <v>0</v>
      </c>
      <c r="U52" s="834">
        <v>0</v>
      </c>
      <c r="V52" s="832">
        <v>0</v>
      </c>
      <c r="W52" s="831">
        <v>0</v>
      </c>
      <c r="X52" s="783">
        <v>0</v>
      </c>
      <c r="Y52" s="830">
        <v>0</v>
      </c>
      <c r="Z52" s="833">
        <v>0</v>
      </c>
      <c r="AA52" s="802">
        <v>0</v>
      </c>
      <c r="AB52" s="835">
        <v>0</v>
      </c>
      <c r="AC52" s="835">
        <v>0</v>
      </c>
      <c r="AD52" s="833">
        <v>0</v>
      </c>
      <c r="AE52" s="836">
        <v>0</v>
      </c>
      <c r="AF52" s="836">
        <v>0</v>
      </c>
      <c r="AG52" s="827">
        <f t="shared" si="1"/>
        <v>0</v>
      </c>
      <c r="AH52" s="827">
        <f t="shared" si="2"/>
        <v>0</v>
      </c>
      <c r="AI52" s="466">
        <f t="shared" si="3"/>
        <v>0</v>
      </c>
      <c r="AJ52" s="467" t="str">
        <f t="shared" si="4"/>
        <v xml:space="preserve"> </v>
      </c>
      <c r="AS52" s="139" t="s">
        <v>521</v>
      </c>
      <c r="AT52" s="139" t="s">
        <v>522</v>
      </c>
      <c r="DS52" s="648"/>
      <c r="DT52" s="648"/>
      <c r="DU52" s="667" t="s">
        <v>415</v>
      </c>
      <c r="DV52" s="667" t="s">
        <v>1188</v>
      </c>
      <c r="DW52" s="667" t="s">
        <v>1134</v>
      </c>
      <c r="DX52" s="667" t="s">
        <v>1134</v>
      </c>
      <c r="DY52" s="667" t="s">
        <v>1189</v>
      </c>
      <c r="DZ52" s="667" t="s">
        <v>1134</v>
      </c>
      <c r="EA52" s="667" t="s">
        <v>521</v>
      </c>
      <c r="EB52" s="667" t="s">
        <v>1135</v>
      </c>
      <c r="EC52" s="667" t="s">
        <v>1134</v>
      </c>
      <c r="ED52" s="667" t="s">
        <v>1136</v>
      </c>
    </row>
    <row r="53" spans="1:134" x14ac:dyDescent="0.2">
      <c r="A53" s="427" t="s">
        <v>569</v>
      </c>
      <c r="B53" s="632">
        <v>46</v>
      </c>
      <c r="C53" s="830">
        <v>0</v>
      </c>
      <c r="D53" s="830">
        <v>0</v>
      </c>
      <c r="E53" s="830">
        <v>0</v>
      </c>
      <c r="F53" s="866">
        <v>0</v>
      </c>
      <c r="G53" s="830">
        <v>0</v>
      </c>
      <c r="H53" s="830">
        <v>0</v>
      </c>
      <c r="I53" s="828">
        <f t="shared" si="0"/>
        <v>0</v>
      </c>
      <c r="J53" s="832">
        <v>0</v>
      </c>
      <c r="K53" s="832">
        <v>0</v>
      </c>
      <c r="L53" s="830">
        <v>0</v>
      </c>
      <c r="M53" s="802">
        <v>0</v>
      </c>
      <c r="N53" s="832">
        <v>0</v>
      </c>
      <c r="O53" s="833">
        <v>0</v>
      </c>
      <c r="P53" s="832">
        <v>0</v>
      </c>
      <c r="Q53" s="832">
        <v>0</v>
      </c>
      <c r="R53" s="781">
        <v>0</v>
      </c>
      <c r="S53" s="830">
        <v>0</v>
      </c>
      <c r="T53" s="830">
        <v>0</v>
      </c>
      <c r="U53" s="834">
        <v>0</v>
      </c>
      <c r="V53" s="832">
        <v>0</v>
      </c>
      <c r="W53" s="831">
        <v>0</v>
      </c>
      <c r="X53" s="783">
        <v>0</v>
      </c>
      <c r="Y53" s="830">
        <v>0</v>
      </c>
      <c r="Z53" s="833">
        <v>0</v>
      </c>
      <c r="AA53" s="802">
        <v>0</v>
      </c>
      <c r="AB53" s="835">
        <v>0</v>
      </c>
      <c r="AC53" s="835">
        <v>0</v>
      </c>
      <c r="AD53" s="833">
        <v>0</v>
      </c>
      <c r="AE53" s="836">
        <v>0</v>
      </c>
      <c r="AF53" s="836">
        <v>0</v>
      </c>
      <c r="AG53" s="827">
        <f t="shared" si="1"/>
        <v>0</v>
      </c>
      <c r="AH53" s="827">
        <f t="shared" si="2"/>
        <v>0</v>
      </c>
      <c r="AI53" s="466">
        <f t="shared" si="3"/>
        <v>0</v>
      </c>
      <c r="AJ53" s="467" t="str">
        <f t="shared" si="4"/>
        <v xml:space="preserve"> </v>
      </c>
      <c r="AS53" s="139" t="s">
        <v>544</v>
      </c>
      <c r="AT53" s="139" t="s">
        <v>545</v>
      </c>
      <c r="DS53" s="648"/>
      <c r="DT53" s="648"/>
      <c r="DU53" s="667" t="s">
        <v>415</v>
      </c>
      <c r="DV53" s="667" t="s">
        <v>1188</v>
      </c>
      <c r="DW53" s="667" t="s">
        <v>1134</v>
      </c>
      <c r="DX53" s="667" t="s">
        <v>1134</v>
      </c>
      <c r="DY53" s="667" t="s">
        <v>1189</v>
      </c>
      <c r="DZ53" s="667" t="s">
        <v>1134</v>
      </c>
      <c r="EA53" s="667" t="s">
        <v>544</v>
      </c>
      <c r="EB53" s="667" t="s">
        <v>1135</v>
      </c>
      <c r="EC53" s="667" t="s">
        <v>1134</v>
      </c>
      <c r="ED53" s="667" t="s">
        <v>1136</v>
      </c>
    </row>
    <row r="54" spans="1:134" x14ac:dyDescent="0.2">
      <c r="A54" s="427" t="s">
        <v>99</v>
      </c>
      <c r="B54" s="632">
        <v>47</v>
      </c>
      <c r="C54" s="830">
        <v>0</v>
      </c>
      <c r="D54" s="830">
        <v>0</v>
      </c>
      <c r="E54" s="830">
        <v>0</v>
      </c>
      <c r="F54" s="866">
        <v>0</v>
      </c>
      <c r="G54" s="830">
        <v>0</v>
      </c>
      <c r="H54" s="830">
        <v>0</v>
      </c>
      <c r="I54" s="828">
        <f t="shared" si="0"/>
        <v>0</v>
      </c>
      <c r="J54" s="832">
        <v>0</v>
      </c>
      <c r="K54" s="832">
        <v>0</v>
      </c>
      <c r="L54" s="830">
        <v>0</v>
      </c>
      <c r="M54" s="802">
        <v>0</v>
      </c>
      <c r="N54" s="832">
        <v>0</v>
      </c>
      <c r="O54" s="833">
        <v>0</v>
      </c>
      <c r="P54" s="832">
        <v>0</v>
      </c>
      <c r="Q54" s="832">
        <v>0</v>
      </c>
      <c r="R54" s="781">
        <v>0</v>
      </c>
      <c r="S54" s="830">
        <v>0</v>
      </c>
      <c r="T54" s="830">
        <v>0</v>
      </c>
      <c r="U54" s="834">
        <v>0</v>
      </c>
      <c r="V54" s="832">
        <v>0</v>
      </c>
      <c r="W54" s="831">
        <v>0</v>
      </c>
      <c r="X54" s="783">
        <v>0</v>
      </c>
      <c r="Y54" s="830">
        <v>0</v>
      </c>
      <c r="Z54" s="833">
        <v>0</v>
      </c>
      <c r="AA54" s="802">
        <v>0</v>
      </c>
      <c r="AB54" s="835">
        <v>0</v>
      </c>
      <c r="AC54" s="835">
        <v>0</v>
      </c>
      <c r="AD54" s="833">
        <v>0</v>
      </c>
      <c r="AE54" s="836">
        <v>0</v>
      </c>
      <c r="AF54" s="836">
        <v>0</v>
      </c>
      <c r="AG54" s="827">
        <f t="shared" si="1"/>
        <v>0</v>
      </c>
      <c r="AH54" s="827">
        <f t="shared" si="2"/>
        <v>0</v>
      </c>
      <c r="AI54" s="466">
        <f t="shared" si="3"/>
        <v>0</v>
      </c>
      <c r="AJ54" s="467" t="str">
        <f t="shared" si="4"/>
        <v xml:space="preserve"> </v>
      </c>
      <c r="AS54" s="139" t="s">
        <v>277</v>
      </c>
      <c r="AT54" s="139" t="s">
        <v>276</v>
      </c>
      <c r="DS54" s="648"/>
      <c r="DT54" s="648"/>
      <c r="DU54" s="667" t="s">
        <v>415</v>
      </c>
      <c r="DV54" s="667" t="s">
        <v>1188</v>
      </c>
      <c r="DW54" s="667" t="s">
        <v>1134</v>
      </c>
      <c r="DX54" s="667" t="s">
        <v>1134</v>
      </c>
      <c r="DY54" s="667" t="s">
        <v>1189</v>
      </c>
      <c r="DZ54" s="667" t="s">
        <v>1134</v>
      </c>
      <c r="EA54" s="667" t="s">
        <v>277</v>
      </c>
      <c r="EB54" s="667" t="s">
        <v>1135</v>
      </c>
      <c r="EC54" s="667" t="s">
        <v>1134</v>
      </c>
      <c r="ED54" s="667" t="s">
        <v>1136</v>
      </c>
    </row>
    <row r="55" spans="1:134" x14ac:dyDescent="0.2">
      <c r="A55" s="427" t="s">
        <v>570</v>
      </c>
      <c r="B55" s="632">
        <v>48</v>
      </c>
      <c r="C55" s="830">
        <v>0</v>
      </c>
      <c r="D55" s="830">
        <v>0</v>
      </c>
      <c r="E55" s="830">
        <v>0</v>
      </c>
      <c r="F55" s="866">
        <v>0</v>
      </c>
      <c r="G55" s="830">
        <v>0</v>
      </c>
      <c r="H55" s="830">
        <v>0</v>
      </c>
      <c r="I55" s="828">
        <f t="shared" si="0"/>
        <v>0</v>
      </c>
      <c r="J55" s="832">
        <v>0</v>
      </c>
      <c r="K55" s="832">
        <v>0</v>
      </c>
      <c r="L55" s="830">
        <v>0</v>
      </c>
      <c r="M55" s="802">
        <v>0</v>
      </c>
      <c r="N55" s="832">
        <v>0</v>
      </c>
      <c r="O55" s="833">
        <v>0</v>
      </c>
      <c r="P55" s="832">
        <v>0</v>
      </c>
      <c r="Q55" s="832">
        <v>0</v>
      </c>
      <c r="R55" s="781">
        <v>0</v>
      </c>
      <c r="S55" s="830">
        <v>0</v>
      </c>
      <c r="T55" s="830">
        <v>0</v>
      </c>
      <c r="U55" s="834">
        <v>0</v>
      </c>
      <c r="V55" s="832">
        <v>0</v>
      </c>
      <c r="W55" s="831">
        <v>0</v>
      </c>
      <c r="X55" s="783">
        <v>0</v>
      </c>
      <c r="Y55" s="830">
        <v>0</v>
      </c>
      <c r="Z55" s="833">
        <v>0</v>
      </c>
      <c r="AA55" s="802">
        <v>0</v>
      </c>
      <c r="AB55" s="835">
        <v>0</v>
      </c>
      <c r="AC55" s="835">
        <v>0</v>
      </c>
      <c r="AD55" s="833">
        <v>0</v>
      </c>
      <c r="AE55" s="836">
        <v>0</v>
      </c>
      <c r="AF55" s="836">
        <v>0</v>
      </c>
      <c r="AG55" s="827">
        <f t="shared" si="1"/>
        <v>0</v>
      </c>
      <c r="AH55" s="827">
        <f t="shared" si="2"/>
        <v>0</v>
      </c>
      <c r="AI55" s="466">
        <f t="shared" si="3"/>
        <v>0</v>
      </c>
      <c r="AJ55" s="467" t="str">
        <f t="shared" si="4"/>
        <v xml:space="preserve"> </v>
      </c>
      <c r="AS55" s="139" t="s">
        <v>546</v>
      </c>
      <c r="AT55" s="139" t="s">
        <v>547</v>
      </c>
      <c r="DS55" s="648"/>
      <c r="DT55" s="648"/>
      <c r="DU55" s="667" t="s">
        <v>415</v>
      </c>
      <c r="DV55" s="667" t="s">
        <v>1188</v>
      </c>
      <c r="DW55" s="667" t="s">
        <v>1134</v>
      </c>
      <c r="DX55" s="667" t="s">
        <v>1134</v>
      </c>
      <c r="DY55" s="667" t="s">
        <v>1189</v>
      </c>
      <c r="DZ55" s="667" t="s">
        <v>1134</v>
      </c>
      <c r="EA55" s="667" t="s">
        <v>546</v>
      </c>
      <c r="EB55" s="667" t="s">
        <v>1135</v>
      </c>
      <c r="EC55" s="667" t="s">
        <v>1134</v>
      </c>
      <c r="ED55" s="667" t="s">
        <v>1136</v>
      </c>
    </row>
    <row r="56" spans="1:134" x14ac:dyDescent="0.2">
      <c r="A56" s="427" t="s">
        <v>135</v>
      </c>
      <c r="B56" s="632">
        <v>49</v>
      </c>
      <c r="C56" s="830">
        <v>0</v>
      </c>
      <c r="D56" s="830">
        <v>0</v>
      </c>
      <c r="E56" s="830">
        <v>0</v>
      </c>
      <c r="F56" s="866">
        <v>0</v>
      </c>
      <c r="G56" s="830">
        <v>0</v>
      </c>
      <c r="H56" s="830">
        <v>0</v>
      </c>
      <c r="I56" s="828">
        <f t="shared" si="0"/>
        <v>0</v>
      </c>
      <c r="J56" s="832">
        <v>0</v>
      </c>
      <c r="K56" s="832">
        <v>0</v>
      </c>
      <c r="L56" s="830">
        <v>0</v>
      </c>
      <c r="M56" s="802">
        <v>0</v>
      </c>
      <c r="N56" s="832">
        <v>0</v>
      </c>
      <c r="O56" s="833">
        <v>0</v>
      </c>
      <c r="P56" s="832">
        <v>0</v>
      </c>
      <c r="Q56" s="832">
        <v>0</v>
      </c>
      <c r="R56" s="781">
        <v>0</v>
      </c>
      <c r="S56" s="830">
        <v>0</v>
      </c>
      <c r="T56" s="830">
        <v>0</v>
      </c>
      <c r="U56" s="834">
        <v>0</v>
      </c>
      <c r="V56" s="832">
        <v>0</v>
      </c>
      <c r="W56" s="831">
        <v>0</v>
      </c>
      <c r="X56" s="783">
        <v>0</v>
      </c>
      <c r="Y56" s="830">
        <v>0</v>
      </c>
      <c r="Z56" s="833">
        <v>0</v>
      </c>
      <c r="AA56" s="802">
        <v>0</v>
      </c>
      <c r="AB56" s="835">
        <v>0</v>
      </c>
      <c r="AC56" s="835">
        <v>0</v>
      </c>
      <c r="AD56" s="833">
        <v>0</v>
      </c>
      <c r="AE56" s="836">
        <v>0</v>
      </c>
      <c r="AF56" s="836">
        <v>0</v>
      </c>
      <c r="AG56" s="827">
        <f t="shared" si="1"/>
        <v>0</v>
      </c>
      <c r="AH56" s="827">
        <f t="shared" si="2"/>
        <v>0</v>
      </c>
      <c r="AI56" s="466">
        <f t="shared" si="3"/>
        <v>0</v>
      </c>
      <c r="AJ56" s="467" t="str">
        <f t="shared" si="4"/>
        <v xml:space="preserve"> </v>
      </c>
      <c r="AS56" s="139" t="s">
        <v>279</v>
      </c>
      <c r="AT56" s="139" t="s">
        <v>278</v>
      </c>
      <c r="DS56" s="648"/>
      <c r="DT56" s="648"/>
      <c r="DU56" s="667" t="s">
        <v>415</v>
      </c>
      <c r="DV56" s="667" t="s">
        <v>1188</v>
      </c>
      <c r="DW56" s="667" t="s">
        <v>1134</v>
      </c>
      <c r="DX56" s="667" t="s">
        <v>1134</v>
      </c>
      <c r="DY56" s="667" t="s">
        <v>1189</v>
      </c>
      <c r="DZ56" s="667" t="s">
        <v>1134</v>
      </c>
      <c r="EA56" s="667" t="s">
        <v>279</v>
      </c>
      <c r="EB56" s="667" t="s">
        <v>1135</v>
      </c>
      <c r="EC56" s="667" t="s">
        <v>1134</v>
      </c>
      <c r="ED56" s="667" t="s">
        <v>1136</v>
      </c>
    </row>
    <row r="57" spans="1:134" x14ac:dyDescent="0.2">
      <c r="A57" s="427" t="s">
        <v>136</v>
      </c>
      <c r="B57" s="632">
        <v>50</v>
      </c>
      <c r="C57" s="830">
        <v>0</v>
      </c>
      <c r="D57" s="830">
        <v>0</v>
      </c>
      <c r="E57" s="830">
        <v>0</v>
      </c>
      <c r="F57" s="866">
        <v>0</v>
      </c>
      <c r="G57" s="830">
        <v>0</v>
      </c>
      <c r="H57" s="830">
        <v>0</v>
      </c>
      <c r="I57" s="828">
        <f t="shared" si="0"/>
        <v>0</v>
      </c>
      <c r="J57" s="832">
        <v>0</v>
      </c>
      <c r="K57" s="832">
        <v>0</v>
      </c>
      <c r="L57" s="830">
        <v>0</v>
      </c>
      <c r="M57" s="802">
        <v>18</v>
      </c>
      <c r="N57" s="832">
        <v>0</v>
      </c>
      <c r="O57" s="833">
        <v>18</v>
      </c>
      <c r="P57" s="832">
        <v>0</v>
      </c>
      <c r="Q57" s="832">
        <v>0</v>
      </c>
      <c r="R57" s="781">
        <v>13</v>
      </c>
      <c r="S57" s="830">
        <v>0</v>
      </c>
      <c r="T57" s="830">
        <v>13</v>
      </c>
      <c r="U57" s="834">
        <v>0</v>
      </c>
      <c r="V57" s="832">
        <v>77</v>
      </c>
      <c r="W57" s="831">
        <v>0</v>
      </c>
      <c r="X57" s="783">
        <v>77</v>
      </c>
      <c r="Y57" s="830">
        <v>0</v>
      </c>
      <c r="Z57" s="833">
        <v>77</v>
      </c>
      <c r="AA57" s="802">
        <v>0</v>
      </c>
      <c r="AB57" s="835">
        <v>0</v>
      </c>
      <c r="AC57" s="835">
        <v>0</v>
      </c>
      <c r="AD57" s="833">
        <v>0</v>
      </c>
      <c r="AE57" s="836">
        <v>0</v>
      </c>
      <c r="AF57" s="836">
        <v>0</v>
      </c>
      <c r="AG57" s="827">
        <f t="shared" si="1"/>
        <v>108</v>
      </c>
      <c r="AH57" s="827">
        <f t="shared" si="2"/>
        <v>108</v>
      </c>
      <c r="AI57" s="466">
        <f t="shared" si="3"/>
        <v>0</v>
      </c>
      <c r="AJ57" s="467" t="str">
        <f t="shared" si="4"/>
        <v xml:space="preserve"> </v>
      </c>
      <c r="AS57" s="139" t="s">
        <v>281</v>
      </c>
      <c r="AT57" s="139" t="s">
        <v>280</v>
      </c>
      <c r="DS57" s="648"/>
      <c r="DT57" s="648"/>
      <c r="DU57" s="667" t="s">
        <v>415</v>
      </c>
      <c r="DV57" s="667" t="s">
        <v>1188</v>
      </c>
      <c r="DW57" s="667" t="s">
        <v>1134</v>
      </c>
      <c r="DX57" s="667" t="s">
        <v>1134</v>
      </c>
      <c r="DY57" s="667" t="s">
        <v>1189</v>
      </c>
      <c r="DZ57" s="667" t="s">
        <v>1134</v>
      </c>
      <c r="EA57" s="667" t="s">
        <v>281</v>
      </c>
      <c r="EB57" s="667" t="s">
        <v>1135</v>
      </c>
      <c r="EC57" s="667" t="s">
        <v>1134</v>
      </c>
      <c r="ED57" s="667" t="s">
        <v>1136</v>
      </c>
    </row>
    <row r="58" spans="1:134" x14ac:dyDescent="0.2">
      <c r="A58" s="427" t="s">
        <v>137</v>
      </c>
      <c r="B58" s="632">
        <v>51</v>
      </c>
      <c r="C58" s="830">
        <v>0</v>
      </c>
      <c r="D58" s="830">
        <v>0</v>
      </c>
      <c r="E58" s="830">
        <v>0</v>
      </c>
      <c r="F58" s="866">
        <v>0</v>
      </c>
      <c r="G58" s="830">
        <v>0</v>
      </c>
      <c r="H58" s="830">
        <v>0</v>
      </c>
      <c r="I58" s="828">
        <f t="shared" si="0"/>
        <v>0</v>
      </c>
      <c r="J58" s="832">
        <v>0</v>
      </c>
      <c r="K58" s="832">
        <v>0</v>
      </c>
      <c r="L58" s="830">
        <v>0</v>
      </c>
      <c r="M58" s="802">
        <v>0</v>
      </c>
      <c r="N58" s="832">
        <v>0</v>
      </c>
      <c r="O58" s="833">
        <v>0</v>
      </c>
      <c r="P58" s="832">
        <v>0</v>
      </c>
      <c r="Q58" s="832">
        <v>0</v>
      </c>
      <c r="R58" s="781">
        <v>0</v>
      </c>
      <c r="S58" s="830">
        <v>0</v>
      </c>
      <c r="T58" s="830">
        <v>0</v>
      </c>
      <c r="U58" s="834">
        <v>0</v>
      </c>
      <c r="V58" s="832">
        <v>0</v>
      </c>
      <c r="W58" s="831">
        <v>0</v>
      </c>
      <c r="X58" s="783">
        <v>0</v>
      </c>
      <c r="Y58" s="830">
        <v>0</v>
      </c>
      <c r="Z58" s="833">
        <v>0</v>
      </c>
      <c r="AA58" s="802">
        <v>0</v>
      </c>
      <c r="AB58" s="835">
        <v>0</v>
      </c>
      <c r="AC58" s="835">
        <v>0</v>
      </c>
      <c r="AD58" s="833">
        <v>0</v>
      </c>
      <c r="AE58" s="836">
        <v>0</v>
      </c>
      <c r="AF58" s="836">
        <v>0</v>
      </c>
      <c r="AG58" s="827">
        <f t="shared" si="1"/>
        <v>0</v>
      </c>
      <c r="AH58" s="827">
        <f t="shared" si="2"/>
        <v>0</v>
      </c>
      <c r="AI58" s="466">
        <f t="shared" si="3"/>
        <v>0</v>
      </c>
      <c r="AJ58" s="467" t="str">
        <f t="shared" si="4"/>
        <v xml:space="preserve"> </v>
      </c>
      <c r="AS58" s="139" t="s">
        <v>283</v>
      </c>
      <c r="AT58" s="139" t="s">
        <v>282</v>
      </c>
      <c r="DS58" s="648"/>
      <c r="DT58" s="648"/>
      <c r="DU58" s="667" t="s">
        <v>415</v>
      </c>
      <c r="DV58" s="667" t="s">
        <v>1188</v>
      </c>
      <c r="DW58" s="667" t="s">
        <v>1134</v>
      </c>
      <c r="DX58" s="667" t="s">
        <v>1134</v>
      </c>
      <c r="DY58" s="667" t="s">
        <v>1189</v>
      </c>
      <c r="DZ58" s="667" t="s">
        <v>1134</v>
      </c>
      <c r="EA58" s="667" t="s">
        <v>283</v>
      </c>
      <c r="EB58" s="667" t="s">
        <v>1135</v>
      </c>
      <c r="EC58" s="667" t="s">
        <v>1134</v>
      </c>
      <c r="ED58" s="667" t="s">
        <v>1136</v>
      </c>
    </row>
    <row r="59" spans="1:134" x14ac:dyDescent="0.2">
      <c r="A59" s="427" t="s">
        <v>138</v>
      </c>
      <c r="B59" s="632">
        <v>52</v>
      </c>
      <c r="C59" s="830">
        <v>0</v>
      </c>
      <c r="D59" s="830">
        <v>0</v>
      </c>
      <c r="E59" s="830">
        <v>0</v>
      </c>
      <c r="F59" s="866">
        <v>0</v>
      </c>
      <c r="G59" s="830">
        <v>0</v>
      </c>
      <c r="H59" s="830">
        <v>0</v>
      </c>
      <c r="I59" s="828">
        <f t="shared" si="0"/>
        <v>0</v>
      </c>
      <c r="J59" s="832">
        <v>0</v>
      </c>
      <c r="K59" s="832">
        <v>0</v>
      </c>
      <c r="L59" s="830">
        <v>0</v>
      </c>
      <c r="M59" s="802">
        <v>0</v>
      </c>
      <c r="N59" s="832">
        <v>0</v>
      </c>
      <c r="O59" s="833">
        <v>0</v>
      </c>
      <c r="P59" s="832">
        <v>0</v>
      </c>
      <c r="Q59" s="832">
        <v>0</v>
      </c>
      <c r="R59" s="781">
        <v>0</v>
      </c>
      <c r="S59" s="830">
        <v>0</v>
      </c>
      <c r="T59" s="830">
        <v>0</v>
      </c>
      <c r="U59" s="834">
        <v>0</v>
      </c>
      <c r="V59" s="832">
        <v>0</v>
      </c>
      <c r="W59" s="831">
        <v>0</v>
      </c>
      <c r="X59" s="783">
        <v>0</v>
      </c>
      <c r="Y59" s="830">
        <v>0</v>
      </c>
      <c r="Z59" s="833">
        <v>0</v>
      </c>
      <c r="AA59" s="802">
        <v>0</v>
      </c>
      <c r="AB59" s="835">
        <v>0</v>
      </c>
      <c r="AC59" s="835">
        <v>0</v>
      </c>
      <c r="AD59" s="833">
        <v>0</v>
      </c>
      <c r="AE59" s="836">
        <v>0</v>
      </c>
      <c r="AF59" s="836">
        <v>0</v>
      </c>
      <c r="AG59" s="827">
        <f t="shared" si="1"/>
        <v>0</v>
      </c>
      <c r="AH59" s="827">
        <f t="shared" si="2"/>
        <v>0</v>
      </c>
      <c r="AI59" s="466">
        <f t="shared" si="3"/>
        <v>0</v>
      </c>
      <c r="AJ59" s="467" t="str">
        <f t="shared" si="4"/>
        <v xml:space="preserve"> </v>
      </c>
      <c r="AS59" s="139" t="s">
        <v>285</v>
      </c>
      <c r="AT59" s="139" t="s">
        <v>284</v>
      </c>
      <c r="DS59" s="648"/>
      <c r="DT59" s="648"/>
      <c r="DU59" s="667" t="s">
        <v>415</v>
      </c>
      <c r="DV59" s="667" t="s">
        <v>1188</v>
      </c>
      <c r="DW59" s="667" t="s">
        <v>1134</v>
      </c>
      <c r="DX59" s="667" t="s">
        <v>1134</v>
      </c>
      <c r="DY59" s="667" t="s">
        <v>1189</v>
      </c>
      <c r="DZ59" s="667" t="s">
        <v>1134</v>
      </c>
      <c r="EA59" s="667" t="s">
        <v>285</v>
      </c>
      <c r="EB59" s="667" t="s">
        <v>1135</v>
      </c>
      <c r="EC59" s="667" t="s">
        <v>1134</v>
      </c>
      <c r="ED59" s="667" t="s">
        <v>1136</v>
      </c>
    </row>
    <row r="60" spans="1:134" x14ac:dyDescent="0.2">
      <c r="A60" s="427" t="s">
        <v>565</v>
      </c>
      <c r="B60" s="632">
        <v>53</v>
      </c>
      <c r="C60" s="830">
        <v>0</v>
      </c>
      <c r="D60" s="830">
        <v>0</v>
      </c>
      <c r="E60" s="830">
        <v>0</v>
      </c>
      <c r="F60" s="866">
        <v>0</v>
      </c>
      <c r="G60" s="830">
        <v>0</v>
      </c>
      <c r="H60" s="830">
        <v>0</v>
      </c>
      <c r="I60" s="828">
        <f t="shared" si="0"/>
        <v>0</v>
      </c>
      <c r="J60" s="832">
        <v>0</v>
      </c>
      <c r="K60" s="832">
        <v>0</v>
      </c>
      <c r="L60" s="830">
        <v>0</v>
      </c>
      <c r="M60" s="802">
        <v>0</v>
      </c>
      <c r="N60" s="832">
        <v>0</v>
      </c>
      <c r="O60" s="833">
        <v>0</v>
      </c>
      <c r="P60" s="832">
        <v>0</v>
      </c>
      <c r="Q60" s="832">
        <v>0</v>
      </c>
      <c r="R60" s="781">
        <v>0</v>
      </c>
      <c r="S60" s="830">
        <v>0</v>
      </c>
      <c r="T60" s="830">
        <v>0</v>
      </c>
      <c r="U60" s="834">
        <v>0</v>
      </c>
      <c r="V60" s="832">
        <v>0</v>
      </c>
      <c r="W60" s="831">
        <v>0</v>
      </c>
      <c r="X60" s="783">
        <v>0</v>
      </c>
      <c r="Y60" s="830">
        <v>0</v>
      </c>
      <c r="Z60" s="833">
        <v>0</v>
      </c>
      <c r="AA60" s="802">
        <v>0</v>
      </c>
      <c r="AB60" s="835">
        <v>0</v>
      </c>
      <c r="AC60" s="835">
        <v>0</v>
      </c>
      <c r="AD60" s="833">
        <v>0</v>
      </c>
      <c r="AE60" s="836">
        <v>0</v>
      </c>
      <c r="AF60" s="836">
        <v>0</v>
      </c>
      <c r="AG60" s="827">
        <f t="shared" si="1"/>
        <v>0</v>
      </c>
      <c r="AH60" s="827">
        <f t="shared" si="2"/>
        <v>0</v>
      </c>
      <c r="AI60" s="466">
        <f t="shared" si="3"/>
        <v>0</v>
      </c>
      <c r="AJ60" s="467" t="str">
        <f t="shared" si="4"/>
        <v xml:space="preserve"> </v>
      </c>
      <c r="AS60" s="139" t="s">
        <v>527</v>
      </c>
      <c r="AT60" s="139" t="s">
        <v>528</v>
      </c>
      <c r="DS60" s="648"/>
      <c r="DT60" s="648"/>
      <c r="DU60" s="667" t="s">
        <v>415</v>
      </c>
      <c r="DV60" s="667" t="s">
        <v>1188</v>
      </c>
      <c r="DW60" s="667" t="s">
        <v>1134</v>
      </c>
      <c r="DX60" s="667" t="s">
        <v>1134</v>
      </c>
      <c r="DY60" s="667" t="s">
        <v>1189</v>
      </c>
      <c r="DZ60" s="667" t="s">
        <v>1134</v>
      </c>
      <c r="EA60" s="667" t="s">
        <v>527</v>
      </c>
      <c r="EB60" s="667" t="s">
        <v>1135</v>
      </c>
      <c r="EC60" s="667" t="s">
        <v>1134</v>
      </c>
      <c r="ED60" s="667" t="s">
        <v>1136</v>
      </c>
    </row>
    <row r="61" spans="1:134" x14ac:dyDescent="0.2">
      <c r="A61" s="427" t="s">
        <v>67</v>
      </c>
      <c r="B61" s="632">
        <v>54</v>
      </c>
      <c r="C61" s="830">
        <v>500</v>
      </c>
      <c r="D61" s="830">
        <v>0</v>
      </c>
      <c r="E61" s="830">
        <v>0</v>
      </c>
      <c r="F61" s="866">
        <v>0</v>
      </c>
      <c r="G61" s="830">
        <v>0</v>
      </c>
      <c r="H61" s="830">
        <v>0</v>
      </c>
      <c r="I61" s="828">
        <f t="shared" si="0"/>
        <v>500</v>
      </c>
      <c r="J61" s="832">
        <v>0</v>
      </c>
      <c r="K61" s="832">
        <v>0</v>
      </c>
      <c r="L61" s="837">
        <v>0</v>
      </c>
      <c r="M61" s="802">
        <v>53</v>
      </c>
      <c r="N61" s="838">
        <v>0</v>
      </c>
      <c r="O61" s="833">
        <v>53</v>
      </c>
      <c r="P61" s="832">
        <v>0</v>
      </c>
      <c r="Q61" s="832">
        <v>0</v>
      </c>
      <c r="R61" s="781">
        <v>50</v>
      </c>
      <c r="S61" s="830">
        <v>0</v>
      </c>
      <c r="T61" s="830">
        <v>50</v>
      </c>
      <c r="U61" s="834">
        <v>0</v>
      </c>
      <c r="V61" s="832">
        <v>86</v>
      </c>
      <c r="W61" s="831">
        <v>0</v>
      </c>
      <c r="X61" s="783">
        <v>86</v>
      </c>
      <c r="Y61" s="830">
        <v>0</v>
      </c>
      <c r="Z61" s="833">
        <v>86</v>
      </c>
      <c r="AA61" s="802">
        <v>148</v>
      </c>
      <c r="AB61" s="835">
        <v>35</v>
      </c>
      <c r="AC61" s="835">
        <v>0</v>
      </c>
      <c r="AD61" s="833">
        <v>113</v>
      </c>
      <c r="AE61" s="836">
        <v>38</v>
      </c>
      <c r="AF61" s="836">
        <v>14</v>
      </c>
      <c r="AG61" s="827">
        <f t="shared" si="1"/>
        <v>389</v>
      </c>
      <c r="AH61" s="827">
        <f t="shared" si="2"/>
        <v>889</v>
      </c>
      <c r="AI61" s="466">
        <f t="shared" si="3"/>
        <v>0</v>
      </c>
      <c r="AJ61" s="467" t="str">
        <f t="shared" si="4"/>
        <v xml:space="preserve"> </v>
      </c>
      <c r="AS61" s="139" t="s">
        <v>287</v>
      </c>
      <c r="AT61" s="139" t="s">
        <v>286</v>
      </c>
      <c r="DS61" s="648"/>
      <c r="DT61" s="648"/>
      <c r="DU61" s="667" t="s">
        <v>415</v>
      </c>
      <c r="DV61" s="667" t="s">
        <v>1188</v>
      </c>
      <c r="DW61" s="667" t="s">
        <v>1134</v>
      </c>
      <c r="DX61" s="667" t="s">
        <v>1134</v>
      </c>
      <c r="DY61" s="667" t="s">
        <v>1189</v>
      </c>
      <c r="DZ61" s="667" t="s">
        <v>1134</v>
      </c>
      <c r="EA61" s="667" t="s">
        <v>287</v>
      </c>
      <c r="EB61" s="667" t="s">
        <v>1135</v>
      </c>
      <c r="EC61" s="667" t="s">
        <v>1134</v>
      </c>
      <c r="ED61" s="667" t="s">
        <v>1136</v>
      </c>
    </row>
    <row r="62" spans="1:134" x14ac:dyDescent="0.2">
      <c r="A62" s="427" t="s">
        <v>139</v>
      </c>
      <c r="B62" s="632">
        <v>55</v>
      </c>
      <c r="C62" s="830">
        <v>0</v>
      </c>
      <c r="D62" s="830">
        <v>0</v>
      </c>
      <c r="E62" s="830">
        <v>0</v>
      </c>
      <c r="F62" s="866">
        <v>0</v>
      </c>
      <c r="G62" s="830">
        <v>0</v>
      </c>
      <c r="H62" s="830">
        <v>0</v>
      </c>
      <c r="I62" s="828">
        <f t="shared" si="0"/>
        <v>0</v>
      </c>
      <c r="J62" s="832">
        <v>0</v>
      </c>
      <c r="K62" s="832">
        <v>0</v>
      </c>
      <c r="L62" s="837">
        <v>0</v>
      </c>
      <c r="M62" s="802">
        <v>0</v>
      </c>
      <c r="N62" s="838">
        <v>0</v>
      </c>
      <c r="O62" s="833">
        <v>0</v>
      </c>
      <c r="P62" s="832">
        <v>0</v>
      </c>
      <c r="Q62" s="832">
        <v>0</v>
      </c>
      <c r="R62" s="781">
        <v>0</v>
      </c>
      <c r="S62" s="830">
        <v>0</v>
      </c>
      <c r="T62" s="830">
        <v>0</v>
      </c>
      <c r="U62" s="834">
        <v>0</v>
      </c>
      <c r="V62" s="832">
        <v>0</v>
      </c>
      <c r="W62" s="831">
        <v>0</v>
      </c>
      <c r="X62" s="783">
        <v>0</v>
      </c>
      <c r="Y62" s="830">
        <v>0</v>
      </c>
      <c r="Z62" s="833">
        <v>0</v>
      </c>
      <c r="AA62" s="802">
        <v>0</v>
      </c>
      <c r="AB62" s="835">
        <v>0</v>
      </c>
      <c r="AC62" s="835">
        <v>0</v>
      </c>
      <c r="AD62" s="833">
        <v>0</v>
      </c>
      <c r="AE62" s="836">
        <v>0</v>
      </c>
      <c r="AF62" s="836">
        <v>0</v>
      </c>
      <c r="AG62" s="827">
        <f t="shared" si="1"/>
        <v>0</v>
      </c>
      <c r="AH62" s="827">
        <f t="shared" si="2"/>
        <v>0</v>
      </c>
      <c r="AI62" s="466">
        <f t="shared" si="3"/>
        <v>0</v>
      </c>
      <c r="AJ62" s="467" t="str">
        <f t="shared" si="4"/>
        <v xml:space="preserve"> </v>
      </c>
      <c r="AS62" s="139" t="s">
        <v>289</v>
      </c>
      <c r="AT62" s="139" t="s">
        <v>288</v>
      </c>
      <c r="DS62" s="648"/>
      <c r="DT62" s="648"/>
      <c r="DU62" s="667" t="s">
        <v>415</v>
      </c>
      <c r="DV62" s="667" t="s">
        <v>1188</v>
      </c>
      <c r="DW62" s="667" t="s">
        <v>1134</v>
      </c>
      <c r="DX62" s="667" t="s">
        <v>1134</v>
      </c>
      <c r="DY62" s="667" t="s">
        <v>1189</v>
      </c>
      <c r="DZ62" s="667" t="s">
        <v>1134</v>
      </c>
      <c r="EA62" s="667" t="s">
        <v>289</v>
      </c>
      <c r="EB62" s="667" t="s">
        <v>1135</v>
      </c>
      <c r="EC62" s="667" t="s">
        <v>1134</v>
      </c>
      <c r="ED62" s="667" t="s">
        <v>1136</v>
      </c>
    </row>
    <row r="63" spans="1:134" ht="13.5" thickBot="1" x14ac:dyDescent="0.25">
      <c r="A63" s="207" t="s">
        <v>95</v>
      </c>
      <c r="B63" s="632">
        <v>56</v>
      </c>
      <c r="C63" s="830">
        <v>0</v>
      </c>
      <c r="D63" s="830">
        <v>0</v>
      </c>
      <c r="E63" s="830">
        <v>0</v>
      </c>
      <c r="F63" s="866">
        <v>0</v>
      </c>
      <c r="G63" s="830">
        <v>0</v>
      </c>
      <c r="H63" s="830">
        <v>0</v>
      </c>
      <c r="I63" s="828">
        <f t="shared" si="0"/>
        <v>0</v>
      </c>
      <c r="J63" s="832">
        <v>0</v>
      </c>
      <c r="K63" s="832">
        <v>0</v>
      </c>
      <c r="L63" s="837">
        <v>0</v>
      </c>
      <c r="M63" s="802">
        <v>0</v>
      </c>
      <c r="N63" s="838">
        <v>0</v>
      </c>
      <c r="O63" s="833">
        <v>0</v>
      </c>
      <c r="P63" s="832">
        <v>0</v>
      </c>
      <c r="Q63" s="832">
        <v>0</v>
      </c>
      <c r="R63" s="781">
        <v>0</v>
      </c>
      <c r="S63" s="830">
        <v>0</v>
      </c>
      <c r="T63" s="830">
        <v>0</v>
      </c>
      <c r="U63" s="834">
        <v>0</v>
      </c>
      <c r="V63" s="832">
        <v>0</v>
      </c>
      <c r="W63" s="831">
        <v>0</v>
      </c>
      <c r="X63" s="869">
        <v>0</v>
      </c>
      <c r="Y63" s="830">
        <v>0</v>
      </c>
      <c r="Z63" s="833">
        <v>0</v>
      </c>
      <c r="AA63" s="867">
        <v>0</v>
      </c>
      <c r="AB63" s="835">
        <v>0</v>
      </c>
      <c r="AC63" s="835">
        <v>0</v>
      </c>
      <c r="AD63" s="833">
        <v>0</v>
      </c>
      <c r="AE63" s="836">
        <v>0</v>
      </c>
      <c r="AF63" s="836">
        <v>0</v>
      </c>
      <c r="AG63" s="827">
        <f t="shared" si="1"/>
        <v>0</v>
      </c>
      <c r="AH63" s="827">
        <f t="shared" si="2"/>
        <v>0</v>
      </c>
      <c r="AI63" s="466">
        <f t="shared" si="3"/>
        <v>0</v>
      </c>
      <c r="AJ63" s="467" t="str">
        <f t="shared" si="4"/>
        <v xml:space="preserve"> </v>
      </c>
      <c r="AS63" s="143" t="s">
        <v>609</v>
      </c>
      <c r="AT63" s="143" t="s">
        <v>588</v>
      </c>
      <c r="DS63" s="648"/>
      <c r="DT63" s="648"/>
      <c r="DU63" s="667" t="s">
        <v>415</v>
      </c>
      <c r="DV63" s="667" t="s">
        <v>1188</v>
      </c>
      <c r="DW63" s="667" t="s">
        <v>1134</v>
      </c>
      <c r="DX63" s="667" t="s">
        <v>1134</v>
      </c>
      <c r="DY63" s="667" t="s">
        <v>1189</v>
      </c>
      <c r="DZ63" s="667" t="s">
        <v>1134</v>
      </c>
      <c r="EA63" s="667" t="s">
        <v>1186</v>
      </c>
      <c r="EB63" s="667" t="s">
        <v>1135</v>
      </c>
      <c r="EC63" s="667" t="s">
        <v>1134</v>
      </c>
      <c r="ED63" s="667" t="s">
        <v>1136</v>
      </c>
    </row>
    <row r="64" spans="1:134" ht="14.25" thickBot="1" x14ac:dyDescent="0.25">
      <c r="A64" s="73" t="s">
        <v>142</v>
      </c>
      <c r="B64" s="158">
        <v>57</v>
      </c>
      <c r="C64" s="811">
        <f t="shared" ref="C64:H64" si="5">ROUND(SUM(C8:C63),3)</f>
        <v>1707</v>
      </c>
      <c r="D64" s="811">
        <f t="shared" si="5"/>
        <v>0</v>
      </c>
      <c r="E64" s="811">
        <f t="shared" si="5"/>
        <v>0</v>
      </c>
      <c r="F64" s="811">
        <f t="shared" si="5"/>
        <v>0</v>
      </c>
      <c r="G64" s="811">
        <f t="shared" si="5"/>
        <v>0</v>
      </c>
      <c r="H64" s="811">
        <f t="shared" si="5"/>
        <v>0</v>
      </c>
      <c r="I64" s="812">
        <f t="shared" si="0"/>
        <v>1707</v>
      </c>
      <c r="J64" s="813">
        <f t="shared" ref="J64:AF64" si="6">ROUND(SUM(J8:J63),3)</f>
        <v>0</v>
      </c>
      <c r="K64" s="811">
        <f t="shared" si="6"/>
        <v>0</v>
      </c>
      <c r="L64" s="812">
        <f t="shared" si="6"/>
        <v>0</v>
      </c>
      <c r="M64" s="870">
        <f t="shared" si="6"/>
        <v>156</v>
      </c>
      <c r="N64" s="811">
        <f t="shared" si="6"/>
        <v>0</v>
      </c>
      <c r="O64" s="812">
        <f t="shared" si="6"/>
        <v>156</v>
      </c>
      <c r="P64" s="814">
        <f t="shared" si="6"/>
        <v>0</v>
      </c>
      <c r="Q64" s="811">
        <f t="shared" si="6"/>
        <v>0</v>
      </c>
      <c r="R64" s="871">
        <f t="shared" si="6"/>
        <v>83</v>
      </c>
      <c r="S64" s="811">
        <f t="shared" si="6"/>
        <v>0</v>
      </c>
      <c r="T64" s="811">
        <f t="shared" si="6"/>
        <v>83</v>
      </c>
      <c r="U64" s="812">
        <f t="shared" si="6"/>
        <v>0</v>
      </c>
      <c r="V64" s="814">
        <f t="shared" si="6"/>
        <v>234</v>
      </c>
      <c r="W64" s="811">
        <f t="shared" si="6"/>
        <v>0</v>
      </c>
      <c r="X64" s="872">
        <f t="shared" si="6"/>
        <v>234</v>
      </c>
      <c r="Y64" s="811">
        <f t="shared" si="6"/>
        <v>0</v>
      </c>
      <c r="Z64" s="812">
        <f t="shared" si="6"/>
        <v>234</v>
      </c>
      <c r="AA64" s="870">
        <f t="shared" si="6"/>
        <v>304</v>
      </c>
      <c r="AB64" s="811">
        <f t="shared" si="6"/>
        <v>60</v>
      </c>
      <c r="AC64" s="811">
        <f t="shared" si="6"/>
        <v>0</v>
      </c>
      <c r="AD64" s="812">
        <f t="shared" si="6"/>
        <v>244</v>
      </c>
      <c r="AE64" s="811">
        <f t="shared" si="6"/>
        <v>38</v>
      </c>
      <c r="AF64" s="814">
        <f t="shared" si="6"/>
        <v>600</v>
      </c>
      <c r="AG64" s="811">
        <f t="shared" si="1"/>
        <v>1415</v>
      </c>
      <c r="AH64" s="816">
        <f t="shared" si="2"/>
        <v>3122</v>
      </c>
      <c r="AI64" s="466">
        <f t="shared" ref="AI64:AI66" si="7">IF(ROUND(I64-SUM(C64:F64,H64),3)=0,0,1)+IF(ROUND(AG64-SUM(J64:M64,P64:R64,U64,X64,AA64,AE64:AF64),3)=0,0,1)+IF(ROUND(AH64-SUM(AG64,I64),3)=0,0,1)</f>
        <v>0</v>
      </c>
      <c r="AJ64" s="467" t="str">
        <f t="shared" ref="AJ64" si="8">IF(AI64=0," ",IF(AI64=1,"A total is not equal to the sum of its components: ",AI64&amp;" totals are not equal to the sum of their components: "))&amp;IF(AI64=0,"",IF(I64-SUM(C64:F64,H64)=0,"","Total crude. ")&amp;IF(AG64-SUM(J64:M64,P64:R64,U64,X64,AA64,AE64:AF64)=0,"","Total products. ")&amp;IF(AH64-SUM(AG64,I64)=0,"","Total oil."))</f>
        <v xml:space="preserve"> </v>
      </c>
      <c r="AS64" s="143" t="s">
        <v>589</v>
      </c>
      <c r="AT64" s="144" t="s">
        <v>615</v>
      </c>
      <c r="DS64" s="648"/>
      <c r="DT64" s="648"/>
      <c r="DU64" s="667" t="s">
        <v>415</v>
      </c>
      <c r="DV64" s="667" t="s">
        <v>1188</v>
      </c>
      <c r="DW64" s="667" t="s">
        <v>1134</v>
      </c>
      <c r="DX64" s="667" t="s">
        <v>1134</v>
      </c>
      <c r="DY64" s="667" t="s">
        <v>1189</v>
      </c>
      <c r="DZ64" s="667" t="s">
        <v>1134</v>
      </c>
      <c r="EA64" s="667" t="s">
        <v>1177</v>
      </c>
      <c r="EB64" s="667" t="s">
        <v>1135</v>
      </c>
      <c r="EC64" s="667" t="s">
        <v>1134</v>
      </c>
      <c r="ED64" s="667" t="s">
        <v>1136</v>
      </c>
    </row>
    <row r="65" spans="1:46" s="211" customFormat="1" ht="13.5" thickBot="1" x14ac:dyDescent="0.25">
      <c r="A65" s="205"/>
      <c r="B65" s="204"/>
      <c r="C65" s="873"/>
      <c r="D65" s="873"/>
      <c r="E65" s="873"/>
      <c r="F65" s="873"/>
      <c r="G65" s="873"/>
      <c r="H65" s="873"/>
      <c r="I65" s="873"/>
      <c r="J65" s="873"/>
      <c r="K65" s="873"/>
      <c r="L65" s="873"/>
      <c r="M65" s="873"/>
      <c r="N65" s="873"/>
      <c r="O65" s="873"/>
      <c r="P65" s="873"/>
      <c r="Q65" s="873"/>
      <c r="R65" s="873"/>
      <c r="S65" s="873"/>
      <c r="T65" s="873"/>
      <c r="U65" s="873"/>
      <c r="V65" s="873"/>
      <c r="W65" s="873"/>
      <c r="X65" s="873"/>
      <c r="Y65" s="873"/>
      <c r="Z65" s="873"/>
      <c r="AA65" s="873"/>
      <c r="AB65" s="873"/>
      <c r="AC65" s="873"/>
      <c r="AD65" s="873"/>
      <c r="AE65" s="873"/>
      <c r="AF65" s="873"/>
      <c r="AG65" s="873"/>
      <c r="AH65" s="873"/>
      <c r="AI65" s="209"/>
      <c r="AJ65" s="210"/>
      <c r="AS65" s="212"/>
      <c r="AT65" s="213"/>
    </row>
    <row r="66" spans="1:46" ht="13.5" thickBot="1" x14ac:dyDescent="0.25">
      <c r="A66" s="73" t="str">
        <f>IF(EnCMember=1,"Total EnC Contracting Parties","Total EU MS")</f>
        <v>Total EU MS</v>
      </c>
      <c r="B66" s="158">
        <v>58</v>
      </c>
      <c r="C66" s="811">
        <f>ROUND(IF('Table 1'!$G$3&gt;1,IF(EnCMember=1,C8+C14+C47+C27+C37+C43+C44+C53+C60+C11+C13+C15+C20+C21+C22+C23+C24+C25+C26+C28+C29+C30+C32+C34+C38+C39+C40+C41+C45+C49+C50+C51+C54+C55+C56+C57+C61,C11+C13+C15+C20+C21+C22+C23+C24+C25+C26+C28+C29+C30+C32+C34+C38+C39+C40+C41+C45+C49+C50+C51+C54+C55+C56+C57+C61),IF(EnCMember=1,C8+C14+C47+C27+C37+C43+C44+C53+C60+C11+C13+C15+C20+C21+C22+C23+C24+C25+C26+C28+C29+C30+C32+C34+C38+C39+C40+C41+C45+C49+C50+C51+C54+C55+C56+C57,C11+C13+C15+C20+C21+C22+C23+C24+C25+C26+C28+C29+C30+C32+C34+C38+C39+C40+C41+C45+C49+C50+C51+C54+C55+C56+C57)),3)</f>
        <v>1207</v>
      </c>
      <c r="D66" s="811">
        <f>ROUND(IF('Table 1'!$G$3&gt;1,IF(EnCMember=1,D8+D14+D47+D27+D37+D43+D44+D53+D60+D11+D13+D15+D20+D21+D22+D23+D24+D25+D26+D28+D29+D30+D32+D34+D38+D39+D40+D41+D45+D49+D50+D51+D54+D55+D56+D57+D61,D11+D13+D15+D20+D21+D22+D23+D24+D25+D26+D28+D29+D30+D32+D34+D38+D39+D40+D41+D45+D49+D50+D51+D54+D55+D56+D57+D61),IF(EnCMember=1,D8+D14+D47+D27+D37+D43+D44+D53+D60+D11+D13+D15+D20+D21+D22+D23+D24+D25+D26+D28+D29+D30+D32+D34+D38+D39+D40+D41+D45+D49+D50+D51+D54+D55+D56+D57,D11+D13+D15+D20+D21+D22+D23+D24+D25+D26+D28+D29+D30+D32+D34+D38+D39+D40+D41+D45+D49+D50+D51+D54+D55+D56+D57)),3)</f>
        <v>0</v>
      </c>
      <c r="E66" s="811">
        <f>ROUND(IF('Table 1'!$G$3&gt;1,IF(EnCMember=1,E8+E14+E47+E27+E37+E43+E44+E53+E60+E11+E13+E15+E20+E21+E22+E23+E24+E25+E26+E28+E29+E30+E32+E34+E38+E39+E40+E41+E45+E49+E50+E51+E54+E55+E56+E57+E61,E11+E13+E15+E20+E21+E22+E23+E24+E25+E26+E28+E29+E30+E32+E34+E38+E39+E40+E41+E45+E49+E50+E51+E54+E55+E56+E57+E61),IF(EnCMember=1,E8+E14+E47+E27+E37+E43+E44+E53+E60+E11+E13+E15+E20+E21+E22+E23+E24+E25+E26+E28+E29+E30+E32+E34+E38+E39+E40+E41+E45+E49+E50+E51+E54+E55+E56+E57,E11+E13+E15+E20+E21+E22+E23+E24+E25+E26+E28+E29+E30+E32+E34+E38+E39+E40+E41+E45+E49+E50+E51+E54+E55+E56+E57)),3)</f>
        <v>0</v>
      </c>
      <c r="F66" s="811">
        <f>ROUND(IF('Table 1'!$G$3&gt;1,IF(EnCMember=1,F8+F14+F47+F27+F37+F43+F44+F53+F60+F11+F13+F15+F20+F21+F22+F23+F24+F25+F26+F28+F29+F30+F32+F34+F38+F39+F40+F41+F45+F49+F50+F51+F54+F55+F56+F57+F61,F11+F13+F15+F20+F21+F22+F23+F24+F25+F26+F28+F29+F30+F32+F34+F38+F39+F40+F41+F45+F49+F50+F51+F54+F55+F56+F57+F61),IF(EnCMember=1,F8+F14+F47+F27+F37+F43+F44+F53+F60+F11+F13+F15+F20+F21+F22+F23+F24+F25+F26+F28+F29+F30+F32+F34+F38+F39+F40+F41+F45+F49+F50+F51+F54+F55+F56+F57,F11+F13+F15+F20+F21+F22+F23+F24+F25+F26+F28+F29+F30+F32+F34+F38+F39+F40+F41+F45+F49+F50+F51+F54+F55+F56+F57)),3)</f>
        <v>0</v>
      </c>
      <c r="G66" s="811">
        <f>ROUND(IF('Table 1'!$G$3&gt;1,IF(EnCMember=1,G8+G14+G47+G27+G37+G43+G44+G53+G60+G11+G13+G15+G20+G21+G22+G23+G24+G25+G26+G28+G29+G30+G32+G34+G38+G39+G40+G41+G45+G49+G50+G51+G54+G55+G56+G57+G61,G11+G13+G15+G20+G21+G22+G23+G24+G25+G26+G28+G29+G30+G32+G34+G38+G39+G40+G41+G45+G49+G50+G51+G54+G55+G56+G57+G61),IF(EnCMember=1,G8+G14+G47+G27+G37+G43+G44+G53+G60+G11+G13+G15+G20+G21+G22+G23+G24+G25+G26+G28+G29+G30+G32+G34+G38+G39+G40+G41+G45+G49+G50+G51+G54+G55+G56+G57,G11+G13+G15+G20+G21+G22+G23+G24+G25+G26+G28+G29+G30+G32+G34+G38+G39+G40+G41+G45+G49+G50+G51+G54+G55+G56+G57)),3)</f>
        <v>0</v>
      </c>
      <c r="H66" s="811">
        <f>ROUND(IF('Table 1'!$G$3&gt;1,IF(EnCMember=1,H8+H14+H47+H27+H37+H43+H44+H53+H60+H11+H13+H15+H20+H21+H22+H23+H24+H25+H26+H28+H29+H30+H32+H34+H38+H39+H40+H41+H45+H49+H50+H51+H54+H55+H56+H57+H61,H11+H13+H15+H20+H21+H22+H23+H24+H25+H26+H28+H29+H30+H32+H34+H38+H39+H40+H41+H45+H49+H50+H51+H54+H55+H56+H57+H61),IF(EnCMember=1,H8+H14+H47+H27+H37+H43+H44+H53+H60+H11+H13+H15+H20+H21+H22+H23+H24+H25+H26+H28+H29+H30+H32+H34+H38+H39+H40+H41+H45+H49+H50+H51+H54+H55+H56+H57,H11+H13+H15+H20+H21+H22+H23+H24+H25+H26+H28+H29+H30+H32+H34+H38+H39+H40+H41+H45+H49+H50+H51+H54+H55+H56+H57)),3)</f>
        <v>0</v>
      </c>
      <c r="I66" s="812">
        <f>ROUND(IF('Table 1'!$G$3&gt;1,IF(EnCMember=1,I8+I14+I47+I27+I37+I43+I44+I53+I60+I11+I13+I15+I20+I21+I22+I23+I24+I25+I26+I28+I29+I30+I32+I34+I38+I39+I40+I41+I45+I49+I50+I51+I54+I55+I56+I57+I61,I11+I13+I15+I20+I21+I22+I23+I24+I25+I26+I28+I29+I30+I32+I34+I38+I39+I40+I41+I45+I49+I50+I51+I54+I55+I56+I57+I61),IF(EnCMember=1,I8+I14+I47+I27+I37+I43+I44+I53+I60+I11+I13+I15+I20+I21+I22+I23+I24+I25+I26+I28+I29+I30+I32+I34+I38+I39+I40+I41+I45+I49+I50+I51+I54+I55+I56+I57,I11+I13+I15+I20+I21+I22+I23+I24+I25+I26+I28+I29+I30+I32+I34+I38+I39+I40+I41+I45+I49+I50+I51+I54+I55+I56+I57)),3)</f>
        <v>1207</v>
      </c>
      <c r="J66" s="813">
        <f>ROUND(IF('Table 1'!$G$3&gt;1,IF(EnCMember=1,J8+J14+J47+J27+J37+J43+J44+J53+J60+J11+J13+J15+J20+J21+J22+J23+J24+J25+J26+J28+J29+J30+J32+J34+J38+J39+J40+J41+J45+J49+J50+J51+J54+J55+J56+J57+J61,J11+J13+J15+J20+J21+J22+J23+J24+J25+J26+J28+J29+J30+J32+J34+J38+J39+J40+J41+J45+J49+J50+J51+J54+J55+J56+J57+J61),IF(EnCMember=1,J8+J14+J47+J27+J37+J43+J44+J53+J60+J11+J13+J15+J20+J21+J22+J23+J24+J25+J26+J28+J29+J30+J32+J34+J38+J39+J40+J41+J45+J49+J50+J51+J54+J55+J56+J57,J11+J13+J15+J20+J21+J22+J23+J24+J25+J26+J28+J29+J30+J32+J34+J38+J39+J40+J41+J45+J49+J50+J51+J54+J55+J56+J57)),3)</f>
        <v>0</v>
      </c>
      <c r="K66" s="811">
        <f>ROUND(IF('Table 1'!$G$3&gt;1,IF(EnCMember=1,K8+K14+K47+K27+K37+K43+K44+K53+K60+K11+K13+K15+K20+K21+K22+K23+K24+K25+K26+K28+K29+K30+K32+K34+K38+K39+K40+K41+K45+K49+K50+K51+K54+K55+K56+K57+K61,K11+K13+K15+K20+K21+K22+K23+K24+K25+K26+K28+K29+K30+K32+K34+K38+K39+K40+K41+K45+K49+K50+K51+K54+K55+K56+K57+K61),IF(EnCMember=1,K8+K14+K47+K27+K37+K43+K44+K53+K60+K11+K13+K15+K20+K21+K22+K23+K24+K25+K26+K28+K29+K30+K32+K34+K38+K39+K40+K41+K45+K49+K50+K51+K54+K55+K56+K57,K11+K13+K15+K20+K21+K22+K23+K24+K25+K26+K28+K29+K30+K32+K34+K38+K39+K40+K41+K45+K49+K50+K51+K54+K55+K56+K57)),3)</f>
        <v>0</v>
      </c>
      <c r="L66" s="812">
        <f>ROUND(IF('Table 1'!$G$3&gt;1,IF(EnCMember=1,L8+L14+L47+L27+L37+L43+L44+L53+L60+L11+L13+L15+L20+L21+L22+L23+L24+L25+L26+L28+L29+L30+L32+L34+L38+L39+L40+L41+L45+L49+L50+L51+L54+L55+L56+L57+L61,L11+L13+L15+L20+L21+L22+L23+L24+L25+L26+L28+L29+L30+L32+L34+L38+L39+L40+L41+L45+L49+L50+L51+L54+L55+L56+L57+L61),IF(EnCMember=1,L8+L14+L47+L27+L37+L43+L44+L53+L60+L11+L13+L15+L20+L21+L22+L23+L24+L25+L26+L28+L29+L30+L32+L34+L38+L39+L40+L41+L45+L49+L50+L51+L54+L55+L56+L57,L11+L13+L15+L20+L21+L22+L23+L24+L25+L26+L28+L29+L30+L32+L34+L38+L39+L40+L41+L45+L49+L50+L51+L54+L55+L56+L57)),3)</f>
        <v>0</v>
      </c>
      <c r="M66" s="813">
        <f>ROUND(IF('Table 1'!$G$3&gt;1,IF(EnCMember=1,M8+M14+M47+M27+M37+M43+M44+M53+M60+M11+M13+M15+M20+M21+M22+M23+M24+M25+M26+M28+M29+M30+M32+M34+M38+M39+M40+M41+M45+M49+M50+M51+M54+M55+M56+M57+M61,M11+M13+M15+M20+M21+M22+M23+M24+M25+M26+M28+M29+M30+M32+M34+M38+M39+M40+M41+M45+M49+M50+M51+M54+M55+M56+M57+M61),IF(EnCMember=1,M8+M14+M47+M27+M37+M43+M44+M53+M60+M11+M13+M15+M20+M21+M22+M23+M24+M25+M26+M28+M29+M30+M32+M34+M38+M39+M40+M41+M45+M49+M50+M51+M54+M55+M56+M57,M11+M13+M15+M20+M21+M22+M23+M24+M25+M26+M28+M29+M30+M32+M34+M38+M39+M40+M41+M45+M49+M50+M51+M54+M55+M56+M57)),3)</f>
        <v>103</v>
      </c>
      <c r="N66" s="811">
        <f>ROUND(IF('Table 1'!$G$3&gt;1,IF(EnCMember=1,N8+N14+N47+N27+N37+N43+N44+N53+N60+N11+N13+N15+N20+N21+N22+N23+N24+N25+N26+N28+N29+N30+N32+N34+N38+N39+N40+N41+N45+N49+N50+N51+N54+N55+N56+N57+N61,N11+N13+N15+N20+N21+N22+N23+N24+N25+N26+N28+N29+N30+N32+N34+N38+N39+N40+N41+N45+N49+N50+N51+N54+N55+N56+N57+N61),IF(EnCMember=1,N8+N14+N47+N27+N37+N43+N44+N53+N60+N11+N13+N15+N20+N21+N22+N23+N24+N25+N26+N28+N29+N30+N32+N34+N38+N39+N40+N41+N45+N49+N50+N51+N54+N55+N56+N57,N11+N13+N15+N20+N21+N22+N23+N24+N25+N26+N28+N29+N30+N32+N34+N38+N39+N40+N41+N45+N49+N50+N51+N54+N55+N56+N57)),3)</f>
        <v>0</v>
      </c>
      <c r="O66" s="812">
        <f>ROUND(IF('Table 1'!$G$3&gt;1,IF(EnCMember=1,O8+O14+O47+O27+O37+O43+O44+O53+O60+O11+O13+O15+O20+O21+O22+O23+O24+O25+O26+O28+O29+O30+O32+O34+O38+O39+O40+O41+O45+O49+O50+O51+O54+O55+O56+O57+O61,O11+O13+O15+O20+O21+O22+O23+O24+O25+O26+O28+O29+O30+O32+O34+O38+O39+O40+O41+O45+O49+O50+O51+O54+O55+O56+O57+O61),IF(EnCMember=1,O8+O14+O47+O27+O37+O43+O44+O53+O60+O11+O13+O15+O20+O21+O22+O23+O24+O25+O26+O28+O29+O30+O32+O34+O38+O39+O40+O41+O45+O49+O50+O51+O54+O55+O56+O57,O11+O13+O15+O20+O21+O22+O23+O24+O25+O26+O28+O29+O30+O32+O34+O38+O39+O40+O41+O45+O49+O50+O51+O54+O55+O56+O57)),3)</f>
        <v>103</v>
      </c>
      <c r="P66" s="813">
        <f>ROUND(IF('Table 1'!$G$3&gt;1,IF(EnCMember=1,P8+P14+P47+P27+P37+P43+P44+P53+P60+P11+P13+P15+P20+P21+P22+P23+P24+P25+P26+P28+P29+P30+P32+P34+P38+P39+P40+P41+P45+P49+P50+P51+P54+P55+P56+P57+P61,P11+P13+P15+P20+P21+P22+P23+P24+P25+P26+P28+P29+P30+P32+P34+P38+P39+P40+P41+P45+P49+P50+P51+P54+P55+P56+P57+P61),IF(EnCMember=1,P8+P14+P47+P27+P37+P43+P44+P53+P60+P11+P13+P15+P20+P21+P22+P23+P24+P25+P26+P28+P29+P30+P32+P34+P38+P39+P40+P41+P45+P49+P50+P51+P54+P55+P56+P57,P11+P13+P15+P20+P21+P22+P23+P24+P25+P26+P28+P29+P30+P32+P34+P38+P39+P40+P41+P45+P49+P50+P51+P54+P55+P56+P57)),3)</f>
        <v>0</v>
      </c>
      <c r="Q66" s="811">
        <f>ROUND(IF('Table 1'!$G$3&gt;1,IF(EnCMember=1,Q8+Q14+Q47+Q27+Q37+Q43+Q44+Q53+Q60+Q11+Q13+Q15+Q20+Q21+Q22+Q23+Q24+Q25+Q26+Q28+Q29+Q30+Q32+Q34+Q38+Q39+Q40+Q41+Q45+Q49+Q50+Q51+Q54+Q55+Q56+Q57+Q61,Q11+Q13+Q15+Q20+Q21+Q22+Q23+Q24+Q25+Q26+Q28+Q29+Q30+Q32+Q34+Q38+Q39+Q40+Q41+Q45+Q49+Q50+Q51+Q54+Q55+Q56+Q57+Q61),IF(EnCMember=1,Q8+Q14+Q47+Q27+Q37+Q43+Q44+Q53+Q60+Q11+Q13+Q15+Q20+Q21+Q22+Q23+Q24+Q25+Q26+Q28+Q29+Q30+Q32+Q34+Q38+Q39+Q40+Q41+Q45+Q49+Q50+Q51+Q54+Q55+Q56+Q57,Q11+Q13+Q15+Q20+Q21+Q22+Q23+Q24+Q25+Q26+Q28+Q29+Q30+Q32+Q34+Q38+Q39+Q40+Q41+Q45+Q49+Q50+Q51+Q54+Q55+Q56+Q57)),3)</f>
        <v>0</v>
      </c>
      <c r="R66" s="811">
        <f>ROUND(IF('Table 1'!$G$3&gt;1,IF(EnCMember=1,R8+R14+R47+R27+R37+R43+R44+R53+R60+R11+R13+R15+R20+R21+R22+R23+R24+R25+R26+R28+R29+R30+R32+R34+R38+R39+R40+R41+R45+R49+R50+R51+R54+R55+R56+R57+R61,R11+R13+R15+R20+R21+R22+R23+R24+R25+R26+R28+R29+R30+R32+R34+R38+R39+R40+R41+R45+R49+R50+R51+R54+R55+R56+R57+R61),IF(EnCMember=1,R8+R14+R47+R27+R37+R43+R44+R53+R60+R11+R13+R15+R20+R21+R22+R23+R24+R25+R26+R28+R29+R30+R32+R34+R38+R39+R40+R41+R45+R49+R50+R51+R54+R55+R56+R57,R11+R13+R15+R20+R21+R22+R23+R24+R25+R26+R28+R29+R30+R32+R34+R38+R39+R40+R41+R45+R49+R50+R51+R54+R55+R56+R57)),3)</f>
        <v>33</v>
      </c>
      <c r="S66" s="811">
        <f>ROUND(IF('Table 1'!$G$3&gt;1,IF(EnCMember=1,S8+S14+S47+S27+S37+S43+S44+S53+S60+S11+S13+S15+S20+S21+S22+S23+S24+S25+S26+S28+S29+S30+S32+S34+S38+S39+S40+S41+S45+S49+S50+S51+S54+S55+S56+S57+S61,S11+S13+S15+S20+S21+S22+S23+S24+S25+S26+S28+S29+S30+S32+S34+S38+S39+S40+S41+S45+S49+S50+S51+S54+S55+S56+S57+S61),IF(EnCMember=1,S8+S14+S47+S27+S37+S43+S44+S53+S60+S11+S13+S15+S20+S21+S22+S23+S24+S25+S26+S28+S29+S30+S32+S34+S38+S39+S40+S41+S45+S49+S50+S51+S54+S55+S56+S57,S11+S13+S15+S20+S21+S22+S23+S24+S25+S26+S28+S29+S30+S32+S34+S38+S39+S40+S41+S45+S49+S50+S51+S54+S55+S56+S57)),3)</f>
        <v>0</v>
      </c>
      <c r="T66" s="811">
        <f>ROUND(IF('Table 1'!$G$3&gt;1,IF(EnCMember=1,T8+T14+T47+T27+T37+T43+T44+T53+T60+T11+T13+T15+T20+T21+T22+T23+T24+T25+T26+T28+T29+T30+T32+T34+T38+T39+T40+T41+T45+T49+T50+T51+T54+T55+T56+T57+T61,T11+T13+T15+T20+T21+T22+T23+T24+T25+T26+T28+T29+T30+T32+T34+T38+T39+T40+T41+T45+T49+T50+T51+T54+T55+T56+T57+T61),IF(EnCMember=1,T8+T14+T47+T27+T37+T43+T44+T53+T60+T11+T13+T15+T20+T21+T22+T23+T24+T25+T26+T28+T29+T30+T32+T34+T38+T39+T40+T41+T45+T49+T50+T51+T54+T55+T56+T57,T11+T13+T15+T20+T21+T22+T23+T24+T25+T26+T28+T29+T30+T32+T34+T38+T39+T40+T41+T45+T49+T50+T51+T54+T55+T56+T57)),3)</f>
        <v>33</v>
      </c>
      <c r="U66" s="812">
        <f>ROUND(IF('Table 1'!$G$3&gt;1,IF(EnCMember=1,U8+U14+U47+U27+U37+U43+U44+U53+U60+U11+U13+U15+U20+U21+U22+U23+U24+U25+U26+U28+U29+U30+U32+U34+U38+U39+U40+U41+U45+U49+U50+U51+U54+U55+U56+U57+U61,U11+U13+U15+U20+U21+U22+U23+U24+U25+U26+U28+U29+U30+U32+U34+U38+U39+U40+U41+U45+U49+U50+U51+U54+U55+U56+U57+U61),IF(EnCMember=1,U8+U14+U47+U27+U37+U43+U44+U53+U60+U11+U13+U15+U20+U21+U22+U23+U24+U25+U26+U28+U29+U30+U32+U34+U38+U39+U40+U41+U45+U49+U50+U51+U54+U55+U56+U57,U11+U13+U15+U20+U21+U22+U23+U24+U25+U26+U28+U29+U30+U32+U34+U38+U39+U40+U41+U45+U49+U50+U51+U54+U55+U56+U57)),3)</f>
        <v>0</v>
      </c>
      <c r="V66" s="813">
        <f>ROUND(IF('Table 1'!$G$3&gt;1,IF(EnCMember=1,V8+V14+V47+V27+V37+V43+V44+V53+V60+V11+V13+V15+V20+V21+V22+V23+V24+V25+V26+V28+V29+V30+V32+V34+V38+V39+V40+V41+V45+V49+V50+V51+V54+V55+V56+V57+V61,V11+V13+V15+V20+V21+V22+V23+V24+V25+V26+V28+V29+V30+V32+V34+V38+V39+V40+V41+V45+V49+V50+V51+V54+V55+V56+V57+V61),IF(EnCMember=1,V8+V14+V47+V27+V37+V43+V44+V53+V60+V11+V13+V15+V20+V21+V22+V23+V24+V25+V26+V28+V29+V30+V32+V34+V38+V39+V40+V41+V45+V49+V50+V51+V54+V55+V56+V57,V11+V13+V15+V20+V21+V22+V23+V24+V25+V26+V28+V29+V30+V32+V34+V38+V39+V40+V41+V45+V49+V50+V51+V54+V55+V56+V57)),3)</f>
        <v>148</v>
      </c>
      <c r="W66" s="811">
        <f>ROUND(IF('Table 1'!$G$3&gt;1,IF(EnCMember=1,W8+W14+W47+W27+W37+W43+W44+W53+W60+W11+W13+W15+W20+W21+W22+W23+W24+W25+W26+W28+W29+W30+W32+W34+W38+W39+W40+W41+W45+W49+W50+W51+W54+W55+W56+W57+W61,W11+W13+W15+W20+W21+W22+W23+W24+W25+W26+W28+W29+W30+W32+W34+W38+W39+W40+W41+W45+W49+W50+W51+W54+W55+W56+W57+W61),IF(EnCMember=1,W8+W14+W47+W27+W37+W43+W44+W53+W60+W11+W13+W15+W20+W21+W22+W23+W24+W25+W26+W28+W29+W30+W32+W34+W38+W39+W40+W41+W45+W49+W50+W51+W54+W55+W56+W57,W11+W13+W15+W20+W21+W22+W23+W24+W25+W26+W28+W29+W30+W32+W34+W38+W39+W40+W41+W45+W49+W50+W51+W54+W55+W56+W57)),3)</f>
        <v>0</v>
      </c>
      <c r="X66" s="811">
        <f>ROUND(IF('Table 1'!$G$3&gt;1,IF(EnCMember=1,X8+X14+X47+X27+X37+X43+X44+X53+X60+X11+X13+X15+X20+X21+X22+X23+X24+X25+X26+X28+X29+X30+X32+X34+X38+X39+X40+X41+X45+X49+X50+X51+X54+X55+X56+X57+X61,X11+X13+X15+X20+X21+X22+X23+X24+X25+X26+X28+X29+X30+X32+X34+X38+X39+X40+X41+X45+X49+X50+X51+X54+X55+X56+X57+X61),IF(EnCMember=1,X8+X14+X47+X27+X37+X43+X44+X53+X60+X11+X13+X15+X20+X21+X22+X23+X24+X25+X26+X28+X29+X30+X32+X34+X38+X39+X40+X41+X45+X49+X50+X51+X54+X55+X56+X57,X11+X13+X15+X20+X21+X22+X23+X24+X25+X26+X28+X29+X30+X32+X34+X38+X39+X40+X41+X45+X49+X50+X51+X54+X55+X56+X57)),3)</f>
        <v>148</v>
      </c>
      <c r="Y66" s="811">
        <f>ROUND(IF('Table 1'!$G$3&gt;1,IF(EnCMember=1,Y8+Y14+Y47+Y27+Y37+Y43+Y44+Y53+Y60+Y11+Y13+Y15+Y20+Y21+Y22+Y23+Y24+Y25+Y26+Y28+Y29+Y30+Y32+Y34+Y38+Y39+Y40+Y41+Y45+Y49+Y50+Y51+Y54+Y55+Y56+Y57+Y61,Y11+Y13+Y15+Y20+Y21+Y22+Y23+Y24+Y25+Y26+Y28+Y29+Y30+Y32+Y34+Y38+Y39+Y40+Y41+Y45+Y49+Y50+Y51+Y54+Y55+Y56+Y57+Y61),IF(EnCMember=1,Y8+Y14+Y47+Y27+Y37+Y43+Y44+Y53+Y60+Y11+Y13+Y15+Y20+Y21+Y22+Y23+Y24+Y25+Y26+Y28+Y29+Y30+Y32+Y34+Y38+Y39+Y40+Y41+Y45+Y49+Y50+Y51+Y54+Y55+Y56+Y57,Y11+Y13+Y15+Y20+Y21+Y22+Y23+Y24+Y25+Y26+Y28+Y29+Y30+Y32+Y34+Y38+Y39+Y40+Y41+Y45+Y49+Y50+Y51+Y54+Y55+Y56+Y57)),3)</f>
        <v>0</v>
      </c>
      <c r="Z66" s="812">
        <f>ROUND(IF('Table 1'!$G$3&gt;1,IF(EnCMember=1,Z8+Z14+Z47+Z27+Z37+Z43+Z44+Z53+Z60+Z11+Z13+Z15+Z20+Z21+Z22+Z23+Z24+Z25+Z26+Z28+Z29+Z30+Z32+Z34+Z38+Z39+Z40+Z41+Z45+Z49+Z50+Z51+Z54+Z55+Z56+Z57+Z61,Z11+Z13+Z15+Z20+Z21+Z22+Z23+Z24+Z25+Z26+Z28+Z29+Z30+Z32+Z34+Z38+Z39+Z40+Z41+Z45+Z49+Z50+Z51+Z54+Z55+Z56+Z57+Z61),IF(EnCMember=1,Z8+Z14+Z47+Z27+Z37+Z43+Z44+Z53+Z60+Z11+Z13+Z15+Z20+Z21+Z22+Z23+Z24+Z25+Z26+Z28+Z29+Z30+Z32+Z34+Z38+Z39+Z40+Z41+Z45+Z49+Z50+Z51+Z54+Z55+Z56+Z57,Z11+Z13+Z15+Z20+Z21+Z22+Z23+Z24+Z25+Z26+Z28+Z29+Z30+Z32+Z34+Z38+Z39+Z40+Z41+Z45+Z49+Z50+Z51+Z54+Z55+Z56+Z57)),3)</f>
        <v>148</v>
      </c>
      <c r="AA66" s="813">
        <f>ROUND(IF('Table 1'!$G$3&gt;1,IF(EnCMember=1,AA8+AA14+AA47+AA27+AA37+AA43+AA44+AA53+AA60+AA11+AA13+AA15+AA20+AA21+AA22+AA23+AA24+AA25+AA26+AA28+AA29+AA30+AA32+AA34+AA38+AA39+AA40+AA41+AA45+AA49+AA50+AA51+AA54+AA55+AA56+AA57+AA61,AA11+AA13+AA15+AA20+AA21+AA22+AA23+AA24+AA25+AA26+AA28+AA29+AA30+AA32+AA34+AA38+AA39+AA40+AA41+AA45+AA49+AA50+AA51+AA54+AA55+AA56+AA57+AA61),IF(EnCMember=1,AA8+AA14+AA47+AA27+AA37+AA43+AA44+AA53+AA60+AA11+AA13+AA15+AA20+AA21+AA22+AA23+AA24+AA25+AA26+AA28+AA29+AA30+AA32+AA34+AA38+AA39+AA40+AA41+AA45+AA49+AA50+AA51+AA54+AA55+AA56+AA57,AA11+AA13+AA15+AA20+AA21+AA22+AA23+AA24+AA25+AA26+AA28+AA29+AA30+AA32+AA34+AA38+AA39+AA40+AA41+AA45+AA49+AA50+AA51+AA54+AA55+AA56+AA57)),3)</f>
        <v>156</v>
      </c>
      <c r="AB66" s="811">
        <f>ROUND(IF('Table 1'!$G$3&gt;1,IF(EnCMember=1,AB8+AB14+AB47+AB27+AB37+AB43+AB44+AB53+AB60+AB11+AB13+AB15+AB20+AB21+AB22+AB23+AB24+AB25+AB26+AB28+AB29+AB30+AB32+AB34+AB38+AB39+AB40+AB41+AB45+AB49+AB50+AB51+AB54+AB55+AB56+AB57+AB61,AB11+AB13+AB15+AB20+AB21+AB22+AB23+AB24+AB25+AB26+AB28+AB29+AB30+AB32+AB34+AB38+AB39+AB40+AB41+AB45+AB49+AB50+AB51+AB54+AB55+AB56+AB57+AB61),IF(EnCMember=1,AB8+AB14+AB47+AB27+AB37+AB43+AB44+AB53+AB60+AB11+AB13+AB15+AB20+AB21+AB22+AB23+AB24+AB25+AB26+AB28+AB29+AB30+AB32+AB34+AB38+AB39+AB40+AB41+AB45+AB49+AB50+AB51+AB54+AB55+AB56+AB57,AB11+AB13+AB15+AB20+AB21+AB22+AB23+AB24+AB25+AB26+AB28+AB29+AB30+AB32+AB34+AB38+AB39+AB40+AB41+AB45+AB49+AB50+AB51+AB54+AB55+AB56+AB57)),3)</f>
        <v>25</v>
      </c>
      <c r="AC66" s="811">
        <f>ROUND(IF('Table 1'!$G$3&gt;1,IF(EnCMember=1,AC8+AC14+AC47+AC27+AC37+AC43+AC44+AC53+AC60+AC11+AC13+AC15+AC20+AC21+AC22+AC23+AC24+AC25+AC26+AC28+AC29+AC30+AC32+AC34+AC38+AC39+AC40+AC41+AC45+AC49+AC50+AC51+AC54+AC55+AC56+AC57+AC61,AC11+AC13+AC15+AC20+AC21+AC22+AC23+AC24+AC25+AC26+AC28+AC29+AC30+AC32+AC34+AC38+AC39+AC40+AC41+AC45+AC49+AC50+AC51+AC54+AC55+AC56+AC57+AC61),IF(EnCMember=1,AC8+AC14+AC47+AC27+AC37+AC43+AC44+AC53+AC60+AC11+AC13+AC15+AC20+AC21+AC22+AC23+AC24+AC25+AC26+AC28+AC29+AC30+AC32+AC34+AC38+AC39+AC40+AC41+AC45+AC49+AC50+AC51+AC54+AC55+AC56+AC57,AC11+AC13+AC15+AC20+AC21+AC22+AC23+AC24+AC25+AC26+AC28+AC29+AC30+AC32+AC34+AC38+AC39+AC40+AC41+AC45+AC49+AC50+AC51+AC54+AC55+AC56+AC57)),3)</f>
        <v>0</v>
      </c>
      <c r="AD66" s="812">
        <f>ROUND(IF('Table 1'!$G$3&gt;1,IF(EnCMember=1,AD8+AD14+AD47+AD27+AD37+AD43+AD44+AD53+AD60+AD11+AD13+AD15+AD20+AD21+AD22+AD23+AD24+AD25+AD26+AD28+AD29+AD30+AD32+AD34+AD38+AD39+AD40+AD41+AD45+AD49+AD50+AD51+AD54+AD55+AD56+AD57+AD61,AD11+AD13+AD15+AD20+AD21+AD22+AD23+AD24+AD25+AD26+AD28+AD29+AD30+AD32+AD34+AD38+AD39+AD40+AD41+AD45+AD49+AD50+AD51+AD54+AD55+AD56+AD57+AD61),IF(EnCMember=1,AD8+AD14+AD47+AD27+AD37+AD43+AD44+AD53+AD60+AD11+AD13+AD15+AD20+AD21+AD22+AD23+AD24+AD25+AD26+AD28+AD29+AD30+AD32+AD34+AD38+AD39+AD40+AD41+AD45+AD49+AD50+AD51+AD54+AD55+AD56+AD57,AD11+AD13+AD15+AD20+AD21+AD22+AD23+AD24+AD25+AD26+AD28+AD29+AD30+AD32+AD34+AD38+AD39+AD40+AD41+AD45+AD49+AD50+AD51+AD54+AD55+AD56+AD57)),3)</f>
        <v>131</v>
      </c>
      <c r="AE66" s="813">
        <f>ROUND(IF('Table 1'!$G$3&gt;1,IF(EnCMember=1,AE8+AE14+AE47+AE27+AE37+AE43+AE44+AE53+AE60+AE11+AE13+AE15+AE20+AE21+AE22+AE23+AE24+AE25+AE26+AE28+AE29+AE30+AE32+AE34+AE38+AE39+AE40+AE41+AE45+AE49+AE50+AE51+AE54+AE55+AE56+AE57+AE61,AE11+AE13+AE15+AE20+AE21+AE22+AE23+AE24+AE25+AE26+AE28+AE29+AE30+AE32+AE34+AE38+AE39+AE40+AE41+AE45+AE49+AE50+AE51+AE54+AE55+AE56+AE57+AE61),IF(EnCMember=1,AE8+AE14+AE47+AE27+AE37+AE43+AE44+AE53+AE60+AE11+AE13+AE15+AE20+AE21+AE22+AE23+AE24+AE25+AE26+AE28+AE29+AE30+AE32+AE34+AE38+AE39+AE40+AE41+AE45+AE49+AE50+AE51+AE54+AE55+AE56+AE57,AE11+AE13+AE15+AE20+AE21+AE22+AE23+AE24+AE25+AE26+AE28+AE29+AE30+AE32+AE34+AE38+AE39+AE40+AE41+AE45+AE49+AE50+AE51+AE54+AE55+AE56+AE57)),3)</f>
        <v>0</v>
      </c>
      <c r="AF66" s="811">
        <f>ROUND(IF('Table 1'!$G$3&gt;1,IF(EnCMember=1,AF8+AF14+AF47+AF27+AF37+AF43+AF44+AF53+AF60+AF11+AF13+AF15+AF20+AF21+AF22+AF23+AF24+AF25+AF26+AF28+AF29+AF30+AF32+AF34+AF38+AF39+AF40+AF41+AF45+AF49+AF50+AF51+AF54+AF55+AF56+AF57+AF61,AF11+AF13+AF15+AF20+AF21+AF22+AF23+AF24+AF25+AF26+AF28+AF29+AF30+AF32+AF34+AF38+AF39+AF40+AF41+AF45+AF49+AF50+AF51+AF54+AF55+AF56+AF57+AF61),IF(EnCMember=1,AF8+AF14+AF47+AF27+AF37+AF43+AF44+AF53+AF60+AF11+AF13+AF15+AF20+AF21+AF22+AF23+AF24+AF25+AF26+AF28+AF29+AF30+AF32+AF34+AF38+AF39+AF40+AF41+AF45+AF49+AF50+AF51+AF54+AF55+AF56+AF57,AF11+AF13+AF15+AF20+AF21+AF22+AF23+AF24+AF25+AF26+AF28+AF29+AF30+AF32+AF34+AF38+AF39+AF40+AF41+AF45+AF49+AF50+AF51+AF54+AF55+AF56+AF57)),3)</f>
        <v>586</v>
      </c>
      <c r="AG66" s="811">
        <f>ROUND(IF('Table 1'!$G$3&gt;1,IF(EnCMember=1,AG8+AG14+AG47+AG27+AG37+AG43+AG44+AG53+AG60+AG11+AG13+AG15+AG20+AG21+AG22+AG23+AG24+AG25+AG26+AG28+AG29+AG30+AG32+AG34+AG38+AG39+AG40+AG41+AG45+AG49+AG50+AG51+AG54+AG55+AG56+AG57+AG61,AG11+AG13+AG15+AG20+AG21+AG22+AG23+AG24+AG25+AG26+AG28+AG29+AG30+AG32+AG34+AG38+AG39+AG40+AG41+AG45+AG49+AG50+AG51+AG54+AG55+AG56+AG57+AG61),IF(EnCMember=1,AG8+AG14+AG47+AG27+AG37+AG43+AG44+AG53+AG60+AG11+AG13+AG15+AG20+AG21+AG22+AG23+AG24+AG25+AG26+AG28+AG29+AG30+AG32+AG34+AG38+AG39+AG40+AG41+AG45+AG49+AG50+AG51+AG54+AG55+AG56+AG57,AG11+AG13+AG15+AG20+AG21+AG22+AG23+AG24+AG25+AG26+AG28+AG29+AG30+AG32+AG34+AG38+AG39+AG40+AG41+AG45+AG49+AG50+AG51+AG54+AG55+AG56+AG57)),3)</f>
        <v>1026</v>
      </c>
      <c r="AH66" s="816">
        <f>ROUND(IF('Table 1'!$G$3&gt;1,IF(EnCMember=1,AH8+AH14+AH47+AH27+AH37+AH43+AH44+AH53+AH60+AH11+AH13+AH15+AH20+AH21+AH22+AH23+AH24+AH25+AH26+AH28+AH29+AH30+AH32+AH34+AH38+AH39+AH40+AH41+AH45+AH49+AH50+AH51+AH54+AH55+AH56+AH57+AH61,AH11+AH13+AH15+AH20+AH21+AH22+AH23+AH24+AH25+AH26+AH28+AH29+AH30+AH32+AH34+AH38+AH39+AH40+AH41+AH45+AH49+AH50+AH51+AH54+AH55+AH56+AH57+AH61),IF(EnCMember=1,AH8+AH14+AH47+AH27+AH37+AH43+AH44+AH53+AH60+AH11+AH13+AH15+AH20+AH21+AH22+AH23+AH24+AH25+AH26+AH28+AH29+AH30+AH32+AH34+AH38+AH39+AH40+AH41+AH45+AH49+AH50+AH51+AH54+AH55+AH56+AH57,AH11+AH13+AH15+AH20+AH21+AH22+AH23+AH24+AH25+AH26+AH28+AH29+AH30+AH32+AH34+AH38+AH39+AH40+AH41+AH45+AH49+AH50+AH51+AH54+AH55+AH56+AH57)),3)</f>
        <v>2233</v>
      </c>
      <c r="AI66" s="466">
        <f t="shared" si="7"/>
        <v>0</v>
      </c>
      <c r="AJ66" s="467" t="str">
        <f>IF(AI66=0," ",IF(AI66=1,"A total is not equal to the sum of its components: ",AI66&amp;" totals are not equal to the sum of their components: "))&amp;IF(AI66=0,"",IF(I66-SUM(C66:F66,H66)=0,"","Total crude. ")&amp;IF(AG66-SUM(J66:M66,P66:R66,U66,X66,AA66,AE66:AF66)=0,"","Total products. ")&amp;IF(AH66-SUM(AG66,I66)=0,"","Total oil."))</f>
        <v xml:space="preserve"> </v>
      </c>
      <c r="AS66" s="143" t="s">
        <v>898</v>
      </c>
      <c r="AT66" s="144" t="s">
        <v>681</v>
      </c>
    </row>
    <row r="67" spans="1:46" s="32" customFormat="1" ht="24" customHeight="1" x14ac:dyDescent="0.2">
      <c r="C67" s="1050" t="str">
        <f>IF(ROUND(SUM(C8:C63),3)&lt;&gt;C64,"Total not correct","")</f>
        <v/>
      </c>
      <c r="D67" s="1050" t="str">
        <f>IF(ROUND(SUM(D8:D63),3)&lt;&gt;D64,"Total not correct","")</f>
        <v/>
      </c>
      <c r="E67" s="1050" t="str">
        <f t="shared" ref="E67:AH67" si="9">IF(ROUND(SUM(E8:E63),3)&lt;&gt;E64,"Total not correct","")</f>
        <v/>
      </c>
      <c r="F67" s="1050" t="str">
        <f t="shared" si="9"/>
        <v/>
      </c>
      <c r="G67" s="1050" t="str">
        <f t="shared" si="9"/>
        <v/>
      </c>
      <c r="H67" s="1050" t="str">
        <f t="shared" si="9"/>
        <v/>
      </c>
      <c r="I67" s="1050" t="str">
        <f t="shared" si="9"/>
        <v/>
      </c>
      <c r="J67" s="1050" t="str">
        <f t="shared" si="9"/>
        <v/>
      </c>
      <c r="K67" s="1050" t="str">
        <f t="shared" si="9"/>
        <v/>
      </c>
      <c r="L67" s="1050" t="str">
        <f t="shared" si="9"/>
        <v/>
      </c>
      <c r="M67" s="1050" t="str">
        <f t="shared" si="9"/>
        <v/>
      </c>
      <c r="N67" s="1050" t="str">
        <f t="shared" si="9"/>
        <v/>
      </c>
      <c r="O67" s="1050" t="str">
        <f t="shared" si="9"/>
        <v/>
      </c>
      <c r="P67" s="1050" t="str">
        <f t="shared" si="9"/>
        <v/>
      </c>
      <c r="Q67" s="1050" t="str">
        <f t="shared" si="9"/>
        <v/>
      </c>
      <c r="R67" s="1050" t="str">
        <f t="shared" si="9"/>
        <v/>
      </c>
      <c r="S67" s="1050" t="str">
        <f t="shared" si="9"/>
        <v/>
      </c>
      <c r="T67" s="1050" t="str">
        <f t="shared" si="9"/>
        <v/>
      </c>
      <c r="U67" s="1050" t="str">
        <f t="shared" si="9"/>
        <v/>
      </c>
      <c r="V67" s="1050" t="str">
        <f t="shared" si="9"/>
        <v/>
      </c>
      <c r="W67" s="1050" t="str">
        <f t="shared" si="9"/>
        <v/>
      </c>
      <c r="X67" s="1050" t="str">
        <f t="shared" si="9"/>
        <v/>
      </c>
      <c r="Y67" s="1050" t="str">
        <f t="shared" si="9"/>
        <v/>
      </c>
      <c r="Z67" s="1050" t="str">
        <f t="shared" si="9"/>
        <v/>
      </c>
      <c r="AA67" s="1050" t="str">
        <f t="shared" si="9"/>
        <v/>
      </c>
      <c r="AB67" s="1050" t="str">
        <f t="shared" si="9"/>
        <v/>
      </c>
      <c r="AC67" s="1050"/>
      <c r="AD67" s="1050" t="str">
        <f t="shared" si="9"/>
        <v/>
      </c>
      <c r="AE67" s="1050" t="str">
        <f t="shared" si="9"/>
        <v/>
      </c>
      <c r="AF67" s="1050" t="str">
        <f t="shared" si="9"/>
        <v/>
      </c>
      <c r="AG67" s="1050" t="str">
        <f t="shared" si="9"/>
        <v/>
      </c>
      <c r="AH67" s="1050" t="str">
        <f t="shared" si="9"/>
        <v/>
      </c>
      <c r="AI67" s="157"/>
      <c r="AJ67" s="157"/>
    </row>
    <row r="68" spans="1:46" s="32" customFormat="1" x14ac:dyDescent="0.2">
      <c r="C68" s="1050" t="str">
        <f t="shared" ref="C68:AH68" si="10">IF(MIN(C8:C64,C66)&lt;0,"Negative number","")</f>
        <v/>
      </c>
      <c r="D68" s="1050" t="str">
        <f t="shared" si="10"/>
        <v/>
      </c>
      <c r="E68" s="1050" t="str">
        <f t="shared" si="10"/>
        <v/>
      </c>
      <c r="F68" s="1050" t="str">
        <f t="shared" si="10"/>
        <v/>
      </c>
      <c r="G68" s="1050" t="str">
        <f t="shared" si="10"/>
        <v/>
      </c>
      <c r="H68" s="1050" t="str">
        <f t="shared" si="10"/>
        <v/>
      </c>
      <c r="I68" s="1050" t="str">
        <f t="shared" si="10"/>
        <v/>
      </c>
      <c r="J68" s="1050" t="str">
        <f t="shared" si="10"/>
        <v/>
      </c>
      <c r="K68" s="1050" t="str">
        <f t="shared" si="10"/>
        <v/>
      </c>
      <c r="L68" s="1050" t="str">
        <f t="shared" si="10"/>
        <v/>
      </c>
      <c r="M68" s="1050" t="str">
        <f t="shared" si="10"/>
        <v/>
      </c>
      <c r="N68" s="1050" t="str">
        <f t="shared" si="10"/>
        <v/>
      </c>
      <c r="O68" s="1050" t="str">
        <f t="shared" si="10"/>
        <v/>
      </c>
      <c r="P68" s="1050" t="str">
        <f t="shared" si="10"/>
        <v/>
      </c>
      <c r="Q68" s="1050" t="str">
        <f t="shared" si="10"/>
        <v/>
      </c>
      <c r="R68" s="1050" t="str">
        <f t="shared" si="10"/>
        <v/>
      </c>
      <c r="S68" s="1050" t="str">
        <f t="shared" si="10"/>
        <v/>
      </c>
      <c r="T68" s="1050" t="str">
        <f t="shared" si="10"/>
        <v/>
      </c>
      <c r="U68" s="1050" t="str">
        <f t="shared" si="10"/>
        <v/>
      </c>
      <c r="V68" s="1050" t="str">
        <f t="shared" si="10"/>
        <v/>
      </c>
      <c r="W68" s="1050" t="str">
        <f t="shared" si="10"/>
        <v/>
      </c>
      <c r="X68" s="1050" t="str">
        <f t="shared" si="10"/>
        <v/>
      </c>
      <c r="Y68" s="1050" t="str">
        <f t="shared" si="10"/>
        <v/>
      </c>
      <c r="Z68" s="1050" t="str">
        <f t="shared" si="10"/>
        <v/>
      </c>
      <c r="AA68" s="1050" t="str">
        <f t="shared" si="10"/>
        <v/>
      </c>
      <c r="AB68" s="1050" t="str">
        <f t="shared" si="10"/>
        <v/>
      </c>
      <c r="AC68" s="1050"/>
      <c r="AD68" s="1050" t="str">
        <f t="shared" si="10"/>
        <v/>
      </c>
      <c r="AE68" s="1050" t="str">
        <f t="shared" si="10"/>
        <v/>
      </c>
      <c r="AF68" s="1050" t="str">
        <f t="shared" si="10"/>
        <v/>
      </c>
      <c r="AG68" s="1050" t="str">
        <f t="shared" si="10"/>
        <v/>
      </c>
      <c r="AH68" s="1050" t="str">
        <f t="shared" si="10"/>
        <v/>
      </c>
      <c r="AI68" s="157"/>
      <c r="AJ68" s="157"/>
    </row>
    <row r="69" spans="1:46" s="32" customFormat="1" ht="24" customHeight="1" x14ac:dyDescent="0.2">
      <c r="C69" s="1050" t="str">
        <f>IF(ROUND(IF('Table 1'!$G$3&gt;1,IF(EnCMember=1,C8+C14+C47+C27+C37+C43+C44+C53+C60,C11+C13+C15+C20+C21+C22+C23+C24+C25+C26+C28+C29+C30+C32+C34+C38+C39+C40+C41+C45+C49+C50+C51+C54+C55+C56+C57+C61),IF(EnCMember=1,C8+C14+C47+C27+C37+C43+C44+C53+C60,C11+C13+C15+C20+C21+C22+C23+C24+C25+C26+C28+C29+C30+C32+C34+C38+C39+C40+C41+C45+C49+C50+C51+C54+C55+C56+C57)),3)&lt;&gt;C66,"Total EU MS not correct","")</f>
        <v/>
      </c>
      <c r="D69" s="1050" t="str">
        <f>IF(ROUND(IF('Table 1'!$G$3&gt;1,IF(EnCMember=1,D8+D9+D12+D14+D47+D27+D37+D43+D44+D53+D60,D11+D13+D15+D20+D21+D22+D23+D24+D25+D26+D28+D29+D30+D32+D34+D38+D39+D40+D41+D45+D49+D50+D51+D54+D55+D56+D57+D61),IF(EnCMember=1,D8+D9+D12+D14+D47+D27+D37+D43+D44+D53+D60,D11+D13+D15+D20+D21+D22+D23+D24+D25+D26+D28+D29+D30+D32+D34+D38+D39+D40+D41+D45+D49+D50+D51+D54+D55+D56+D57)),3)&lt;&gt;D66,"Total EU MS not correct","")</f>
        <v/>
      </c>
      <c r="E69" s="1050" t="str">
        <f>IF(ROUND(IF('Table 1'!$G$3&gt;1,IF(EnCMember=1,E8+E9+E12+E14+E47+E27+E37+E43+E44+E53+E60,E11+E13+E15+E20+E21+E22+E23+E24+E25+E26+E28+E29+E30+E32+E34+E38+E39+E40+E41+E45+E49+E50+E51+E54+E55+E56+E57+E61),IF(EnCMember=1,E8+E9+E12+E14+E47+E27+E37+E43+E44+E53+E60,E11+E13+E15+E20+E21+E22+E23+E24+E25+E26+E28+E29+E30+E32+E34+E38+E39+E40+E41+E45+E49+E50+E51+E54+E55+E56+E57)),3)&lt;&gt;E66,"Total EU MS not correct","")</f>
        <v/>
      </c>
      <c r="F69" s="1050" t="str">
        <f>IF(ROUND(IF('Table 1'!$G$3&gt;1,IF(EnCMember=1,F8+F9+F12+F14+F47+F27+F37+F43+F44+F53+F60,F11+F13+F15+F20+F21+F22+F23+F24+F25+F26+F28+F29+F30+F32+F34+F38+F39+F40+F41+F45+F49+F50+F51+F54+F55+F56+F57+F61),IF(EnCMember=1,F8+F9+F12+F14+F47+F27+F37+F43+F44+F53+F60,F11+F13+F15+F20+F21+F22+F23+F24+F25+F26+F28+F29+F30+F32+F34+F38+F39+F40+F41+F45+F49+F50+F51+F54+F55+F56+F57)),3)&lt;&gt;F66,"Total EU MS not correct","")</f>
        <v/>
      </c>
      <c r="G69" s="1050" t="str">
        <f>IF(ROUND(IF('Table 1'!$G$3&gt;1,IF(EnCMember=1,G8+G9+G12+G14+G47+G27+G37+G43+G44+G53+G60,G11+G13+G15+G20+G21+G22+G23+G24+G25+G26+G28+G29+G30+G32+G34+G38+G39+G40+G41+G45+G49+G50+G51+G54+G55+G56+G57+G61),IF(EnCMember=1,G8+G9+G12+G14+G47+G27+G37+G43+G44+G53+G60,G11+G13+G15+G20+G21+G22+G23+G24+G25+G26+G28+G29+G30+G32+G34+G38+G39+G40+G41+G45+G49+G50+G51+G54+G55+G56+G57)),3)&lt;&gt;G66,"Total EU MS not correct","")</f>
        <v/>
      </c>
      <c r="H69" s="1050" t="str">
        <f>IF(ROUND(IF('Table 1'!$G$3&gt;1,IF(EnCMember=1,H8+H9+H12+H14+H47+H27+H37+H43+H44+H53+H60,H11+H13+H15+H20+H21+H22+H23+H24+H25+H26+H28+H29+H30+H32+H34+H38+H39+H40+H41+H45+H49+H50+H51+H54+H55+H56+H57+H61),IF(EnCMember=1,H8+H9+H12+H14+H47+H27+H37+H43+H44+H53+H60,H11+H13+H15+H20+H21+H22+H23+H24+H25+H26+H28+H29+H30+H32+H34+H38+H39+H40+H41+H45+H49+H50+H51+H54+H55+H56+H57)),3)&lt;&gt;H66,"Total EU MS not correct","")</f>
        <v/>
      </c>
      <c r="I69" s="1050" t="str">
        <f>IF(ROUND(IF('Table 1'!$G$3&gt;1,IF(EnCMember=1,I8+I9+I12+I14+I47+I27+I37+I43+I44+I53+I60,I11+I13+I15+I20+I21+I22+I23+I24+I25+I26+I28+I29+I30+I32+I34+I38+I39+I40+I41+I45+I49+I50+I51+I54+I55+I56+I57+I61),IF(EnCMember=1,I8+I9+I12+I14+I47+I27+I37+I43+I44+I53+I60,I11+I13+I15+I20+I21+I22+I23+I24+I25+I26+I28+I29+I30+I32+I34+I38+I39+I40+I41+I45+I49+I50+I51+I54+I55+I56+I57)),3)&lt;&gt;I66,"Total EU MS not correct","")</f>
        <v/>
      </c>
      <c r="J69" s="1050" t="str">
        <f>IF(ROUND(IF('Table 1'!$G$3&gt;1,IF(EnCMember=1,J8+J9+J12+J14+J47+J27+J37+J43+J44+J53+J60,J11+J13+J15+J20+J21+J22+J23+J24+J25+J26+J28+J29+J30+J32+J34+J38+J39+J40+J41+J45+J49+J50+J51+J54+J55+J56+J57+J61),IF(EnCMember=1,J8+J9+J12+J14+J47+J27+J37+J43+J44+J53+J60,J11+J13+J15+J20+J21+J22+J23+J24+J25+J26+J28+J29+J30+J32+J34+J38+J39+J40+J41+J45+J49+J50+J51+J54+J55+J56+J57)),3)&lt;&gt;J66,"Total EU MS not correct","")</f>
        <v/>
      </c>
      <c r="K69" s="1050" t="str">
        <f>IF(ROUND(IF('Table 1'!$G$3&gt;1,IF(EnCMember=1,K8+K9+K12+K14+K47+K27+K37+K43+K44+K53+K60,K11+K13+K15+K20+K21+K22+K23+K24+K25+K26+K28+K29+K30+K32+K34+K38+K39+K40+K41+K45+K49+K50+K51+K54+K55+K56+K57+K61),IF(EnCMember=1,K8+K9+K12+K14+K47+K27+K37+K43+K44+K53+K60,K11+K13+K15+K20+K21+K22+K23+K24+K25+K26+K28+K29+K30+K32+K34+K38+K39+K40+K41+K45+K49+K50+K51+K54+K55+K56+K57)),3)&lt;&gt;K66,"Total EU MS not correct","")</f>
        <v/>
      </c>
      <c r="L69" s="1050" t="str">
        <f>IF(ROUND(IF('Table 1'!$G$3&gt;1,IF(EnCMember=1,L8+L9+L12+L14+L47+L27+L37+L43+L44+L53+L60,L11+L13+L15+L20+L21+L22+L23+L24+L25+L26+L28+L29+L30+L32+L34+L38+L39+L40+L41+L45+L49+L50+L51+L54+L55+L56+L57+L61),IF(EnCMember=1,L8+L9+L12+L14+L47+L27+L37+L43+L44+L53+L60,L11+L13+L15+L20+L21+L22+L23+L24+L25+L26+L28+L29+L30+L32+L34+L38+L39+L40+L41+L45+L49+L50+L51+L54+L55+L56+L57)),3)&lt;&gt;L66,"Total EU MS not correct","")</f>
        <v/>
      </c>
      <c r="M69" s="1050" t="str">
        <f>IF(ROUND(IF('Table 1'!$G$3&gt;1,IF(EnCMember=1,M8+M9+M12+M14+M47+M27+M37+M43+M44+M53+M60,M11+M13+M15+M20+M21+M22+M23+M24+M25+M26+M28+M29+M30+M32+M34+M38+M39+M40+M41+M45+M49+M50+M51+M54+M55+M56+M57+M61),IF(EnCMember=1,M8+M9+M12+M14+M47+M27+M37+M43+M44+M53+M60,M11+M13+M15+M20+M21+M22+M23+M24+M25+M26+M28+M29+M30+M32+M34+M38+M39+M40+M41+M45+M49+M50+M51+M54+M55+M56+M57)),3)&lt;&gt;M66,"Total EU MS not correct","")</f>
        <v/>
      </c>
      <c r="N69" s="1050" t="str">
        <f>IF(ROUND(IF('Table 1'!$G$3&gt;1,IF(EnCMember=1,N8+N9+N12+N14+N47+N27+N37+N43+N44+N53+N60,N11+N13+N15+N20+N21+N22+N23+N24+N25+N26+N28+N29+N30+N32+N34+N38+N39+N40+N41+N45+N49+N50+N51+N54+N55+N56+N57+N61),IF(EnCMember=1,N8+N9+N12+N14+N47+N27+N37+N43+N44+N53+N60,N11+N13+N15+N20+N21+N22+N23+N24+N25+N26+N28+N29+N30+N32+N34+N38+N39+N40+N41+N45+N49+N50+N51+N54+N55+N56+N57)),3)&lt;&gt;N66,"Total EU MS not correct","")</f>
        <v/>
      </c>
      <c r="O69" s="1050" t="str">
        <f>IF(ROUND(IF('Table 1'!$G$3&gt;1,IF(EnCMember=1,O8+O9+O12+O14+O47+O27+O37+O43+O44+O53+O60,O11+O13+O15+O20+O21+O22+O23+O24+O25+O26+O28+O29+O30+O32+O34+O38+O39+O40+O41+O45+O49+O50+O51+O54+O55+O56+O57+O61),IF(EnCMember=1,O8+O9+O12+O14+O47+O27+O37+O43+O44+O53+O60,O11+O13+O15+O20+O21+O22+O23+O24+O25+O26+O28+O29+O30+O32+O34+O38+O39+O40+O41+O45+O49+O50+O51+O54+O55+O56+O57)),3)&lt;&gt;O66,"Total EU MS not correct","")</f>
        <v/>
      </c>
      <c r="P69" s="1050" t="str">
        <f>IF(ROUND(IF('Table 1'!$G$3&gt;1,IF(EnCMember=1,P8+P9+P12+P14+P47+P27+P37+P43+P44+P53+P60,P11+P13+P15+P20+P21+P22+P23+P24+P25+P26+P28+P29+P30+P32+P34+P38+P39+P40+P41+P45+P49+P50+P51+P54+P55+P56+P57+P61),IF(EnCMember=1,P8+P9+P12+P14+P47+P27+P37+P43+P44+P53+P60,P11+P13+P15+P20+P21+P22+P23+P24+P25+P26+P28+P29+P30+P32+P34+P38+P39+P40+P41+P45+P49+P50+P51+P54+P55+P56+P57)),3)&lt;&gt;P66,"Total EU MS not correct","")</f>
        <v/>
      </c>
      <c r="Q69" s="1050" t="str">
        <f>IF(ROUND(IF('Table 1'!$G$3&gt;1,IF(EnCMember=1,Q8+Q9+Q12+Q14+Q47+Q27+Q37+Q43+Q44+Q53+Q60,Q11+Q13+Q15+Q20+Q21+Q22+Q23+Q24+Q25+Q26+Q28+Q29+Q30+Q32+Q34+Q38+Q39+Q40+Q41+Q45+Q49+Q50+Q51+Q54+Q55+Q56+Q57+Q61),IF(EnCMember=1,Q8+Q9+Q12+Q14+Q47+Q27+Q37+Q43+Q44+Q53+Q60,Q11+Q13+Q15+Q20+Q21+Q22+Q23+Q24+Q25+Q26+Q28+Q29+Q30+Q32+Q34+Q38+Q39+Q40+Q41+Q45+Q49+Q50+Q51+Q54+Q55+Q56+Q57)),3)&lt;&gt;Q66,"Total EU MS not correct","")</f>
        <v/>
      </c>
      <c r="R69" s="1050" t="str">
        <f>IF(ROUND(IF('Table 1'!$G$3&gt;1,IF(EnCMember=1,R8+R9+R12+R14+R47+R27+R37+R43+R44+R53+R60,R11+R13+R15+R20+R21+R22+R23+R24+R25+R26+R28+R29+R30+R32+R34+R38+R39+R40+R41+R45+R49+R50+R51+R54+R55+R56+R57+R61),IF(EnCMember=1,R8+R9+R12+R14+R47+R27+R37+R43+R44+R53+R60,R11+R13+R15+R20+R21+R22+R23+R24+R25+R26+R28+R29+R30+R32+R34+R38+R39+R40+R41+R45+R49+R50+R51+R54+R55+R56+R57)),3)&lt;&gt;R66,"Total EU MS not correct","")</f>
        <v/>
      </c>
      <c r="S69" s="1050" t="str">
        <f>IF(ROUND(IF('Table 1'!$G$3&gt;1,IF(EnCMember=1,S8+S9+S12+S14+S47+S27+S37+S43+S44+S53+S60,S11+S13+S15+S20+S21+S22+S23+S24+S25+S26+S28+S29+S30+S32+S34+S38+S39+S40+S41+S45+S49+S50+S51+S54+S55+S56+S57+S61),IF(EnCMember=1,S8+S9+S12+S14+S47+S27+S37+S43+S44+S53+S60,S11+S13+S15+S20+S21+S22+S23+S24+S25+S26+S28+S29+S30+S32+S34+S38+S39+S40+S41+S45+S49+S50+S51+S54+S55+S56+S57)),3)&lt;&gt;S66,"Total EU MS not correct","")</f>
        <v/>
      </c>
      <c r="T69" s="1050" t="str">
        <f>IF(ROUND(IF('Table 1'!$G$3&gt;1,IF(EnCMember=1,T8+T9+T12+T14+T47+T27+T37+T43+T44+T53+T60,T11+T13+T15+T20+T21+T22+T23+T24+T25+T26+T28+T29+T30+T32+T34+T38+T39+T40+T41+T45+T49+T50+T51+T54+T55+T56+T57+T61),IF(EnCMember=1,T8+T9+T12+T14+T47+T27+T37+T43+T44+T53+T60,T11+T13+T15+T20+T21+T22+T23+T24+T25+T26+T28+T29+T30+T32+T34+T38+T39+T40+T41+T45+T49+T50+T51+T54+T55+T56+T57)),3)&lt;&gt;T66,"Total EU MS not correct","")</f>
        <v/>
      </c>
      <c r="U69" s="1050" t="str">
        <f>IF(ROUND(IF('Table 1'!$G$3&gt;1,IF(EnCMember=1,U8+U9+U12+U14+U47+U27+U37+U43+U44+U53+U60,U11+U13+U15+U20+U21+U22+U23+U24+U25+U26+U28+U29+U30+U32+U34+U38+U39+U40+U41+U45+U49+U50+U51+U54+U55+U56+U57+U61),IF(EnCMember=1,U8+U9+U12+U14+U47+U27+U37+U43+U44+U53+U60,U11+U13+U15+U20+U21+U22+U23+U24+U25+U26+U28+U29+U30+U32+U34+U38+U39+U40+U41+U45+U49+U50+U51+U54+U55+U56+U57)),3)&lt;&gt;U66,"Total EU MS not correct","")</f>
        <v/>
      </c>
      <c r="V69" s="1050" t="str">
        <f>IF(ROUND(IF('Table 1'!$G$3&gt;1,IF(EnCMember=1,V8+V9+V12+V14+V47+V27+V37+V43+V44+V53+V60,V11+V13+V15+V20+V21+V22+V23+V24+V25+V26+V28+V29+V30+V32+V34+V38+V39+V40+V41+V45+V49+V50+V51+V54+V55+V56+V57+V61),IF(EnCMember=1,V8+V9+V12+V14+V47+V27+V37+V43+V44+V53+V60,V11+V13+V15+V20+V21+V22+V23+V24+V25+V26+V28+V29+V30+V32+V34+V38+V39+V40+V41+V45+V49+V50+V51+V54+V55+V56+V57)),3)&lt;&gt;V66,"Total EU MS not correct","")</f>
        <v/>
      </c>
      <c r="W69" s="1050" t="str">
        <f>IF(ROUND(IF('Table 1'!$G$3&gt;1,IF(EnCMember=1,W8+W9+W12+W14+W47+W27+W37+W43+W44+W53+W60,W11+W13+W15+W20+W21+W22+W23+W24+W25+W26+W28+W29+W30+W32+W34+W38+W39+W40+W41+W45+W49+W50+W51+W54+W55+W56+W57+W61),IF(EnCMember=1,W8+W9+W12+W14+W47+W27+W37+W43+W44+W53+W60,W11+W13+W15+W20+W21+W22+W23+W24+W25+W26+W28+W29+W30+W32+W34+W38+W39+W40+W41+W45+W49+W50+W51+W54+W55+W56+W57)),3)&lt;&gt;W66,"Total EU MS not correct","")</f>
        <v/>
      </c>
      <c r="X69" s="1050" t="str">
        <f>IF(ROUND(IF('Table 1'!$G$3&gt;1,IF(EnCMember=1,X8+X9+X12+X14+X47+X27+X37+X43+X44+X53+X60,X11+X13+X15+X20+X21+X22+X23+X24+X25+X26+X28+X29+X30+X32+X34+X38+X39+X40+X41+X45+X49+X50+X51+X54+X55+X56+X57+X61),IF(EnCMember=1,X8+X9+X12+X14+X47+X27+X37+X43+X44+X53+X60,X11+X13+X15+X20+X21+X22+X23+X24+X25+X26+X28+X29+X30+X32+X34+X38+X39+X40+X41+X45+X49+X50+X51+X54+X55+X56+X57)),3)&lt;&gt;X66,"Total EU MS not correct","")</f>
        <v/>
      </c>
      <c r="Y69" s="1050" t="str">
        <f>IF(ROUND(IF('Table 1'!$G$3&gt;1,IF(EnCMember=1,Y8+Y9+Y12+Y14+Y47+Y27+Y37+Y43+Y44+Y53+Y60,Y11+Y13+Y15+Y20+Y21+Y22+Y23+Y24+Y25+Y26+Y28+Y29+Y30+Y32+Y34+Y38+Y39+Y40+Y41+Y45+Y49+Y50+Y51+Y54+Y55+Y56+Y57+Y61),IF(EnCMember=1,Y8+Y9+Y12+Y14+Y47+Y27+Y37+Y43+Y44+Y53+Y60,Y11+Y13+Y15+Y20+Y21+Y22+Y23+Y24+Y25+Y26+Y28+Y29+Y30+Y32+Y34+Y38+Y39+Y40+Y41+Y45+Y49+Y50+Y51+Y54+Y55+Y56+Y57)),3)&lt;&gt;Y66,"Total EU MS not correct","")</f>
        <v/>
      </c>
      <c r="Z69" s="1050" t="str">
        <f>IF(ROUND(IF('Table 1'!$G$3&gt;1,IF(EnCMember=1,Z8+Z9+Z12+Z14+Z47+Z27+Z37+Z43+Z44+Z53+Z60,Z11+Z13+Z15+Z20+Z21+Z22+Z23+Z24+Z25+Z26+Z28+Z29+Z30+Z32+Z34+Z38+Z39+Z40+Z41+Z45+Z49+Z50+Z51+Z54+Z55+Z56+Z57+Z61),IF(EnCMember=1,Z8+Z9+Z12+Z14+Z47+Z27+Z37+Z43+Z44+Z53+Z60,Z11+Z13+Z15+Z20+Z21+Z22+Z23+Z24+Z25+Z26+Z28+Z29+Z30+Z32+Z34+Z38+Z39+Z40+Z41+Z45+Z49+Z50+Z51+Z54+Z55+Z56+Z57)),3)&lt;&gt;Z66,"Total EU MS not correct","")</f>
        <v/>
      </c>
      <c r="AA69" s="1050" t="str">
        <f>IF(ROUND(IF('Table 1'!$G$3&gt;1,IF(EnCMember=1,AA8+AA9+AA12+AA14+AA47+AA27+AA37+AA43+AA44+AA53+AA60,AA11+AA13+AA15+AA20+AA21+AA22+AA23+AA24+AA25+AA26+AA28+AA29+AA30+AA32+AA34+AA38+AA39+AA40+AA41+AA45+AA49+AA50+AA51+AA54+AA55+AA56+AA57+AA61),IF(EnCMember=1,AA8+AA9+AA12+AA14+AA47+AA27+AA37+AA43+AA44+AA53+AA60,AA11+AA13+AA15+AA20+AA21+AA22+AA23+AA24+AA25+AA26+AA28+AA29+AA30+AA32+AA34+AA38+AA39+AA40+AA41+AA45+AA49+AA50+AA51+AA54+AA55+AA56+AA57)),3)&lt;&gt;AA66,"Total EU MS not correct","")</f>
        <v/>
      </c>
      <c r="AB69" s="1050" t="str">
        <f>IF(ROUND(IF('Table 1'!$G$3&gt;1,IF(EnCMember=1,AB8+AB9+AB12+AB14+AB47+AB27+AB37+AB43+AB44+AB53+AB60,AB11+AB13+AB15+AB20+AB21+AB22+AB23+AB24+AB25+AB26+AB28+AB29+AB30+AB32+AB34+AB38+AB39+AB40+AB41+AB45+AB49+AB50+AB51+AB54+AB55+AB56+AB57+AB61),IF(EnCMember=1,AB8+AB9+AB12+AB14+AB47+AB27+AB37+AB43+AB44+AB53+AB60,AB11+AB13+AB15+AB20+AB21+AB22+AB23+AB24+AB25+AB26+AB28+AB29+AB30+AB32+AB34+AB38+AB39+AB40+AB41+AB45+AB49+AB50+AB51+AB54+AB55+AB56+AB57)),3)&lt;&gt;AB66,"Total EU MS not correct","")</f>
        <v/>
      </c>
      <c r="AC69" s="1050"/>
      <c r="AD69" s="1050" t="str">
        <f>IF(ROUND(IF('Table 1'!$G$3&gt;1,IF(EnCMember=1,AD8+AD9+AD12+AD14+AD47+AD27+AD37+AD43+AD44+AD53+AD60,AD11+AD13+AD15+AD20+AD21+AD22+AD23+AD24+AD25+AD26+AD28+AD29+AD30+AD32+AD34+AD38+AD39+AD40+AD41+AD45+AD49+AD50+AD51+AD54+AD55+AD56+AD57+AD61),IF(EnCMember=1,AD8+AD9+AD12+AD14+AD47+AD27+AD37+AD43+AD44+AD53+AD60,AD11+AD13+AD15+AD20+AD21+AD22+AD23+AD24+AD25+AD26+AD28+AD29+AD30+AD32+AD34+AD38+AD39+AD40+AD41+AD45+AD49+AD50+AD51+AD54+AD55+AD56+AD57)),3)&lt;&gt;AD66,"Total EU MS not correct","")</f>
        <v/>
      </c>
      <c r="AE69" s="1050" t="str">
        <f>IF(ROUND(IF('Table 1'!$G$3&gt;1,IF(EnCMember=1,AE8+AE9+AE12+AE14+AE47+AE27+AE37+AE43+AE44+AE53+AE60,AE11+AE13+AE15+AE20+AE21+AE22+AE23+AE24+AE25+AE26+AE28+AE29+AE30+AE32+AE34+AE38+AE39+AE40+AE41+AE45+AE49+AE50+AE51+AE54+AE55+AE56+AE57+AE61),IF(EnCMember=1,AE8+AE9+AE12+AE14+AE47+AE27+AE37+AE43+AE44+AE53+AE60,AE11+AE13+AE15+AE20+AE21+AE22+AE23+AE24+AE25+AE26+AE28+AE29+AE30+AE32+AE34+AE38+AE39+AE40+AE41+AE45+AE49+AE50+AE51+AE54+AE55+AE56+AE57)),3)&lt;&gt;AE66,"Total EU MS not correct","")</f>
        <v/>
      </c>
      <c r="AF69" s="1050" t="str">
        <f>IF(ROUND(IF('Table 1'!$G$3&gt;1,IF(EnCMember=1,AF8+AF9+AF12+AF14+AF47+AF27+AF37+AF43+AF44+AF53+AF60,AF11+AF13+AF15+AF20+AF21+AF22+AF23+AF24+AF25+AF26+AF28+AF29+AF30+AF32+AF34+AF38+AF39+AF40+AF41+AF45+AF49+AF50+AF51+AF54+AF55+AF56+AF57+AF61),IF(EnCMember=1,AF8+AF9+AF12+AF14+AF47+AF27+AF37+AF43+AF44+AF53+AF60,AF11+AF13+AF15+AF20+AF21+AF22+AF23+AF24+AF25+AF26+AF28+AF29+AF30+AF32+AF34+AF38+AF39+AF40+AF41+AF45+AF49+AF50+AF51+AF54+AF55+AF56+AF57)),3)&lt;&gt;AF66,"Total EU MS not correct","")</f>
        <v/>
      </c>
      <c r="AG69" s="1050" t="str">
        <f>IF(ROUND(IF('Table 1'!$G$3&gt;1,IF(EnCMember=1,AG8+AG9+AG12+AG14+AG47+AG27+AG37+AG43+AG44+AG53+AG60,AG11+AG13+AG15+AG20+AG21+AG22+AG23+AG24+AG25+AG26+AG28+AG29+AG30+AG32+AG34+AG38+AG39+AG40+AG41+AG45+AG49+AG50+AG51+AG54+AG55+AG56+AG57+AG61),IF(EnCMember=1,AG8+AG9+AG12+AG14+AG47+AG27+AG37+AG43+AG44+AG53+AG60,AG11+AG13+AG15+AG20+AG21+AG22+AG23+AG24+AG25+AG26+AG28+AG29+AG30+AG32+AG34+AG38+AG39+AG40+AG41+AG45+AG49+AG50+AG51+AG54+AG55+AG56+AG57)),3)&lt;&gt;AG66,"Total EU MS not correct","")</f>
        <v/>
      </c>
      <c r="AH69" s="1050" t="str">
        <f>IF(ROUND(IF('Table 1'!$G$3&gt;1,IF(EnCMember=1,AH8+AH9+AH12+AH14+AH47+AH27+AH37+AH43+AH44+AH53+AH60,AH11+AH13+AH15+AH20+AH21+AH22+AH23+AH24+AH25+AH26+AH28+AH29+AH30+AH32+AH34+AH38+AH39+AH40+AH41+AH45+AH49+AH50+AH51+AH54+AH55+AH56+AH57+AH61),IF(EnCMember=1,AH8+AH9+AH12+AH14+AH47+AH27+AH37+AH43+AH44+AH53+AH60,AH11+AH13+AH15+AH20+AH21+AH22+AH23+AH24+AH25+AH26+AH28+AH29+AH30+AH32+AH34+AH38+AH39+AH40+AH41+AH45+AH49+AH50+AH51+AH54+AH55+AH56+AH57)),3)&lt;&gt;AH66,"Total EU MS not correct","")</f>
        <v/>
      </c>
      <c r="AI69" s="31"/>
      <c r="AJ69" s="157"/>
    </row>
    <row r="70" spans="1:46" s="220" customFormat="1" ht="28.5" customHeight="1" x14ac:dyDescent="0.2">
      <c r="C70" s="1050" t="str">
        <f>IF(NOT(ROUND(C64-'Table 5'!D11,3)=0),"Total not equal to Table 5","")</f>
        <v/>
      </c>
      <c r="D70" s="1050" t="str">
        <f>IF(NOT(ROUND(D64-'Table 5'!E11,3)=0),"Total not equal to Table 5","")</f>
        <v/>
      </c>
      <c r="E70" s="1050" t="str">
        <f>IF(NOT(ROUND(E64-'Table 5'!F11,3)=0),"Total not equal to Table 5","")</f>
        <v/>
      </c>
      <c r="F70" s="1050" t="str">
        <f>IF(NOT(ROUND(F64-'Table 5'!G11,3)=0),"Total not equal to Table 5","")</f>
        <v/>
      </c>
      <c r="G70" s="1050" t="str">
        <f>IF(NOT(ROUND(G64-'Table 5'!H11,3)=0),"Total not equal to Table 5","")</f>
        <v/>
      </c>
      <c r="H70" s="1050" t="str">
        <f>IF(NOT(ROUND(H64-'Table 5'!I11,3)=0),"Total not equal to Table 5","")</f>
        <v/>
      </c>
      <c r="I70" s="1050" t="str">
        <f>IF(NOT(ROUND(I64-'Table 5'!J11,3)=0),"Total not equal to Table 5","")</f>
        <v/>
      </c>
      <c r="J70" s="1050" t="str">
        <f>IF(NOT(ROUND(J64-'Table 5'!K11,3)=0),"Total not equal to Table 5","")</f>
        <v/>
      </c>
      <c r="K70" s="1050" t="str">
        <f>IF(NOT(ROUND(K64-'Table 5'!L11,3)=0),"Total not equal to Table 5","")</f>
        <v/>
      </c>
      <c r="L70" s="1050" t="str">
        <f>IF(NOT(ROUND(L64-'Table 5'!M11,3)=0),"Total not equal to Table 5","")</f>
        <v/>
      </c>
      <c r="M70" s="1050" t="str">
        <f>IF(NOT(ROUND(M64-'Table 5'!N11,3)=0),"Total not equal to Table 5","")</f>
        <v/>
      </c>
      <c r="N70" s="1050" t="str">
        <f>IF(NOT(ROUND(N64-'Table 5'!O11,3)=0),"Total not equal to Table 5","")</f>
        <v/>
      </c>
      <c r="O70" s="1050" t="str">
        <f>IF(NOT(ROUND(O64-'Table 5'!P11,3)=0),"Total not equal to Table 5","")</f>
        <v/>
      </c>
      <c r="P70" s="1050" t="str">
        <f>IF(NOT(ROUND(P64-'Table 5'!Q11,3)=0),"Total not equal to Table 5","")</f>
        <v/>
      </c>
      <c r="Q70" s="1050" t="str">
        <f>IF(NOT(ROUND(Q64-'Table 5'!R11,3)=0),"Total not equal to Table 5","")</f>
        <v/>
      </c>
      <c r="R70" s="1050" t="str">
        <f>IF(NOT(ROUND(R64-'Table 5'!S11,3)=0),"Total not equal to Table 5","")</f>
        <v/>
      </c>
      <c r="S70" s="1050" t="str">
        <f>IF(NOT(ROUND(S64-'Table 5'!T11,3)=0),"Total not equal to Table 5","")</f>
        <v/>
      </c>
      <c r="T70" s="1050" t="str">
        <f>IF(NOT(ROUND(T64-'Table 5'!U11,3)=0),"Total not equal to Table 5","")</f>
        <v/>
      </c>
      <c r="U70" s="1050" t="str">
        <f>IF(NOT(ROUND(U64-'Table 5'!V11,3)=0),"Total not equal to Table 5","")</f>
        <v/>
      </c>
      <c r="V70" s="1050" t="str">
        <f>IF(NOT(ROUND(V64-'Table 5'!W11,3)=0),"Total not equal to Table 5","")</f>
        <v/>
      </c>
      <c r="W70" s="1050" t="str">
        <f>IF(NOT(ROUND(W64-'Table 5'!X11,3)=0),"Total not equal to Table 5","")</f>
        <v/>
      </c>
      <c r="X70" s="1050" t="str">
        <f>IF(NOT(ROUND(X64-'Table 5'!Y11,3)=0),"Total not equal to Table 5","")</f>
        <v/>
      </c>
      <c r="Y70" s="1050" t="str">
        <f>IF(NOT(ROUND(Y64-'Table 5'!Z11,3)=0),"Total not equal to Table 5","")</f>
        <v/>
      </c>
      <c r="Z70" s="1050" t="str">
        <f>IF(NOT(ROUND(Z64-'Table 5'!AA11,3)=0),"Total not equal to Table 5","")</f>
        <v/>
      </c>
      <c r="AA70" s="1050" t="str">
        <f>IF(NOT(ROUND(AA64-'Table 5'!AB11,3)=0),"Total not equal to Table 5","")</f>
        <v/>
      </c>
      <c r="AB70" s="1050" t="str">
        <f>IF(NOT(ROUND(AB64-'Table 5'!AC11,3)=0),"Total not equal to Table 5","")</f>
        <v/>
      </c>
      <c r="AC70" s="1050"/>
      <c r="AD70" s="1050" t="str">
        <f>IF(NOT(ROUND(AD64-'Table 5'!AE11,3)=0),"Total not equal to Table 5","")</f>
        <v/>
      </c>
      <c r="AE70" s="1050" t="str">
        <f>IF(NOT(ROUND(AE64-'Table 5'!AF11,3)=0),"Total not equal to Table 5","")</f>
        <v/>
      </c>
      <c r="AF70" s="1050" t="str">
        <f>IF(NOT(ROUND(AF64-'Table 5'!AG11,3)=0),"Total not equal to Table 5","")</f>
        <v>Total not equal to Table 5</v>
      </c>
      <c r="AG70" s="1050" t="str">
        <f>IF(NOT(ROUND(AG64-'Table 5'!AH11,3)=0),"Total not equal to Table 5","")</f>
        <v>Total not equal to Table 5</v>
      </c>
      <c r="AH70" s="1050" t="str">
        <f>IF(NOT(ROUND(AH64-'Table 5'!AI11,3)=0),"Total not equal to Table 5","")</f>
        <v>Total not equal to Table 5</v>
      </c>
      <c r="AI70" s="157"/>
      <c r="AJ70" s="221"/>
    </row>
    <row r="71" spans="1:46" s="218" customFormat="1" ht="12" x14ac:dyDescent="0.2">
      <c r="A71" s="12" t="s">
        <v>1396</v>
      </c>
      <c r="E71" s="1051">
        <f>COUNTIF(C70:AH70,"")-COUNTA(C66:AH66)</f>
        <v>-3</v>
      </c>
      <c r="F71" s="3" t="str">
        <f>IF(E71=0,"OK","Total not equal to Table 5")</f>
        <v>Total not equal to Table 5</v>
      </c>
      <c r="AJ71" s="157"/>
      <c r="AM71" s="31"/>
      <c r="AN71" s="31"/>
    </row>
    <row r="72" spans="1:46" s="32" customFormat="1" x14ac:dyDescent="0.2">
      <c r="A72" s="12" t="s">
        <v>1386</v>
      </c>
      <c r="B72" s="219"/>
      <c r="C72" s="218"/>
      <c r="D72" s="218"/>
      <c r="E72" s="1049">
        <f ca="1">IF(MAX(IFERROR(OFFSET(C7,MATCH(CountryCode,$AT$8:$AT$64,0),0,1,30),0))&gt;0,1,0)+IF(CountryCode=Param!$D$67,MAX(C62:AE62),0)</f>
        <v>0</v>
      </c>
      <c r="F72" s="3" t="str">
        <f ca="1">IF(E72=0,"OK","Country is reporting stocks with itself")</f>
        <v>OK</v>
      </c>
      <c r="G72" s="66"/>
      <c r="H72" s="31"/>
      <c r="I72" s="31"/>
      <c r="J72" s="31"/>
      <c r="K72" s="31"/>
      <c r="L72" s="31"/>
      <c r="M72" s="31"/>
      <c r="N72" s="66"/>
      <c r="O72" s="31"/>
      <c r="P72" s="31"/>
      <c r="Q72" s="31"/>
      <c r="R72" s="31"/>
      <c r="S72" s="31"/>
      <c r="T72" s="66"/>
      <c r="U72" s="31"/>
      <c r="W72" s="31"/>
      <c r="X72" s="31"/>
      <c r="Z72" s="31"/>
      <c r="AA72" s="31"/>
      <c r="AB72" s="31"/>
      <c r="AC72" s="31"/>
      <c r="AD72" s="31"/>
      <c r="AE72" s="31"/>
      <c r="AF72" s="31"/>
      <c r="AG72" s="31"/>
      <c r="AL72" s="157"/>
      <c r="AM72" s="157"/>
    </row>
    <row r="73" spans="1:46" x14ac:dyDescent="0.2">
      <c r="A73" s="7" t="s">
        <v>1112</v>
      </c>
      <c r="B73" s="32"/>
      <c r="C73" s="31"/>
      <c r="D73" s="31"/>
      <c r="E73" s="31"/>
      <c r="F73" s="31"/>
      <c r="V73" s="66"/>
      <c r="Y73" s="66"/>
    </row>
    <row r="140" spans="2:34" hidden="1" x14ac:dyDescent="0.2">
      <c r="B140" s="306" t="s">
        <v>329</v>
      </c>
      <c r="C140" s="373" t="s">
        <v>330</v>
      </c>
      <c r="D140" s="373" t="s">
        <v>6</v>
      </c>
      <c r="E140" s="373" t="s">
        <v>331</v>
      </c>
      <c r="F140" s="373" t="s">
        <v>332</v>
      </c>
      <c r="G140" s="373" t="s">
        <v>333</v>
      </c>
      <c r="H140" s="373" t="s">
        <v>334</v>
      </c>
      <c r="I140" s="373" t="s">
        <v>335</v>
      </c>
      <c r="J140" s="373" t="s">
        <v>353</v>
      </c>
      <c r="K140" s="156" t="s">
        <v>9</v>
      </c>
      <c r="L140" s="156" t="s">
        <v>354</v>
      </c>
      <c r="M140" s="156" t="s">
        <v>355</v>
      </c>
      <c r="N140" s="156" t="s">
        <v>356</v>
      </c>
      <c r="O140" s="156" t="s">
        <v>891</v>
      </c>
      <c r="P140" s="156" t="s">
        <v>357</v>
      </c>
      <c r="Q140" s="156" t="s">
        <v>358</v>
      </c>
      <c r="R140" s="156" t="s">
        <v>359</v>
      </c>
      <c r="S140" s="156" t="s">
        <v>878</v>
      </c>
      <c r="T140" s="156" t="s">
        <v>879</v>
      </c>
      <c r="U140" s="156" t="s">
        <v>360</v>
      </c>
      <c r="V140" s="156" t="s">
        <v>361</v>
      </c>
      <c r="W140" s="156" t="s">
        <v>363</v>
      </c>
      <c r="X140" s="156" t="s">
        <v>364</v>
      </c>
      <c r="Y140" s="156" t="s">
        <v>362</v>
      </c>
      <c r="Z140" s="156" t="s">
        <v>880</v>
      </c>
      <c r="AA140" s="156" t="s">
        <v>367</v>
      </c>
      <c r="AB140" s="156" t="s">
        <v>365</v>
      </c>
      <c r="AC140" s="156" t="s">
        <v>1412</v>
      </c>
      <c r="AD140" s="156" t="s">
        <v>366</v>
      </c>
      <c r="AE140" s="156" t="s">
        <v>368</v>
      </c>
      <c r="AF140" s="156" t="s">
        <v>606</v>
      </c>
      <c r="AG140" s="156" t="s">
        <v>369</v>
      </c>
      <c r="AH140" s="156" t="s">
        <v>416</v>
      </c>
    </row>
    <row r="1000" spans="1:59" ht="22.5" hidden="1" x14ac:dyDescent="0.2">
      <c r="A1000" s="641" t="s">
        <v>1113</v>
      </c>
      <c r="C1000" s="642" t="s">
        <v>1114</v>
      </c>
      <c r="D1000" s="642" t="s">
        <v>1115</v>
      </c>
      <c r="E1000" s="642" t="s">
        <v>1116</v>
      </c>
      <c r="F1000" s="642" t="s">
        <v>1117</v>
      </c>
      <c r="G1000" s="642" t="s">
        <v>1118</v>
      </c>
      <c r="H1000" s="642" t="s">
        <v>1119</v>
      </c>
      <c r="I1000" s="642" t="s">
        <v>1120</v>
      </c>
      <c r="J1000" s="642" t="s">
        <v>1143</v>
      </c>
      <c r="K1000" s="642" t="s">
        <v>1144</v>
      </c>
      <c r="L1000" s="642" t="s">
        <v>1145</v>
      </c>
      <c r="M1000" s="642" t="s">
        <v>1146</v>
      </c>
      <c r="N1000" s="642" t="s">
        <v>1147</v>
      </c>
      <c r="O1000" s="642" t="s">
        <v>1148</v>
      </c>
      <c r="P1000" s="642" t="s">
        <v>1149</v>
      </c>
      <c r="Q1000" s="642" t="s">
        <v>1150</v>
      </c>
      <c r="R1000" s="642" t="s">
        <v>1151</v>
      </c>
      <c r="S1000" s="642" t="s">
        <v>1152</v>
      </c>
      <c r="T1000" s="642" t="s">
        <v>1153</v>
      </c>
      <c r="U1000" s="642" t="s">
        <v>1154</v>
      </c>
      <c r="V1000" s="642" t="s">
        <v>1155</v>
      </c>
      <c r="W1000" s="642" t="s">
        <v>1156</v>
      </c>
      <c r="X1000" s="642" t="s">
        <v>1157</v>
      </c>
      <c r="Y1000" s="642" t="s">
        <v>1158</v>
      </c>
      <c r="Z1000" s="642" t="s">
        <v>1159</v>
      </c>
      <c r="AA1000" s="642" t="s">
        <v>1160</v>
      </c>
      <c r="AB1000" s="642" t="s">
        <v>1161</v>
      </c>
      <c r="AC1000" s="642" t="s">
        <v>1414</v>
      </c>
      <c r="AD1000" s="642" t="s">
        <v>1162</v>
      </c>
      <c r="AE1000" s="642" t="s">
        <v>1163</v>
      </c>
      <c r="AF1000" s="642" t="s">
        <v>1406</v>
      </c>
      <c r="AG1000" s="642" t="s">
        <v>1178</v>
      </c>
      <c r="AH1000" s="642" t="s">
        <v>1164</v>
      </c>
      <c r="AL1000" s="3"/>
      <c r="AM1000" s="3"/>
      <c r="AV1000" s="211"/>
      <c r="AW1000" s="211"/>
      <c r="AX1000" s="211"/>
      <c r="AY1000" s="211"/>
      <c r="AZ1000" s="211"/>
      <c r="BA1000" s="211"/>
      <c r="BB1000" s="211"/>
      <c r="BC1000" s="211"/>
      <c r="BD1000" s="211"/>
      <c r="BE1000" s="211"/>
      <c r="BF1000" s="211"/>
      <c r="BG1000" s="211"/>
    </row>
  </sheetData>
  <sheetProtection algorithmName="SHA-512" hashValue="G16ZDlC5T9ZXKZqQJOrdAfPg7zf3kKGxeGaLjWYU8jBXyxIXHlDsgvkz+cnz5atf8MTGkKCglyUr8an5tXQwAg==" saltValue="0LHrvx/Bm5UI1t4tfiVOwQ==" spinCount="100000" sheet="1" objects="1" scenarios="1"/>
  <mergeCells count="21">
    <mergeCell ref="AF5:AF6"/>
    <mergeCell ref="AJ5:AJ6"/>
    <mergeCell ref="AE5:AE6"/>
    <mergeCell ref="P5:P6"/>
    <mergeCell ref="L5:L6"/>
    <mergeCell ref="X5:X6"/>
    <mergeCell ref="AH5:AH6"/>
    <mergeCell ref="U5:U6"/>
    <mergeCell ref="AG5:AG6"/>
    <mergeCell ref="K5:K6"/>
    <mergeCell ref="AA5:AA6"/>
    <mergeCell ref="M5:M6"/>
    <mergeCell ref="C5:C6"/>
    <mergeCell ref="I5:I6"/>
    <mergeCell ref="J5:J6"/>
    <mergeCell ref="Q5:Q6"/>
    <mergeCell ref="D5:D6"/>
    <mergeCell ref="F5:F6"/>
    <mergeCell ref="H5:H6"/>
    <mergeCell ref="E5:E6"/>
    <mergeCell ref="R5:R6"/>
  </mergeCells>
  <phoneticPr fontId="44" type="noConversion"/>
  <conditionalFormatting sqref="I28:I36 I61:I64 I38:I42 I44:I57 I8:I9 I11:I13 I15:I26">
    <cfRule type="cellIs" dxfId="887" priority="280" stopIfTrue="1" operator="notEqual">
      <formula>ROUND(SUM(C8:F8,H8),3)</formula>
    </cfRule>
  </conditionalFormatting>
  <conditionalFormatting sqref="AG28:AG36 AG61:AG64 AG38:AG42 AG44:AG57 AG8:AG9 AG11:AG13 AG15:AG26">
    <cfRule type="cellIs" dxfId="886" priority="281" stopIfTrue="1" operator="notEqual">
      <formula>ROUND(SUM(J8:L8,M8,P8:R8,U8,X8,AA8,AE8:AF8),3)</formula>
    </cfRule>
  </conditionalFormatting>
  <conditionalFormatting sqref="AH28:AH36 AH61:AH64 AH38:AH42 AH44:AH57 AH8:AH9 AH11:AH13 AH15:AH26">
    <cfRule type="cellIs" dxfId="885" priority="282" stopIfTrue="1" operator="notEqual">
      <formula>ROUND(I8+AG8,3)</formula>
    </cfRule>
  </conditionalFormatting>
  <conditionalFormatting sqref="X8:X9 X11:X13 X28:X36 X61:X64 X38:X42 X15:X26 X44:X57">
    <cfRule type="expression" dxfId="884" priority="299" stopIfTrue="1">
      <formula>OR(AND(OR(V8&lt;&gt;0,W8&lt;&gt;0),X8&lt;&gt;V8+W8),AND(OR(Y8&lt;&gt;0,Z8&lt;&gt;0),X8&lt;&gt;Y8+Z8))</formula>
    </cfRule>
    <cfRule type="expression" dxfId="883" priority="300" stopIfTrue="1">
      <formula>OR(AND(V8+W8=0,X8&lt;&gt;0),AND(Y8+Z8=0,X8&lt;&gt;0))</formula>
    </cfRule>
  </conditionalFormatting>
  <conditionalFormatting sqref="AA8:AA9 AA11:AA13 AA28:AA36 AA61:AA64 AA38:AA42 AA15:AA26 AA44:AA57">
    <cfRule type="expression" dxfId="882" priority="297" stopIfTrue="1">
      <formula>AND(AB8+AD8=0,AA8&lt;&gt;0)</formula>
    </cfRule>
    <cfRule type="cellIs" dxfId="881" priority="298" stopIfTrue="1" operator="notEqual">
      <formula>AB8+AD8</formula>
    </cfRule>
  </conditionalFormatting>
  <conditionalFormatting sqref="M39:M42 M47 R8:R64">
    <cfRule type="expression" dxfId="880" priority="295" stopIfTrue="1">
      <formula>AND(N8+O8=0,M8&lt;&gt;0)</formula>
    </cfRule>
    <cfRule type="cellIs" dxfId="879" priority="296" stopIfTrue="1" operator="notEqual">
      <formula>N8+O8</formula>
    </cfRule>
  </conditionalFormatting>
  <conditionalFormatting sqref="G8:G9 G11:G64">
    <cfRule type="cellIs" dxfId="878" priority="292" stopIfTrue="1" operator="greaterThan">
      <formula>F8</formula>
    </cfRule>
  </conditionalFormatting>
  <conditionalFormatting sqref="C28:F36 C38:F42 C44:C57 E44:F57 C61 E61:F61 D8:AB8 C11:Q11 C15:F26 H15:Q26 C12:F13 H12:Q13 H44:Q57 H38:Q42 C62:F63 H61:Q63 H28:Q36 G12:G63 D9:Q9 T9:AB9 R9:S63 T28:AH36 T61:AH63 T38:AH42 T44:AH57 T15:AH26 T11:AH13 AC8:AH9 C64:AH64">
    <cfRule type="cellIs" dxfId="877" priority="286" stopIfTrue="1" operator="lessThan">
      <formula>0</formula>
    </cfRule>
  </conditionalFormatting>
  <conditionalFormatting sqref="C64:AH64">
    <cfRule type="cellIs" dxfId="876" priority="284" stopIfTrue="1" operator="notEqual">
      <formula>ROUND(SUM(C8:C63),3)</formula>
    </cfRule>
  </conditionalFormatting>
  <conditionalFormatting sqref="M8:M9 M11:M13 M28:M36 M38 M44:M46 M61:M64 M15:M26 M48:M57">
    <cfRule type="expression" dxfId="875" priority="293" stopIfTrue="1">
      <formula>AND(N8+O8=0,M8&lt;&gt;0)</formula>
    </cfRule>
    <cfRule type="cellIs" dxfId="874" priority="294" stopIfTrue="1" operator="notEqual">
      <formula>N8+O8</formula>
    </cfRule>
  </conditionalFormatting>
  <conditionalFormatting sqref="I10">
    <cfRule type="cellIs" dxfId="873" priority="263" stopIfTrue="1" operator="notEqual">
      <formula>SUM(C10:F10,H10)</formula>
    </cfRule>
  </conditionalFormatting>
  <conditionalFormatting sqref="AG10">
    <cfRule type="cellIs" dxfId="872" priority="264" stopIfTrue="1" operator="notEqual">
      <formula>SUM(J10:L10,M10,P10:R10,U10,X10,AA10,AE10:AF10)</formula>
    </cfRule>
  </conditionalFormatting>
  <conditionalFormatting sqref="AH10">
    <cfRule type="cellIs" dxfId="871" priority="265" stopIfTrue="1" operator="notEqual">
      <formula>I10+AG10</formula>
    </cfRule>
  </conditionalFormatting>
  <conditionalFormatting sqref="X10">
    <cfRule type="expression" dxfId="870" priority="274" stopIfTrue="1">
      <formula>OR(AND(OR(V10&lt;&gt;0,W10&lt;&gt;0),X10&lt;&gt;V10+W10),AND(OR(Y10&lt;&gt;0,Z10&lt;&gt;0),X10&lt;&gt;Y10+Z10))</formula>
    </cfRule>
    <cfRule type="expression" dxfId="869" priority="275" stopIfTrue="1">
      <formula>OR(AND(V10+W10=0,X10&lt;&gt;0),AND(Y10+Z10=0,X10&lt;&gt;0))</formula>
    </cfRule>
  </conditionalFormatting>
  <conditionalFormatting sqref="AA10">
    <cfRule type="expression" dxfId="868" priority="272" stopIfTrue="1">
      <formula>AND(AB10+AD10=0,AA10&lt;&gt;0)</formula>
    </cfRule>
    <cfRule type="cellIs" dxfId="867" priority="273" stopIfTrue="1" operator="notEqual">
      <formula>AB10+AD10</formula>
    </cfRule>
  </conditionalFormatting>
  <conditionalFormatting sqref="G10">
    <cfRule type="cellIs" dxfId="866" priority="267" stopIfTrue="1" operator="greaterThan">
      <formula>F10</formula>
    </cfRule>
  </conditionalFormatting>
  <conditionalFormatting sqref="C10:Q10 M8:M63 T10:AH10">
    <cfRule type="cellIs" dxfId="865" priority="266" stopIfTrue="1" operator="lessThan">
      <formula>0</formula>
    </cfRule>
  </conditionalFormatting>
  <conditionalFormatting sqref="M8:M63">
    <cfRule type="expression" dxfId="864" priority="268" stopIfTrue="1">
      <formula>AND(N8+O8=0,M8&lt;&gt;0)</formula>
    </cfRule>
    <cfRule type="cellIs" dxfId="863" priority="269" stopIfTrue="1" operator="notEqual">
      <formula>N8+O8</formula>
    </cfRule>
  </conditionalFormatting>
  <conditionalFormatting sqref="I14">
    <cfRule type="cellIs" dxfId="862" priority="250" stopIfTrue="1" operator="notEqual">
      <formula>SUM(C14:F14,H14)</formula>
    </cfRule>
  </conditionalFormatting>
  <conditionalFormatting sqref="AG14">
    <cfRule type="cellIs" dxfId="861" priority="251" stopIfTrue="1" operator="notEqual">
      <formula>SUM(J14:L14,M14,P14:R14,U14,X14,AA14,AE14:AF14)</formula>
    </cfRule>
  </conditionalFormatting>
  <conditionalFormatting sqref="AH14">
    <cfRule type="cellIs" dxfId="860" priority="252" stopIfTrue="1" operator="notEqual">
      <formula>I14+AG14</formula>
    </cfRule>
  </conditionalFormatting>
  <conditionalFormatting sqref="X14">
    <cfRule type="expression" dxfId="859" priority="261" stopIfTrue="1">
      <formula>OR(AND(OR(V14&lt;&gt;0,W14&lt;&gt;0),X14&lt;&gt;V14+W14),AND(OR(Y14&lt;&gt;0,Z14&lt;&gt;0),X14&lt;&gt;Y14+Z14))</formula>
    </cfRule>
    <cfRule type="expression" dxfId="858" priority="262" stopIfTrue="1">
      <formula>OR(AND(V14+W14=0,X14&lt;&gt;0),AND(Y14+Z14=0,X14&lt;&gt;0))</formula>
    </cfRule>
  </conditionalFormatting>
  <conditionalFormatting sqref="AA14">
    <cfRule type="expression" dxfId="857" priority="259" stopIfTrue="1">
      <formula>AND(AB14+AD14=0,AA14&lt;&gt;0)</formula>
    </cfRule>
    <cfRule type="cellIs" dxfId="856" priority="260" stopIfTrue="1" operator="notEqual">
      <formula>AB14+AD14</formula>
    </cfRule>
  </conditionalFormatting>
  <conditionalFormatting sqref="C14:F14 H14:Q14 T14:AH14">
    <cfRule type="cellIs" dxfId="855" priority="253" stopIfTrue="1" operator="lessThan">
      <formula>0</formula>
    </cfRule>
  </conditionalFormatting>
  <conditionalFormatting sqref="M14">
    <cfRule type="expression" dxfId="854" priority="255" stopIfTrue="1">
      <formula>AND(N14+O14=0,M14&lt;&gt;0)</formula>
    </cfRule>
    <cfRule type="cellIs" dxfId="853" priority="256" stopIfTrue="1" operator="notEqual">
      <formula>N14+O14</formula>
    </cfRule>
  </conditionalFormatting>
  <conditionalFormatting sqref="I27">
    <cfRule type="cellIs" dxfId="852" priority="237" stopIfTrue="1" operator="notEqual">
      <formula>SUM(C27:F27,H27)</formula>
    </cfRule>
  </conditionalFormatting>
  <conditionalFormatting sqref="AG27">
    <cfRule type="cellIs" dxfId="851" priority="238" stopIfTrue="1" operator="notEqual">
      <formula>SUM(J27:L27,M27,P27:R27,U27,X27,AA27,AE27:AF27)</formula>
    </cfRule>
  </conditionalFormatting>
  <conditionalFormatting sqref="AH27">
    <cfRule type="cellIs" dxfId="850" priority="239" stopIfTrue="1" operator="notEqual">
      <formula>I27+AG27</formula>
    </cfRule>
  </conditionalFormatting>
  <conditionalFormatting sqref="X27">
    <cfRule type="expression" dxfId="849" priority="248" stopIfTrue="1">
      <formula>OR(AND(OR(V27&lt;&gt;0,W27&lt;&gt;0),X27&lt;&gt;V27+W27),AND(OR(Y27&lt;&gt;0,Z27&lt;&gt;0),X27&lt;&gt;Y27+Z27))</formula>
    </cfRule>
    <cfRule type="expression" dxfId="848" priority="249" stopIfTrue="1">
      <formula>OR(AND(V27+W27=0,X27&lt;&gt;0),AND(Y27+Z27=0,X27&lt;&gt;0))</formula>
    </cfRule>
  </conditionalFormatting>
  <conditionalFormatting sqref="AA27">
    <cfRule type="expression" dxfId="847" priority="246" stopIfTrue="1">
      <formula>AND(AB27+AD27=0,AA27&lt;&gt;0)</formula>
    </cfRule>
    <cfRule type="cellIs" dxfId="846" priority="247" stopIfTrue="1" operator="notEqual">
      <formula>AB27+AD27</formula>
    </cfRule>
  </conditionalFormatting>
  <conditionalFormatting sqref="C27:F27 H27:Q27 T27:AH27">
    <cfRule type="cellIs" dxfId="845" priority="240" stopIfTrue="1" operator="lessThan">
      <formula>0</formula>
    </cfRule>
  </conditionalFormatting>
  <conditionalFormatting sqref="M27">
    <cfRule type="expression" dxfId="844" priority="242" stopIfTrue="1">
      <formula>AND(N27+O27=0,M27&lt;&gt;0)</formula>
    </cfRule>
    <cfRule type="cellIs" dxfId="843" priority="243" stopIfTrue="1" operator="notEqual">
      <formula>N27+O27</formula>
    </cfRule>
  </conditionalFormatting>
  <conditionalFormatting sqref="I37">
    <cfRule type="cellIs" dxfId="842" priority="224" stopIfTrue="1" operator="notEqual">
      <formula>SUM(C37:F37,H37)</formula>
    </cfRule>
  </conditionalFormatting>
  <conditionalFormatting sqref="AG37">
    <cfRule type="cellIs" dxfId="841" priority="225" stopIfTrue="1" operator="notEqual">
      <formula>SUM(J37:L37,M37,P37:R37,U37,X37,AA37,AE37:AF37)</formula>
    </cfRule>
  </conditionalFormatting>
  <conditionalFormatting sqref="AH37">
    <cfRule type="cellIs" dxfId="840" priority="226" stopIfTrue="1" operator="notEqual">
      <formula>I37+AG37</formula>
    </cfRule>
  </conditionalFormatting>
  <conditionalFormatting sqref="X37">
    <cfRule type="expression" dxfId="839" priority="235" stopIfTrue="1">
      <formula>OR(AND(OR(V37&lt;&gt;0,W37&lt;&gt;0),X37&lt;&gt;V37+W37),AND(OR(Y37&lt;&gt;0,Z37&lt;&gt;0),X37&lt;&gt;Y37+Z37))</formula>
    </cfRule>
    <cfRule type="expression" dxfId="838" priority="236" stopIfTrue="1">
      <formula>OR(AND(V37+W37=0,X37&lt;&gt;0),AND(Y37+Z37=0,X37&lt;&gt;0))</formula>
    </cfRule>
  </conditionalFormatting>
  <conditionalFormatting sqref="AA37">
    <cfRule type="expression" dxfId="837" priority="233" stopIfTrue="1">
      <formula>AND(AB37+AD37=0,AA37&lt;&gt;0)</formula>
    </cfRule>
    <cfRule type="cellIs" dxfId="836" priority="234" stopIfTrue="1" operator="notEqual">
      <formula>AB37+AD37</formula>
    </cfRule>
  </conditionalFormatting>
  <conditionalFormatting sqref="C37:F37 H37:Q37 T37:AH37">
    <cfRule type="cellIs" dxfId="835" priority="227" stopIfTrue="1" operator="lessThan">
      <formula>0</formula>
    </cfRule>
  </conditionalFormatting>
  <conditionalFormatting sqref="M37">
    <cfRule type="expression" dxfId="834" priority="229" stopIfTrue="1">
      <formula>AND(N37+O37=0,M37&lt;&gt;0)</formula>
    </cfRule>
    <cfRule type="cellIs" dxfId="833" priority="230" stopIfTrue="1" operator="notEqual">
      <formula>N37+O37</formula>
    </cfRule>
  </conditionalFormatting>
  <conditionalFormatting sqref="I43">
    <cfRule type="cellIs" dxfId="832" priority="198" stopIfTrue="1" operator="notEqual">
      <formula>SUM(C43:F43,H43)</formula>
    </cfRule>
  </conditionalFormatting>
  <conditionalFormatting sqref="AG43">
    <cfRule type="cellIs" dxfId="831" priority="199" stopIfTrue="1" operator="notEqual">
      <formula>SUM(J43:L43,M43,P43:R43,U43,X43,AA43,AE43:AF43)</formula>
    </cfRule>
  </conditionalFormatting>
  <conditionalFormatting sqref="AH43">
    <cfRule type="cellIs" dxfId="830" priority="200" stopIfTrue="1" operator="notEqual">
      <formula>I43+AG43</formula>
    </cfRule>
  </conditionalFormatting>
  <conditionalFormatting sqref="X43">
    <cfRule type="expression" dxfId="829" priority="209" stopIfTrue="1">
      <formula>OR(AND(OR(V43&lt;&gt;0,W43&lt;&gt;0),X43&lt;&gt;V43+W43),AND(OR(Y43&lt;&gt;0,Z43&lt;&gt;0),X43&lt;&gt;Y43+Z43))</formula>
    </cfRule>
    <cfRule type="expression" dxfId="828" priority="210" stopIfTrue="1">
      <formula>OR(AND(V43+W43=0,X43&lt;&gt;0),AND(Y43+Z43=0,X43&lt;&gt;0))</formula>
    </cfRule>
  </conditionalFormatting>
  <conditionalFormatting sqref="AA43">
    <cfRule type="expression" dxfId="827" priority="207" stopIfTrue="1">
      <formula>AND(AB43+AD43=0,AA43&lt;&gt;0)</formula>
    </cfRule>
    <cfRule type="cellIs" dxfId="826" priority="208" stopIfTrue="1" operator="notEqual">
      <formula>AB43+AD43</formula>
    </cfRule>
  </conditionalFormatting>
  <conditionalFormatting sqref="C43:F43 H43:Q43 T43:AH43">
    <cfRule type="cellIs" dxfId="825" priority="201" stopIfTrue="1" operator="lessThan">
      <formula>0</formula>
    </cfRule>
  </conditionalFormatting>
  <conditionalFormatting sqref="M43">
    <cfRule type="expression" dxfId="824" priority="203" stopIfTrue="1">
      <formula>AND(N43+O43=0,M43&lt;&gt;0)</formula>
    </cfRule>
    <cfRule type="cellIs" dxfId="823" priority="204" stopIfTrue="1" operator="notEqual">
      <formula>N43+O43</formula>
    </cfRule>
  </conditionalFormatting>
  <conditionalFormatting sqref="I58:I60">
    <cfRule type="cellIs" dxfId="822" priority="66" stopIfTrue="1" operator="notEqual">
      <formula>SUM(C58:F58,H58)</formula>
    </cfRule>
  </conditionalFormatting>
  <conditionalFormatting sqref="AG58:AG60">
    <cfRule type="cellIs" dxfId="821" priority="67" stopIfTrue="1" operator="notEqual">
      <formula>SUM(J58:L58,M58,P58:R58,U58,X58,AA58,AE58:AF58)</formula>
    </cfRule>
  </conditionalFormatting>
  <conditionalFormatting sqref="AH58:AH60">
    <cfRule type="cellIs" dxfId="820" priority="68" stopIfTrue="1" operator="notEqual">
      <formula>I58+AG58</formula>
    </cfRule>
  </conditionalFormatting>
  <conditionalFormatting sqref="X58:X60">
    <cfRule type="expression" dxfId="819" priority="77" stopIfTrue="1">
      <formula>OR(AND(OR(V58&lt;&gt;0,W58&lt;&gt;0),X58&lt;&gt;V58+W58),AND(OR(Y58&lt;&gt;0,Z58&lt;&gt;0),X58&lt;&gt;Y58+Z58))</formula>
    </cfRule>
    <cfRule type="expression" dxfId="818" priority="78" stopIfTrue="1">
      <formula>OR(AND(V58+W58=0,X58&lt;&gt;0),AND(Y58+Z58=0,X58&lt;&gt;0))</formula>
    </cfRule>
  </conditionalFormatting>
  <conditionalFormatting sqref="AA58:AA60">
    <cfRule type="expression" dxfId="817" priority="75" stopIfTrue="1">
      <formula>AND(AB58+AD58=0,AA58&lt;&gt;0)</formula>
    </cfRule>
    <cfRule type="cellIs" dxfId="816" priority="76" stopIfTrue="1" operator="notEqual">
      <formula>AB58+AD58</formula>
    </cfRule>
  </conditionalFormatting>
  <conditionalFormatting sqref="C58:C60 E58:F60 H58:Q60 T58:AH60">
    <cfRule type="cellIs" dxfId="815" priority="69" stopIfTrue="1" operator="lessThan">
      <formula>0</formula>
    </cfRule>
  </conditionalFormatting>
  <conditionalFormatting sqref="M58:M60">
    <cfRule type="expression" dxfId="814" priority="71" stopIfTrue="1">
      <formula>AND(N58+O58=0,M58&lt;&gt;0)</formula>
    </cfRule>
    <cfRule type="cellIs" dxfId="813" priority="72" stopIfTrue="1" operator="notEqual">
      <formula>N58+O58</formula>
    </cfRule>
  </conditionalFormatting>
  <conditionalFormatting sqref="I66">
    <cfRule type="cellIs" dxfId="812" priority="29" stopIfTrue="1" operator="notEqual">
      <formula>SUM(C66:F66,H66)</formula>
    </cfRule>
  </conditionalFormatting>
  <conditionalFormatting sqref="AG66">
    <cfRule type="cellIs" dxfId="811" priority="30" stopIfTrue="1" operator="notEqual">
      <formula>SUM(J66:L66,M66,P66:R66,U66,X66,AA66,AE66:AF66)</formula>
    </cfRule>
  </conditionalFormatting>
  <conditionalFormatting sqref="AH66">
    <cfRule type="cellIs" dxfId="810" priority="31" stopIfTrue="1" operator="notEqual">
      <formula>I66+AG66</formula>
    </cfRule>
  </conditionalFormatting>
  <conditionalFormatting sqref="X66">
    <cfRule type="expression" dxfId="809" priority="40" stopIfTrue="1">
      <formula>OR(AND(OR(V66&lt;&gt;0,W66&lt;&gt;0),X66&lt;&gt;V66+W66),AND(OR(Y66&lt;&gt;0,Z66&lt;&gt;0),X66&lt;&gt;Y66+Z66))</formula>
    </cfRule>
    <cfRule type="expression" dxfId="808" priority="41" stopIfTrue="1">
      <formula>OR(AND(V66+W66=0,X66&lt;&gt;0),AND(Y66+Z66=0,X66&lt;&gt;0))</formula>
    </cfRule>
  </conditionalFormatting>
  <conditionalFormatting sqref="AA66">
    <cfRule type="expression" dxfId="807" priority="38" stopIfTrue="1">
      <formula>AND(AB66+AD66=0,AA66&lt;&gt;0)</formula>
    </cfRule>
    <cfRule type="cellIs" dxfId="806" priority="39" stopIfTrue="1" operator="notEqual">
      <formula>AB66+AD66</formula>
    </cfRule>
  </conditionalFormatting>
  <conditionalFormatting sqref="R66">
    <cfRule type="expression" dxfId="805" priority="36" stopIfTrue="1">
      <formula>AND(S66+T66=0,R66&lt;&gt;0)</formula>
    </cfRule>
    <cfRule type="cellIs" dxfId="804" priority="37" stopIfTrue="1" operator="notEqual">
      <formula>S66+T66</formula>
    </cfRule>
  </conditionalFormatting>
  <conditionalFormatting sqref="G66">
    <cfRule type="cellIs" dxfId="803" priority="33" stopIfTrue="1" operator="greaterThan">
      <formula>F66</formula>
    </cfRule>
  </conditionalFormatting>
  <conditionalFormatting sqref="C66:AH66">
    <cfRule type="cellIs" dxfId="802" priority="32" stopIfTrue="1" operator="lessThan">
      <formula>0</formula>
    </cfRule>
  </conditionalFormatting>
  <conditionalFormatting sqref="M66">
    <cfRule type="expression" dxfId="801" priority="34" stopIfTrue="1">
      <formula>AND(N66+O66=0,M66&lt;&gt;0)</formula>
    </cfRule>
    <cfRule type="cellIs" dxfId="800" priority="35" stopIfTrue="1" operator="notEqual">
      <formula>N66+O66</formula>
    </cfRule>
  </conditionalFormatting>
  <conditionalFormatting sqref="D44">
    <cfRule type="cellIs" dxfId="799" priority="22" stopIfTrue="1" operator="lessThan">
      <formula>0</formula>
    </cfRule>
  </conditionalFormatting>
  <conditionalFormatting sqref="D45">
    <cfRule type="cellIs" dxfId="798" priority="21" stopIfTrue="1" operator="lessThan">
      <formula>0</formula>
    </cfRule>
  </conditionalFormatting>
  <conditionalFormatting sqref="D46">
    <cfRule type="cellIs" dxfId="797" priority="20" stopIfTrue="1" operator="lessThan">
      <formula>0</formula>
    </cfRule>
  </conditionalFormatting>
  <conditionalFormatting sqref="D47">
    <cfRule type="cellIs" dxfId="796" priority="19" stopIfTrue="1" operator="lessThan">
      <formula>0</formula>
    </cfRule>
  </conditionalFormatting>
  <conditionalFormatting sqref="D48">
    <cfRule type="cellIs" dxfId="795" priority="18" stopIfTrue="1" operator="lessThan">
      <formula>0</formula>
    </cfRule>
  </conditionalFormatting>
  <conditionalFormatting sqref="D49">
    <cfRule type="cellIs" dxfId="794" priority="17" stopIfTrue="1" operator="lessThan">
      <formula>0</formula>
    </cfRule>
  </conditionalFormatting>
  <conditionalFormatting sqref="D50">
    <cfRule type="cellIs" dxfId="793" priority="16" stopIfTrue="1" operator="lessThan">
      <formula>0</formula>
    </cfRule>
  </conditionalFormatting>
  <conditionalFormatting sqref="D51">
    <cfRule type="cellIs" dxfId="792" priority="15" stopIfTrue="1" operator="lessThan">
      <formula>0</formula>
    </cfRule>
  </conditionalFormatting>
  <conditionalFormatting sqref="D52">
    <cfRule type="cellIs" dxfId="791" priority="14" stopIfTrue="1" operator="lessThan">
      <formula>0</formula>
    </cfRule>
  </conditionalFormatting>
  <conditionalFormatting sqref="D53">
    <cfRule type="cellIs" dxfId="790" priority="13" stopIfTrue="1" operator="lessThan">
      <formula>0</formula>
    </cfRule>
  </conditionalFormatting>
  <conditionalFormatting sqref="D54">
    <cfRule type="cellIs" dxfId="789" priority="12" stopIfTrue="1" operator="lessThan">
      <formula>0</formula>
    </cfRule>
  </conditionalFormatting>
  <conditionalFormatting sqref="D55">
    <cfRule type="cellIs" dxfId="788" priority="11" stopIfTrue="1" operator="lessThan">
      <formula>0</formula>
    </cfRule>
  </conditionalFormatting>
  <conditionalFormatting sqref="D56">
    <cfRule type="cellIs" dxfId="787" priority="10" stopIfTrue="1" operator="lessThan">
      <formula>0</formula>
    </cfRule>
  </conditionalFormatting>
  <conditionalFormatting sqref="D57">
    <cfRule type="cellIs" dxfId="786" priority="9" stopIfTrue="1" operator="lessThan">
      <formula>0</formula>
    </cfRule>
  </conditionalFormatting>
  <conditionalFormatting sqref="D58">
    <cfRule type="cellIs" dxfId="785" priority="8" stopIfTrue="1" operator="lessThan">
      <formula>0</formula>
    </cfRule>
  </conditionalFormatting>
  <conditionalFormatting sqref="D59">
    <cfRule type="cellIs" dxfId="784" priority="7" stopIfTrue="1" operator="lessThan">
      <formula>0</formula>
    </cfRule>
  </conditionalFormatting>
  <conditionalFormatting sqref="D60">
    <cfRule type="cellIs" dxfId="783" priority="6" stopIfTrue="1" operator="lessThan">
      <formula>0</formula>
    </cfRule>
  </conditionalFormatting>
  <conditionalFormatting sqref="D61">
    <cfRule type="cellIs" dxfId="782" priority="5" stopIfTrue="1" operator="lessThan">
      <formula>0</formula>
    </cfRule>
  </conditionalFormatting>
  <conditionalFormatting sqref="C8:C9">
    <cfRule type="cellIs" dxfId="781" priority="4" stopIfTrue="1" operator="lessThan">
      <formula>0</formula>
    </cfRule>
  </conditionalFormatting>
  <conditionalFormatting sqref="F72">
    <cfRule type="cellIs" dxfId="780" priority="2" stopIfTrue="1" operator="notEqual">
      <formula>"OK"</formula>
    </cfRule>
  </conditionalFormatting>
  <conditionalFormatting sqref="F71">
    <cfRule type="cellIs" dxfId="779" priority="1" stopIfTrue="1" operator="notEqual">
      <formula>"OK"</formula>
    </cfRule>
  </conditionalFormatting>
  <dataValidations count="1">
    <dataValidation type="decimal" operator="greaterThanOrEqual" allowBlank="1" showErrorMessage="1" errorTitle="Input error" error="Numbers only!" sqref="C8:AH66" xr:uid="{00000000-0002-0000-0700-000000000000}">
      <formula1>-10000000</formula1>
    </dataValidation>
  </dataValidations>
  <pageMargins left="0.39370078740157483" right="0.39370078740157483" top="0.78740157480314965" bottom="0.78740157480314965" header="0.39370078740157483" footer="0.39370078740157483"/>
  <pageSetup paperSize="9" scale="44" orientation="landscape" r:id="rId1"/>
  <headerFooter alignWithMargins="0">
    <oddHeader>&amp;A</oddHeader>
    <oddFooter>Page &amp;P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09">
    <pageSetUpPr fitToPage="1"/>
  </sheetPr>
  <dimension ref="A1:EE1000"/>
  <sheetViews>
    <sheetView zoomScaleNormal="100" workbookViewId="0">
      <pane xSplit="2" ySplit="7" topLeftCell="C8" activePane="bottomRight" state="frozen"/>
      <selection activeCell="H62" sqref="H62"/>
      <selection pane="topRight" activeCell="H62" sqref="H62"/>
      <selection pane="bottomLeft" activeCell="H62" sqref="H62"/>
      <selection pane="bottomRight" activeCell="C8" sqref="C8"/>
    </sheetView>
  </sheetViews>
  <sheetFormatPr defaultColWidth="9.140625" defaultRowHeight="12.75" x14ac:dyDescent="0.2"/>
  <cols>
    <col min="1" max="1" width="31.28515625" style="2" customWidth="1"/>
    <col min="2" max="2" width="3.5703125" style="2" customWidth="1"/>
    <col min="3" max="28" width="9.28515625" style="2" customWidth="1"/>
    <col min="29" max="29" width="10.28515625" style="2" customWidth="1"/>
    <col min="30" max="34" width="9.28515625" style="2" customWidth="1"/>
    <col min="35" max="35" width="2" style="2" customWidth="1"/>
    <col min="36" max="36" width="76.140625" style="2" customWidth="1"/>
    <col min="37" max="37" width="9.140625" style="2" customWidth="1"/>
    <col min="38" max="38" width="3.42578125" style="141" customWidth="1"/>
    <col min="39" max="39" width="9.140625" style="141"/>
    <col min="40" max="44" width="9.140625" style="2"/>
    <col min="45" max="45" width="3.7109375" style="2" hidden="1" customWidth="1"/>
    <col min="46" max="46" width="13.42578125" style="2" hidden="1" customWidth="1"/>
    <col min="47" max="122" width="9.140625" style="2"/>
    <col min="123" max="135" width="9.140625" style="2" hidden="1" customWidth="1"/>
    <col min="136" max="16384" width="9.140625" style="2"/>
  </cols>
  <sheetData>
    <row r="1" spans="1:135" x14ac:dyDescent="0.2">
      <c r="A1" s="1" t="s">
        <v>611</v>
      </c>
      <c r="B1" s="1"/>
      <c r="AS1" s="141"/>
      <c r="AT1" s="303" t="s">
        <v>351</v>
      </c>
    </row>
    <row r="2" spans="1:135" x14ac:dyDescent="0.2">
      <c r="A2" s="24" t="str">
        <f>IF('Table 1'!D2=0,"",'Table 1'!D2)</f>
        <v>Netherlands</v>
      </c>
      <c r="B2" s="28"/>
      <c r="AS2" s="141"/>
      <c r="AT2" s="338" t="s">
        <v>415</v>
      </c>
    </row>
    <row r="3" spans="1:135" x14ac:dyDescent="0.2">
      <c r="A3" s="24" t="str">
        <f>IF('Table 1'!D3=0,"",'Table 1'!D3 &amp; " " &amp; QuestYear)</f>
        <v>September 2026</v>
      </c>
      <c r="B3" s="24"/>
      <c r="AS3" s="141"/>
      <c r="AT3" s="303" t="s">
        <v>586</v>
      </c>
    </row>
    <row r="4" spans="1:135" x14ac:dyDescent="0.2">
      <c r="A4" s="5" t="s">
        <v>682</v>
      </c>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H4" s="25" t="s">
        <v>108</v>
      </c>
      <c r="AS4" s="141"/>
      <c r="AT4" s="425" t="s">
        <v>590</v>
      </c>
    </row>
    <row r="5" spans="1:135" ht="12.75" customHeight="1" x14ac:dyDescent="0.2">
      <c r="A5" s="242"/>
      <c r="B5" s="203"/>
      <c r="C5" s="1106" t="s">
        <v>656</v>
      </c>
      <c r="D5" s="1106" t="s">
        <v>657</v>
      </c>
      <c r="E5" s="1106" t="s">
        <v>647</v>
      </c>
      <c r="F5" s="1158" t="s">
        <v>666</v>
      </c>
      <c r="G5" s="281"/>
      <c r="H5" s="1150" t="s">
        <v>885</v>
      </c>
      <c r="I5" s="1110" t="s">
        <v>645</v>
      </c>
      <c r="J5" s="1122" t="s">
        <v>8</v>
      </c>
      <c r="K5" s="1124" t="s">
        <v>9</v>
      </c>
      <c r="L5" s="1126" t="s">
        <v>10</v>
      </c>
      <c r="M5" s="1114" t="s">
        <v>659</v>
      </c>
      <c r="N5" s="329"/>
      <c r="O5" s="190"/>
      <c r="P5" s="1122" t="s">
        <v>660</v>
      </c>
      <c r="Q5" s="1124" t="s">
        <v>661</v>
      </c>
      <c r="R5" s="1116" t="s">
        <v>668</v>
      </c>
      <c r="S5" s="191"/>
      <c r="T5" s="192"/>
      <c r="U5" s="1126" t="s">
        <v>664</v>
      </c>
      <c r="V5" s="193"/>
      <c r="W5" s="190"/>
      <c r="X5" s="1118" t="s">
        <v>670</v>
      </c>
      <c r="Y5" s="190"/>
      <c r="Z5" s="190"/>
      <c r="AA5" s="1114" t="s">
        <v>628</v>
      </c>
      <c r="AB5" s="190"/>
      <c r="AC5" s="190"/>
      <c r="AD5" s="190"/>
      <c r="AE5" s="1122" t="s">
        <v>629</v>
      </c>
      <c r="AF5" s="1150" t="s">
        <v>630</v>
      </c>
      <c r="AG5" s="1120" t="s">
        <v>631</v>
      </c>
      <c r="AH5" s="1120" t="s">
        <v>679</v>
      </c>
      <c r="AJ5" s="1139" t="s">
        <v>350</v>
      </c>
      <c r="AS5" s="141"/>
    </row>
    <row r="6" spans="1:135" ht="45" customHeight="1" x14ac:dyDescent="0.25">
      <c r="A6" s="201"/>
      <c r="B6" s="202"/>
      <c r="C6" s="1107"/>
      <c r="D6" s="1107"/>
      <c r="E6" s="1107"/>
      <c r="F6" s="1159"/>
      <c r="G6" s="99" t="s">
        <v>667</v>
      </c>
      <c r="H6" s="1138"/>
      <c r="I6" s="1111"/>
      <c r="J6" s="1123"/>
      <c r="K6" s="1125"/>
      <c r="L6" s="1127"/>
      <c r="M6" s="1115"/>
      <c r="N6" s="184" t="s">
        <v>623</v>
      </c>
      <c r="O6" s="185" t="s">
        <v>626</v>
      </c>
      <c r="P6" s="1123"/>
      <c r="Q6" s="1125"/>
      <c r="R6" s="1117"/>
      <c r="S6" s="186" t="s">
        <v>662</v>
      </c>
      <c r="T6" s="187" t="s">
        <v>663</v>
      </c>
      <c r="U6" s="1127"/>
      <c r="V6" s="188" t="s">
        <v>627</v>
      </c>
      <c r="W6" s="189" t="s">
        <v>669</v>
      </c>
      <c r="X6" s="1119"/>
      <c r="Y6" s="184" t="s">
        <v>624</v>
      </c>
      <c r="Z6" s="186" t="s">
        <v>671</v>
      </c>
      <c r="AA6" s="1115"/>
      <c r="AB6" s="187" t="s">
        <v>674</v>
      </c>
      <c r="AC6" s="186" t="s">
        <v>1411</v>
      </c>
      <c r="AD6" s="196" t="s">
        <v>872</v>
      </c>
      <c r="AE6" s="1123"/>
      <c r="AF6" s="1138"/>
      <c r="AG6" s="1121"/>
      <c r="AH6" s="1121"/>
      <c r="AI6" s="27"/>
      <c r="AJ6" s="1140"/>
      <c r="AS6" s="141"/>
      <c r="AT6" s="141"/>
      <c r="DS6" s="650" t="s">
        <v>1121</v>
      </c>
      <c r="DT6" s="644"/>
      <c r="DU6" s="645"/>
      <c r="DV6" s="645"/>
      <c r="DW6" s="645"/>
      <c r="DX6" s="645"/>
      <c r="DY6" s="645"/>
      <c r="DZ6" s="645"/>
      <c r="EA6" s="645"/>
      <c r="EB6" s="645"/>
      <c r="EC6" s="645"/>
      <c r="ED6" s="645"/>
    </row>
    <row r="7" spans="1:135" ht="12.75" customHeight="1" x14ac:dyDescent="0.2">
      <c r="A7" s="97"/>
      <c r="B7" s="98"/>
      <c r="C7" s="87" t="s">
        <v>152</v>
      </c>
      <c r="D7" s="86" t="s">
        <v>153</v>
      </c>
      <c r="E7" s="86" t="s">
        <v>154</v>
      </c>
      <c r="F7" s="180" t="s">
        <v>155</v>
      </c>
      <c r="G7" s="198" t="s">
        <v>156</v>
      </c>
      <c r="H7" s="198" t="s">
        <v>157</v>
      </c>
      <c r="I7" s="199" t="s">
        <v>158</v>
      </c>
      <c r="J7" s="87" t="s">
        <v>159</v>
      </c>
      <c r="K7" s="87" t="s">
        <v>160</v>
      </c>
      <c r="L7" s="96" t="s">
        <v>161</v>
      </c>
      <c r="M7" s="179" t="s">
        <v>162</v>
      </c>
      <c r="N7" s="198" t="s">
        <v>163</v>
      </c>
      <c r="O7" s="89" t="s">
        <v>164</v>
      </c>
      <c r="P7" s="95" t="s">
        <v>165</v>
      </c>
      <c r="Q7" s="177" t="s">
        <v>166</v>
      </c>
      <c r="R7" s="180" t="s">
        <v>167</v>
      </c>
      <c r="S7" s="198" t="s">
        <v>168</v>
      </c>
      <c r="T7" s="86" t="s">
        <v>169</v>
      </c>
      <c r="U7" s="94" t="s">
        <v>170</v>
      </c>
      <c r="V7" s="87" t="s">
        <v>171</v>
      </c>
      <c r="W7" s="101" t="s">
        <v>172</v>
      </c>
      <c r="X7" s="176" t="s">
        <v>173</v>
      </c>
      <c r="Y7" s="200" t="s">
        <v>174</v>
      </c>
      <c r="Z7" s="89" t="s">
        <v>175</v>
      </c>
      <c r="AA7" s="179" t="s">
        <v>176</v>
      </c>
      <c r="AB7" s="200" t="s">
        <v>177</v>
      </c>
      <c r="AC7" s="200" t="s">
        <v>181</v>
      </c>
      <c r="AD7" s="89" t="s">
        <v>417</v>
      </c>
      <c r="AE7" s="178" t="s">
        <v>672</v>
      </c>
      <c r="AF7" s="89" t="s">
        <v>678</v>
      </c>
      <c r="AG7" s="90" t="s">
        <v>499</v>
      </c>
      <c r="AH7" s="90" t="s">
        <v>680</v>
      </c>
      <c r="AI7" s="27"/>
      <c r="AJ7" s="90" t="s">
        <v>1413</v>
      </c>
      <c r="AS7" s="141"/>
      <c r="AT7" s="303" t="s">
        <v>553</v>
      </c>
      <c r="DS7" s="646" t="s">
        <v>1122</v>
      </c>
      <c r="DT7" s="646" t="s">
        <v>1113</v>
      </c>
      <c r="DU7" s="646" t="s">
        <v>1123</v>
      </c>
      <c r="DV7" s="646" t="s">
        <v>1124</v>
      </c>
      <c r="DW7" s="646" t="s">
        <v>1125</v>
      </c>
      <c r="DX7" s="646" t="s">
        <v>1126</v>
      </c>
      <c r="DY7" s="646" t="s">
        <v>415</v>
      </c>
      <c r="DZ7" s="646" t="s">
        <v>1127</v>
      </c>
      <c r="EA7" s="646" t="s">
        <v>1128</v>
      </c>
      <c r="EB7" s="646" t="s">
        <v>1129</v>
      </c>
      <c r="EC7" s="646" t="s">
        <v>1130</v>
      </c>
      <c r="ED7" s="646" t="s">
        <v>1131</v>
      </c>
      <c r="EE7" s="646" t="s">
        <v>1244</v>
      </c>
    </row>
    <row r="8" spans="1:135" x14ac:dyDescent="0.2">
      <c r="A8" s="225" t="s">
        <v>930</v>
      </c>
      <c r="B8" s="632">
        <v>1</v>
      </c>
      <c r="C8" s="770">
        <v>0</v>
      </c>
      <c r="D8" s="830">
        <v>0</v>
      </c>
      <c r="E8" s="830">
        <v>0</v>
      </c>
      <c r="F8" s="866">
        <v>0</v>
      </c>
      <c r="G8" s="830">
        <v>0</v>
      </c>
      <c r="H8" s="830">
        <v>0</v>
      </c>
      <c r="I8" s="828">
        <f t="shared" ref="I8:I64" si="0">ROUND(SUM(C8:F8,H8),3)</f>
        <v>0</v>
      </c>
      <c r="J8" s="832">
        <v>0</v>
      </c>
      <c r="K8" s="832">
        <v>0</v>
      </c>
      <c r="L8" s="830">
        <v>0</v>
      </c>
      <c r="M8" s="802">
        <v>0</v>
      </c>
      <c r="N8" s="832">
        <v>0</v>
      </c>
      <c r="O8" s="833">
        <v>0</v>
      </c>
      <c r="P8" s="832">
        <v>0</v>
      </c>
      <c r="Q8" s="832">
        <v>0</v>
      </c>
      <c r="R8" s="781">
        <v>0</v>
      </c>
      <c r="S8" s="830">
        <v>0</v>
      </c>
      <c r="T8" s="830">
        <v>0</v>
      </c>
      <c r="U8" s="834">
        <v>0</v>
      </c>
      <c r="V8" s="832">
        <v>0</v>
      </c>
      <c r="W8" s="831">
        <v>0</v>
      </c>
      <c r="X8" s="783">
        <v>0</v>
      </c>
      <c r="Y8" s="830">
        <v>0</v>
      </c>
      <c r="Z8" s="833">
        <v>0</v>
      </c>
      <c r="AA8" s="802">
        <v>0</v>
      </c>
      <c r="AB8" s="835">
        <v>0</v>
      </c>
      <c r="AC8" s="1094">
        <v>0</v>
      </c>
      <c r="AD8" s="833">
        <v>0</v>
      </c>
      <c r="AE8" s="836">
        <v>0</v>
      </c>
      <c r="AF8" s="836">
        <v>0</v>
      </c>
      <c r="AG8" s="827">
        <f t="shared" ref="AG8:AG64" si="1">ROUND(SUM(J8:M8,P8:R8,U8,X8,AA8,AE8:AF8),3)</f>
        <v>0</v>
      </c>
      <c r="AH8" s="827">
        <f t="shared" ref="AH8:AH64" si="2">ROUND(SUM(I8,AG8),3)</f>
        <v>0</v>
      </c>
      <c r="AI8" s="466">
        <f>IF(ROUND(I8-SUM(C8:F8,H8),3)=0,0,1)+IF(ROUND(AG8-SUM(J8:M8,P8:R8,U8,X8,AA8,AE8:AF8),3)=0,0,1)+IF(ROUND(AH8-SUM(AG8,I8),3)=0,0,1)</f>
        <v>0</v>
      </c>
      <c r="AJ8" s="467" t="str">
        <f>IF(AI8=0," ",IF(AI8=1,"A total is not equal to the sum of its components: ",AI8&amp;" totals are not equal to the sum of their components: "))&amp;IF(AI8=0,"",IF(I8-SUM(C8:F8,H8)=0,"","Total crude. ")&amp;IF(AG8-SUM(J8:M8,P8:R8,U8,X8,AA8,AE8:AF8)=0,"","Total products. ")&amp;IF(AH8-SUM(AG8,I8)=0,"","Total oil."))</f>
        <v xml:space="preserve"> </v>
      </c>
      <c r="AS8" s="130" t="s">
        <v>932</v>
      </c>
      <c r="AT8" s="130" t="s">
        <v>931</v>
      </c>
      <c r="DS8" s="647" t="str">
        <f>VLOOKUP(CountryUser, Param!$C$9:$E$67, 3, 0)</f>
        <v>NL</v>
      </c>
      <c r="DT8" s="647" t="s">
        <v>1132</v>
      </c>
      <c r="DU8" s="667" t="s">
        <v>415</v>
      </c>
      <c r="DV8" s="667" t="s">
        <v>1188</v>
      </c>
      <c r="DW8" s="667" t="s">
        <v>1134</v>
      </c>
      <c r="DX8" s="667" t="s">
        <v>1134</v>
      </c>
      <c r="DY8" s="669" t="s">
        <v>1253</v>
      </c>
      <c r="DZ8" s="667" t="s">
        <v>1134</v>
      </c>
      <c r="EA8" s="670" t="s">
        <v>932</v>
      </c>
      <c r="EB8" s="667" t="s">
        <v>1135</v>
      </c>
      <c r="EC8" s="667" t="s">
        <v>1134</v>
      </c>
      <c r="ED8" s="667" t="s">
        <v>1136</v>
      </c>
      <c r="EE8" s="667" t="str">
        <f>QuestYear&amp;"-"&amp;TEXT(MATCH(FirstMonth, Param!C71:C82,0), "00")</f>
        <v>2026-09</v>
      </c>
    </row>
    <row r="9" spans="1:135" x14ac:dyDescent="0.2">
      <c r="A9" s="225" t="s">
        <v>554</v>
      </c>
      <c r="B9" s="632">
        <v>2</v>
      </c>
      <c r="C9" s="770">
        <v>0</v>
      </c>
      <c r="D9" s="830">
        <v>0</v>
      </c>
      <c r="E9" s="830">
        <v>0</v>
      </c>
      <c r="F9" s="866">
        <v>0</v>
      </c>
      <c r="G9" s="830">
        <v>0</v>
      </c>
      <c r="H9" s="830">
        <v>0</v>
      </c>
      <c r="I9" s="828">
        <f t="shared" si="0"/>
        <v>0</v>
      </c>
      <c r="J9" s="832">
        <v>0</v>
      </c>
      <c r="K9" s="832">
        <v>0</v>
      </c>
      <c r="L9" s="830">
        <v>0</v>
      </c>
      <c r="M9" s="802">
        <v>0</v>
      </c>
      <c r="N9" s="832">
        <v>0</v>
      </c>
      <c r="O9" s="833">
        <v>0</v>
      </c>
      <c r="P9" s="832">
        <v>0</v>
      </c>
      <c r="Q9" s="832">
        <v>0</v>
      </c>
      <c r="R9" s="781">
        <v>0</v>
      </c>
      <c r="S9" s="830">
        <v>0</v>
      </c>
      <c r="T9" s="830">
        <v>0</v>
      </c>
      <c r="U9" s="834">
        <v>0</v>
      </c>
      <c r="V9" s="832">
        <v>0</v>
      </c>
      <c r="W9" s="831">
        <v>0</v>
      </c>
      <c r="X9" s="783">
        <v>0</v>
      </c>
      <c r="Y9" s="830">
        <v>0</v>
      </c>
      <c r="Z9" s="833">
        <v>0</v>
      </c>
      <c r="AA9" s="802">
        <v>0</v>
      </c>
      <c r="AB9" s="835">
        <v>0</v>
      </c>
      <c r="AC9" s="1094">
        <v>0</v>
      </c>
      <c r="AD9" s="833">
        <v>0</v>
      </c>
      <c r="AE9" s="836">
        <v>0</v>
      </c>
      <c r="AF9" s="836">
        <v>0</v>
      </c>
      <c r="AG9" s="827">
        <f t="shared" si="1"/>
        <v>0</v>
      </c>
      <c r="AH9" s="827">
        <f t="shared" si="2"/>
        <v>0</v>
      </c>
      <c r="AI9" s="466">
        <f t="shared" ref="AI9:AI63" si="3">IF(ROUND(I9-SUM(C9:F9,H9),3)=0,0,1)+IF(ROUND(AG9-SUM(J9:M9,P9:R9,U9,X9,AA9,AE9:AF9),3)=0,0,1)+IF(ROUND(AH9-SUM(AG9,I9),3)=0,0,1)</f>
        <v>0</v>
      </c>
      <c r="AJ9" s="467" t="str">
        <f t="shared" ref="AJ9:AJ63" si="4">IF(AI9=0," ",IF(AI9=1,"A total is not equal to the sum of its components: ",AI9&amp;" totals are not equal to the sum of their components: "))&amp;IF(AI9=0,"",IF(I9-SUM(C9:F9,H9)=0,"","Total crude. ")&amp;IF(AG9-SUM(J9:M9,P9:R9,U9,X9,AA9,AE9:AF9)=0,"","Total products. ")&amp;IF(AH9-SUM(AG9,I9)=0,"","Total oil."))</f>
        <v xml:space="preserve"> </v>
      </c>
      <c r="AS9" s="130" t="s">
        <v>501</v>
      </c>
      <c r="AT9" s="130" t="s">
        <v>502</v>
      </c>
      <c r="DS9" s="647"/>
      <c r="DT9" s="647"/>
      <c r="DU9" s="667" t="s">
        <v>415</v>
      </c>
      <c r="DV9" s="667" t="s">
        <v>1188</v>
      </c>
      <c r="DW9" s="667" t="s">
        <v>1134</v>
      </c>
      <c r="DX9" s="667" t="s">
        <v>1134</v>
      </c>
      <c r="DY9" s="669" t="s">
        <v>1253</v>
      </c>
      <c r="DZ9" s="667" t="s">
        <v>1134</v>
      </c>
      <c r="EA9" s="670" t="s">
        <v>501</v>
      </c>
      <c r="EB9" s="667" t="s">
        <v>1135</v>
      </c>
      <c r="EC9" s="667" t="s">
        <v>1134</v>
      </c>
      <c r="ED9" s="667" t="s">
        <v>1136</v>
      </c>
      <c r="EE9" s="1077"/>
    </row>
    <row r="10" spans="1:135" x14ac:dyDescent="0.2">
      <c r="A10" s="225" t="s">
        <v>115</v>
      </c>
      <c r="B10" s="632">
        <v>3</v>
      </c>
      <c r="C10" s="770">
        <v>0</v>
      </c>
      <c r="D10" s="830">
        <v>0</v>
      </c>
      <c r="E10" s="830">
        <v>0</v>
      </c>
      <c r="F10" s="866">
        <v>0</v>
      </c>
      <c r="G10" s="830">
        <v>0</v>
      </c>
      <c r="H10" s="830">
        <v>0</v>
      </c>
      <c r="I10" s="828">
        <f t="shared" si="0"/>
        <v>0</v>
      </c>
      <c r="J10" s="832">
        <v>0</v>
      </c>
      <c r="K10" s="832">
        <v>0</v>
      </c>
      <c r="L10" s="830">
        <v>0</v>
      </c>
      <c r="M10" s="802">
        <v>0</v>
      </c>
      <c r="N10" s="832">
        <v>0</v>
      </c>
      <c r="O10" s="833">
        <v>0</v>
      </c>
      <c r="P10" s="832">
        <v>0</v>
      </c>
      <c r="Q10" s="832">
        <v>0</v>
      </c>
      <c r="R10" s="781">
        <v>0</v>
      </c>
      <c r="S10" s="830">
        <v>0</v>
      </c>
      <c r="T10" s="830">
        <v>0</v>
      </c>
      <c r="U10" s="834">
        <v>0</v>
      </c>
      <c r="V10" s="832">
        <v>0</v>
      </c>
      <c r="W10" s="831">
        <v>0</v>
      </c>
      <c r="X10" s="783">
        <v>0</v>
      </c>
      <c r="Y10" s="830">
        <v>0</v>
      </c>
      <c r="Z10" s="833">
        <v>0</v>
      </c>
      <c r="AA10" s="802">
        <v>0</v>
      </c>
      <c r="AB10" s="835">
        <v>0</v>
      </c>
      <c r="AC10" s="1094">
        <v>0</v>
      </c>
      <c r="AD10" s="833">
        <v>0</v>
      </c>
      <c r="AE10" s="836">
        <v>0</v>
      </c>
      <c r="AF10" s="836">
        <v>0</v>
      </c>
      <c r="AG10" s="827">
        <f t="shared" si="1"/>
        <v>0</v>
      </c>
      <c r="AH10" s="827">
        <f t="shared" si="2"/>
        <v>0</v>
      </c>
      <c r="AI10" s="466">
        <f t="shared" si="3"/>
        <v>0</v>
      </c>
      <c r="AJ10" s="467" t="str">
        <f t="shared" si="4"/>
        <v xml:space="preserve"> </v>
      </c>
      <c r="AS10" s="139" t="s">
        <v>232</v>
      </c>
      <c r="AT10" s="139" t="s">
        <v>231</v>
      </c>
      <c r="DS10" s="668"/>
      <c r="DT10" s="668"/>
      <c r="DU10" s="667" t="s">
        <v>415</v>
      </c>
      <c r="DV10" s="667" t="s">
        <v>1188</v>
      </c>
      <c r="DW10" s="667" t="s">
        <v>1134</v>
      </c>
      <c r="DX10" s="667" t="s">
        <v>1134</v>
      </c>
      <c r="DY10" s="669" t="s">
        <v>1253</v>
      </c>
      <c r="DZ10" s="667" t="s">
        <v>1134</v>
      </c>
      <c r="EA10" s="670" t="s">
        <v>232</v>
      </c>
      <c r="EB10" s="667" t="s">
        <v>1135</v>
      </c>
      <c r="EC10" s="667" t="s">
        <v>1134</v>
      </c>
      <c r="ED10" s="667" t="s">
        <v>1136</v>
      </c>
    </row>
    <row r="11" spans="1:135" x14ac:dyDescent="0.2">
      <c r="A11" s="225" t="s">
        <v>15</v>
      </c>
      <c r="B11" s="632">
        <v>4</v>
      </c>
      <c r="C11" s="770">
        <v>0</v>
      </c>
      <c r="D11" s="830">
        <v>0</v>
      </c>
      <c r="E11" s="830">
        <v>0</v>
      </c>
      <c r="F11" s="866">
        <v>0</v>
      </c>
      <c r="G11" s="830">
        <v>0</v>
      </c>
      <c r="H11" s="830">
        <v>0</v>
      </c>
      <c r="I11" s="828">
        <f t="shared" si="0"/>
        <v>0</v>
      </c>
      <c r="J11" s="832">
        <v>0</v>
      </c>
      <c r="K11" s="832">
        <v>0</v>
      </c>
      <c r="L11" s="830">
        <v>0</v>
      </c>
      <c r="M11" s="802">
        <v>0</v>
      </c>
      <c r="N11" s="832">
        <v>0</v>
      </c>
      <c r="O11" s="833">
        <v>0</v>
      </c>
      <c r="P11" s="832">
        <v>0</v>
      </c>
      <c r="Q11" s="832">
        <v>0</v>
      </c>
      <c r="R11" s="781">
        <v>0</v>
      </c>
      <c r="S11" s="830">
        <v>0</v>
      </c>
      <c r="T11" s="830">
        <v>0</v>
      </c>
      <c r="U11" s="834">
        <v>0</v>
      </c>
      <c r="V11" s="832">
        <v>0</v>
      </c>
      <c r="W11" s="831">
        <v>0</v>
      </c>
      <c r="X11" s="783">
        <v>0</v>
      </c>
      <c r="Y11" s="830">
        <v>0</v>
      </c>
      <c r="Z11" s="833">
        <v>0</v>
      </c>
      <c r="AA11" s="802">
        <v>0</v>
      </c>
      <c r="AB11" s="835">
        <v>0</v>
      </c>
      <c r="AC11" s="1094">
        <v>0</v>
      </c>
      <c r="AD11" s="833">
        <v>0</v>
      </c>
      <c r="AE11" s="836">
        <v>0</v>
      </c>
      <c r="AF11" s="836">
        <v>0</v>
      </c>
      <c r="AG11" s="827">
        <f t="shared" si="1"/>
        <v>0</v>
      </c>
      <c r="AH11" s="827">
        <f t="shared" si="2"/>
        <v>0</v>
      </c>
      <c r="AI11" s="466">
        <f t="shared" si="3"/>
        <v>0</v>
      </c>
      <c r="AJ11" s="467" t="str">
        <f t="shared" si="4"/>
        <v xml:space="preserve"> </v>
      </c>
      <c r="AS11" s="139" t="s">
        <v>234</v>
      </c>
      <c r="AT11" s="139" t="s">
        <v>233</v>
      </c>
      <c r="DS11" s="648"/>
      <c r="DT11" s="648"/>
      <c r="DU11" s="667" t="s">
        <v>415</v>
      </c>
      <c r="DV11" s="667" t="s">
        <v>1188</v>
      </c>
      <c r="DW11" s="667" t="s">
        <v>1134</v>
      </c>
      <c r="DX11" s="667" t="s">
        <v>1134</v>
      </c>
      <c r="DY11" s="669" t="s">
        <v>1253</v>
      </c>
      <c r="DZ11" s="667" t="s">
        <v>1134</v>
      </c>
      <c r="EA11" s="670" t="s">
        <v>234</v>
      </c>
      <c r="EB11" s="667" t="s">
        <v>1135</v>
      </c>
      <c r="EC11" s="667" t="s">
        <v>1134</v>
      </c>
      <c r="ED11" s="667" t="s">
        <v>1136</v>
      </c>
    </row>
    <row r="12" spans="1:135" x14ac:dyDescent="0.2">
      <c r="A12" s="225" t="s">
        <v>556</v>
      </c>
      <c r="B12" s="632">
        <v>5</v>
      </c>
      <c r="C12" s="770">
        <v>0</v>
      </c>
      <c r="D12" s="830">
        <v>0</v>
      </c>
      <c r="E12" s="830">
        <v>0</v>
      </c>
      <c r="F12" s="866">
        <v>0</v>
      </c>
      <c r="G12" s="830">
        <v>0</v>
      </c>
      <c r="H12" s="830">
        <v>0</v>
      </c>
      <c r="I12" s="828">
        <f t="shared" si="0"/>
        <v>0</v>
      </c>
      <c r="J12" s="832">
        <v>0</v>
      </c>
      <c r="K12" s="832">
        <v>0</v>
      </c>
      <c r="L12" s="830">
        <v>0</v>
      </c>
      <c r="M12" s="802">
        <v>0</v>
      </c>
      <c r="N12" s="832">
        <v>0</v>
      </c>
      <c r="O12" s="833">
        <v>0</v>
      </c>
      <c r="P12" s="832">
        <v>0</v>
      </c>
      <c r="Q12" s="832">
        <v>0</v>
      </c>
      <c r="R12" s="781">
        <v>0</v>
      </c>
      <c r="S12" s="830">
        <v>0</v>
      </c>
      <c r="T12" s="830">
        <v>0</v>
      </c>
      <c r="U12" s="834">
        <v>0</v>
      </c>
      <c r="V12" s="832">
        <v>0</v>
      </c>
      <c r="W12" s="831">
        <v>0</v>
      </c>
      <c r="X12" s="783">
        <v>0</v>
      </c>
      <c r="Y12" s="830">
        <v>0</v>
      </c>
      <c r="Z12" s="833">
        <v>0</v>
      </c>
      <c r="AA12" s="802">
        <v>0</v>
      </c>
      <c r="AB12" s="835">
        <v>0</v>
      </c>
      <c r="AC12" s="1094">
        <v>0</v>
      </c>
      <c r="AD12" s="833">
        <v>0</v>
      </c>
      <c r="AE12" s="836">
        <v>0</v>
      </c>
      <c r="AF12" s="836">
        <v>0</v>
      </c>
      <c r="AG12" s="827">
        <f t="shared" si="1"/>
        <v>0</v>
      </c>
      <c r="AH12" s="827">
        <f t="shared" si="2"/>
        <v>0</v>
      </c>
      <c r="AI12" s="466">
        <f t="shared" si="3"/>
        <v>0</v>
      </c>
      <c r="AJ12" s="467" t="str">
        <f t="shared" si="4"/>
        <v xml:space="preserve"> </v>
      </c>
      <c r="AS12" s="130" t="s">
        <v>505</v>
      </c>
      <c r="AT12" s="130" t="s">
        <v>506</v>
      </c>
      <c r="DS12" s="648"/>
      <c r="DT12" s="648"/>
      <c r="DU12" s="667" t="s">
        <v>415</v>
      </c>
      <c r="DV12" s="667" t="s">
        <v>1188</v>
      </c>
      <c r="DW12" s="667" t="s">
        <v>1134</v>
      </c>
      <c r="DX12" s="667" t="s">
        <v>1134</v>
      </c>
      <c r="DY12" s="669" t="s">
        <v>1253</v>
      </c>
      <c r="DZ12" s="667" t="s">
        <v>1134</v>
      </c>
      <c r="EA12" s="670" t="s">
        <v>505</v>
      </c>
      <c r="EB12" s="667" t="s">
        <v>1135</v>
      </c>
      <c r="EC12" s="667" t="s">
        <v>1134</v>
      </c>
      <c r="ED12" s="667" t="s">
        <v>1136</v>
      </c>
    </row>
    <row r="13" spans="1:135" x14ac:dyDescent="0.2">
      <c r="A13" s="225" t="s">
        <v>116</v>
      </c>
      <c r="B13" s="632">
        <v>6</v>
      </c>
      <c r="C13" s="770">
        <v>0</v>
      </c>
      <c r="D13" s="830">
        <v>0</v>
      </c>
      <c r="E13" s="830">
        <v>0</v>
      </c>
      <c r="F13" s="866">
        <v>0</v>
      </c>
      <c r="G13" s="830">
        <v>0</v>
      </c>
      <c r="H13" s="830">
        <v>0</v>
      </c>
      <c r="I13" s="828">
        <f t="shared" si="0"/>
        <v>0</v>
      </c>
      <c r="J13" s="832">
        <v>0</v>
      </c>
      <c r="K13" s="832">
        <v>0</v>
      </c>
      <c r="L13" s="830">
        <v>0</v>
      </c>
      <c r="M13" s="802">
        <v>0</v>
      </c>
      <c r="N13" s="832">
        <v>0</v>
      </c>
      <c r="O13" s="833">
        <v>0</v>
      </c>
      <c r="P13" s="832">
        <v>0</v>
      </c>
      <c r="Q13" s="832">
        <v>0</v>
      </c>
      <c r="R13" s="781">
        <v>0</v>
      </c>
      <c r="S13" s="830">
        <v>0</v>
      </c>
      <c r="T13" s="830">
        <v>0</v>
      </c>
      <c r="U13" s="834">
        <v>0</v>
      </c>
      <c r="V13" s="832">
        <v>0</v>
      </c>
      <c r="W13" s="831">
        <v>0</v>
      </c>
      <c r="X13" s="783">
        <v>0</v>
      </c>
      <c r="Y13" s="830">
        <v>0</v>
      </c>
      <c r="Z13" s="833">
        <v>0</v>
      </c>
      <c r="AA13" s="802">
        <v>0</v>
      </c>
      <c r="AB13" s="835">
        <v>0</v>
      </c>
      <c r="AC13" s="1094">
        <v>0</v>
      </c>
      <c r="AD13" s="833">
        <v>0</v>
      </c>
      <c r="AE13" s="836">
        <v>0</v>
      </c>
      <c r="AF13" s="836">
        <v>0</v>
      </c>
      <c r="AG13" s="827">
        <f t="shared" si="1"/>
        <v>0</v>
      </c>
      <c r="AH13" s="827">
        <f t="shared" si="2"/>
        <v>0</v>
      </c>
      <c r="AI13" s="466">
        <f t="shared" si="3"/>
        <v>0</v>
      </c>
      <c r="AJ13" s="467" t="str">
        <f t="shared" si="4"/>
        <v xml:space="preserve"> </v>
      </c>
      <c r="AS13" s="139" t="s">
        <v>236</v>
      </c>
      <c r="AT13" s="139" t="s">
        <v>235</v>
      </c>
      <c r="DS13" s="648"/>
      <c r="DT13" s="648"/>
      <c r="DU13" s="667" t="s">
        <v>415</v>
      </c>
      <c r="DV13" s="667" t="s">
        <v>1188</v>
      </c>
      <c r="DW13" s="667" t="s">
        <v>1134</v>
      </c>
      <c r="DX13" s="667" t="s">
        <v>1134</v>
      </c>
      <c r="DY13" s="669" t="s">
        <v>1253</v>
      </c>
      <c r="DZ13" s="667" t="s">
        <v>1134</v>
      </c>
      <c r="EA13" s="670" t="s">
        <v>236</v>
      </c>
      <c r="EB13" s="667" t="s">
        <v>1135</v>
      </c>
      <c r="EC13" s="667" t="s">
        <v>1134</v>
      </c>
      <c r="ED13" s="667" t="s">
        <v>1136</v>
      </c>
    </row>
    <row r="14" spans="1:135" x14ac:dyDescent="0.2">
      <c r="A14" s="225" t="s">
        <v>595</v>
      </c>
      <c r="B14" s="632">
        <v>7</v>
      </c>
      <c r="C14" s="770">
        <v>0</v>
      </c>
      <c r="D14" s="830">
        <v>0</v>
      </c>
      <c r="E14" s="830">
        <v>0</v>
      </c>
      <c r="F14" s="866">
        <v>0</v>
      </c>
      <c r="G14" s="830">
        <v>0</v>
      </c>
      <c r="H14" s="830">
        <v>0</v>
      </c>
      <c r="I14" s="828">
        <f t="shared" si="0"/>
        <v>0</v>
      </c>
      <c r="J14" s="832">
        <v>0</v>
      </c>
      <c r="K14" s="832">
        <v>0</v>
      </c>
      <c r="L14" s="830">
        <v>0</v>
      </c>
      <c r="M14" s="802">
        <v>0</v>
      </c>
      <c r="N14" s="832">
        <v>0</v>
      </c>
      <c r="O14" s="833">
        <v>0</v>
      </c>
      <c r="P14" s="832">
        <v>0</v>
      </c>
      <c r="Q14" s="832">
        <v>0</v>
      </c>
      <c r="R14" s="781">
        <v>0</v>
      </c>
      <c r="S14" s="830">
        <v>0</v>
      </c>
      <c r="T14" s="830">
        <v>0</v>
      </c>
      <c r="U14" s="834">
        <v>0</v>
      </c>
      <c r="V14" s="832">
        <v>0</v>
      </c>
      <c r="W14" s="831">
        <v>0</v>
      </c>
      <c r="X14" s="783">
        <v>0</v>
      </c>
      <c r="Y14" s="830">
        <v>0</v>
      </c>
      <c r="Z14" s="833">
        <v>0</v>
      </c>
      <c r="AA14" s="802">
        <v>0</v>
      </c>
      <c r="AB14" s="835">
        <v>0</v>
      </c>
      <c r="AC14" s="1094">
        <v>0</v>
      </c>
      <c r="AD14" s="833">
        <v>0</v>
      </c>
      <c r="AE14" s="836">
        <v>0</v>
      </c>
      <c r="AF14" s="836">
        <v>0</v>
      </c>
      <c r="AG14" s="827">
        <f t="shared" si="1"/>
        <v>0</v>
      </c>
      <c r="AH14" s="827">
        <f t="shared" si="2"/>
        <v>0</v>
      </c>
      <c r="AI14" s="466">
        <f t="shared" si="3"/>
        <v>0</v>
      </c>
      <c r="AJ14" s="467" t="str">
        <f t="shared" si="4"/>
        <v xml:space="preserve"> </v>
      </c>
      <c r="AS14" s="139" t="s">
        <v>537</v>
      </c>
      <c r="AT14" s="139" t="s">
        <v>538</v>
      </c>
      <c r="DS14" s="648"/>
      <c r="DT14" s="648"/>
      <c r="DU14" s="667" t="s">
        <v>415</v>
      </c>
      <c r="DV14" s="667" t="s">
        <v>1188</v>
      </c>
      <c r="DW14" s="667" t="s">
        <v>1134</v>
      </c>
      <c r="DX14" s="667" t="s">
        <v>1134</v>
      </c>
      <c r="DY14" s="669" t="s">
        <v>1253</v>
      </c>
      <c r="DZ14" s="667" t="s">
        <v>1134</v>
      </c>
      <c r="EA14" s="670" t="s">
        <v>537</v>
      </c>
      <c r="EB14" s="667" t="s">
        <v>1135</v>
      </c>
      <c r="EC14" s="667" t="s">
        <v>1134</v>
      </c>
      <c r="ED14" s="667" t="s">
        <v>1136</v>
      </c>
    </row>
    <row r="15" spans="1:135" x14ac:dyDescent="0.2">
      <c r="A15" s="225" t="s">
        <v>20</v>
      </c>
      <c r="B15" s="632">
        <v>8</v>
      </c>
      <c r="C15" s="770">
        <v>0</v>
      </c>
      <c r="D15" s="830">
        <v>0</v>
      </c>
      <c r="E15" s="830">
        <v>0</v>
      </c>
      <c r="F15" s="866">
        <v>0</v>
      </c>
      <c r="G15" s="830">
        <v>0</v>
      </c>
      <c r="H15" s="830">
        <v>0</v>
      </c>
      <c r="I15" s="828">
        <f t="shared" si="0"/>
        <v>0</v>
      </c>
      <c r="J15" s="832">
        <v>0</v>
      </c>
      <c r="K15" s="832">
        <v>0</v>
      </c>
      <c r="L15" s="830">
        <v>0</v>
      </c>
      <c r="M15" s="802">
        <v>0</v>
      </c>
      <c r="N15" s="832">
        <v>0</v>
      </c>
      <c r="O15" s="833">
        <v>0</v>
      </c>
      <c r="P15" s="832">
        <v>0</v>
      </c>
      <c r="Q15" s="832">
        <v>0</v>
      </c>
      <c r="R15" s="781">
        <v>0</v>
      </c>
      <c r="S15" s="830">
        <v>0</v>
      </c>
      <c r="T15" s="830">
        <v>0</v>
      </c>
      <c r="U15" s="834">
        <v>0</v>
      </c>
      <c r="V15" s="832">
        <v>0</v>
      </c>
      <c r="W15" s="831">
        <v>0</v>
      </c>
      <c r="X15" s="783">
        <v>0</v>
      </c>
      <c r="Y15" s="830">
        <v>0</v>
      </c>
      <c r="Z15" s="833">
        <v>0</v>
      </c>
      <c r="AA15" s="802">
        <v>0</v>
      </c>
      <c r="AB15" s="835">
        <v>0</v>
      </c>
      <c r="AC15" s="1094">
        <v>0</v>
      </c>
      <c r="AD15" s="833">
        <v>0</v>
      </c>
      <c r="AE15" s="836">
        <v>0</v>
      </c>
      <c r="AF15" s="836">
        <v>0</v>
      </c>
      <c r="AG15" s="827">
        <f t="shared" si="1"/>
        <v>0</v>
      </c>
      <c r="AH15" s="827">
        <f t="shared" si="2"/>
        <v>0</v>
      </c>
      <c r="AI15" s="466">
        <f t="shared" si="3"/>
        <v>0</v>
      </c>
      <c r="AJ15" s="467" t="str">
        <f t="shared" si="4"/>
        <v xml:space="preserve"> </v>
      </c>
      <c r="AS15" s="139" t="s">
        <v>433</v>
      </c>
      <c r="AT15" s="139" t="s">
        <v>434</v>
      </c>
      <c r="DS15" s="648"/>
      <c r="DT15" s="648"/>
      <c r="DU15" s="667" t="s">
        <v>415</v>
      </c>
      <c r="DV15" s="667" t="s">
        <v>1188</v>
      </c>
      <c r="DW15" s="667" t="s">
        <v>1134</v>
      </c>
      <c r="DX15" s="667" t="s">
        <v>1134</v>
      </c>
      <c r="DY15" s="669" t="s">
        <v>1253</v>
      </c>
      <c r="DZ15" s="667" t="s">
        <v>1134</v>
      </c>
      <c r="EA15" s="670" t="s">
        <v>433</v>
      </c>
      <c r="EB15" s="667" t="s">
        <v>1135</v>
      </c>
      <c r="EC15" s="667" t="s">
        <v>1134</v>
      </c>
      <c r="ED15" s="667" t="s">
        <v>1136</v>
      </c>
    </row>
    <row r="16" spans="1:135" x14ac:dyDescent="0.2">
      <c r="A16" s="225" t="s">
        <v>117</v>
      </c>
      <c r="B16" s="632">
        <v>9</v>
      </c>
      <c r="C16" s="770">
        <v>0</v>
      </c>
      <c r="D16" s="830">
        <v>0</v>
      </c>
      <c r="E16" s="830">
        <v>0</v>
      </c>
      <c r="F16" s="866">
        <v>0</v>
      </c>
      <c r="G16" s="830">
        <v>0</v>
      </c>
      <c r="H16" s="830">
        <v>0</v>
      </c>
      <c r="I16" s="828">
        <f t="shared" si="0"/>
        <v>0</v>
      </c>
      <c r="J16" s="832">
        <v>0</v>
      </c>
      <c r="K16" s="832">
        <v>0</v>
      </c>
      <c r="L16" s="830">
        <v>0</v>
      </c>
      <c r="M16" s="802">
        <v>0</v>
      </c>
      <c r="N16" s="832">
        <v>0</v>
      </c>
      <c r="O16" s="833">
        <v>0</v>
      </c>
      <c r="P16" s="832">
        <v>0</v>
      </c>
      <c r="Q16" s="832">
        <v>0</v>
      </c>
      <c r="R16" s="781">
        <v>0</v>
      </c>
      <c r="S16" s="830">
        <v>0</v>
      </c>
      <c r="T16" s="830">
        <v>0</v>
      </c>
      <c r="U16" s="834">
        <v>0</v>
      </c>
      <c r="V16" s="832">
        <v>0</v>
      </c>
      <c r="W16" s="831">
        <v>0</v>
      </c>
      <c r="X16" s="783">
        <v>0</v>
      </c>
      <c r="Y16" s="830">
        <v>0</v>
      </c>
      <c r="Z16" s="833">
        <v>0</v>
      </c>
      <c r="AA16" s="802">
        <v>0</v>
      </c>
      <c r="AB16" s="835">
        <v>0</v>
      </c>
      <c r="AC16" s="1094">
        <v>0</v>
      </c>
      <c r="AD16" s="833">
        <v>0</v>
      </c>
      <c r="AE16" s="836">
        <v>0</v>
      </c>
      <c r="AF16" s="836">
        <v>0</v>
      </c>
      <c r="AG16" s="827">
        <f t="shared" si="1"/>
        <v>0</v>
      </c>
      <c r="AH16" s="827">
        <f t="shared" si="2"/>
        <v>0</v>
      </c>
      <c r="AI16" s="466">
        <f t="shared" si="3"/>
        <v>0</v>
      </c>
      <c r="AJ16" s="467" t="str">
        <f t="shared" si="4"/>
        <v xml:space="preserve"> </v>
      </c>
      <c r="AS16" s="139" t="s">
        <v>238</v>
      </c>
      <c r="AT16" s="139" t="s">
        <v>237</v>
      </c>
      <c r="DS16" s="648"/>
      <c r="DT16" s="648"/>
      <c r="DU16" s="667" t="s">
        <v>415</v>
      </c>
      <c r="DV16" s="667" t="s">
        <v>1188</v>
      </c>
      <c r="DW16" s="667" t="s">
        <v>1134</v>
      </c>
      <c r="DX16" s="667" t="s">
        <v>1134</v>
      </c>
      <c r="DY16" s="669" t="s">
        <v>1253</v>
      </c>
      <c r="DZ16" s="667" t="s">
        <v>1134</v>
      </c>
      <c r="EA16" s="670" t="s">
        <v>238</v>
      </c>
      <c r="EB16" s="667" t="s">
        <v>1135</v>
      </c>
      <c r="EC16" s="667" t="s">
        <v>1134</v>
      </c>
      <c r="ED16" s="667" t="s">
        <v>1136</v>
      </c>
    </row>
    <row r="17" spans="1:134" x14ac:dyDescent="0.2">
      <c r="A17" s="225" t="s">
        <v>613</v>
      </c>
      <c r="B17" s="632">
        <v>10</v>
      </c>
      <c r="C17" s="770">
        <v>0</v>
      </c>
      <c r="D17" s="830">
        <v>0</v>
      </c>
      <c r="E17" s="830">
        <v>0</v>
      </c>
      <c r="F17" s="866">
        <v>0</v>
      </c>
      <c r="G17" s="830">
        <v>0</v>
      </c>
      <c r="H17" s="830">
        <v>0</v>
      </c>
      <c r="I17" s="828">
        <f t="shared" si="0"/>
        <v>0</v>
      </c>
      <c r="J17" s="832">
        <v>0</v>
      </c>
      <c r="K17" s="832">
        <v>0</v>
      </c>
      <c r="L17" s="830">
        <v>0</v>
      </c>
      <c r="M17" s="802">
        <v>0</v>
      </c>
      <c r="N17" s="832">
        <v>0</v>
      </c>
      <c r="O17" s="833">
        <v>0</v>
      </c>
      <c r="P17" s="832">
        <v>0</v>
      </c>
      <c r="Q17" s="832">
        <v>0</v>
      </c>
      <c r="R17" s="781">
        <v>0</v>
      </c>
      <c r="S17" s="830">
        <v>0</v>
      </c>
      <c r="T17" s="830">
        <v>0</v>
      </c>
      <c r="U17" s="834">
        <v>0</v>
      </c>
      <c r="V17" s="832">
        <v>0</v>
      </c>
      <c r="W17" s="831">
        <v>0</v>
      </c>
      <c r="X17" s="783">
        <v>0</v>
      </c>
      <c r="Y17" s="830">
        <v>0</v>
      </c>
      <c r="Z17" s="833">
        <v>0</v>
      </c>
      <c r="AA17" s="802">
        <v>0</v>
      </c>
      <c r="AB17" s="835">
        <v>0</v>
      </c>
      <c r="AC17" s="1094">
        <v>0</v>
      </c>
      <c r="AD17" s="833">
        <v>0</v>
      </c>
      <c r="AE17" s="836">
        <v>0</v>
      </c>
      <c r="AF17" s="836">
        <v>0</v>
      </c>
      <c r="AG17" s="827">
        <f t="shared" si="1"/>
        <v>0</v>
      </c>
      <c r="AH17" s="827">
        <f t="shared" si="2"/>
        <v>0</v>
      </c>
      <c r="AI17" s="466">
        <f t="shared" si="3"/>
        <v>0</v>
      </c>
      <c r="AJ17" s="467" t="str">
        <f t="shared" si="4"/>
        <v xml:space="preserve"> </v>
      </c>
      <c r="AS17" s="139" t="s">
        <v>617</v>
      </c>
      <c r="AT17" s="139" t="s">
        <v>618</v>
      </c>
      <c r="DS17" s="648"/>
      <c r="DT17" s="648"/>
      <c r="DU17" s="667" t="s">
        <v>415</v>
      </c>
      <c r="DV17" s="667" t="s">
        <v>1188</v>
      </c>
      <c r="DW17" s="667" t="s">
        <v>1134</v>
      </c>
      <c r="DX17" s="667" t="s">
        <v>1134</v>
      </c>
      <c r="DY17" s="669" t="s">
        <v>1253</v>
      </c>
      <c r="DZ17" s="667" t="s">
        <v>1134</v>
      </c>
      <c r="EA17" s="670" t="s">
        <v>617</v>
      </c>
      <c r="EB17" s="667" t="s">
        <v>1135</v>
      </c>
      <c r="EC17" s="667" t="s">
        <v>1134</v>
      </c>
      <c r="ED17" s="667" t="s">
        <v>1136</v>
      </c>
    </row>
    <row r="18" spans="1:134" x14ac:dyDescent="0.2">
      <c r="A18" s="225" t="s">
        <v>23</v>
      </c>
      <c r="B18" s="632">
        <v>11</v>
      </c>
      <c r="C18" s="770">
        <v>0</v>
      </c>
      <c r="D18" s="830">
        <v>0</v>
      </c>
      <c r="E18" s="830">
        <v>0</v>
      </c>
      <c r="F18" s="866">
        <v>0</v>
      </c>
      <c r="G18" s="830">
        <v>0</v>
      </c>
      <c r="H18" s="830">
        <v>0</v>
      </c>
      <c r="I18" s="828">
        <f t="shared" si="0"/>
        <v>0</v>
      </c>
      <c r="J18" s="832">
        <v>0</v>
      </c>
      <c r="K18" s="832">
        <v>0</v>
      </c>
      <c r="L18" s="830">
        <v>0</v>
      </c>
      <c r="M18" s="802">
        <v>0</v>
      </c>
      <c r="N18" s="832">
        <v>0</v>
      </c>
      <c r="O18" s="833">
        <v>0</v>
      </c>
      <c r="P18" s="832">
        <v>0</v>
      </c>
      <c r="Q18" s="832">
        <v>0</v>
      </c>
      <c r="R18" s="781">
        <v>0</v>
      </c>
      <c r="S18" s="830">
        <v>0</v>
      </c>
      <c r="T18" s="830">
        <v>0</v>
      </c>
      <c r="U18" s="834">
        <v>0</v>
      </c>
      <c r="V18" s="832">
        <v>0</v>
      </c>
      <c r="W18" s="831">
        <v>0</v>
      </c>
      <c r="X18" s="783">
        <v>0</v>
      </c>
      <c r="Y18" s="830">
        <v>0</v>
      </c>
      <c r="Z18" s="833">
        <v>0</v>
      </c>
      <c r="AA18" s="802">
        <v>0</v>
      </c>
      <c r="AB18" s="835">
        <v>0</v>
      </c>
      <c r="AC18" s="1094">
        <v>0</v>
      </c>
      <c r="AD18" s="833">
        <v>0</v>
      </c>
      <c r="AE18" s="836">
        <v>0</v>
      </c>
      <c r="AF18" s="836">
        <v>0</v>
      </c>
      <c r="AG18" s="827">
        <f t="shared" si="1"/>
        <v>0</v>
      </c>
      <c r="AH18" s="827">
        <f t="shared" si="2"/>
        <v>0</v>
      </c>
      <c r="AI18" s="466">
        <f t="shared" si="3"/>
        <v>0</v>
      </c>
      <c r="AJ18" s="467" t="str">
        <f t="shared" si="4"/>
        <v xml:space="preserve"> </v>
      </c>
      <c r="AS18" s="130" t="s">
        <v>439</v>
      </c>
      <c r="AT18" s="130" t="s">
        <v>440</v>
      </c>
      <c r="DS18" s="648"/>
      <c r="DT18" s="648"/>
      <c r="DU18" s="667" t="s">
        <v>415</v>
      </c>
      <c r="DV18" s="667" t="s">
        <v>1188</v>
      </c>
      <c r="DW18" s="667" t="s">
        <v>1134</v>
      </c>
      <c r="DX18" s="667" t="s">
        <v>1134</v>
      </c>
      <c r="DY18" s="669" t="s">
        <v>1253</v>
      </c>
      <c r="DZ18" s="667" t="s">
        <v>1134</v>
      </c>
      <c r="EA18" s="670" t="s">
        <v>439</v>
      </c>
      <c r="EB18" s="667" t="s">
        <v>1135</v>
      </c>
      <c r="EC18" s="667" t="s">
        <v>1134</v>
      </c>
      <c r="ED18" s="667" t="s">
        <v>1136</v>
      </c>
    </row>
    <row r="19" spans="1:134" x14ac:dyDescent="0.2">
      <c r="A19" s="225" t="s">
        <v>964</v>
      </c>
      <c r="B19" s="632">
        <v>12</v>
      </c>
      <c r="C19" s="770">
        <v>0</v>
      </c>
      <c r="D19" s="830">
        <v>0</v>
      </c>
      <c r="E19" s="830">
        <v>0</v>
      </c>
      <c r="F19" s="866">
        <v>0</v>
      </c>
      <c r="G19" s="830">
        <v>0</v>
      </c>
      <c r="H19" s="830">
        <v>0</v>
      </c>
      <c r="I19" s="828">
        <f t="shared" si="0"/>
        <v>0</v>
      </c>
      <c r="J19" s="832">
        <v>0</v>
      </c>
      <c r="K19" s="832">
        <v>0</v>
      </c>
      <c r="L19" s="830">
        <v>0</v>
      </c>
      <c r="M19" s="802">
        <v>0</v>
      </c>
      <c r="N19" s="832">
        <v>0</v>
      </c>
      <c r="O19" s="833">
        <v>0</v>
      </c>
      <c r="P19" s="832">
        <v>0</v>
      </c>
      <c r="Q19" s="832">
        <v>0</v>
      </c>
      <c r="R19" s="781">
        <v>0</v>
      </c>
      <c r="S19" s="830">
        <v>0</v>
      </c>
      <c r="T19" s="830">
        <v>0</v>
      </c>
      <c r="U19" s="834">
        <v>0</v>
      </c>
      <c r="V19" s="832">
        <v>0</v>
      </c>
      <c r="W19" s="831">
        <v>0</v>
      </c>
      <c r="X19" s="783">
        <v>0</v>
      </c>
      <c r="Y19" s="830">
        <v>0</v>
      </c>
      <c r="Z19" s="833">
        <v>0</v>
      </c>
      <c r="AA19" s="802">
        <v>0</v>
      </c>
      <c r="AB19" s="835">
        <v>0</v>
      </c>
      <c r="AC19" s="1094">
        <v>0</v>
      </c>
      <c r="AD19" s="833">
        <v>0</v>
      </c>
      <c r="AE19" s="836">
        <v>0</v>
      </c>
      <c r="AF19" s="836">
        <v>0</v>
      </c>
      <c r="AG19" s="827">
        <f t="shared" si="1"/>
        <v>0</v>
      </c>
      <c r="AH19" s="827">
        <f t="shared" si="2"/>
        <v>0</v>
      </c>
      <c r="AI19" s="466">
        <f t="shared" si="3"/>
        <v>0</v>
      </c>
      <c r="AJ19" s="467" t="str">
        <f t="shared" si="4"/>
        <v xml:space="preserve"> </v>
      </c>
      <c r="AS19" s="130" t="s">
        <v>1034</v>
      </c>
      <c r="AT19" s="130" t="s">
        <v>1035</v>
      </c>
      <c r="DS19" s="648"/>
      <c r="DT19" s="648"/>
      <c r="DU19" s="667" t="s">
        <v>415</v>
      </c>
      <c r="DV19" s="667" t="s">
        <v>1188</v>
      </c>
      <c r="DW19" s="667" t="s">
        <v>1134</v>
      </c>
      <c r="DX19" s="667" t="s">
        <v>1134</v>
      </c>
      <c r="DY19" s="669" t="s">
        <v>1253</v>
      </c>
      <c r="DZ19" s="667" t="s">
        <v>1134</v>
      </c>
      <c r="EA19" s="670" t="s">
        <v>1034</v>
      </c>
      <c r="EB19" s="667" t="s">
        <v>1135</v>
      </c>
      <c r="EC19" s="667" t="s">
        <v>1134</v>
      </c>
      <c r="ED19" s="667" t="s">
        <v>1136</v>
      </c>
    </row>
    <row r="20" spans="1:134" x14ac:dyDescent="0.2">
      <c r="A20" s="225" t="s">
        <v>567</v>
      </c>
      <c r="B20" s="632">
        <v>13</v>
      </c>
      <c r="C20" s="770">
        <v>0</v>
      </c>
      <c r="D20" s="830">
        <v>0</v>
      </c>
      <c r="E20" s="830">
        <v>0</v>
      </c>
      <c r="F20" s="866">
        <v>0</v>
      </c>
      <c r="G20" s="830">
        <v>0</v>
      </c>
      <c r="H20" s="830">
        <v>0</v>
      </c>
      <c r="I20" s="828">
        <f t="shared" si="0"/>
        <v>0</v>
      </c>
      <c r="J20" s="832">
        <v>0</v>
      </c>
      <c r="K20" s="832">
        <v>0</v>
      </c>
      <c r="L20" s="830">
        <v>0</v>
      </c>
      <c r="M20" s="802">
        <v>0</v>
      </c>
      <c r="N20" s="832">
        <v>0</v>
      </c>
      <c r="O20" s="833">
        <v>0</v>
      </c>
      <c r="P20" s="832">
        <v>0</v>
      </c>
      <c r="Q20" s="832">
        <v>0</v>
      </c>
      <c r="R20" s="781">
        <v>0</v>
      </c>
      <c r="S20" s="830">
        <v>0</v>
      </c>
      <c r="T20" s="830">
        <v>0</v>
      </c>
      <c r="U20" s="834">
        <v>0</v>
      </c>
      <c r="V20" s="832">
        <v>0</v>
      </c>
      <c r="W20" s="831">
        <v>0</v>
      </c>
      <c r="X20" s="783">
        <v>0</v>
      </c>
      <c r="Y20" s="830">
        <v>0</v>
      </c>
      <c r="Z20" s="833">
        <v>0</v>
      </c>
      <c r="AA20" s="802">
        <v>0</v>
      </c>
      <c r="AB20" s="835">
        <v>0</v>
      </c>
      <c r="AC20" s="1094">
        <v>0</v>
      </c>
      <c r="AD20" s="833">
        <v>0</v>
      </c>
      <c r="AE20" s="836">
        <v>0</v>
      </c>
      <c r="AF20" s="836">
        <v>0</v>
      </c>
      <c r="AG20" s="827">
        <f t="shared" si="1"/>
        <v>0</v>
      </c>
      <c r="AH20" s="827">
        <f t="shared" si="2"/>
        <v>0</v>
      </c>
      <c r="AI20" s="466">
        <f t="shared" si="3"/>
        <v>0</v>
      </c>
      <c r="AJ20" s="467" t="str">
        <f t="shared" si="4"/>
        <v xml:space="preserve"> </v>
      </c>
      <c r="AS20" s="139" t="s">
        <v>539</v>
      </c>
      <c r="AT20" s="139" t="s">
        <v>540</v>
      </c>
      <c r="DS20" s="648"/>
      <c r="DT20" s="648"/>
      <c r="DU20" s="667" t="s">
        <v>415</v>
      </c>
      <c r="DV20" s="667" t="s">
        <v>1188</v>
      </c>
      <c r="DW20" s="667" t="s">
        <v>1134</v>
      </c>
      <c r="DX20" s="667" t="s">
        <v>1134</v>
      </c>
      <c r="DY20" s="669" t="s">
        <v>1253</v>
      </c>
      <c r="DZ20" s="667" t="s">
        <v>1134</v>
      </c>
      <c r="EA20" s="670" t="s">
        <v>539</v>
      </c>
      <c r="EB20" s="667" t="s">
        <v>1135</v>
      </c>
      <c r="EC20" s="667" t="s">
        <v>1134</v>
      </c>
      <c r="ED20" s="667" t="s">
        <v>1136</v>
      </c>
    </row>
    <row r="21" spans="1:134" x14ac:dyDescent="0.2">
      <c r="A21" s="225" t="s">
        <v>150</v>
      </c>
      <c r="B21" s="632">
        <v>14</v>
      </c>
      <c r="C21" s="770">
        <v>0</v>
      </c>
      <c r="D21" s="830">
        <v>0</v>
      </c>
      <c r="E21" s="830">
        <v>0</v>
      </c>
      <c r="F21" s="866">
        <v>0</v>
      </c>
      <c r="G21" s="830">
        <v>0</v>
      </c>
      <c r="H21" s="830">
        <v>0</v>
      </c>
      <c r="I21" s="828">
        <f t="shared" si="0"/>
        <v>0</v>
      </c>
      <c r="J21" s="832">
        <v>0</v>
      </c>
      <c r="K21" s="832">
        <v>0</v>
      </c>
      <c r="L21" s="830">
        <v>0</v>
      </c>
      <c r="M21" s="802">
        <v>0</v>
      </c>
      <c r="N21" s="832">
        <v>0</v>
      </c>
      <c r="O21" s="833">
        <v>0</v>
      </c>
      <c r="P21" s="832">
        <v>0</v>
      </c>
      <c r="Q21" s="832">
        <v>0</v>
      </c>
      <c r="R21" s="781">
        <v>0</v>
      </c>
      <c r="S21" s="830">
        <v>0</v>
      </c>
      <c r="T21" s="830">
        <v>0</v>
      </c>
      <c r="U21" s="834">
        <v>0</v>
      </c>
      <c r="V21" s="832">
        <v>0</v>
      </c>
      <c r="W21" s="831">
        <v>0</v>
      </c>
      <c r="X21" s="783">
        <v>0</v>
      </c>
      <c r="Y21" s="830">
        <v>0</v>
      </c>
      <c r="Z21" s="833">
        <v>0</v>
      </c>
      <c r="AA21" s="802">
        <v>35</v>
      </c>
      <c r="AB21" s="835">
        <v>0</v>
      </c>
      <c r="AC21" s="1094">
        <v>0</v>
      </c>
      <c r="AD21" s="833">
        <v>35</v>
      </c>
      <c r="AE21" s="836">
        <v>0</v>
      </c>
      <c r="AF21" s="836">
        <v>0</v>
      </c>
      <c r="AG21" s="827">
        <f t="shared" si="1"/>
        <v>35</v>
      </c>
      <c r="AH21" s="827">
        <f t="shared" si="2"/>
        <v>35</v>
      </c>
      <c r="AI21" s="466">
        <f t="shared" si="3"/>
        <v>0</v>
      </c>
      <c r="AJ21" s="467" t="str">
        <f t="shared" si="4"/>
        <v xml:space="preserve"> </v>
      </c>
      <c r="AS21" s="139" t="s">
        <v>445</v>
      </c>
      <c r="AT21" s="139" t="s">
        <v>446</v>
      </c>
      <c r="DS21" s="648"/>
      <c r="DT21" s="648"/>
      <c r="DU21" s="667" t="s">
        <v>415</v>
      </c>
      <c r="DV21" s="667" t="s">
        <v>1188</v>
      </c>
      <c r="DW21" s="667" t="s">
        <v>1134</v>
      </c>
      <c r="DX21" s="667" t="s">
        <v>1134</v>
      </c>
      <c r="DY21" s="669" t="s">
        <v>1253</v>
      </c>
      <c r="DZ21" s="667" t="s">
        <v>1134</v>
      </c>
      <c r="EA21" s="670" t="s">
        <v>445</v>
      </c>
      <c r="EB21" s="667" t="s">
        <v>1135</v>
      </c>
      <c r="EC21" s="667" t="s">
        <v>1134</v>
      </c>
      <c r="ED21" s="667" t="s">
        <v>1136</v>
      </c>
    </row>
    <row r="22" spans="1:134" x14ac:dyDescent="0.2">
      <c r="A22" s="225" t="s">
        <v>25</v>
      </c>
      <c r="B22" s="632">
        <v>15</v>
      </c>
      <c r="C22" s="770">
        <v>0</v>
      </c>
      <c r="D22" s="830">
        <v>0</v>
      </c>
      <c r="E22" s="830">
        <v>0</v>
      </c>
      <c r="F22" s="866">
        <v>0</v>
      </c>
      <c r="G22" s="830">
        <v>0</v>
      </c>
      <c r="H22" s="830">
        <v>0</v>
      </c>
      <c r="I22" s="828">
        <f t="shared" si="0"/>
        <v>0</v>
      </c>
      <c r="J22" s="832">
        <v>0</v>
      </c>
      <c r="K22" s="832">
        <v>0</v>
      </c>
      <c r="L22" s="830">
        <v>0</v>
      </c>
      <c r="M22" s="802">
        <v>0</v>
      </c>
      <c r="N22" s="832">
        <v>0</v>
      </c>
      <c r="O22" s="833">
        <v>0</v>
      </c>
      <c r="P22" s="832">
        <v>0</v>
      </c>
      <c r="Q22" s="832">
        <v>0</v>
      </c>
      <c r="R22" s="781">
        <v>0</v>
      </c>
      <c r="S22" s="830">
        <v>0</v>
      </c>
      <c r="T22" s="830">
        <v>0</v>
      </c>
      <c r="U22" s="834">
        <v>0</v>
      </c>
      <c r="V22" s="832">
        <v>0</v>
      </c>
      <c r="W22" s="831">
        <v>0</v>
      </c>
      <c r="X22" s="783">
        <v>0</v>
      </c>
      <c r="Y22" s="830">
        <v>0</v>
      </c>
      <c r="Z22" s="833">
        <v>0</v>
      </c>
      <c r="AA22" s="802">
        <v>0</v>
      </c>
      <c r="AB22" s="835">
        <v>0</v>
      </c>
      <c r="AC22" s="1094">
        <v>0</v>
      </c>
      <c r="AD22" s="833">
        <v>0</v>
      </c>
      <c r="AE22" s="836">
        <v>0</v>
      </c>
      <c r="AF22" s="836">
        <v>0</v>
      </c>
      <c r="AG22" s="827">
        <f t="shared" si="1"/>
        <v>0</v>
      </c>
      <c r="AH22" s="827">
        <f t="shared" si="2"/>
        <v>0</v>
      </c>
      <c r="AI22" s="466">
        <f t="shared" si="3"/>
        <v>0</v>
      </c>
      <c r="AJ22" s="467" t="str">
        <f t="shared" si="4"/>
        <v xml:space="preserve"> </v>
      </c>
      <c r="AS22" s="139" t="s">
        <v>240</v>
      </c>
      <c r="AT22" s="139" t="s">
        <v>239</v>
      </c>
      <c r="DS22" s="648"/>
      <c r="DT22" s="648"/>
      <c r="DU22" s="667" t="s">
        <v>415</v>
      </c>
      <c r="DV22" s="667" t="s">
        <v>1188</v>
      </c>
      <c r="DW22" s="667" t="s">
        <v>1134</v>
      </c>
      <c r="DX22" s="667" t="s">
        <v>1134</v>
      </c>
      <c r="DY22" s="669" t="s">
        <v>1253</v>
      </c>
      <c r="DZ22" s="667" t="s">
        <v>1134</v>
      </c>
      <c r="EA22" s="670" t="s">
        <v>240</v>
      </c>
      <c r="EB22" s="667" t="s">
        <v>1135</v>
      </c>
      <c r="EC22" s="667" t="s">
        <v>1134</v>
      </c>
      <c r="ED22" s="667" t="s">
        <v>1136</v>
      </c>
    </row>
    <row r="23" spans="1:134" x14ac:dyDescent="0.2">
      <c r="A23" s="225" t="s">
        <v>118</v>
      </c>
      <c r="B23" s="632">
        <v>16</v>
      </c>
      <c r="C23" s="770">
        <v>21</v>
      </c>
      <c r="D23" s="830">
        <v>0</v>
      </c>
      <c r="E23" s="830">
        <v>0</v>
      </c>
      <c r="F23" s="866">
        <v>0</v>
      </c>
      <c r="G23" s="830">
        <v>0</v>
      </c>
      <c r="H23" s="830">
        <v>0</v>
      </c>
      <c r="I23" s="828">
        <f t="shared" si="0"/>
        <v>21</v>
      </c>
      <c r="J23" s="832">
        <v>0</v>
      </c>
      <c r="K23" s="832">
        <v>0</v>
      </c>
      <c r="L23" s="830">
        <v>0</v>
      </c>
      <c r="M23" s="802">
        <v>0</v>
      </c>
      <c r="N23" s="832">
        <v>0</v>
      </c>
      <c r="O23" s="833">
        <v>0</v>
      </c>
      <c r="P23" s="832">
        <v>0</v>
      </c>
      <c r="Q23" s="832">
        <v>0</v>
      </c>
      <c r="R23" s="781">
        <v>0</v>
      </c>
      <c r="S23" s="830">
        <v>0</v>
      </c>
      <c r="T23" s="830">
        <v>0</v>
      </c>
      <c r="U23" s="834">
        <v>0</v>
      </c>
      <c r="V23" s="832">
        <v>0</v>
      </c>
      <c r="W23" s="831">
        <v>0</v>
      </c>
      <c r="X23" s="783">
        <v>0</v>
      </c>
      <c r="Y23" s="830">
        <v>0</v>
      </c>
      <c r="Z23" s="833">
        <v>0</v>
      </c>
      <c r="AA23" s="802">
        <v>0</v>
      </c>
      <c r="AB23" s="835">
        <v>0</v>
      </c>
      <c r="AC23" s="1094">
        <v>0</v>
      </c>
      <c r="AD23" s="833">
        <v>0</v>
      </c>
      <c r="AE23" s="836">
        <v>0</v>
      </c>
      <c r="AF23" s="836">
        <v>0</v>
      </c>
      <c r="AG23" s="827">
        <f t="shared" si="1"/>
        <v>0</v>
      </c>
      <c r="AH23" s="827">
        <f t="shared" si="2"/>
        <v>21</v>
      </c>
      <c r="AI23" s="466">
        <f t="shared" si="3"/>
        <v>0</v>
      </c>
      <c r="AJ23" s="467" t="str">
        <f t="shared" si="4"/>
        <v xml:space="preserve"> </v>
      </c>
      <c r="AS23" s="139" t="s">
        <v>242</v>
      </c>
      <c r="AT23" s="139" t="s">
        <v>241</v>
      </c>
      <c r="DS23" s="648"/>
      <c r="DT23" s="648"/>
      <c r="DU23" s="667" t="s">
        <v>415</v>
      </c>
      <c r="DV23" s="667" t="s">
        <v>1188</v>
      </c>
      <c r="DW23" s="667" t="s">
        <v>1134</v>
      </c>
      <c r="DX23" s="667" t="s">
        <v>1134</v>
      </c>
      <c r="DY23" s="669" t="s">
        <v>1253</v>
      </c>
      <c r="DZ23" s="667" t="s">
        <v>1134</v>
      </c>
      <c r="EA23" s="670" t="s">
        <v>242</v>
      </c>
      <c r="EB23" s="667" t="s">
        <v>1135</v>
      </c>
      <c r="EC23" s="667" t="s">
        <v>1134</v>
      </c>
      <c r="ED23" s="667" t="s">
        <v>1136</v>
      </c>
    </row>
    <row r="24" spans="1:134" x14ac:dyDescent="0.2">
      <c r="A24" s="225" t="s">
        <v>557</v>
      </c>
      <c r="B24" s="632">
        <v>17</v>
      </c>
      <c r="C24" s="770">
        <v>0</v>
      </c>
      <c r="D24" s="830">
        <v>0</v>
      </c>
      <c r="E24" s="830">
        <v>0</v>
      </c>
      <c r="F24" s="866">
        <v>0</v>
      </c>
      <c r="G24" s="830">
        <v>0</v>
      </c>
      <c r="H24" s="830">
        <v>0</v>
      </c>
      <c r="I24" s="828">
        <f t="shared" si="0"/>
        <v>0</v>
      </c>
      <c r="J24" s="832">
        <v>0</v>
      </c>
      <c r="K24" s="832">
        <v>0</v>
      </c>
      <c r="L24" s="830">
        <v>0</v>
      </c>
      <c r="M24" s="802">
        <v>0</v>
      </c>
      <c r="N24" s="832">
        <v>0</v>
      </c>
      <c r="O24" s="833">
        <v>0</v>
      </c>
      <c r="P24" s="832">
        <v>0</v>
      </c>
      <c r="Q24" s="832">
        <v>0</v>
      </c>
      <c r="R24" s="781">
        <v>0</v>
      </c>
      <c r="S24" s="830">
        <v>0</v>
      </c>
      <c r="T24" s="830">
        <v>0</v>
      </c>
      <c r="U24" s="834">
        <v>0</v>
      </c>
      <c r="V24" s="832">
        <v>0</v>
      </c>
      <c r="W24" s="831">
        <v>0</v>
      </c>
      <c r="X24" s="783">
        <v>0</v>
      </c>
      <c r="Y24" s="830">
        <v>0</v>
      </c>
      <c r="Z24" s="833">
        <v>0</v>
      </c>
      <c r="AA24" s="802">
        <v>0</v>
      </c>
      <c r="AB24" s="835">
        <v>0</v>
      </c>
      <c r="AC24" s="1094">
        <v>0</v>
      </c>
      <c r="AD24" s="833">
        <v>0</v>
      </c>
      <c r="AE24" s="836">
        <v>0</v>
      </c>
      <c r="AF24" s="836">
        <v>0</v>
      </c>
      <c r="AG24" s="827">
        <f t="shared" si="1"/>
        <v>0</v>
      </c>
      <c r="AH24" s="827">
        <f t="shared" si="2"/>
        <v>0</v>
      </c>
      <c r="AI24" s="466">
        <f t="shared" si="3"/>
        <v>0</v>
      </c>
      <c r="AJ24" s="467" t="str">
        <f t="shared" si="4"/>
        <v xml:space="preserve"> </v>
      </c>
      <c r="AS24" s="139" t="s">
        <v>507</v>
      </c>
      <c r="AT24" s="139" t="s">
        <v>508</v>
      </c>
      <c r="DS24" s="648"/>
      <c r="DT24" s="648"/>
      <c r="DU24" s="667" t="s">
        <v>415</v>
      </c>
      <c r="DV24" s="667" t="s">
        <v>1188</v>
      </c>
      <c r="DW24" s="667" t="s">
        <v>1134</v>
      </c>
      <c r="DX24" s="667" t="s">
        <v>1134</v>
      </c>
      <c r="DY24" s="669" t="s">
        <v>1253</v>
      </c>
      <c r="DZ24" s="667" t="s">
        <v>1134</v>
      </c>
      <c r="EA24" s="670" t="s">
        <v>507</v>
      </c>
      <c r="EB24" s="667" t="s">
        <v>1135</v>
      </c>
      <c r="EC24" s="667" t="s">
        <v>1134</v>
      </c>
      <c r="ED24" s="667" t="s">
        <v>1136</v>
      </c>
    </row>
    <row r="25" spans="1:134" x14ac:dyDescent="0.2">
      <c r="A25" s="225" t="s">
        <v>119</v>
      </c>
      <c r="B25" s="632">
        <v>18</v>
      </c>
      <c r="C25" s="770">
        <v>0</v>
      </c>
      <c r="D25" s="830">
        <v>0</v>
      </c>
      <c r="E25" s="830">
        <v>0</v>
      </c>
      <c r="F25" s="866">
        <v>0</v>
      </c>
      <c r="G25" s="830">
        <v>0</v>
      </c>
      <c r="H25" s="830">
        <v>0</v>
      </c>
      <c r="I25" s="828">
        <f t="shared" si="0"/>
        <v>0</v>
      </c>
      <c r="J25" s="832">
        <v>0</v>
      </c>
      <c r="K25" s="832">
        <v>0</v>
      </c>
      <c r="L25" s="830">
        <v>0</v>
      </c>
      <c r="M25" s="802">
        <v>0</v>
      </c>
      <c r="N25" s="832">
        <v>0</v>
      </c>
      <c r="O25" s="833">
        <v>0</v>
      </c>
      <c r="P25" s="832">
        <v>0</v>
      </c>
      <c r="Q25" s="832">
        <v>0</v>
      </c>
      <c r="R25" s="781">
        <v>0</v>
      </c>
      <c r="S25" s="830">
        <v>0</v>
      </c>
      <c r="T25" s="830">
        <v>0</v>
      </c>
      <c r="U25" s="834">
        <v>0</v>
      </c>
      <c r="V25" s="832">
        <v>0</v>
      </c>
      <c r="W25" s="831">
        <v>0</v>
      </c>
      <c r="X25" s="783">
        <v>0</v>
      </c>
      <c r="Y25" s="830">
        <v>0</v>
      </c>
      <c r="Z25" s="833">
        <v>0</v>
      </c>
      <c r="AA25" s="802">
        <v>0</v>
      </c>
      <c r="AB25" s="835">
        <v>0</v>
      </c>
      <c r="AC25" s="1094">
        <v>0</v>
      </c>
      <c r="AD25" s="833">
        <v>0</v>
      </c>
      <c r="AE25" s="836">
        <v>0</v>
      </c>
      <c r="AF25" s="836">
        <v>0</v>
      </c>
      <c r="AG25" s="827">
        <f t="shared" si="1"/>
        <v>0</v>
      </c>
      <c r="AH25" s="827">
        <f t="shared" si="2"/>
        <v>0</v>
      </c>
      <c r="AI25" s="466">
        <f t="shared" si="3"/>
        <v>0</v>
      </c>
      <c r="AJ25" s="467" t="str">
        <f t="shared" si="4"/>
        <v xml:space="preserve"> </v>
      </c>
      <c r="AS25" s="139" t="s">
        <v>244</v>
      </c>
      <c r="AT25" s="139" t="s">
        <v>243</v>
      </c>
      <c r="DS25" s="648"/>
      <c r="DT25" s="648"/>
      <c r="DU25" s="667" t="s">
        <v>415</v>
      </c>
      <c r="DV25" s="667" t="s">
        <v>1188</v>
      </c>
      <c r="DW25" s="667" t="s">
        <v>1134</v>
      </c>
      <c r="DX25" s="667" t="s">
        <v>1134</v>
      </c>
      <c r="DY25" s="669" t="s">
        <v>1253</v>
      </c>
      <c r="DZ25" s="667" t="s">
        <v>1134</v>
      </c>
      <c r="EA25" s="670" t="s">
        <v>244</v>
      </c>
      <c r="EB25" s="667" t="s">
        <v>1135</v>
      </c>
      <c r="EC25" s="667" t="s">
        <v>1134</v>
      </c>
      <c r="ED25" s="667" t="s">
        <v>1136</v>
      </c>
    </row>
    <row r="26" spans="1:134" x14ac:dyDescent="0.2">
      <c r="A26" s="225" t="s">
        <v>30</v>
      </c>
      <c r="B26" s="632">
        <v>19</v>
      </c>
      <c r="C26" s="770">
        <v>148</v>
      </c>
      <c r="D26" s="830">
        <v>0</v>
      </c>
      <c r="E26" s="830">
        <v>0</v>
      </c>
      <c r="F26" s="866">
        <v>0</v>
      </c>
      <c r="G26" s="830">
        <v>0</v>
      </c>
      <c r="H26" s="830">
        <v>0</v>
      </c>
      <c r="I26" s="828">
        <f t="shared" si="0"/>
        <v>148</v>
      </c>
      <c r="J26" s="832">
        <v>0</v>
      </c>
      <c r="K26" s="832">
        <v>0</v>
      </c>
      <c r="L26" s="830">
        <v>0</v>
      </c>
      <c r="M26" s="802">
        <v>30</v>
      </c>
      <c r="N26" s="832">
        <v>0</v>
      </c>
      <c r="O26" s="833">
        <v>30</v>
      </c>
      <c r="P26" s="832">
        <v>0</v>
      </c>
      <c r="Q26" s="832">
        <v>0</v>
      </c>
      <c r="R26" s="781">
        <v>0</v>
      </c>
      <c r="S26" s="830">
        <v>0</v>
      </c>
      <c r="T26" s="830">
        <v>0</v>
      </c>
      <c r="U26" s="834">
        <v>0</v>
      </c>
      <c r="V26" s="832">
        <v>0</v>
      </c>
      <c r="W26" s="831">
        <v>0</v>
      </c>
      <c r="X26" s="783">
        <v>0</v>
      </c>
      <c r="Y26" s="830">
        <v>0</v>
      </c>
      <c r="Z26" s="833">
        <v>0</v>
      </c>
      <c r="AA26" s="802">
        <v>0</v>
      </c>
      <c r="AB26" s="835">
        <v>0</v>
      </c>
      <c r="AC26" s="1094">
        <v>0</v>
      </c>
      <c r="AD26" s="833">
        <v>0</v>
      </c>
      <c r="AE26" s="836">
        <v>0</v>
      </c>
      <c r="AF26" s="836">
        <v>0</v>
      </c>
      <c r="AG26" s="827">
        <f t="shared" si="1"/>
        <v>30</v>
      </c>
      <c r="AH26" s="827">
        <f t="shared" si="2"/>
        <v>178</v>
      </c>
      <c r="AI26" s="466">
        <f t="shared" si="3"/>
        <v>0</v>
      </c>
      <c r="AJ26" s="467" t="str">
        <f t="shared" si="4"/>
        <v xml:space="preserve"> </v>
      </c>
      <c r="AS26" s="139" t="s">
        <v>246</v>
      </c>
      <c r="AT26" s="139" t="s">
        <v>245</v>
      </c>
      <c r="DS26" s="648"/>
      <c r="DT26" s="648"/>
      <c r="DU26" s="667" t="s">
        <v>415</v>
      </c>
      <c r="DV26" s="667" t="s">
        <v>1188</v>
      </c>
      <c r="DW26" s="667" t="s">
        <v>1134</v>
      </c>
      <c r="DX26" s="667" t="s">
        <v>1134</v>
      </c>
      <c r="DY26" s="669" t="s">
        <v>1253</v>
      </c>
      <c r="DZ26" s="667" t="s">
        <v>1134</v>
      </c>
      <c r="EA26" s="670" t="s">
        <v>246</v>
      </c>
      <c r="EB26" s="667" t="s">
        <v>1135</v>
      </c>
      <c r="EC26" s="667" t="s">
        <v>1134</v>
      </c>
      <c r="ED26" s="667" t="s">
        <v>1136</v>
      </c>
    </row>
    <row r="27" spans="1:134" x14ac:dyDescent="0.2">
      <c r="A27" s="225" t="s">
        <v>558</v>
      </c>
      <c r="B27" s="632">
        <v>20</v>
      </c>
      <c r="C27" s="770">
        <v>0</v>
      </c>
      <c r="D27" s="830">
        <v>0</v>
      </c>
      <c r="E27" s="830">
        <v>0</v>
      </c>
      <c r="F27" s="866">
        <v>0</v>
      </c>
      <c r="G27" s="830">
        <v>0</v>
      </c>
      <c r="H27" s="830">
        <v>0</v>
      </c>
      <c r="I27" s="828">
        <f t="shared" si="0"/>
        <v>0</v>
      </c>
      <c r="J27" s="832">
        <v>0</v>
      </c>
      <c r="K27" s="832">
        <v>0</v>
      </c>
      <c r="L27" s="830">
        <v>0</v>
      </c>
      <c r="M27" s="802">
        <v>0</v>
      </c>
      <c r="N27" s="832">
        <v>0</v>
      </c>
      <c r="O27" s="833">
        <v>0</v>
      </c>
      <c r="P27" s="832">
        <v>0</v>
      </c>
      <c r="Q27" s="832">
        <v>0</v>
      </c>
      <c r="R27" s="781">
        <v>0</v>
      </c>
      <c r="S27" s="830">
        <v>0</v>
      </c>
      <c r="T27" s="830">
        <v>0</v>
      </c>
      <c r="U27" s="834">
        <v>0</v>
      </c>
      <c r="V27" s="832">
        <v>0</v>
      </c>
      <c r="W27" s="831">
        <v>0</v>
      </c>
      <c r="X27" s="783">
        <v>0</v>
      </c>
      <c r="Y27" s="830">
        <v>0</v>
      </c>
      <c r="Z27" s="833">
        <v>0</v>
      </c>
      <c r="AA27" s="802">
        <v>0</v>
      </c>
      <c r="AB27" s="835">
        <v>0</v>
      </c>
      <c r="AC27" s="1094">
        <v>0</v>
      </c>
      <c r="AD27" s="833">
        <v>0</v>
      </c>
      <c r="AE27" s="836">
        <v>0</v>
      </c>
      <c r="AF27" s="836">
        <v>0</v>
      </c>
      <c r="AG27" s="827">
        <f t="shared" si="1"/>
        <v>0</v>
      </c>
      <c r="AH27" s="827">
        <f t="shared" si="2"/>
        <v>0</v>
      </c>
      <c r="AI27" s="466">
        <f t="shared" si="3"/>
        <v>0</v>
      </c>
      <c r="AJ27" s="467" t="str">
        <f t="shared" si="4"/>
        <v xml:space="preserve"> </v>
      </c>
      <c r="AS27" s="139" t="s">
        <v>509</v>
      </c>
      <c r="AT27" s="139" t="s">
        <v>510</v>
      </c>
      <c r="DS27" s="648"/>
      <c r="DT27" s="648"/>
      <c r="DU27" s="667" t="s">
        <v>415</v>
      </c>
      <c r="DV27" s="667" t="s">
        <v>1188</v>
      </c>
      <c r="DW27" s="667" t="s">
        <v>1134</v>
      </c>
      <c r="DX27" s="667" t="s">
        <v>1134</v>
      </c>
      <c r="DY27" s="669" t="s">
        <v>1253</v>
      </c>
      <c r="DZ27" s="667" t="s">
        <v>1134</v>
      </c>
      <c r="EA27" s="670" t="s">
        <v>509</v>
      </c>
      <c r="EB27" s="667" t="s">
        <v>1135</v>
      </c>
      <c r="EC27" s="667" t="s">
        <v>1134</v>
      </c>
      <c r="ED27" s="667" t="s">
        <v>1136</v>
      </c>
    </row>
    <row r="28" spans="1:134" x14ac:dyDescent="0.2">
      <c r="A28" s="225" t="s">
        <v>120</v>
      </c>
      <c r="B28" s="632">
        <v>21</v>
      </c>
      <c r="C28" s="770">
        <v>262</v>
      </c>
      <c r="D28" s="830">
        <v>0</v>
      </c>
      <c r="E28" s="830">
        <v>0</v>
      </c>
      <c r="F28" s="866">
        <v>0</v>
      </c>
      <c r="G28" s="830">
        <v>0</v>
      </c>
      <c r="H28" s="830">
        <v>0</v>
      </c>
      <c r="I28" s="828">
        <f t="shared" si="0"/>
        <v>262</v>
      </c>
      <c r="J28" s="832">
        <v>0</v>
      </c>
      <c r="K28" s="832">
        <v>0</v>
      </c>
      <c r="L28" s="830">
        <v>0</v>
      </c>
      <c r="M28" s="802">
        <v>25</v>
      </c>
      <c r="N28" s="832">
        <v>0</v>
      </c>
      <c r="O28" s="833">
        <v>25</v>
      </c>
      <c r="P28" s="832">
        <v>0</v>
      </c>
      <c r="Q28" s="832">
        <v>0</v>
      </c>
      <c r="R28" s="781">
        <v>10</v>
      </c>
      <c r="S28" s="830">
        <v>0</v>
      </c>
      <c r="T28" s="830">
        <v>10</v>
      </c>
      <c r="U28" s="834">
        <v>0</v>
      </c>
      <c r="V28" s="832">
        <v>16</v>
      </c>
      <c r="W28" s="831">
        <v>0</v>
      </c>
      <c r="X28" s="783">
        <v>16</v>
      </c>
      <c r="Y28" s="830">
        <v>0</v>
      </c>
      <c r="Z28" s="833">
        <v>16</v>
      </c>
      <c r="AA28" s="802">
        <v>0</v>
      </c>
      <c r="AB28" s="835">
        <v>0</v>
      </c>
      <c r="AC28" s="1094">
        <v>0</v>
      </c>
      <c r="AD28" s="833">
        <v>0</v>
      </c>
      <c r="AE28" s="836">
        <v>0</v>
      </c>
      <c r="AF28" s="836">
        <v>0</v>
      </c>
      <c r="AG28" s="827">
        <f t="shared" si="1"/>
        <v>51</v>
      </c>
      <c r="AH28" s="827">
        <f t="shared" si="2"/>
        <v>313</v>
      </c>
      <c r="AI28" s="466">
        <f t="shared" si="3"/>
        <v>0</v>
      </c>
      <c r="AJ28" s="467" t="str">
        <f t="shared" si="4"/>
        <v xml:space="preserve"> </v>
      </c>
      <c r="AS28" s="139" t="s">
        <v>248</v>
      </c>
      <c r="AT28" s="139" t="s">
        <v>247</v>
      </c>
      <c r="DS28" s="648"/>
      <c r="DT28" s="648"/>
      <c r="DU28" s="667" t="s">
        <v>415</v>
      </c>
      <c r="DV28" s="667" t="s">
        <v>1188</v>
      </c>
      <c r="DW28" s="667" t="s">
        <v>1134</v>
      </c>
      <c r="DX28" s="667" t="s">
        <v>1134</v>
      </c>
      <c r="DY28" s="669" t="s">
        <v>1253</v>
      </c>
      <c r="DZ28" s="667" t="s">
        <v>1134</v>
      </c>
      <c r="EA28" s="670" t="s">
        <v>248</v>
      </c>
      <c r="EB28" s="667" t="s">
        <v>1135</v>
      </c>
      <c r="EC28" s="667" t="s">
        <v>1134</v>
      </c>
      <c r="ED28" s="667" t="s">
        <v>1136</v>
      </c>
    </row>
    <row r="29" spans="1:134" x14ac:dyDescent="0.2">
      <c r="A29" s="225" t="s">
        <v>121</v>
      </c>
      <c r="B29" s="632">
        <v>22</v>
      </c>
      <c r="C29" s="770">
        <v>0</v>
      </c>
      <c r="D29" s="830">
        <v>0</v>
      </c>
      <c r="E29" s="830">
        <v>0</v>
      </c>
      <c r="F29" s="866">
        <v>0</v>
      </c>
      <c r="G29" s="830">
        <v>0</v>
      </c>
      <c r="H29" s="830">
        <v>0</v>
      </c>
      <c r="I29" s="828">
        <f t="shared" si="0"/>
        <v>0</v>
      </c>
      <c r="J29" s="832">
        <v>0</v>
      </c>
      <c r="K29" s="832">
        <v>0</v>
      </c>
      <c r="L29" s="830">
        <v>0</v>
      </c>
      <c r="M29" s="802">
        <v>0</v>
      </c>
      <c r="N29" s="832">
        <v>0</v>
      </c>
      <c r="O29" s="833">
        <v>0</v>
      </c>
      <c r="P29" s="832">
        <v>0</v>
      </c>
      <c r="Q29" s="832">
        <v>0</v>
      </c>
      <c r="R29" s="781">
        <v>0</v>
      </c>
      <c r="S29" s="830">
        <v>0</v>
      </c>
      <c r="T29" s="830">
        <v>0</v>
      </c>
      <c r="U29" s="834">
        <v>0</v>
      </c>
      <c r="V29" s="832">
        <v>0</v>
      </c>
      <c r="W29" s="831">
        <v>0</v>
      </c>
      <c r="X29" s="783">
        <v>0</v>
      </c>
      <c r="Y29" s="830">
        <v>0</v>
      </c>
      <c r="Z29" s="833">
        <v>0</v>
      </c>
      <c r="AA29" s="802">
        <v>0</v>
      </c>
      <c r="AB29" s="835">
        <v>0</v>
      </c>
      <c r="AC29" s="1094">
        <v>0</v>
      </c>
      <c r="AD29" s="833">
        <v>0</v>
      </c>
      <c r="AE29" s="836">
        <v>0</v>
      </c>
      <c r="AF29" s="836">
        <v>0</v>
      </c>
      <c r="AG29" s="827">
        <f t="shared" si="1"/>
        <v>0</v>
      </c>
      <c r="AH29" s="827">
        <f t="shared" si="2"/>
        <v>0</v>
      </c>
      <c r="AI29" s="466">
        <f t="shared" si="3"/>
        <v>0</v>
      </c>
      <c r="AJ29" s="467" t="str">
        <f t="shared" si="4"/>
        <v xml:space="preserve"> </v>
      </c>
      <c r="AS29" s="139" t="s">
        <v>250</v>
      </c>
      <c r="AT29" s="139" t="s">
        <v>249</v>
      </c>
      <c r="DS29" s="648"/>
      <c r="DT29" s="648"/>
      <c r="DU29" s="667" t="s">
        <v>415</v>
      </c>
      <c r="DV29" s="667" t="s">
        <v>1188</v>
      </c>
      <c r="DW29" s="667" t="s">
        <v>1134</v>
      </c>
      <c r="DX29" s="667" t="s">
        <v>1134</v>
      </c>
      <c r="DY29" s="669" t="s">
        <v>1253</v>
      </c>
      <c r="DZ29" s="667" t="s">
        <v>1134</v>
      </c>
      <c r="EA29" s="670" t="s">
        <v>250</v>
      </c>
      <c r="EB29" s="667" t="s">
        <v>1135</v>
      </c>
      <c r="EC29" s="667" t="s">
        <v>1134</v>
      </c>
      <c r="ED29" s="667" t="s">
        <v>1136</v>
      </c>
    </row>
    <row r="30" spans="1:134" x14ac:dyDescent="0.2">
      <c r="A30" s="225" t="s">
        <v>122</v>
      </c>
      <c r="B30" s="632">
        <v>23</v>
      </c>
      <c r="C30" s="770">
        <v>0</v>
      </c>
      <c r="D30" s="830">
        <v>0</v>
      </c>
      <c r="E30" s="830">
        <v>0</v>
      </c>
      <c r="F30" s="866">
        <v>0</v>
      </c>
      <c r="G30" s="830">
        <v>0</v>
      </c>
      <c r="H30" s="830">
        <v>0</v>
      </c>
      <c r="I30" s="828">
        <f t="shared" si="0"/>
        <v>0</v>
      </c>
      <c r="J30" s="832">
        <v>0</v>
      </c>
      <c r="K30" s="832">
        <v>0</v>
      </c>
      <c r="L30" s="830">
        <v>0</v>
      </c>
      <c r="M30" s="802">
        <v>0</v>
      </c>
      <c r="N30" s="832">
        <v>0</v>
      </c>
      <c r="O30" s="833">
        <v>0</v>
      </c>
      <c r="P30" s="832">
        <v>0</v>
      </c>
      <c r="Q30" s="832">
        <v>0</v>
      </c>
      <c r="R30" s="781">
        <v>0</v>
      </c>
      <c r="S30" s="830">
        <v>0</v>
      </c>
      <c r="T30" s="830">
        <v>0</v>
      </c>
      <c r="U30" s="834">
        <v>0</v>
      </c>
      <c r="V30" s="832">
        <v>0</v>
      </c>
      <c r="W30" s="831">
        <v>0</v>
      </c>
      <c r="X30" s="783">
        <v>0</v>
      </c>
      <c r="Y30" s="830">
        <v>0</v>
      </c>
      <c r="Z30" s="833">
        <v>0</v>
      </c>
      <c r="AA30" s="802">
        <v>0</v>
      </c>
      <c r="AB30" s="835">
        <v>0</v>
      </c>
      <c r="AC30" s="1094">
        <v>0</v>
      </c>
      <c r="AD30" s="833">
        <v>0</v>
      </c>
      <c r="AE30" s="836">
        <v>0</v>
      </c>
      <c r="AF30" s="836">
        <v>0</v>
      </c>
      <c r="AG30" s="827">
        <f t="shared" si="1"/>
        <v>0</v>
      </c>
      <c r="AH30" s="827">
        <f t="shared" si="2"/>
        <v>0</v>
      </c>
      <c r="AI30" s="466">
        <f t="shared" si="3"/>
        <v>0</v>
      </c>
      <c r="AJ30" s="467" t="str">
        <f t="shared" si="4"/>
        <v xml:space="preserve"> </v>
      </c>
      <c r="AS30" s="139" t="s">
        <v>252</v>
      </c>
      <c r="AT30" s="139" t="s">
        <v>251</v>
      </c>
      <c r="DS30" s="648"/>
      <c r="DT30" s="648"/>
      <c r="DU30" s="667" t="s">
        <v>415</v>
      </c>
      <c r="DV30" s="667" t="s">
        <v>1188</v>
      </c>
      <c r="DW30" s="667" t="s">
        <v>1134</v>
      </c>
      <c r="DX30" s="667" t="s">
        <v>1134</v>
      </c>
      <c r="DY30" s="669" t="s">
        <v>1253</v>
      </c>
      <c r="DZ30" s="667" t="s">
        <v>1134</v>
      </c>
      <c r="EA30" s="670" t="s">
        <v>252</v>
      </c>
      <c r="EB30" s="667" t="s">
        <v>1135</v>
      </c>
      <c r="EC30" s="667" t="s">
        <v>1134</v>
      </c>
      <c r="ED30" s="667" t="s">
        <v>1136</v>
      </c>
    </row>
    <row r="31" spans="1:134" x14ac:dyDescent="0.2">
      <c r="A31" s="225" t="s">
        <v>123</v>
      </c>
      <c r="B31" s="632">
        <v>24</v>
      </c>
      <c r="C31" s="770">
        <v>0</v>
      </c>
      <c r="D31" s="830">
        <v>0</v>
      </c>
      <c r="E31" s="830">
        <v>0</v>
      </c>
      <c r="F31" s="866">
        <v>0</v>
      </c>
      <c r="G31" s="830">
        <v>0</v>
      </c>
      <c r="H31" s="830">
        <v>0</v>
      </c>
      <c r="I31" s="828">
        <f t="shared" si="0"/>
        <v>0</v>
      </c>
      <c r="J31" s="832">
        <v>0</v>
      </c>
      <c r="K31" s="832">
        <v>0</v>
      </c>
      <c r="L31" s="830">
        <v>0</v>
      </c>
      <c r="M31" s="802">
        <v>0</v>
      </c>
      <c r="N31" s="832">
        <v>0</v>
      </c>
      <c r="O31" s="833">
        <v>0</v>
      </c>
      <c r="P31" s="832">
        <v>0</v>
      </c>
      <c r="Q31" s="832">
        <v>0</v>
      </c>
      <c r="R31" s="781">
        <v>0</v>
      </c>
      <c r="S31" s="830">
        <v>0</v>
      </c>
      <c r="T31" s="830">
        <v>0</v>
      </c>
      <c r="U31" s="834">
        <v>0</v>
      </c>
      <c r="V31" s="832">
        <v>0</v>
      </c>
      <c r="W31" s="831">
        <v>0</v>
      </c>
      <c r="X31" s="783">
        <v>0</v>
      </c>
      <c r="Y31" s="830">
        <v>0</v>
      </c>
      <c r="Z31" s="833">
        <v>0</v>
      </c>
      <c r="AA31" s="802">
        <v>0</v>
      </c>
      <c r="AB31" s="835">
        <v>0</v>
      </c>
      <c r="AC31" s="1094">
        <v>0</v>
      </c>
      <c r="AD31" s="833">
        <v>0</v>
      </c>
      <c r="AE31" s="836">
        <v>0</v>
      </c>
      <c r="AF31" s="836">
        <v>0</v>
      </c>
      <c r="AG31" s="827">
        <f t="shared" si="1"/>
        <v>0</v>
      </c>
      <c r="AH31" s="827">
        <f t="shared" si="2"/>
        <v>0</v>
      </c>
      <c r="AI31" s="466">
        <f t="shared" si="3"/>
        <v>0</v>
      </c>
      <c r="AJ31" s="467" t="str">
        <f t="shared" si="4"/>
        <v xml:space="preserve"> </v>
      </c>
      <c r="AS31" s="139" t="s">
        <v>254</v>
      </c>
      <c r="AT31" s="139" t="s">
        <v>253</v>
      </c>
      <c r="DS31" s="648"/>
      <c r="DT31" s="648"/>
      <c r="DU31" s="667" t="s">
        <v>415</v>
      </c>
      <c r="DV31" s="667" t="s">
        <v>1188</v>
      </c>
      <c r="DW31" s="667" t="s">
        <v>1134</v>
      </c>
      <c r="DX31" s="667" t="s">
        <v>1134</v>
      </c>
      <c r="DY31" s="669" t="s">
        <v>1253</v>
      </c>
      <c r="DZ31" s="667" t="s">
        <v>1134</v>
      </c>
      <c r="EA31" s="670" t="s">
        <v>254</v>
      </c>
      <c r="EB31" s="667" t="s">
        <v>1135</v>
      </c>
      <c r="EC31" s="667" t="s">
        <v>1134</v>
      </c>
      <c r="ED31" s="667" t="s">
        <v>1136</v>
      </c>
    </row>
    <row r="32" spans="1:134" x14ac:dyDescent="0.2">
      <c r="A32" s="225" t="s">
        <v>124</v>
      </c>
      <c r="B32" s="632">
        <v>25</v>
      </c>
      <c r="C32" s="770">
        <v>9</v>
      </c>
      <c r="D32" s="830">
        <v>0</v>
      </c>
      <c r="E32" s="830">
        <v>0</v>
      </c>
      <c r="F32" s="866">
        <v>0</v>
      </c>
      <c r="G32" s="830">
        <v>0</v>
      </c>
      <c r="H32" s="830">
        <v>0</v>
      </c>
      <c r="I32" s="828">
        <f t="shared" si="0"/>
        <v>9</v>
      </c>
      <c r="J32" s="832">
        <v>0</v>
      </c>
      <c r="K32" s="832">
        <v>0</v>
      </c>
      <c r="L32" s="830">
        <v>0</v>
      </c>
      <c r="M32" s="802">
        <v>30</v>
      </c>
      <c r="N32" s="832">
        <v>0</v>
      </c>
      <c r="O32" s="833">
        <v>30</v>
      </c>
      <c r="P32" s="832">
        <v>0</v>
      </c>
      <c r="Q32" s="832">
        <v>0</v>
      </c>
      <c r="R32" s="781">
        <v>0</v>
      </c>
      <c r="S32" s="830">
        <v>0</v>
      </c>
      <c r="T32" s="830">
        <v>0</v>
      </c>
      <c r="U32" s="834">
        <v>0</v>
      </c>
      <c r="V32" s="832">
        <v>0</v>
      </c>
      <c r="W32" s="831">
        <v>0</v>
      </c>
      <c r="X32" s="783">
        <v>0</v>
      </c>
      <c r="Y32" s="830">
        <v>0</v>
      </c>
      <c r="Z32" s="833">
        <v>0</v>
      </c>
      <c r="AA32" s="802">
        <v>0</v>
      </c>
      <c r="AB32" s="835">
        <v>0</v>
      </c>
      <c r="AC32" s="1094">
        <v>0</v>
      </c>
      <c r="AD32" s="833">
        <v>0</v>
      </c>
      <c r="AE32" s="836">
        <v>0</v>
      </c>
      <c r="AF32" s="836">
        <v>0</v>
      </c>
      <c r="AG32" s="827">
        <f t="shared" si="1"/>
        <v>30</v>
      </c>
      <c r="AH32" s="827">
        <f t="shared" si="2"/>
        <v>39</v>
      </c>
      <c r="AI32" s="466">
        <f t="shared" si="3"/>
        <v>0</v>
      </c>
      <c r="AJ32" s="467" t="str">
        <f t="shared" si="4"/>
        <v xml:space="preserve"> </v>
      </c>
      <c r="AS32" s="139" t="s">
        <v>256</v>
      </c>
      <c r="AT32" s="139" t="s">
        <v>255</v>
      </c>
      <c r="DS32" s="648"/>
      <c r="DT32" s="648"/>
      <c r="DU32" s="667" t="s">
        <v>415</v>
      </c>
      <c r="DV32" s="667" t="s">
        <v>1188</v>
      </c>
      <c r="DW32" s="667" t="s">
        <v>1134</v>
      </c>
      <c r="DX32" s="667" t="s">
        <v>1134</v>
      </c>
      <c r="DY32" s="669" t="s">
        <v>1253</v>
      </c>
      <c r="DZ32" s="667" t="s">
        <v>1134</v>
      </c>
      <c r="EA32" s="670" t="s">
        <v>256</v>
      </c>
      <c r="EB32" s="667" t="s">
        <v>1135</v>
      </c>
      <c r="EC32" s="667" t="s">
        <v>1134</v>
      </c>
      <c r="ED32" s="667" t="s">
        <v>1136</v>
      </c>
    </row>
    <row r="33" spans="1:134" x14ac:dyDescent="0.2">
      <c r="A33" s="225" t="s">
        <v>97</v>
      </c>
      <c r="B33" s="632">
        <v>26</v>
      </c>
      <c r="C33" s="770">
        <v>0</v>
      </c>
      <c r="D33" s="830">
        <v>0</v>
      </c>
      <c r="E33" s="830">
        <v>0</v>
      </c>
      <c r="F33" s="866">
        <v>0</v>
      </c>
      <c r="G33" s="830">
        <v>0</v>
      </c>
      <c r="H33" s="830">
        <v>0</v>
      </c>
      <c r="I33" s="828">
        <f t="shared" si="0"/>
        <v>0</v>
      </c>
      <c r="J33" s="832">
        <v>0</v>
      </c>
      <c r="K33" s="832">
        <v>0</v>
      </c>
      <c r="L33" s="830">
        <v>0</v>
      </c>
      <c r="M33" s="802">
        <v>0</v>
      </c>
      <c r="N33" s="832">
        <v>0</v>
      </c>
      <c r="O33" s="833">
        <v>0</v>
      </c>
      <c r="P33" s="832">
        <v>0</v>
      </c>
      <c r="Q33" s="832">
        <v>0</v>
      </c>
      <c r="R33" s="781">
        <v>0</v>
      </c>
      <c r="S33" s="830">
        <v>0</v>
      </c>
      <c r="T33" s="830">
        <v>0</v>
      </c>
      <c r="U33" s="834">
        <v>0</v>
      </c>
      <c r="V33" s="832">
        <v>0</v>
      </c>
      <c r="W33" s="831">
        <v>0</v>
      </c>
      <c r="X33" s="783">
        <v>0</v>
      </c>
      <c r="Y33" s="830">
        <v>0</v>
      </c>
      <c r="Z33" s="833">
        <v>0</v>
      </c>
      <c r="AA33" s="802">
        <v>0</v>
      </c>
      <c r="AB33" s="835">
        <v>0</v>
      </c>
      <c r="AC33" s="1094">
        <v>0</v>
      </c>
      <c r="AD33" s="833">
        <v>0</v>
      </c>
      <c r="AE33" s="836">
        <v>0</v>
      </c>
      <c r="AF33" s="836">
        <v>0</v>
      </c>
      <c r="AG33" s="827">
        <f t="shared" si="1"/>
        <v>0</v>
      </c>
      <c r="AH33" s="827">
        <f t="shared" si="2"/>
        <v>0</v>
      </c>
      <c r="AI33" s="466">
        <f t="shared" si="3"/>
        <v>0</v>
      </c>
      <c r="AJ33" s="467" t="str">
        <f t="shared" si="4"/>
        <v xml:space="preserve"> </v>
      </c>
      <c r="AS33" s="139" t="s">
        <v>572</v>
      </c>
      <c r="AT33" s="139" t="s">
        <v>573</v>
      </c>
      <c r="DS33" s="648"/>
      <c r="DT33" s="648"/>
      <c r="DU33" s="667" t="s">
        <v>415</v>
      </c>
      <c r="DV33" s="667" t="s">
        <v>1188</v>
      </c>
      <c r="DW33" s="667" t="s">
        <v>1134</v>
      </c>
      <c r="DX33" s="667" t="s">
        <v>1134</v>
      </c>
      <c r="DY33" s="669" t="s">
        <v>1253</v>
      </c>
      <c r="DZ33" s="667" t="s">
        <v>1134</v>
      </c>
      <c r="EA33" s="670" t="s">
        <v>572</v>
      </c>
      <c r="EB33" s="667" t="s">
        <v>1135</v>
      </c>
      <c r="EC33" s="667" t="s">
        <v>1134</v>
      </c>
      <c r="ED33" s="667" t="s">
        <v>1136</v>
      </c>
    </row>
    <row r="34" spans="1:134" x14ac:dyDescent="0.2">
      <c r="A34" s="225" t="s">
        <v>125</v>
      </c>
      <c r="B34" s="632">
        <v>27</v>
      </c>
      <c r="C34" s="770">
        <v>217</v>
      </c>
      <c r="D34" s="830">
        <v>0</v>
      </c>
      <c r="E34" s="830">
        <v>0</v>
      </c>
      <c r="F34" s="866">
        <v>0</v>
      </c>
      <c r="G34" s="830">
        <v>0</v>
      </c>
      <c r="H34" s="830">
        <v>0</v>
      </c>
      <c r="I34" s="828">
        <f t="shared" si="0"/>
        <v>217</v>
      </c>
      <c r="J34" s="832">
        <v>0</v>
      </c>
      <c r="K34" s="832">
        <v>0</v>
      </c>
      <c r="L34" s="830">
        <v>0</v>
      </c>
      <c r="M34" s="802">
        <v>0</v>
      </c>
      <c r="N34" s="832">
        <v>0</v>
      </c>
      <c r="O34" s="833">
        <v>0</v>
      </c>
      <c r="P34" s="832">
        <v>0</v>
      </c>
      <c r="Q34" s="832">
        <v>0</v>
      </c>
      <c r="R34" s="781">
        <v>0</v>
      </c>
      <c r="S34" s="830">
        <v>0</v>
      </c>
      <c r="T34" s="830">
        <v>0</v>
      </c>
      <c r="U34" s="834">
        <v>0</v>
      </c>
      <c r="V34" s="832">
        <v>0</v>
      </c>
      <c r="W34" s="831">
        <v>0</v>
      </c>
      <c r="X34" s="783">
        <v>0</v>
      </c>
      <c r="Y34" s="830">
        <v>0</v>
      </c>
      <c r="Z34" s="833">
        <v>0</v>
      </c>
      <c r="AA34" s="802">
        <v>0</v>
      </c>
      <c r="AB34" s="835">
        <v>0</v>
      </c>
      <c r="AC34" s="1094">
        <v>0</v>
      </c>
      <c r="AD34" s="833">
        <v>0</v>
      </c>
      <c r="AE34" s="836">
        <v>0</v>
      </c>
      <c r="AF34" s="836">
        <v>0</v>
      </c>
      <c r="AG34" s="827">
        <f t="shared" si="1"/>
        <v>0</v>
      </c>
      <c r="AH34" s="827">
        <f t="shared" si="2"/>
        <v>217</v>
      </c>
      <c r="AI34" s="466">
        <f t="shared" si="3"/>
        <v>0</v>
      </c>
      <c r="AJ34" s="467" t="str">
        <f t="shared" si="4"/>
        <v xml:space="preserve"> </v>
      </c>
      <c r="AS34" s="139" t="s">
        <v>258</v>
      </c>
      <c r="AT34" s="139" t="s">
        <v>257</v>
      </c>
      <c r="DS34" s="648"/>
      <c r="DT34" s="648"/>
      <c r="DU34" s="667" t="s">
        <v>415</v>
      </c>
      <c r="DV34" s="667" t="s">
        <v>1188</v>
      </c>
      <c r="DW34" s="667" t="s">
        <v>1134</v>
      </c>
      <c r="DX34" s="667" t="s">
        <v>1134</v>
      </c>
      <c r="DY34" s="669" t="s">
        <v>1253</v>
      </c>
      <c r="DZ34" s="667" t="s">
        <v>1134</v>
      </c>
      <c r="EA34" s="670" t="s">
        <v>258</v>
      </c>
      <c r="EB34" s="667" t="s">
        <v>1135</v>
      </c>
      <c r="EC34" s="667" t="s">
        <v>1134</v>
      </c>
      <c r="ED34" s="667" t="s">
        <v>1136</v>
      </c>
    </row>
    <row r="35" spans="1:134" x14ac:dyDescent="0.2">
      <c r="A35" s="225" t="s">
        <v>126</v>
      </c>
      <c r="B35" s="632">
        <v>28</v>
      </c>
      <c r="C35" s="770">
        <v>0</v>
      </c>
      <c r="D35" s="830">
        <v>0</v>
      </c>
      <c r="E35" s="830">
        <v>0</v>
      </c>
      <c r="F35" s="866">
        <v>0</v>
      </c>
      <c r="G35" s="830">
        <v>0</v>
      </c>
      <c r="H35" s="830">
        <v>0</v>
      </c>
      <c r="I35" s="828">
        <f t="shared" si="0"/>
        <v>0</v>
      </c>
      <c r="J35" s="832">
        <v>0</v>
      </c>
      <c r="K35" s="832">
        <v>0</v>
      </c>
      <c r="L35" s="830">
        <v>0</v>
      </c>
      <c r="M35" s="802">
        <v>0</v>
      </c>
      <c r="N35" s="832">
        <v>0</v>
      </c>
      <c r="O35" s="833">
        <v>0</v>
      </c>
      <c r="P35" s="832">
        <v>0</v>
      </c>
      <c r="Q35" s="832">
        <v>0</v>
      </c>
      <c r="R35" s="781">
        <v>0</v>
      </c>
      <c r="S35" s="830">
        <v>0</v>
      </c>
      <c r="T35" s="830">
        <v>0</v>
      </c>
      <c r="U35" s="834">
        <v>0</v>
      </c>
      <c r="V35" s="832">
        <v>0</v>
      </c>
      <c r="W35" s="831">
        <v>0</v>
      </c>
      <c r="X35" s="783">
        <v>0</v>
      </c>
      <c r="Y35" s="830">
        <v>0</v>
      </c>
      <c r="Z35" s="833">
        <v>0</v>
      </c>
      <c r="AA35" s="802">
        <v>0</v>
      </c>
      <c r="AB35" s="835">
        <v>0</v>
      </c>
      <c r="AC35" s="1094">
        <v>0</v>
      </c>
      <c r="AD35" s="833">
        <v>0</v>
      </c>
      <c r="AE35" s="836">
        <v>0</v>
      </c>
      <c r="AF35" s="836">
        <v>0</v>
      </c>
      <c r="AG35" s="827">
        <f t="shared" si="1"/>
        <v>0</v>
      </c>
      <c r="AH35" s="827">
        <f t="shared" si="2"/>
        <v>0</v>
      </c>
      <c r="AI35" s="466">
        <f t="shared" si="3"/>
        <v>0</v>
      </c>
      <c r="AJ35" s="467" t="str">
        <f t="shared" si="4"/>
        <v xml:space="preserve"> </v>
      </c>
      <c r="AS35" s="139" t="s">
        <v>260</v>
      </c>
      <c r="AT35" s="139" t="s">
        <v>259</v>
      </c>
      <c r="DS35" s="648"/>
      <c r="DT35" s="648"/>
      <c r="DU35" s="667" t="s">
        <v>415</v>
      </c>
      <c r="DV35" s="667" t="s">
        <v>1188</v>
      </c>
      <c r="DW35" s="667" t="s">
        <v>1134</v>
      </c>
      <c r="DX35" s="667" t="s">
        <v>1134</v>
      </c>
      <c r="DY35" s="669" t="s">
        <v>1253</v>
      </c>
      <c r="DZ35" s="667" t="s">
        <v>1134</v>
      </c>
      <c r="EA35" s="670" t="s">
        <v>260</v>
      </c>
      <c r="EB35" s="667" t="s">
        <v>1135</v>
      </c>
      <c r="EC35" s="667" t="s">
        <v>1134</v>
      </c>
      <c r="ED35" s="667" t="s">
        <v>1136</v>
      </c>
    </row>
    <row r="36" spans="1:134" x14ac:dyDescent="0.2">
      <c r="A36" s="225" t="s">
        <v>127</v>
      </c>
      <c r="B36" s="632">
        <v>29</v>
      </c>
      <c r="C36" s="770">
        <v>0</v>
      </c>
      <c r="D36" s="830">
        <v>0</v>
      </c>
      <c r="E36" s="830">
        <v>0</v>
      </c>
      <c r="F36" s="866">
        <v>0</v>
      </c>
      <c r="G36" s="830">
        <v>0</v>
      </c>
      <c r="H36" s="830">
        <v>0</v>
      </c>
      <c r="I36" s="828">
        <f t="shared" si="0"/>
        <v>0</v>
      </c>
      <c r="J36" s="832">
        <v>0</v>
      </c>
      <c r="K36" s="832">
        <v>0</v>
      </c>
      <c r="L36" s="830">
        <v>0</v>
      </c>
      <c r="M36" s="802">
        <v>0</v>
      </c>
      <c r="N36" s="832">
        <v>0</v>
      </c>
      <c r="O36" s="833">
        <v>0</v>
      </c>
      <c r="P36" s="832">
        <v>0</v>
      </c>
      <c r="Q36" s="832">
        <v>0</v>
      </c>
      <c r="R36" s="781">
        <v>0</v>
      </c>
      <c r="S36" s="830">
        <v>0</v>
      </c>
      <c r="T36" s="830">
        <v>0</v>
      </c>
      <c r="U36" s="834">
        <v>0</v>
      </c>
      <c r="V36" s="832">
        <v>0</v>
      </c>
      <c r="W36" s="831">
        <v>0</v>
      </c>
      <c r="X36" s="783">
        <v>0</v>
      </c>
      <c r="Y36" s="830">
        <v>0</v>
      </c>
      <c r="Z36" s="833">
        <v>0</v>
      </c>
      <c r="AA36" s="802">
        <v>0</v>
      </c>
      <c r="AB36" s="835">
        <v>0</v>
      </c>
      <c r="AC36" s="1094">
        <v>0</v>
      </c>
      <c r="AD36" s="833">
        <v>0</v>
      </c>
      <c r="AE36" s="836">
        <v>0</v>
      </c>
      <c r="AF36" s="836">
        <v>0</v>
      </c>
      <c r="AG36" s="827">
        <f t="shared" si="1"/>
        <v>0</v>
      </c>
      <c r="AH36" s="827">
        <f t="shared" si="2"/>
        <v>0</v>
      </c>
      <c r="AI36" s="466">
        <f t="shared" si="3"/>
        <v>0</v>
      </c>
      <c r="AJ36" s="467" t="str">
        <f t="shared" si="4"/>
        <v xml:space="preserve"> </v>
      </c>
      <c r="AS36" s="139" t="s">
        <v>262</v>
      </c>
      <c r="AT36" s="139" t="s">
        <v>261</v>
      </c>
      <c r="DS36" s="648"/>
      <c r="DT36" s="648"/>
      <c r="DU36" s="667" t="s">
        <v>415</v>
      </c>
      <c r="DV36" s="667" t="s">
        <v>1188</v>
      </c>
      <c r="DW36" s="667" t="s">
        <v>1134</v>
      </c>
      <c r="DX36" s="667" t="s">
        <v>1134</v>
      </c>
      <c r="DY36" s="669" t="s">
        <v>1253</v>
      </c>
      <c r="DZ36" s="667" t="s">
        <v>1134</v>
      </c>
      <c r="EA36" s="670" t="s">
        <v>262</v>
      </c>
      <c r="EB36" s="667" t="s">
        <v>1135</v>
      </c>
      <c r="EC36" s="667" t="s">
        <v>1134</v>
      </c>
      <c r="ED36" s="667" t="s">
        <v>1136</v>
      </c>
    </row>
    <row r="37" spans="1:134" x14ac:dyDescent="0.2">
      <c r="A37" s="225" t="s">
        <v>983</v>
      </c>
      <c r="B37" s="632">
        <v>30</v>
      </c>
      <c r="C37" s="770">
        <v>0</v>
      </c>
      <c r="D37" s="830">
        <v>0</v>
      </c>
      <c r="E37" s="830">
        <v>0</v>
      </c>
      <c r="F37" s="866">
        <v>0</v>
      </c>
      <c r="G37" s="830">
        <v>0</v>
      </c>
      <c r="H37" s="830">
        <v>0</v>
      </c>
      <c r="I37" s="828">
        <f t="shared" si="0"/>
        <v>0</v>
      </c>
      <c r="J37" s="832">
        <v>0</v>
      </c>
      <c r="K37" s="832">
        <v>0</v>
      </c>
      <c r="L37" s="830">
        <v>0</v>
      </c>
      <c r="M37" s="802">
        <v>0</v>
      </c>
      <c r="N37" s="832">
        <v>0</v>
      </c>
      <c r="O37" s="833">
        <v>0</v>
      </c>
      <c r="P37" s="832">
        <v>0</v>
      </c>
      <c r="Q37" s="832">
        <v>0</v>
      </c>
      <c r="R37" s="781">
        <v>0</v>
      </c>
      <c r="S37" s="830">
        <v>0</v>
      </c>
      <c r="T37" s="830">
        <v>0</v>
      </c>
      <c r="U37" s="834">
        <v>0</v>
      </c>
      <c r="V37" s="832">
        <v>0</v>
      </c>
      <c r="W37" s="831">
        <v>0</v>
      </c>
      <c r="X37" s="783">
        <v>0</v>
      </c>
      <c r="Y37" s="830">
        <v>0</v>
      </c>
      <c r="Z37" s="833">
        <v>0</v>
      </c>
      <c r="AA37" s="802">
        <v>0</v>
      </c>
      <c r="AB37" s="835">
        <v>0</v>
      </c>
      <c r="AC37" s="1094">
        <v>0</v>
      </c>
      <c r="AD37" s="833">
        <v>0</v>
      </c>
      <c r="AE37" s="836">
        <v>0</v>
      </c>
      <c r="AF37" s="836">
        <v>0</v>
      </c>
      <c r="AG37" s="827">
        <f t="shared" si="1"/>
        <v>0</v>
      </c>
      <c r="AH37" s="827">
        <f t="shared" si="2"/>
        <v>0</v>
      </c>
      <c r="AI37" s="466">
        <f t="shared" si="3"/>
        <v>0</v>
      </c>
      <c r="AJ37" s="467" t="str">
        <f t="shared" si="4"/>
        <v xml:space="preserve"> </v>
      </c>
      <c r="AS37" s="139" t="s">
        <v>929</v>
      </c>
      <c r="AT37" s="139" t="s">
        <v>928</v>
      </c>
      <c r="DS37" s="648"/>
      <c r="DT37" s="648"/>
      <c r="DU37" s="667" t="s">
        <v>415</v>
      </c>
      <c r="DV37" s="667" t="s">
        <v>1188</v>
      </c>
      <c r="DW37" s="667" t="s">
        <v>1134</v>
      </c>
      <c r="DX37" s="667" t="s">
        <v>1134</v>
      </c>
      <c r="DY37" s="669" t="s">
        <v>1253</v>
      </c>
      <c r="DZ37" s="667" t="s">
        <v>1134</v>
      </c>
      <c r="EA37" s="670" t="s">
        <v>929</v>
      </c>
      <c r="EB37" s="667" t="s">
        <v>1135</v>
      </c>
      <c r="EC37" s="667" t="s">
        <v>1134</v>
      </c>
      <c r="ED37" s="667" t="s">
        <v>1136</v>
      </c>
    </row>
    <row r="38" spans="1:134" x14ac:dyDescent="0.2">
      <c r="A38" s="225" t="s">
        <v>561</v>
      </c>
      <c r="B38" s="632">
        <v>31</v>
      </c>
      <c r="C38" s="770">
        <v>0</v>
      </c>
      <c r="D38" s="830">
        <v>0</v>
      </c>
      <c r="E38" s="830">
        <v>0</v>
      </c>
      <c r="F38" s="866">
        <v>0</v>
      </c>
      <c r="G38" s="830">
        <v>0</v>
      </c>
      <c r="H38" s="830">
        <v>0</v>
      </c>
      <c r="I38" s="828">
        <f t="shared" si="0"/>
        <v>0</v>
      </c>
      <c r="J38" s="832">
        <v>0</v>
      </c>
      <c r="K38" s="832">
        <v>0</v>
      </c>
      <c r="L38" s="830">
        <v>0</v>
      </c>
      <c r="M38" s="802">
        <v>0</v>
      </c>
      <c r="N38" s="832">
        <v>0</v>
      </c>
      <c r="O38" s="833">
        <v>0</v>
      </c>
      <c r="P38" s="832">
        <v>0</v>
      </c>
      <c r="Q38" s="832">
        <v>0</v>
      </c>
      <c r="R38" s="781">
        <v>0</v>
      </c>
      <c r="S38" s="830">
        <v>0</v>
      </c>
      <c r="T38" s="830">
        <v>0</v>
      </c>
      <c r="U38" s="834">
        <v>0</v>
      </c>
      <c r="V38" s="832">
        <v>0</v>
      </c>
      <c r="W38" s="831">
        <v>0</v>
      </c>
      <c r="X38" s="783">
        <v>0</v>
      </c>
      <c r="Y38" s="830">
        <v>0</v>
      </c>
      <c r="Z38" s="833">
        <v>0</v>
      </c>
      <c r="AA38" s="802">
        <v>0</v>
      </c>
      <c r="AB38" s="835">
        <v>0</v>
      </c>
      <c r="AC38" s="1094">
        <v>0</v>
      </c>
      <c r="AD38" s="833">
        <v>0</v>
      </c>
      <c r="AE38" s="836">
        <v>0</v>
      </c>
      <c r="AF38" s="836">
        <v>0</v>
      </c>
      <c r="AG38" s="827">
        <f t="shared" si="1"/>
        <v>0</v>
      </c>
      <c r="AH38" s="827">
        <f t="shared" si="2"/>
        <v>0</v>
      </c>
      <c r="AI38" s="466">
        <f t="shared" si="3"/>
        <v>0</v>
      </c>
      <c r="AJ38" s="467" t="str">
        <f t="shared" si="4"/>
        <v xml:space="preserve"> </v>
      </c>
      <c r="AS38" s="139" t="s">
        <v>515</v>
      </c>
      <c r="AT38" s="139" t="s">
        <v>516</v>
      </c>
      <c r="DS38" s="648"/>
      <c r="DT38" s="648"/>
      <c r="DU38" s="667" t="s">
        <v>415</v>
      </c>
      <c r="DV38" s="667" t="s">
        <v>1188</v>
      </c>
      <c r="DW38" s="667" t="s">
        <v>1134</v>
      </c>
      <c r="DX38" s="667" t="s">
        <v>1134</v>
      </c>
      <c r="DY38" s="669" t="s">
        <v>1253</v>
      </c>
      <c r="DZ38" s="667" t="s">
        <v>1134</v>
      </c>
      <c r="EA38" s="670" t="s">
        <v>515</v>
      </c>
      <c r="EB38" s="667" t="s">
        <v>1135</v>
      </c>
      <c r="EC38" s="667" t="s">
        <v>1134</v>
      </c>
      <c r="ED38" s="667" t="s">
        <v>1136</v>
      </c>
    </row>
    <row r="39" spans="1:134" x14ac:dyDescent="0.2">
      <c r="A39" s="225" t="s">
        <v>562</v>
      </c>
      <c r="B39" s="632">
        <v>32</v>
      </c>
      <c r="C39" s="770">
        <v>0</v>
      </c>
      <c r="D39" s="830">
        <v>0</v>
      </c>
      <c r="E39" s="830">
        <v>0</v>
      </c>
      <c r="F39" s="866">
        <v>0</v>
      </c>
      <c r="G39" s="830">
        <v>0</v>
      </c>
      <c r="H39" s="830">
        <v>0</v>
      </c>
      <c r="I39" s="828">
        <f t="shared" si="0"/>
        <v>0</v>
      </c>
      <c r="J39" s="832">
        <v>0</v>
      </c>
      <c r="K39" s="832">
        <v>0</v>
      </c>
      <c r="L39" s="830">
        <v>0</v>
      </c>
      <c r="M39" s="802">
        <v>0</v>
      </c>
      <c r="N39" s="832">
        <v>0</v>
      </c>
      <c r="O39" s="833">
        <v>0</v>
      </c>
      <c r="P39" s="832">
        <v>0</v>
      </c>
      <c r="Q39" s="832">
        <v>0</v>
      </c>
      <c r="R39" s="781">
        <v>0</v>
      </c>
      <c r="S39" s="830">
        <v>0</v>
      </c>
      <c r="T39" s="830">
        <v>0</v>
      </c>
      <c r="U39" s="834">
        <v>0</v>
      </c>
      <c r="V39" s="832">
        <v>0</v>
      </c>
      <c r="W39" s="831">
        <v>0</v>
      </c>
      <c r="X39" s="783">
        <v>0</v>
      </c>
      <c r="Y39" s="830">
        <v>0</v>
      </c>
      <c r="Z39" s="833">
        <v>0</v>
      </c>
      <c r="AA39" s="802">
        <v>0</v>
      </c>
      <c r="AB39" s="835">
        <v>0</v>
      </c>
      <c r="AC39" s="1094">
        <v>0</v>
      </c>
      <c r="AD39" s="833">
        <v>0</v>
      </c>
      <c r="AE39" s="836">
        <v>0</v>
      </c>
      <c r="AF39" s="836">
        <v>0</v>
      </c>
      <c r="AG39" s="827">
        <f t="shared" si="1"/>
        <v>0</v>
      </c>
      <c r="AH39" s="827">
        <f t="shared" si="2"/>
        <v>0</v>
      </c>
      <c r="AI39" s="466">
        <f t="shared" si="3"/>
        <v>0</v>
      </c>
      <c r="AJ39" s="467" t="str">
        <f t="shared" si="4"/>
        <v xml:space="preserve"> </v>
      </c>
      <c r="AS39" s="139" t="s">
        <v>517</v>
      </c>
      <c r="AT39" s="139" t="s">
        <v>518</v>
      </c>
      <c r="DS39" s="648"/>
      <c r="DT39" s="648"/>
      <c r="DU39" s="667" t="s">
        <v>415</v>
      </c>
      <c r="DV39" s="667" t="s">
        <v>1188</v>
      </c>
      <c r="DW39" s="667" t="s">
        <v>1134</v>
      </c>
      <c r="DX39" s="667" t="s">
        <v>1134</v>
      </c>
      <c r="DY39" s="669" t="s">
        <v>1253</v>
      </c>
      <c r="DZ39" s="667" t="s">
        <v>1134</v>
      </c>
      <c r="EA39" s="670" t="s">
        <v>517</v>
      </c>
      <c r="EB39" s="667" t="s">
        <v>1135</v>
      </c>
      <c r="EC39" s="667" t="s">
        <v>1134</v>
      </c>
      <c r="ED39" s="667" t="s">
        <v>1136</v>
      </c>
    </row>
    <row r="40" spans="1:134" x14ac:dyDescent="0.2">
      <c r="A40" s="225" t="s">
        <v>128</v>
      </c>
      <c r="B40" s="632">
        <v>33</v>
      </c>
      <c r="C40" s="770">
        <v>141</v>
      </c>
      <c r="D40" s="830">
        <v>0</v>
      </c>
      <c r="E40" s="830">
        <v>0</v>
      </c>
      <c r="F40" s="866">
        <v>0</v>
      </c>
      <c r="G40" s="830">
        <v>0</v>
      </c>
      <c r="H40" s="830">
        <v>0</v>
      </c>
      <c r="I40" s="828">
        <f t="shared" si="0"/>
        <v>141</v>
      </c>
      <c r="J40" s="832">
        <v>0</v>
      </c>
      <c r="K40" s="832">
        <v>0</v>
      </c>
      <c r="L40" s="830">
        <v>0</v>
      </c>
      <c r="M40" s="802">
        <v>0</v>
      </c>
      <c r="N40" s="832">
        <v>0</v>
      </c>
      <c r="O40" s="833">
        <v>0</v>
      </c>
      <c r="P40" s="832">
        <v>0</v>
      </c>
      <c r="Q40" s="832">
        <v>0</v>
      </c>
      <c r="R40" s="781">
        <v>10</v>
      </c>
      <c r="S40" s="830">
        <v>0</v>
      </c>
      <c r="T40" s="830">
        <v>10</v>
      </c>
      <c r="U40" s="834">
        <v>0</v>
      </c>
      <c r="V40" s="832">
        <v>1</v>
      </c>
      <c r="W40" s="831">
        <v>0</v>
      </c>
      <c r="X40" s="783">
        <v>1</v>
      </c>
      <c r="Y40" s="830">
        <v>0</v>
      </c>
      <c r="Z40" s="833">
        <v>1</v>
      </c>
      <c r="AA40" s="802">
        <v>25</v>
      </c>
      <c r="AB40" s="835">
        <v>25</v>
      </c>
      <c r="AC40" s="1094">
        <v>0</v>
      </c>
      <c r="AD40" s="833">
        <v>0</v>
      </c>
      <c r="AE40" s="836">
        <v>0</v>
      </c>
      <c r="AF40" s="836">
        <v>0</v>
      </c>
      <c r="AG40" s="827">
        <f t="shared" si="1"/>
        <v>36</v>
      </c>
      <c r="AH40" s="827">
        <f t="shared" si="2"/>
        <v>177</v>
      </c>
      <c r="AI40" s="466">
        <f t="shared" si="3"/>
        <v>0</v>
      </c>
      <c r="AJ40" s="467" t="str">
        <f t="shared" si="4"/>
        <v xml:space="preserve"> </v>
      </c>
      <c r="AS40" s="139" t="s">
        <v>264</v>
      </c>
      <c r="AT40" s="139" t="s">
        <v>263</v>
      </c>
      <c r="DS40" s="648"/>
      <c r="DT40" s="648"/>
      <c r="DU40" s="667" t="s">
        <v>415</v>
      </c>
      <c r="DV40" s="667" t="s">
        <v>1188</v>
      </c>
      <c r="DW40" s="667" t="s">
        <v>1134</v>
      </c>
      <c r="DX40" s="667" t="s">
        <v>1134</v>
      </c>
      <c r="DY40" s="669" t="s">
        <v>1253</v>
      </c>
      <c r="DZ40" s="667" t="s">
        <v>1134</v>
      </c>
      <c r="EA40" s="670" t="s">
        <v>264</v>
      </c>
      <c r="EB40" s="667" t="s">
        <v>1135</v>
      </c>
      <c r="EC40" s="667" t="s">
        <v>1134</v>
      </c>
      <c r="ED40" s="667" t="s">
        <v>1136</v>
      </c>
    </row>
    <row r="41" spans="1:134" x14ac:dyDescent="0.2">
      <c r="A41" s="225" t="s">
        <v>151</v>
      </c>
      <c r="B41" s="632">
        <v>34</v>
      </c>
      <c r="C41" s="770">
        <v>0</v>
      </c>
      <c r="D41" s="830">
        <v>0</v>
      </c>
      <c r="E41" s="830">
        <v>0</v>
      </c>
      <c r="F41" s="866">
        <v>0</v>
      </c>
      <c r="G41" s="830">
        <v>0</v>
      </c>
      <c r="H41" s="830">
        <v>0</v>
      </c>
      <c r="I41" s="828">
        <f t="shared" si="0"/>
        <v>0</v>
      </c>
      <c r="J41" s="832">
        <v>0</v>
      </c>
      <c r="K41" s="832">
        <v>0</v>
      </c>
      <c r="L41" s="830">
        <v>0</v>
      </c>
      <c r="M41" s="802">
        <v>0</v>
      </c>
      <c r="N41" s="832">
        <v>0</v>
      </c>
      <c r="O41" s="833">
        <v>0</v>
      </c>
      <c r="P41" s="832">
        <v>0</v>
      </c>
      <c r="Q41" s="832">
        <v>0</v>
      </c>
      <c r="R41" s="781">
        <v>0</v>
      </c>
      <c r="S41" s="830">
        <v>0</v>
      </c>
      <c r="T41" s="830">
        <v>0</v>
      </c>
      <c r="U41" s="834">
        <v>0</v>
      </c>
      <c r="V41" s="832">
        <v>0</v>
      </c>
      <c r="W41" s="831">
        <v>0</v>
      </c>
      <c r="X41" s="783">
        <v>0</v>
      </c>
      <c r="Y41" s="830">
        <v>0</v>
      </c>
      <c r="Z41" s="833">
        <v>0</v>
      </c>
      <c r="AA41" s="802">
        <v>0</v>
      </c>
      <c r="AB41" s="835">
        <v>0</v>
      </c>
      <c r="AC41" s="1094">
        <v>0</v>
      </c>
      <c r="AD41" s="833">
        <v>0</v>
      </c>
      <c r="AE41" s="836">
        <v>0</v>
      </c>
      <c r="AF41" s="836">
        <v>0</v>
      </c>
      <c r="AG41" s="827">
        <f t="shared" si="1"/>
        <v>0</v>
      </c>
      <c r="AH41" s="827">
        <f t="shared" si="2"/>
        <v>0</v>
      </c>
      <c r="AI41" s="466">
        <f t="shared" si="3"/>
        <v>0</v>
      </c>
      <c r="AJ41" s="467" t="str">
        <f t="shared" si="4"/>
        <v xml:space="preserve"> </v>
      </c>
      <c r="AS41" s="139" t="s">
        <v>469</v>
      </c>
      <c r="AT41" s="139" t="s">
        <v>470</v>
      </c>
      <c r="DS41" s="648"/>
      <c r="DT41" s="648"/>
      <c r="DU41" s="667" t="s">
        <v>415</v>
      </c>
      <c r="DV41" s="667" t="s">
        <v>1188</v>
      </c>
      <c r="DW41" s="667" t="s">
        <v>1134</v>
      </c>
      <c r="DX41" s="667" t="s">
        <v>1134</v>
      </c>
      <c r="DY41" s="669" t="s">
        <v>1253</v>
      </c>
      <c r="DZ41" s="667" t="s">
        <v>1134</v>
      </c>
      <c r="EA41" s="670" t="s">
        <v>469</v>
      </c>
      <c r="EB41" s="667" t="s">
        <v>1135</v>
      </c>
      <c r="EC41" s="667" t="s">
        <v>1134</v>
      </c>
      <c r="ED41" s="667" t="s">
        <v>1136</v>
      </c>
    </row>
    <row r="42" spans="1:134" x14ac:dyDescent="0.2">
      <c r="A42" s="225" t="s">
        <v>129</v>
      </c>
      <c r="B42" s="632">
        <v>35</v>
      </c>
      <c r="C42" s="770">
        <v>0</v>
      </c>
      <c r="D42" s="830">
        <v>0</v>
      </c>
      <c r="E42" s="830">
        <v>0</v>
      </c>
      <c r="F42" s="866">
        <v>0</v>
      </c>
      <c r="G42" s="830">
        <v>0</v>
      </c>
      <c r="H42" s="830">
        <v>0</v>
      </c>
      <c r="I42" s="828">
        <f t="shared" si="0"/>
        <v>0</v>
      </c>
      <c r="J42" s="832">
        <v>0</v>
      </c>
      <c r="K42" s="832">
        <v>0</v>
      </c>
      <c r="L42" s="830">
        <v>0</v>
      </c>
      <c r="M42" s="802">
        <v>0</v>
      </c>
      <c r="N42" s="832">
        <v>0</v>
      </c>
      <c r="O42" s="833">
        <v>0</v>
      </c>
      <c r="P42" s="832">
        <v>0</v>
      </c>
      <c r="Q42" s="832">
        <v>0</v>
      </c>
      <c r="R42" s="781">
        <v>0</v>
      </c>
      <c r="S42" s="830">
        <v>0</v>
      </c>
      <c r="T42" s="830">
        <v>0</v>
      </c>
      <c r="U42" s="834">
        <v>0</v>
      </c>
      <c r="V42" s="832">
        <v>0</v>
      </c>
      <c r="W42" s="831">
        <v>0</v>
      </c>
      <c r="X42" s="783">
        <v>0</v>
      </c>
      <c r="Y42" s="830">
        <v>0</v>
      </c>
      <c r="Z42" s="833">
        <v>0</v>
      </c>
      <c r="AA42" s="802">
        <v>0</v>
      </c>
      <c r="AB42" s="835">
        <v>0</v>
      </c>
      <c r="AC42" s="1094">
        <v>0</v>
      </c>
      <c r="AD42" s="833">
        <v>0</v>
      </c>
      <c r="AE42" s="836">
        <v>0</v>
      </c>
      <c r="AF42" s="836">
        <v>0</v>
      </c>
      <c r="AG42" s="827">
        <f t="shared" si="1"/>
        <v>0</v>
      </c>
      <c r="AH42" s="827">
        <f t="shared" si="2"/>
        <v>0</v>
      </c>
      <c r="AI42" s="466">
        <f t="shared" si="3"/>
        <v>0</v>
      </c>
      <c r="AJ42" s="467" t="str">
        <f t="shared" si="4"/>
        <v xml:space="preserve"> </v>
      </c>
      <c r="AS42" s="139" t="s">
        <v>266</v>
      </c>
      <c r="AT42" s="139" t="s">
        <v>265</v>
      </c>
      <c r="DS42" s="648"/>
      <c r="DT42" s="648"/>
      <c r="DU42" s="667" t="s">
        <v>415</v>
      </c>
      <c r="DV42" s="667" t="s">
        <v>1188</v>
      </c>
      <c r="DW42" s="667" t="s">
        <v>1134</v>
      </c>
      <c r="DX42" s="667" t="s">
        <v>1134</v>
      </c>
      <c r="DY42" s="669" t="s">
        <v>1253</v>
      </c>
      <c r="DZ42" s="667" t="s">
        <v>1134</v>
      </c>
      <c r="EA42" s="670" t="s">
        <v>266</v>
      </c>
      <c r="EB42" s="667" t="s">
        <v>1135</v>
      </c>
      <c r="EC42" s="667" t="s">
        <v>1134</v>
      </c>
      <c r="ED42" s="667" t="s">
        <v>1136</v>
      </c>
    </row>
    <row r="43" spans="1:134" x14ac:dyDescent="0.2">
      <c r="A43" s="225" t="s">
        <v>939</v>
      </c>
      <c r="B43" s="632">
        <v>36</v>
      </c>
      <c r="C43" s="770">
        <v>0</v>
      </c>
      <c r="D43" s="830">
        <v>0</v>
      </c>
      <c r="E43" s="830">
        <v>0</v>
      </c>
      <c r="F43" s="866">
        <v>0</v>
      </c>
      <c r="G43" s="830">
        <v>0</v>
      </c>
      <c r="H43" s="830">
        <v>0</v>
      </c>
      <c r="I43" s="828">
        <f t="shared" si="0"/>
        <v>0</v>
      </c>
      <c r="J43" s="832">
        <v>0</v>
      </c>
      <c r="K43" s="832">
        <v>0</v>
      </c>
      <c r="L43" s="830">
        <v>0</v>
      </c>
      <c r="M43" s="802">
        <v>0</v>
      </c>
      <c r="N43" s="832">
        <v>0</v>
      </c>
      <c r="O43" s="833">
        <v>0</v>
      </c>
      <c r="P43" s="832">
        <v>0</v>
      </c>
      <c r="Q43" s="832">
        <v>0</v>
      </c>
      <c r="R43" s="781">
        <v>0</v>
      </c>
      <c r="S43" s="830">
        <v>0</v>
      </c>
      <c r="T43" s="830">
        <v>0</v>
      </c>
      <c r="U43" s="834">
        <v>0</v>
      </c>
      <c r="V43" s="832">
        <v>0</v>
      </c>
      <c r="W43" s="831">
        <v>0</v>
      </c>
      <c r="X43" s="783">
        <v>0</v>
      </c>
      <c r="Y43" s="830">
        <v>0</v>
      </c>
      <c r="Z43" s="833">
        <v>0</v>
      </c>
      <c r="AA43" s="802">
        <v>0</v>
      </c>
      <c r="AB43" s="835">
        <v>0</v>
      </c>
      <c r="AC43" s="1094">
        <v>0</v>
      </c>
      <c r="AD43" s="833">
        <v>0</v>
      </c>
      <c r="AE43" s="836">
        <v>0</v>
      </c>
      <c r="AF43" s="836">
        <v>0</v>
      </c>
      <c r="AG43" s="827">
        <f t="shared" si="1"/>
        <v>0</v>
      </c>
      <c r="AH43" s="827">
        <f t="shared" si="2"/>
        <v>0</v>
      </c>
      <c r="AI43" s="466">
        <f t="shared" si="3"/>
        <v>0</v>
      </c>
      <c r="AJ43" s="467" t="str">
        <f t="shared" si="4"/>
        <v xml:space="preserve"> </v>
      </c>
      <c r="AS43" s="139" t="s">
        <v>519</v>
      </c>
      <c r="AT43" s="139" t="s">
        <v>520</v>
      </c>
      <c r="DS43" s="648"/>
      <c r="DT43" s="648"/>
      <c r="DU43" s="667" t="s">
        <v>415</v>
      </c>
      <c r="DV43" s="667" t="s">
        <v>1188</v>
      </c>
      <c r="DW43" s="667" t="s">
        <v>1134</v>
      </c>
      <c r="DX43" s="667" t="s">
        <v>1134</v>
      </c>
      <c r="DY43" s="669" t="s">
        <v>1253</v>
      </c>
      <c r="DZ43" s="667" t="s">
        <v>1134</v>
      </c>
      <c r="EA43" s="670" t="s">
        <v>519</v>
      </c>
      <c r="EB43" s="667" t="s">
        <v>1135</v>
      </c>
      <c r="EC43" s="667" t="s">
        <v>1134</v>
      </c>
      <c r="ED43" s="667" t="s">
        <v>1136</v>
      </c>
    </row>
    <row r="44" spans="1:134" x14ac:dyDescent="0.2">
      <c r="A44" s="225" t="s">
        <v>568</v>
      </c>
      <c r="B44" s="632">
        <v>37</v>
      </c>
      <c r="C44" s="770">
        <v>0</v>
      </c>
      <c r="D44" s="830">
        <v>0</v>
      </c>
      <c r="E44" s="830">
        <v>0</v>
      </c>
      <c r="F44" s="866">
        <v>0</v>
      </c>
      <c r="G44" s="830">
        <v>0</v>
      </c>
      <c r="H44" s="830">
        <v>0</v>
      </c>
      <c r="I44" s="828">
        <f t="shared" si="0"/>
        <v>0</v>
      </c>
      <c r="J44" s="832">
        <v>0</v>
      </c>
      <c r="K44" s="832">
        <v>0</v>
      </c>
      <c r="L44" s="830">
        <v>0</v>
      </c>
      <c r="M44" s="802">
        <v>0</v>
      </c>
      <c r="N44" s="832">
        <v>0</v>
      </c>
      <c r="O44" s="833">
        <v>0</v>
      </c>
      <c r="P44" s="832">
        <v>0</v>
      </c>
      <c r="Q44" s="832">
        <v>0</v>
      </c>
      <c r="R44" s="781">
        <v>0</v>
      </c>
      <c r="S44" s="830">
        <v>0</v>
      </c>
      <c r="T44" s="830">
        <v>0</v>
      </c>
      <c r="U44" s="834">
        <v>0</v>
      </c>
      <c r="V44" s="832">
        <v>0</v>
      </c>
      <c r="W44" s="831">
        <v>0</v>
      </c>
      <c r="X44" s="783">
        <v>0</v>
      </c>
      <c r="Y44" s="830">
        <v>0</v>
      </c>
      <c r="Z44" s="833">
        <v>0</v>
      </c>
      <c r="AA44" s="802">
        <v>0</v>
      </c>
      <c r="AB44" s="835">
        <v>0</v>
      </c>
      <c r="AC44" s="1094">
        <v>0</v>
      </c>
      <c r="AD44" s="833">
        <v>0</v>
      </c>
      <c r="AE44" s="836">
        <v>0</v>
      </c>
      <c r="AF44" s="836">
        <v>0</v>
      </c>
      <c r="AG44" s="827">
        <f t="shared" si="1"/>
        <v>0</v>
      </c>
      <c r="AH44" s="827">
        <f t="shared" si="2"/>
        <v>0</v>
      </c>
      <c r="AI44" s="466">
        <f t="shared" si="3"/>
        <v>0</v>
      </c>
      <c r="AJ44" s="467" t="str">
        <f t="shared" si="4"/>
        <v xml:space="preserve"> </v>
      </c>
      <c r="AS44" s="139" t="s">
        <v>542</v>
      </c>
      <c r="AT44" s="139" t="s">
        <v>543</v>
      </c>
      <c r="DS44" s="648"/>
      <c r="DT44" s="648"/>
      <c r="DU44" s="667" t="s">
        <v>415</v>
      </c>
      <c r="DV44" s="667" t="s">
        <v>1188</v>
      </c>
      <c r="DW44" s="667" t="s">
        <v>1134</v>
      </c>
      <c r="DX44" s="667" t="s">
        <v>1134</v>
      </c>
      <c r="DY44" s="669" t="s">
        <v>1253</v>
      </c>
      <c r="DZ44" s="667" t="s">
        <v>1134</v>
      </c>
      <c r="EA44" s="670" t="s">
        <v>542</v>
      </c>
      <c r="EB44" s="667" t="s">
        <v>1135</v>
      </c>
      <c r="EC44" s="667" t="s">
        <v>1134</v>
      </c>
      <c r="ED44" s="667" t="s">
        <v>1136</v>
      </c>
    </row>
    <row r="45" spans="1:134" x14ac:dyDescent="0.2">
      <c r="A45" s="225" t="s">
        <v>130</v>
      </c>
      <c r="B45" s="632">
        <v>38</v>
      </c>
      <c r="C45" s="770">
        <v>0</v>
      </c>
      <c r="D45" s="830">
        <v>0</v>
      </c>
      <c r="E45" s="830">
        <v>0</v>
      </c>
      <c r="F45" s="866">
        <v>0</v>
      </c>
      <c r="G45" s="830">
        <v>0</v>
      </c>
      <c r="H45" s="830">
        <v>0</v>
      </c>
      <c r="I45" s="828">
        <f t="shared" si="0"/>
        <v>0</v>
      </c>
      <c r="J45" s="832">
        <v>0</v>
      </c>
      <c r="K45" s="832">
        <v>0</v>
      </c>
      <c r="L45" s="830">
        <v>0</v>
      </c>
      <c r="M45" s="802">
        <v>0</v>
      </c>
      <c r="N45" s="832">
        <v>0</v>
      </c>
      <c r="O45" s="833">
        <v>0</v>
      </c>
      <c r="P45" s="832">
        <v>0</v>
      </c>
      <c r="Q45" s="832">
        <v>0</v>
      </c>
      <c r="R45" s="781">
        <v>0</v>
      </c>
      <c r="S45" s="830">
        <v>0</v>
      </c>
      <c r="T45" s="830">
        <v>0</v>
      </c>
      <c r="U45" s="834">
        <v>0</v>
      </c>
      <c r="V45" s="832">
        <v>0</v>
      </c>
      <c r="W45" s="831">
        <v>0</v>
      </c>
      <c r="X45" s="783">
        <v>0</v>
      </c>
      <c r="Y45" s="830">
        <v>0</v>
      </c>
      <c r="Z45" s="833">
        <v>0</v>
      </c>
      <c r="AA45" s="802">
        <v>0</v>
      </c>
      <c r="AB45" s="835">
        <v>0</v>
      </c>
      <c r="AC45" s="1094">
        <v>0</v>
      </c>
      <c r="AD45" s="833">
        <v>0</v>
      </c>
      <c r="AE45" s="836">
        <v>0</v>
      </c>
      <c r="AF45" s="836">
        <v>0</v>
      </c>
      <c r="AG45" s="827">
        <f t="shared" si="1"/>
        <v>0</v>
      </c>
      <c r="AH45" s="827">
        <f t="shared" si="2"/>
        <v>0</v>
      </c>
      <c r="AI45" s="466">
        <f t="shared" si="3"/>
        <v>0</v>
      </c>
      <c r="AJ45" s="467" t="str">
        <f t="shared" si="4"/>
        <v xml:space="preserve"> </v>
      </c>
      <c r="AS45" s="139" t="s">
        <v>268</v>
      </c>
      <c r="AT45" s="139" t="s">
        <v>267</v>
      </c>
      <c r="DS45" s="648"/>
      <c r="DT45" s="648"/>
      <c r="DU45" s="667" t="s">
        <v>415</v>
      </c>
      <c r="DV45" s="667" t="s">
        <v>1188</v>
      </c>
      <c r="DW45" s="667" t="s">
        <v>1134</v>
      </c>
      <c r="DX45" s="667" t="s">
        <v>1134</v>
      </c>
      <c r="DY45" s="669" t="s">
        <v>1253</v>
      </c>
      <c r="DZ45" s="667" t="s">
        <v>1134</v>
      </c>
      <c r="EA45" s="670" t="s">
        <v>268</v>
      </c>
      <c r="EB45" s="667" t="s">
        <v>1135</v>
      </c>
      <c r="EC45" s="667" t="s">
        <v>1134</v>
      </c>
      <c r="ED45" s="667" t="s">
        <v>1136</v>
      </c>
    </row>
    <row r="46" spans="1:134" x14ac:dyDescent="0.2">
      <c r="A46" s="427" t="s">
        <v>131</v>
      </c>
      <c r="B46" s="632">
        <v>39</v>
      </c>
      <c r="C46" s="770">
        <v>0</v>
      </c>
      <c r="D46" s="830">
        <v>0</v>
      </c>
      <c r="E46" s="830">
        <v>0</v>
      </c>
      <c r="F46" s="866">
        <v>0</v>
      </c>
      <c r="G46" s="830">
        <v>0</v>
      </c>
      <c r="H46" s="830">
        <v>0</v>
      </c>
      <c r="I46" s="828">
        <f t="shared" si="0"/>
        <v>0</v>
      </c>
      <c r="J46" s="832">
        <v>0</v>
      </c>
      <c r="K46" s="832">
        <v>0</v>
      </c>
      <c r="L46" s="830">
        <v>0</v>
      </c>
      <c r="M46" s="802">
        <v>0</v>
      </c>
      <c r="N46" s="832">
        <v>0</v>
      </c>
      <c r="O46" s="833">
        <v>0</v>
      </c>
      <c r="P46" s="832">
        <v>0</v>
      </c>
      <c r="Q46" s="832">
        <v>0</v>
      </c>
      <c r="R46" s="781">
        <v>0</v>
      </c>
      <c r="S46" s="830">
        <v>0</v>
      </c>
      <c r="T46" s="830">
        <v>0</v>
      </c>
      <c r="U46" s="834">
        <v>0</v>
      </c>
      <c r="V46" s="832">
        <v>0</v>
      </c>
      <c r="W46" s="831">
        <v>0</v>
      </c>
      <c r="X46" s="783">
        <v>0</v>
      </c>
      <c r="Y46" s="830">
        <v>0</v>
      </c>
      <c r="Z46" s="833">
        <v>0</v>
      </c>
      <c r="AA46" s="802">
        <v>0</v>
      </c>
      <c r="AB46" s="835">
        <v>0</v>
      </c>
      <c r="AC46" s="1094">
        <v>0</v>
      </c>
      <c r="AD46" s="833">
        <v>0</v>
      </c>
      <c r="AE46" s="836">
        <v>0</v>
      </c>
      <c r="AF46" s="836">
        <v>0</v>
      </c>
      <c r="AG46" s="827">
        <f t="shared" si="1"/>
        <v>0</v>
      </c>
      <c r="AH46" s="827">
        <f t="shared" si="2"/>
        <v>0</v>
      </c>
      <c r="AI46" s="466">
        <f t="shared" si="3"/>
        <v>0</v>
      </c>
      <c r="AJ46" s="467" t="str">
        <f t="shared" si="4"/>
        <v xml:space="preserve"> </v>
      </c>
      <c r="AS46" s="139" t="s">
        <v>269</v>
      </c>
      <c r="AT46" s="139" t="s">
        <v>269</v>
      </c>
      <c r="DS46" s="648"/>
      <c r="DT46" s="648"/>
      <c r="DU46" s="667" t="s">
        <v>415</v>
      </c>
      <c r="DV46" s="667" t="s">
        <v>1188</v>
      </c>
      <c r="DW46" s="667" t="s">
        <v>1134</v>
      </c>
      <c r="DX46" s="667" t="s">
        <v>1134</v>
      </c>
      <c r="DY46" s="669" t="s">
        <v>1253</v>
      </c>
      <c r="DZ46" s="667" t="s">
        <v>1134</v>
      </c>
      <c r="EA46" s="670" t="s">
        <v>269</v>
      </c>
      <c r="EB46" s="667" t="s">
        <v>1135</v>
      </c>
      <c r="EC46" s="667" t="s">
        <v>1134</v>
      </c>
      <c r="ED46" s="667" t="s">
        <v>1136</v>
      </c>
    </row>
    <row r="47" spans="1:134" x14ac:dyDescent="0.2">
      <c r="A47" s="74" t="s">
        <v>1365</v>
      </c>
      <c r="B47" s="632">
        <v>40</v>
      </c>
      <c r="C47" s="770">
        <v>0</v>
      </c>
      <c r="D47" s="830">
        <v>0</v>
      </c>
      <c r="E47" s="830">
        <v>0</v>
      </c>
      <c r="F47" s="866">
        <v>0</v>
      </c>
      <c r="G47" s="830">
        <v>0</v>
      </c>
      <c r="H47" s="830">
        <v>0</v>
      </c>
      <c r="I47" s="828">
        <f t="shared" si="0"/>
        <v>0</v>
      </c>
      <c r="J47" s="832">
        <v>0</v>
      </c>
      <c r="K47" s="832">
        <v>0</v>
      </c>
      <c r="L47" s="830">
        <v>0</v>
      </c>
      <c r="M47" s="802">
        <v>0</v>
      </c>
      <c r="N47" s="832">
        <v>0</v>
      </c>
      <c r="O47" s="833">
        <v>0</v>
      </c>
      <c r="P47" s="832">
        <v>0</v>
      </c>
      <c r="Q47" s="832">
        <v>0</v>
      </c>
      <c r="R47" s="781">
        <v>0</v>
      </c>
      <c r="S47" s="830">
        <v>0</v>
      </c>
      <c r="T47" s="830">
        <v>0</v>
      </c>
      <c r="U47" s="834">
        <v>0</v>
      </c>
      <c r="V47" s="832">
        <v>0</v>
      </c>
      <c r="W47" s="831">
        <v>0</v>
      </c>
      <c r="X47" s="783">
        <v>0</v>
      </c>
      <c r="Y47" s="830">
        <v>0</v>
      </c>
      <c r="Z47" s="833">
        <v>0</v>
      </c>
      <c r="AA47" s="802">
        <v>0</v>
      </c>
      <c r="AB47" s="835">
        <v>0</v>
      </c>
      <c r="AC47" s="1094">
        <v>0</v>
      </c>
      <c r="AD47" s="833">
        <v>0</v>
      </c>
      <c r="AE47" s="836">
        <v>0</v>
      </c>
      <c r="AF47" s="836">
        <v>0</v>
      </c>
      <c r="AG47" s="827">
        <f t="shared" si="1"/>
        <v>0</v>
      </c>
      <c r="AH47" s="827">
        <f t="shared" si="2"/>
        <v>0</v>
      </c>
      <c r="AI47" s="466">
        <f t="shared" si="3"/>
        <v>0</v>
      </c>
      <c r="AJ47" s="467" t="str">
        <f t="shared" si="4"/>
        <v xml:space="preserve"> </v>
      </c>
      <c r="AS47" s="139" t="s">
        <v>541</v>
      </c>
      <c r="AT47" s="1085" t="s">
        <v>1402</v>
      </c>
      <c r="DS47" s="648"/>
      <c r="DT47" s="648"/>
      <c r="DU47" s="667" t="s">
        <v>415</v>
      </c>
      <c r="DV47" s="667" t="s">
        <v>1188</v>
      </c>
      <c r="DW47" s="667" t="s">
        <v>1134</v>
      </c>
      <c r="DX47" s="667" t="s">
        <v>1134</v>
      </c>
      <c r="DY47" s="669" t="s">
        <v>1253</v>
      </c>
      <c r="DZ47" s="667" t="s">
        <v>1134</v>
      </c>
      <c r="EA47" s="670" t="s">
        <v>541</v>
      </c>
      <c r="EB47" s="667" t="s">
        <v>1135</v>
      </c>
      <c r="EC47" s="667" t="s">
        <v>1134</v>
      </c>
      <c r="ED47" s="667" t="s">
        <v>1136</v>
      </c>
    </row>
    <row r="48" spans="1:134" x14ac:dyDescent="0.2">
      <c r="A48" s="427" t="s">
        <v>132</v>
      </c>
      <c r="B48" s="632">
        <v>41</v>
      </c>
      <c r="C48" s="770">
        <v>0</v>
      </c>
      <c r="D48" s="830">
        <v>0</v>
      </c>
      <c r="E48" s="830">
        <v>0</v>
      </c>
      <c r="F48" s="866">
        <v>0</v>
      </c>
      <c r="G48" s="830">
        <v>0</v>
      </c>
      <c r="H48" s="830">
        <v>0</v>
      </c>
      <c r="I48" s="828">
        <f t="shared" si="0"/>
        <v>0</v>
      </c>
      <c r="J48" s="832">
        <v>0</v>
      </c>
      <c r="K48" s="832">
        <v>0</v>
      </c>
      <c r="L48" s="830">
        <v>0</v>
      </c>
      <c r="M48" s="802">
        <v>0</v>
      </c>
      <c r="N48" s="832">
        <v>0</v>
      </c>
      <c r="O48" s="833">
        <v>0</v>
      </c>
      <c r="P48" s="832">
        <v>0</v>
      </c>
      <c r="Q48" s="832">
        <v>0</v>
      </c>
      <c r="R48" s="781">
        <v>0</v>
      </c>
      <c r="S48" s="830">
        <v>0</v>
      </c>
      <c r="T48" s="830">
        <v>0</v>
      </c>
      <c r="U48" s="834">
        <v>0</v>
      </c>
      <c r="V48" s="832">
        <v>0</v>
      </c>
      <c r="W48" s="831">
        <v>0</v>
      </c>
      <c r="X48" s="783">
        <v>0</v>
      </c>
      <c r="Y48" s="830">
        <v>0</v>
      </c>
      <c r="Z48" s="833">
        <v>0</v>
      </c>
      <c r="AA48" s="802">
        <v>0</v>
      </c>
      <c r="AB48" s="835">
        <v>0</v>
      </c>
      <c r="AC48" s="1094">
        <v>0</v>
      </c>
      <c r="AD48" s="833">
        <v>0</v>
      </c>
      <c r="AE48" s="836">
        <v>0</v>
      </c>
      <c r="AF48" s="836">
        <v>0</v>
      </c>
      <c r="AG48" s="827">
        <f t="shared" si="1"/>
        <v>0</v>
      </c>
      <c r="AH48" s="827">
        <f t="shared" si="2"/>
        <v>0</v>
      </c>
      <c r="AI48" s="466">
        <f t="shared" si="3"/>
        <v>0</v>
      </c>
      <c r="AJ48" s="467" t="str">
        <f t="shared" si="4"/>
        <v xml:space="preserve"> </v>
      </c>
      <c r="AS48" s="139" t="s">
        <v>271</v>
      </c>
      <c r="AT48" s="139" t="s">
        <v>270</v>
      </c>
      <c r="DS48" s="648"/>
      <c r="DT48" s="648"/>
      <c r="DU48" s="667" t="s">
        <v>415</v>
      </c>
      <c r="DV48" s="667" t="s">
        <v>1188</v>
      </c>
      <c r="DW48" s="667" t="s">
        <v>1134</v>
      </c>
      <c r="DX48" s="667" t="s">
        <v>1134</v>
      </c>
      <c r="DY48" s="669" t="s">
        <v>1253</v>
      </c>
      <c r="DZ48" s="667" t="s">
        <v>1134</v>
      </c>
      <c r="EA48" s="670" t="s">
        <v>271</v>
      </c>
      <c r="EB48" s="667" t="s">
        <v>1135</v>
      </c>
      <c r="EC48" s="667" t="s">
        <v>1134</v>
      </c>
      <c r="ED48" s="667" t="s">
        <v>1136</v>
      </c>
    </row>
    <row r="49" spans="1:134" x14ac:dyDescent="0.2">
      <c r="A49" s="427" t="s">
        <v>133</v>
      </c>
      <c r="B49" s="632">
        <v>42</v>
      </c>
      <c r="C49" s="770">
        <v>0</v>
      </c>
      <c r="D49" s="830">
        <v>0</v>
      </c>
      <c r="E49" s="830">
        <v>0</v>
      </c>
      <c r="F49" s="866">
        <v>0</v>
      </c>
      <c r="G49" s="830">
        <v>0</v>
      </c>
      <c r="H49" s="830">
        <v>0</v>
      </c>
      <c r="I49" s="828">
        <f t="shared" si="0"/>
        <v>0</v>
      </c>
      <c r="J49" s="832">
        <v>0</v>
      </c>
      <c r="K49" s="832">
        <v>0</v>
      </c>
      <c r="L49" s="830">
        <v>0</v>
      </c>
      <c r="M49" s="802">
        <v>0</v>
      </c>
      <c r="N49" s="832">
        <v>0</v>
      </c>
      <c r="O49" s="833">
        <v>0</v>
      </c>
      <c r="P49" s="832">
        <v>0</v>
      </c>
      <c r="Q49" s="832">
        <v>0</v>
      </c>
      <c r="R49" s="781">
        <v>0</v>
      </c>
      <c r="S49" s="830">
        <v>0</v>
      </c>
      <c r="T49" s="830">
        <v>0</v>
      </c>
      <c r="U49" s="834">
        <v>0</v>
      </c>
      <c r="V49" s="832">
        <v>0</v>
      </c>
      <c r="W49" s="831">
        <v>0</v>
      </c>
      <c r="X49" s="783">
        <v>0</v>
      </c>
      <c r="Y49" s="830">
        <v>0</v>
      </c>
      <c r="Z49" s="833">
        <v>0</v>
      </c>
      <c r="AA49" s="802">
        <v>0</v>
      </c>
      <c r="AB49" s="835">
        <v>0</v>
      </c>
      <c r="AC49" s="1094">
        <v>0</v>
      </c>
      <c r="AD49" s="833">
        <v>0</v>
      </c>
      <c r="AE49" s="836">
        <v>0</v>
      </c>
      <c r="AF49" s="836">
        <v>0</v>
      </c>
      <c r="AG49" s="827">
        <f t="shared" si="1"/>
        <v>0</v>
      </c>
      <c r="AH49" s="827">
        <f t="shared" si="2"/>
        <v>0</v>
      </c>
      <c r="AI49" s="466">
        <f t="shared" si="3"/>
        <v>0</v>
      </c>
      <c r="AJ49" s="467" t="str">
        <f t="shared" si="4"/>
        <v xml:space="preserve"> </v>
      </c>
      <c r="AS49" s="139" t="s">
        <v>273</v>
      </c>
      <c r="AT49" s="139" t="s">
        <v>272</v>
      </c>
      <c r="DS49" s="648"/>
      <c r="DT49" s="648"/>
      <c r="DU49" s="667" t="s">
        <v>415</v>
      </c>
      <c r="DV49" s="667" t="s">
        <v>1188</v>
      </c>
      <c r="DW49" s="667" t="s">
        <v>1134</v>
      </c>
      <c r="DX49" s="667" t="s">
        <v>1134</v>
      </c>
      <c r="DY49" s="669" t="s">
        <v>1253</v>
      </c>
      <c r="DZ49" s="667" t="s">
        <v>1134</v>
      </c>
      <c r="EA49" s="670" t="s">
        <v>273</v>
      </c>
      <c r="EB49" s="667" t="s">
        <v>1135</v>
      </c>
      <c r="EC49" s="667" t="s">
        <v>1134</v>
      </c>
      <c r="ED49" s="667" t="s">
        <v>1136</v>
      </c>
    </row>
    <row r="50" spans="1:134" x14ac:dyDescent="0.2">
      <c r="A50" s="427" t="s">
        <v>134</v>
      </c>
      <c r="B50" s="632">
        <v>43</v>
      </c>
      <c r="C50" s="770">
        <v>100</v>
      </c>
      <c r="D50" s="830">
        <v>0</v>
      </c>
      <c r="E50" s="830">
        <v>0</v>
      </c>
      <c r="F50" s="866">
        <v>0</v>
      </c>
      <c r="G50" s="830">
        <v>0</v>
      </c>
      <c r="H50" s="830">
        <v>0</v>
      </c>
      <c r="I50" s="828">
        <f t="shared" si="0"/>
        <v>100</v>
      </c>
      <c r="J50" s="832">
        <v>0</v>
      </c>
      <c r="K50" s="832">
        <v>0</v>
      </c>
      <c r="L50" s="830">
        <v>0</v>
      </c>
      <c r="M50" s="802">
        <v>0</v>
      </c>
      <c r="N50" s="832">
        <v>0</v>
      </c>
      <c r="O50" s="833">
        <v>0</v>
      </c>
      <c r="P50" s="832">
        <v>0</v>
      </c>
      <c r="Q50" s="832">
        <v>0</v>
      </c>
      <c r="R50" s="781">
        <v>0</v>
      </c>
      <c r="S50" s="830">
        <v>0</v>
      </c>
      <c r="T50" s="830">
        <v>0</v>
      </c>
      <c r="U50" s="834">
        <v>0</v>
      </c>
      <c r="V50" s="832">
        <v>0</v>
      </c>
      <c r="W50" s="831">
        <v>0</v>
      </c>
      <c r="X50" s="783">
        <v>0</v>
      </c>
      <c r="Y50" s="830">
        <v>0</v>
      </c>
      <c r="Z50" s="833">
        <v>0</v>
      </c>
      <c r="AA50" s="802">
        <v>0</v>
      </c>
      <c r="AB50" s="835">
        <v>0</v>
      </c>
      <c r="AC50" s="1094">
        <v>0</v>
      </c>
      <c r="AD50" s="833">
        <v>0</v>
      </c>
      <c r="AE50" s="836">
        <v>0</v>
      </c>
      <c r="AF50" s="836">
        <v>0</v>
      </c>
      <c r="AG50" s="827">
        <f t="shared" si="1"/>
        <v>0</v>
      </c>
      <c r="AH50" s="827">
        <f t="shared" si="2"/>
        <v>100</v>
      </c>
      <c r="AI50" s="466">
        <f t="shared" si="3"/>
        <v>0</v>
      </c>
      <c r="AJ50" s="467" t="str">
        <f t="shared" si="4"/>
        <v xml:space="preserve"> </v>
      </c>
      <c r="AS50" s="139" t="s">
        <v>275</v>
      </c>
      <c r="AT50" s="139" t="s">
        <v>274</v>
      </c>
      <c r="DS50" s="648"/>
      <c r="DT50" s="648"/>
      <c r="DU50" s="667" t="s">
        <v>415</v>
      </c>
      <c r="DV50" s="667" t="s">
        <v>1188</v>
      </c>
      <c r="DW50" s="667" t="s">
        <v>1134</v>
      </c>
      <c r="DX50" s="667" t="s">
        <v>1134</v>
      </c>
      <c r="DY50" s="669" t="s">
        <v>1253</v>
      </c>
      <c r="DZ50" s="667" t="s">
        <v>1134</v>
      </c>
      <c r="EA50" s="670" t="s">
        <v>275</v>
      </c>
      <c r="EB50" s="667" t="s">
        <v>1135</v>
      </c>
      <c r="EC50" s="667" t="s">
        <v>1134</v>
      </c>
      <c r="ED50" s="667" t="s">
        <v>1136</v>
      </c>
    </row>
    <row r="51" spans="1:134" x14ac:dyDescent="0.2">
      <c r="A51" s="427" t="s">
        <v>59</v>
      </c>
      <c r="B51" s="632">
        <v>44</v>
      </c>
      <c r="C51" s="770">
        <v>309</v>
      </c>
      <c r="D51" s="830">
        <v>0</v>
      </c>
      <c r="E51" s="830">
        <v>0</v>
      </c>
      <c r="F51" s="866">
        <v>0</v>
      </c>
      <c r="G51" s="830">
        <v>0</v>
      </c>
      <c r="H51" s="830">
        <v>0</v>
      </c>
      <c r="I51" s="828">
        <f t="shared" si="0"/>
        <v>309</v>
      </c>
      <c r="J51" s="832">
        <v>0</v>
      </c>
      <c r="K51" s="832">
        <v>0</v>
      </c>
      <c r="L51" s="830">
        <v>0</v>
      </c>
      <c r="M51" s="802">
        <v>0</v>
      </c>
      <c r="N51" s="832">
        <v>0</v>
      </c>
      <c r="O51" s="833">
        <v>0</v>
      </c>
      <c r="P51" s="832">
        <v>0</v>
      </c>
      <c r="Q51" s="832">
        <v>0</v>
      </c>
      <c r="R51" s="781">
        <v>0</v>
      </c>
      <c r="S51" s="830">
        <v>0</v>
      </c>
      <c r="T51" s="830">
        <v>0</v>
      </c>
      <c r="U51" s="834">
        <v>0</v>
      </c>
      <c r="V51" s="832">
        <v>0</v>
      </c>
      <c r="W51" s="831">
        <v>0</v>
      </c>
      <c r="X51" s="783">
        <v>0</v>
      </c>
      <c r="Y51" s="830">
        <v>0</v>
      </c>
      <c r="Z51" s="833">
        <v>0</v>
      </c>
      <c r="AA51" s="802">
        <v>96</v>
      </c>
      <c r="AB51" s="835">
        <v>0</v>
      </c>
      <c r="AC51" s="1094">
        <v>0</v>
      </c>
      <c r="AD51" s="833">
        <v>96</v>
      </c>
      <c r="AE51" s="836">
        <v>0</v>
      </c>
      <c r="AF51" s="836">
        <v>0</v>
      </c>
      <c r="AG51" s="827">
        <f t="shared" si="1"/>
        <v>96</v>
      </c>
      <c r="AH51" s="827">
        <f t="shared" si="2"/>
        <v>405</v>
      </c>
      <c r="AI51" s="466">
        <f t="shared" si="3"/>
        <v>0</v>
      </c>
      <c r="AJ51" s="467" t="str">
        <f t="shared" si="4"/>
        <v xml:space="preserve"> </v>
      </c>
      <c r="AS51" s="139" t="s">
        <v>487</v>
      </c>
      <c r="AT51" s="139" t="s">
        <v>488</v>
      </c>
      <c r="DS51" s="648"/>
      <c r="DT51" s="648"/>
      <c r="DU51" s="667" t="s">
        <v>415</v>
      </c>
      <c r="DV51" s="667" t="s">
        <v>1188</v>
      </c>
      <c r="DW51" s="667" t="s">
        <v>1134</v>
      </c>
      <c r="DX51" s="667" t="s">
        <v>1134</v>
      </c>
      <c r="DY51" s="669" t="s">
        <v>1253</v>
      </c>
      <c r="DZ51" s="667" t="s">
        <v>1134</v>
      </c>
      <c r="EA51" s="670" t="s">
        <v>487</v>
      </c>
      <c r="EB51" s="667" t="s">
        <v>1135</v>
      </c>
      <c r="EC51" s="667" t="s">
        <v>1134</v>
      </c>
      <c r="ED51" s="667" t="s">
        <v>1136</v>
      </c>
    </row>
    <row r="52" spans="1:134" x14ac:dyDescent="0.2">
      <c r="A52" s="427" t="s">
        <v>621</v>
      </c>
      <c r="B52" s="632">
        <v>45</v>
      </c>
      <c r="C52" s="770">
        <v>0</v>
      </c>
      <c r="D52" s="830">
        <v>0</v>
      </c>
      <c r="E52" s="830">
        <v>0</v>
      </c>
      <c r="F52" s="866">
        <v>0</v>
      </c>
      <c r="G52" s="830">
        <v>0</v>
      </c>
      <c r="H52" s="830">
        <v>0</v>
      </c>
      <c r="I52" s="828">
        <f t="shared" si="0"/>
        <v>0</v>
      </c>
      <c r="J52" s="832">
        <v>0</v>
      </c>
      <c r="K52" s="832">
        <v>0</v>
      </c>
      <c r="L52" s="830">
        <v>0</v>
      </c>
      <c r="M52" s="802">
        <v>0</v>
      </c>
      <c r="N52" s="832">
        <v>0</v>
      </c>
      <c r="O52" s="833">
        <v>0</v>
      </c>
      <c r="P52" s="832">
        <v>0</v>
      </c>
      <c r="Q52" s="832">
        <v>0</v>
      </c>
      <c r="R52" s="781">
        <v>0</v>
      </c>
      <c r="S52" s="830">
        <v>0</v>
      </c>
      <c r="T52" s="830">
        <v>0</v>
      </c>
      <c r="U52" s="834">
        <v>0</v>
      </c>
      <c r="V52" s="832">
        <v>0</v>
      </c>
      <c r="W52" s="831">
        <v>0</v>
      </c>
      <c r="X52" s="783">
        <v>0</v>
      </c>
      <c r="Y52" s="830">
        <v>0</v>
      </c>
      <c r="Z52" s="833">
        <v>0</v>
      </c>
      <c r="AA52" s="802">
        <v>0</v>
      </c>
      <c r="AB52" s="835">
        <v>0</v>
      </c>
      <c r="AC52" s="1094">
        <v>0</v>
      </c>
      <c r="AD52" s="833">
        <v>0</v>
      </c>
      <c r="AE52" s="836">
        <v>0</v>
      </c>
      <c r="AF52" s="836">
        <v>0</v>
      </c>
      <c r="AG52" s="827">
        <f t="shared" si="1"/>
        <v>0</v>
      </c>
      <c r="AH52" s="827">
        <f t="shared" si="2"/>
        <v>0</v>
      </c>
      <c r="AI52" s="466">
        <f t="shared" si="3"/>
        <v>0</v>
      </c>
      <c r="AJ52" s="467" t="str">
        <f t="shared" si="4"/>
        <v xml:space="preserve"> </v>
      </c>
      <c r="AS52" s="139" t="s">
        <v>521</v>
      </c>
      <c r="AT52" s="139" t="s">
        <v>522</v>
      </c>
      <c r="DS52" s="648"/>
      <c r="DT52" s="648"/>
      <c r="DU52" s="667" t="s">
        <v>415</v>
      </c>
      <c r="DV52" s="667" t="s">
        <v>1188</v>
      </c>
      <c r="DW52" s="667" t="s">
        <v>1134</v>
      </c>
      <c r="DX52" s="667" t="s">
        <v>1134</v>
      </c>
      <c r="DY52" s="669" t="s">
        <v>1253</v>
      </c>
      <c r="DZ52" s="667" t="s">
        <v>1134</v>
      </c>
      <c r="EA52" s="670" t="s">
        <v>521</v>
      </c>
      <c r="EB52" s="667" t="s">
        <v>1135</v>
      </c>
      <c r="EC52" s="667" t="s">
        <v>1134</v>
      </c>
      <c r="ED52" s="667" t="s">
        <v>1136</v>
      </c>
    </row>
    <row r="53" spans="1:134" x14ac:dyDescent="0.2">
      <c r="A53" s="427" t="s">
        <v>569</v>
      </c>
      <c r="B53" s="632">
        <v>46</v>
      </c>
      <c r="C53" s="770">
        <v>0</v>
      </c>
      <c r="D53" s="830">
        <v>0</v>
      </c>
      <c r="E53" s="830">
        <v>0</v>
      </c>
      <c r="F53" s="866">
        <v>0</v>
      </c>
      <c r="G53" s="830">
        <v>0</v>
      </c>
      <c r="H53" s="830">
        <v>0</v>
      </c>
      <c r="I53" s="828">
        <f t="shared" si="0"/>
        <v>0</v>
      </c>
      <c r="J53" s="832">
        <v>0</v>
      </c>
      <c r="K53" s="832">
        <v>0</v>
      </c>
      <c r="L53" s="830">
        <v>0</v>
      </c>
      <c r="M53" s="802">
        <v>0</v>
      </c>
      <c r="N53" s="832">
        <v>0</v>
      </c>
      <c r="O53" s="833">
        <v>0</v>
      </c>
      <c r="P53" s="832">
        <v>0</v>
      </c>
      <c r="Q53" s="832">
        <v>0</v>
      </c>
      <c r="R53" s="781">
        <v>0</v>
      </c>
      <c r="S53" s="830">
        <v>0</v>
      </c>
      <c r="T53" s="830">
        <v>0</v>
      </c>
      <c r="U53" s="834">
        <v>0</v>
      </c>
      <c r="V53" s="832">
        <v>0</v>
      </c>
      <c r="W53" s="831">
        <v>0</v>
      </c>
      <c r="X53" s="783">
        <v>0</v>
      </c>
      <c r="Y53" s="830">
        <v>0</v>
      </c>
      <c r="Z53" s="833">
        <v>0</v>
      </c>
      <c r="AA53" s="802">
        <v>0</v>
      </c>
      <c r="AB53" s="835">
        <v>0</v>
      </c>
      <c r="AC53" s="1094">
        <v>0</v>
      </c>
      <c r="AD53" s="833">
        <v>0</v>
      </c>
      <c r="AE53" s="836">
        <v>0</v>
      </c>
      <c r="AF53" s="836">
        <v>0</v>
      </c>
      <c r="AG53" s="827">
        <f t="shared" si="1"/>
        <v>0</v>
      </c>
      <c r="AH53" s="827">
        <f t="shared" si="2"/>
        <v>0</v>
      </c>
      <c r="AI53" s="466">
        <f t="shared" si="3"/>
        <v>0</v>
      </c>
      <c r="AJ53" s="467" t="str">
        <f t="shared" si="4"/>
        <v xml:space="preserve"> </v>
      </c>
      <c r="AS53" s="139" t="s">
        <v>544</v>
      </c>
      <c r="AT53" s="139" t="s">
        <v>545</v>
      </c>
      <c r="DS53" s="648"/>
      <c r="DT53" s="648"/>
      <c r="DU53" s="667" t="s">
        <v>415</v>
      </c>
      <c r="DV53" s="667" t="s">
        <v>1188</v>
      </c>
      <c r="DW53" s="667" t="s">
        <v>1134</v>
      </c>
      <c r="DX53" s="667" t="s">
        <v>1134</v>
      </c>
      <c r="DY53" s="669" t="s">
        <v>1253</v>
      </c>
      <c r="DZ53" s="667" t="s">
        <v>1134</v>
      </c>
      <c r="EA53" s="670" t="s">
        <v>544</v>
      </c>
      <c r="EB53" s="667" t="s">
        <v>1135</v>
      </c>
      <c r="EC53" s="667" t="s">
        <v>1134</v>
      </c>
      <c r="ED53" s="667" t="s">
        <v>1136</v>
      </c>
    </row>
    <row r="54" spans="1:134" x14ac:dyDescent="0.2">
      <c r="A54" s="427" t="s">
        <v>99</v>
      </c>
      <c r="B54" s="632">
        <v>47</v>
      </c>
      <c r="C54" s="770">
        <v>0</v>
      </c>
      <c r="D54" s="830">
        <v>0</v>
      </c>
      <c r="E54" s="830">
        <v>0</v>
      </c>
      <c r="F54" s="866">
        <v>0</v>
      </c>
      <c r="G54" s="830">
        <v>0</v>
      </c>
      <c r="H54" s="830">
        <v>0</v>
      </c>
      <c r="I54" s="828">
        <f t="shared" si="0"/>
        <v>0</v>
      </c>
      <c r="J54" s="832">
        <v>0</v>
      </c>
      <c r="K54" s="832">
        <v>0</v>
      </c>
      <c r="L54" s="830">
        <v>0</v>
      </c>
      <c r="M54" s="802">
        <v>0</v>
      </c>
      <c r="N54" s="832">
        <v>0</v>
      </c>
      <c r="O54" s="833">
        <v>0</v>
      </c>
      <c r="P54" s="832">
        <v>0</v>
      </c>
      <c r="Q54" s="832">
        <v>0</v>
      </c>
      <c r="R54" s="781">
        <v>0</v>
      </c>
      <c r="S54" s="830">
        <v>0</v>
      </c>
      <c r="T54" s="830">
        <v>0</v>
      </c>
      <c r="U54" s="834">
        <v>0</v>
      </c>
      <c r="V54" s="832">
        <v>0</v>
      </c>
      <c r="W54" s="831">
        <v>0</v>
      </c>
      <c r="X54" s="783">
        <v>0</v>
      </c>
      <c r="Y54" s="830">
        <v>0</v>
      </c>
      <c r="Z54" s="833">
        <v>0</v>
      </c>
      <c r="AA54" s="802">
        <v>0</v>
      </c>
      <c r="AB54" s="835">
        <v>0</v>
      </c>
      <c r="AC54" s="1094">
        <v>0</v>
      </c>
      <c r="AD54" s="833">
        <v>0</v>
      </c>
      <c r="AE54" s="836">
        <v>0</v>
      </c>
      <c r="AF54" s="836">
        <v>0</v>
      </c>
      <c r="AG54" s="827">
        <f t="shared" si="1"/>
        <v>0</v>
      </c>
      <c r="AH54" s="827">
        <f t="shared" si="2"/>
        <v>0</v>
      </c>
      <c r="AI54" s="466">
        <f t="shared" si="3"/>
        <v>0</v>
      </c>
      <c r="AJ54" s="467" t="str">
        <f t="shared" si="4"/>
        <v xml:space="preserve"> </v>
      </c>
      <c r="AS54" s="139" t="s">
        <v>277</v>
      </c>
      <c r="AT54" s="139" t="s">
        <v>276</v>
      </c>
      <c r="DS54" s="648"/>
      <c r="DT54" s="648"/>
      <c r="DU54" s="667" t="s">
        <v>415</v>
      </c>
      <c r="DV54" s="667" t="s">
        <v>1188</v>
      </c>
      <c r="DW54" s="667" t="s">
        <v>1134</v>
      </c>
      <c r="DX54" s="667" t="s">
        <v>1134</v>
      </c>
      <c r="DY54" s="669" t="s">
        <v>1253</v>
      </c>
      <c r="DZ54" s="667" t="s">
        <v>1134</v>
      </c>
      <c r="EA54" s="670" t="s">
        <v>277</v>
      </c>
      <c r="EB54" s="667" t="s">
        <v>1135</v>
      </c>
      <c r="EC54" s="667" t="s">
        <v>1134</v>
      </c>
      <c r="ED54" s="667" t="s">
        <v>1136</v>
      </c>
    </row>
    <row r="55" spans="1:134" x14ac:dyDescent="0.2">
      <c r="A55" s="427" t="s">
        <v>570</v>
      </c>
      <c r="B55" s="632">
        <v>48</v>
      </c>
      <c r="C55" s="770">
        <v>0</v>
      </c>
      <c r="D55" s="830">
        <v>0</v>
      </c>
      <c r="E55" s="830">
        <v>0</v>
      </c>
      <c r="F55" s="866">
        <v>0</v>
      </c>
      <c r="G55" s="830">
        <v>0</v>
      </c>
      <c r="H55" s="830">
        <v>0</v>
      </c>
      <c r="I55" s="828">
        <f t="shared" si="0"/>
        <v>0</v>
      </c>
      <c r="J55" s="832">
        <v>0</v>
      </c>
      <c r="K55" s="832">
        <v>0</v>
      </c>
      <c r="L55" s="830">
        <v>0</v>
      </c>
      <c r="M55" s="802">
        <v>0</v>
      </c>
      <c r="N55" s="832">
        <v>0</v>
      </c>
      <c r="O55" s="833">
        <v>0</v>
      </c>
      <c r="P55" s="832">
        <v>0</v>
      </c>
      <c r="Q55" s="832">
        <v>0</v>
      </c>
      <c r="R55" s="781">
        <v>0</v>
      </c>
      <c r="S55" s="830">
        <v>0</v>
      </c>
      <c r="T55" s="830">
        <v>0</v>
      </c>
      <c r="U55" s="834">
        <v>0</v>
      </c>
      <c r="V55" s="832">
        <v>0</v>
      </c>
      <c r="W55" s="831">
        <v>0</v>
      </c>
      <c r="X55" s="783">
        <v>0</v>
      </c>
      <c r="Y55" s="830">
        <v>0</v>
      </c>
      <c r="Z55" s="833">
        <v>0</v>
      </c>
      <c r="AA55" s="802">
        <v>0</v>
      </c>
      <c r="AB55" s="835">
        <v>0</v>
      </c>
      <c r="AC55" s="1094">
        <v>0</v>
      </c>
      <c r="AD55" s="833">
        <v>0</v>
      </c>
      <c r="AE55" s="836">
        <v>0</v>
      </c>
      <c r="AF55" s="836">
        <v>0</v>
      </c>
      <c r="AG55" s="827">
        <f t="shared" si="1"/>
        <v>0</v>
      </c>
      <c r="AH55" s="827">
        <f t="shared" si="2"/>
        <v>0</v>
      </c>
      <c r="AI55" s="466">
        <f t="shared" si="3"/>
        <v>0</v>
      </c>
      <c r="AJ55" s="467" t="str">
        <f t="shared" si="4"/>
        <v xml:space="preserve"> </v>
      </c>
      <c r="AS55" s="139" t="s">
        <v>546</v>
      </c>
      <c r="AT55" s="139" t="s">
        <v>547</v>
      </c>
      <c r="DS55" s="648"/>
      <c r="DT55" s="648"/>
      <c r="DU55" s="667" t="s">
        <v>415</v>
      </c>
      <c r="DV55" s="667" t="s">
        <v>1188</v>
      </c>
      <c r="DW55" s="667" t="s">
        <v>1134</v>
      </c>
      <c r="DX55" s="667" t="s">
        <v>1134</v>
      </c>
      <c r="DY55" s="669" t="s">
        <v>1253</v>
      </c>
      <c r="DZ55" s="667" t="s">
        <v>1134</v>
      </c>
      <c r="EA55" s="670" t="s">
        <v>546</v>
      </c>
      <c r="EB55" s="667" t="s">
        <v>1135</v>
      </c>
      <c r="EC55" s="667" t="s">
        <v>1134</v>
      </c>
      <c r="ED55" s="667" t="s">
        <v>1136</v>
      </c>
    </row>
    <row r="56" spans="1:134" x14ac:dyDescent="0.2">
      <c r="A56" s="427" t="s">
        <v>135</v>
      </c>
      <c r="B56" s="632">
        <v>49</v>
      </c>
      <c r="C56" s="770">
        <v>0</v>
      </c>
      <c r="D56" s="830">
        <v>0</v>
      </c>
      <c r="E56" s="830">
        <v>0</v>
      </c>
      <c r="F56" s="866">
        <v>0</v>
      </c>
      <c r="G56" s="830">
        <v>0</v>
      </c>
      <c r="H56" s="830">
        <v>0</v>
      </c>
      <c r="I56" s="828">
        <f t="shared" si="0"/>
        <v>0</v>
      </c>
      <c r="J56" s="832">
        <v>0</v>
      </c>
      <c r="K56" s="832">
        <v>0</v>
      </c>
      <c r="L56" s="830">
        <v>0</v>
      </c>
      <c r="M56" s="802">
        <v>0</v>
      </c>
      <c r="N56" s="832">
        <v>0</v>
      </c>
      <c r="O56" s="833">
        <v>0</v>
      </c>
      <c r="P56" s="832">
        <v>0</v>
      </c>
      <c r="Q56" s="832">
        <v>0</v>
      </c>
      <c r="R56" s="781">
        <v>0</v>
      </c>
      <c r="S56" s="830">
        <v>0</v>
      </c>
      <c r="T56" s="830">
        <v>0</v>
      </c>
      <c r="U56" s="834">
        <v>0</v>
      </c>
      <c r="V56" s="832">
        <v>0</v>
      </c>
      <c r="W56" s="831">
        <v>0</v>
      </c>
      <c r="X56" s="783">
        <v>0</v>
      </c>
      <c r="Y56" s="830">
        <v>0</v>
      </c>
      <c r="Z56" s="833">
        <v>0</v>
      </c>
      <c r="AA56" s="802">
        <v>0</v>
      </c>
      <c r="AB56" s="835">
        <v>0</v>
      </c>
      <c r="AC56" s="1094">
        <v>0</v>
      </c>
      <c r="AD56" s="833">
        <v>0</v>
      </c>
      <c r="AE56" s="836">
        <v>0</v>
      </c>
      <c r="AF56" s="836">
        <v>0</v>
      </c>
      <c r="AG56" s="827">
        <f t="shared" si="1"/>
        <v>0</v>
      </c>
      <c r="AH56" s="827">
        <f t="shared" si="2"/>
        <v>0</v>
      </c>
      <c r="AI56" s="466">
        <f t="shared" si="3"/>
        <v>0</v>
      </c>
      <c r="AJ56" s="467" t="str">
        <f t="shared" si="4"/>
        <v xml:space="preserve"> </v>
      </c>
      <c r="AS56" s="139" t="s">
        <v>279</v>
      </c>
      <c r="AT56" s="139" t="s">
        <v>278</v>
      </c>
      <c r="DS56" s="648"/>
      <c r="DT56" s="648"/>
      <c r="DU56" s="667" t="s">
        <v>415</v>
      </c>
      <c r="DV56" s="667" t="s">
        <v>1188</v>
      </c>
      <c r="DW56" s="667" t="s">
        <v>1134</v>
      </c>
      <c r="DX56" s="667" t="s">
        <v>1134</v>
      </c>
      <c r="DY56" s="669" t="s">
        <v>1253</v>
      </c>
      <c r="DZ56" s="667" t="s">
        <v>1134</v>
      </c>
      <c r="EA56" s="670" t="s">
        <v>279</v>
      </c>
      <c r="EB56" s="667" t="s">
        <v>1135</v>
      </c>
      <c r="EC56" s="667" t="s">
        <v>1134</v>
      </c>
      <c r="ED56" s="667" t="s">
        <v>1136</v>
      </c>
    </row>
    <row r="57" spans="1:134" x14ac:dyDescent="0.2">
      <c r="A57" s="427" t="s">
        <v>136</v>
      </c>
      <c r="B57" s="632">
        <v>50</v>
      </c>
      <c r="C57" s="770">
        <v>0</v>
      </c>
      <c r="D57" s="830">
        <v>0</v>
      </c>
      <c r="E57" s="830">
        <v>0</v>
      </c>
      <c r="F57" s="866">
        <v>0</v>
      </c>
      <c r="G57" s="830">
        <v>0</v>
      </c>
      <c r="H57" s="830">
        <v>0</v>
      </c>
      <c r="I57" s="828">
        <f t="shared" si="0"/>
        <v>0</v>
      </c>
      <c r="J57" s="832">
        <v>0</v>
      </c>
      <c r="K57" s="832">
        <v>0</v>
      </c>
      <c r="L57" s="830">
        <v>0</v>
      </c>
      <c r="M57" s="802">
        <v>18</v>
      </c>
      <c r="N57" s="832">
        <v>0</v>
      </c>
      <c r="O57" s="833">
        <v>18</v>
      </c>
      <c r="P57" s="832">
        <v>0</v>
      </c>
      <c r="Q57" s="832">
        <v>0</v>
      </c>
      <c r="R57" s="781">
        <v>13</v>
      </c>
      <c r="S57" s="830">
        <v>0</v>
      </c>
      <c r="T57" s="830">
        <v>13</v>
      </c>
      <c r="U57" s="834">
        <v>0</v>
      </c>
      <c r="V57" s="832">
        <v>77</v>
      </c>
      <c r="W57" s="831">
        <v>0</v>
      </c>
      <c r="X57" s="783">
        <v>77</v>
      </c>
      <c r="Y57" s="830">
        <v>0</v>
      </c>
      <c r="Z57" s="833">
        <v>77</v>
      </c>
      <c r="AA57" s="802">
        <v>0</v>
      </c>
      <c r="AB57" s="835">
        <v>0</v>
      </c>
      <c r="AC57" s="1094">
        <v>0</v>
      </c>
      <c r="AD57" s="833">
        <v>0</v>
      </c>
      <c r="AE57" s="836">
        <v>0</v>
      </c>
      <c r="AF57" s="836">
        <v>0</v>
      </c>
      <c r="AG57" s="827">
        <f t="shared" si="1"/>
        <v>108</v>
      </c>
      <c r="AH57" s="827">
        <f t="shared" si="2"/>
        <v>108</v>
      </c>
      <c r="AI57" s="466">
        <f t="shared" si="3"/>
        <v>0</v>
      </c>
      <c r="AJ57" s="467" t="str">
        <f t="shared" si="4"/>
        <v xml:space="preserve"> </v>
      </c>
      <c r="AS57" s="139" t="s">
        <v>281</v>
      </c>
      <c r="AT57" s="139" t="s">
        <v>280</v>
      </c>
      <c r="DS57" s="648"/>
      <c r="DT57" s="648"/>
      <c r="DU57" s="667" t="s">
        <v>415</v>
      </c>
      <c r="DV57" s="667" t="s">
        <v>1188</v>
      </c>
      <c r="DW57" s="667" t="s">
        <v>1134</v>
      </c>
      <c r="DX57" s="667" t="s">
        <v>1134</v>
      </c>
      <c r="DY57" s="669" t="s">
        <v>1253</v>
      </c>
      <c r="DZ57" s="667" t="s">
        <v>1134</v>
      </c>
      <c r="EA57" s="670" t="s">
        <v>281</v>
      </c>
      <c r="EB57" s="667" t="s">
        <v>1135</v>
      </c>
      <c r="EC57" s="667" t="s">
        <v>1134</v>
      </c>
      <c r="ED57" s="667" t="s">
        <v>1136</v>
      </c>
    </row>
    <row r="58" spans="1:134" x14ac:dyDescent="0.2">
      <c r="A58" s="427" t="s">
        <v>137</v>
      </c>
      <c r="B58" s="632">
        <v>51</v>
      </c>
      <c r="C58" s="770">
        <v>0</v>
      </c>
      <c r="D58" s="830">
        <v>0</v>
      </c>
      <c r="E58" s="830">
        <v>0</v>
      </c>
      <c r="F58" s="866">
        <v>0</v>
      </c>
      <c r="G58" s="830">
        <v>0</v>
      </c>
      <c r="H58" s="830">
        <v>0</v>
      </c>
      <c r="I58" s="828">
        <f t="shared" si="0"/>
        <v>0</v>
      </c>
      <c r="J58" s="832">
        <v>0</v>
      </c>
      <c r="K58" s="832">
        <v>0</v>
      </c>
      <c r="L58" s="830">
        <v>0</v>
      </c>
      <c r="M58" s="802">
        <v>0</v>
      </c>
      <c r="N58" s="832">
        <v>0</v>
      </c>
      <c r="O58" s="833">
        <v>0</v>
      </c>
      <c r="P58" s="832">
        <v>0</v>
      </c>
      <c r="Q58" s="832">
        <v>0</v>
      </c>
      <c r="R58" s="781">
        <v>0</v>
      </c>
      <c r="S58" s="830">
        <v>0</v>
      </c>
      <c r="T58" s="830">
        <v>0</v>
      </c>
      <c r="U58" s="834">
        <v>0</v>
      </c>
      <c r="V58" s="832">
        <v>0</v>
      </c>
      <c r="W58" s="831">
        <v>0</v>
      </c>
      <c r="X58" s="783">
        <v>0</v>
      </c>
      <c r="Y58" s="830">
        <v>0</v>
      </c>
      <c r="Z58" s="833">
        <v>0</v>
      </c>
      <c r="AA58" s="802">
        <v>0</v>
      </c>
      <c r="AB58" s="835">
        <v>0</v>
      </c>
      <c r="AC58" s="1094">
        <v>0</v>
      </c>
      <c r="AD58" s="833">
        <v>0</v>
      </c>
      <c r="AE58" s="836">
        <v>0</v>
      </c>
      <c r="AF58" s="836">
        <v>0</v>
      </c>
      <c r="AG58" s="827">
        <f t="shared" si="1"/>
        <v>0</v>
      </c>
      <c r="AH58" s="827">
        <f t="shared" si="2"/>
        <v>0</v>
      </c>
      <c r="AI58" s="466">
        <f t="shared" si="3"/>
        <v>0</v>
      </c>
      <c r="AJ58" s="467" t="str">
        <f t="shared" si="4"/>
        <v xml:space="preserve"> </v>
      </c>
      <c r="AS58" s="139" t="s">
        <v>283</v>
      </c>
      <c r="AT58" s="139" t="s">
        <v>282</v>
      </c>
      <c r="DS58" s="648"/>
      <c r="DT58" s="648"/>
      <c r="DU58" s="667" t="s">
        <v>415</v>
      </c>
      <c r="DV58" s="667" t="s">
        <v>1188</v>
      </c>
      <c r="DW58" s="667" t="s">
        <v>1134</v>
      </c>
      <c r="DX58" s="667" t="s">
        <v>1134</v>
      </c>
      <c r="DY58" s="669" t="s">
        <v>1253</v>
      </c>
      <c r="DZ58" s="667" t="s">
        <v>1134</v>
      </c>
      <c r="EA58" s="670" t="s">
        <v>283</v>
      </c>
      <c r="EB58" s="667" t="s">
        <v>1135</v>
      </c>
      <c r="EC58" s="667" t="s">
        <v>1134</v>
      </c>
      <c r="ED58" s="667" t="s">
        <v>1136</v>
      </c>
    </row>
    <row r="59" spans="1:134" x14ac:dyDescent="0.2">
      <c r="A59" s="427" t="s">
        <v>138</v>
      </c>
      <c r="B59" s="632">
        <v>52</v>
      </c>
      <c r="C59" s="770">
        <v>0</v>
      </c>
      <c r="D59" s="830">
        <v>0</v>
      </c>
      <c r="E59" s="830">
        <v>0</v>
      </c>
      <c r="F59" s="866">
        <v>0</v>
      </c>
      <c r="G59" s="830">
        <v>0</v>
      </c>
      <c r="H59" s="830">
        <v>0</v>
      </c>
      <c r="I59" s="828">
        <f t="shared" si="0"/>
        <v>0</v>
      </c>
      <c r="J59" s="832">
        <v>0</v>
      </c>
      <c r="K59" s="832">
        <v>0</v>
      </c>
      <c r="L59" s="830">
        <v>0</v>
      </c>
      <c r="M59" s="802">
        <v>0</v>
      </c>
      <c r="N59" s="832">
        <v>0</v>
      </c>
      <c r="O59" s="833">
        <v>0</v>
      </c>
      <c r="P59" s="832">
        <v>0</v>
      </c>
      <c r="Q59" s="832">
        <v>0</v>
      </c>
      <c r="R59" s="781">
        <v>0</v>
      </c>
      <c r="S59" s="830">
        <v>0</v>
      </c>
      <c r="T59" s="830">
        <v>0</v>
      </c>
      <c r="U59" s="834">
        <v>0</v>
      </c>
      <c r="V59" s="832">
        <v>0</v>
      </c>
      <c r="W59" s="831">
        <v>0</v>
      </c>
      <c r="X59" s="783">
        <v>0</v>
      </c>
      <c r="Y59" s="830">
        <v>0</v>
      </c>
      <c r="Z59" s="833">
        <v>0</v>
      </c>
      <c r="AA59" s="802">
        <v>0</v>
      </c>
      <c r="AB59" s="835">
        <v>0</v>
      </c>
      <c r="AC59" s="1094">
        <v>0</v>
      </c>
      <c r="AD59" s="833">
        <v>0</v>
      </c>
      <c r="AE59" s="836">
        <v>0</v>
      </c>
      <c r="AF59" s="836">
        <v>0</v>
      </c>
      <c r="AG59" s="827">
        <f t="shared" si="1"/>
        <v>0</v>
      </c>
      <c r="AH59" s="827">
        <f t="shared" si="2"/>
        <v>0</v>
      </c>
      <c r="AI59" s="466">
        <f t="shared" si="3"/>
        <v>0</v>
      </c>
      <c r="AJ59" s="467" t="str">
        <f t="shared" si="4"/>
        <v xml:space="preserve"> </v>
      </c>
      <c r="AS59" s="139" t="s">
        <v>285</v>
      </c>
      <c r="AT59" s="139" t="s">
        <v>284</v>
      </c>
      <c r="DS59" s="648"/>
      <c r="DT59" s="648"/>
      <c r="DU59" s="667" t="s">
        <v>415</v>
      </c>
      <c r="DV59" s="667" t="s">
        <v>1188</v>
      </c>
      <c r="DW59" s="667" t="s">
        <v>1134</v>
      </c>
      <c r="DX59" s="667" t="s">
        <v>1134</v>
      </c>
      <c r="DY59" s="669" t="s">
        <v>1253</v>
      </c>
      <c r="DZ59" s="667" t="s">
        <v>1134</v>
      </c>
      <c r="EA59" s="670" t="s">
        <v>285</v>
      </c>
      <c r="EB59" s="667" t="s">
        <v>1135</v>
      </c>
      <c r="EC59" s="667" t="s">
        <v>1134</v>
      </c>
      <c r="ED59" s="667" t="s">
        <v>1136</v>
      </c>
    </row>
    <row r="60" spans="1:134" x14ac:dyDescent="0.2">
      <c r="A60" s="427" t="s">
        <v>565</v>
      </c>
      <c r="B60" s="632">
        <v>53</v>
      </c>
      <c r="C60" s="770">
        <v>0</v>
      </c>
      <c r="D60" s="830">
        <v>0</v>
      </c>
      <c r="E60" s="830">
        <v>0</v>
      </c>
      <c r="F60" s="866">
        <v>0</v>
      </c>
      <c r="G60" s="830">
        <v>0</v>
      </c>
      <c r="H60" s="830">
        <v>0</v>
      </c>
      <c r="I60" s="828">
        <f t="shared" si="0"/>
        <v>0</v>
      </c>
      <c r="J60" s="832">
        <v>0</v>
      </c>
      <c r="K60" s="832">
        <v>0</v>
      </c>
      <c r="L60" s="830">
        <v>0</v>
      </c>
      <c r="M60" s="802">
        <v>0</v>
      </c>
      <c r="N60" s="832">
        <v>0</v>
      </c>
      <c r="O60" s="833">
        <v>0</v>
      </c>
      <c r="P60" s="832">
        <v>0</v>
      </c>
      <c r="Q60" s="832">
        <v>0</v>
      </c>
      <c r="R60" s="781">
        <v>0</v>
      </c>
      <c r="S60" s="830">
        <v>0</v>
      </c>
      <c r="T60" s="830">
        <v>0</v>
      </c>
      <c r="U60" s="834">
        <v>0</v>
      </c>
      <c r="V60" s="832">
        <v>0</v>
      </c>
      <c r="W60" s="831">
        <v>0</v>
      </c>
      <c r="X60" s="783">
        <v>0</v>
      </c>
      <c r="Y60" s="830">
        <v>0</v>
      </c>
      <c r="Z60" s="833">
        <v>0</v>
      </c>
      <c r="AA60" s="802">
        <v>0</v>
      </c>
      <c r="AB60" s="835">
        <v>0</v>
      </c>
      <c r="AC60" s="1094">
        <v>0</v>
      </c>
      <c r="AD60" s="833">
        <v>0</v>
      </c>
      <c r="AE60" s="836">
        <v>0</v>
      </c>
      <c r="AF60" s="836">
        <v>0</v>
      </c>
      <c r="AG60" s="827">
        <f t="shared" si="1"/>
        <v>0</v>
      </c>
      <c r="AH60" s="827">
        <f t="shared" si="2"/>
        <v>0</v>
      </c>
      <c r="AI60" s="466">
        <f t="shared" si="3"/>
        <v>0</v>
      </c>
      <c r="AJ60" s="467" t="str">
        <f t="shared" si="4"/>
        <v xml:space="preserve"> </v>
      </c>
      <c r="AS60" s="139" t="s">
        <v>527</v>
      </c>
      <c r="AT60" s="139" t="s">
        <v>528</v>
      </c>
      <c r="DS60" s="648"/>
      <c r="DT60" s="648"/>
      <c r="DU60" s="667" t="s">
        <v>415</v>
      </c>
      <c r="DV60" s="667" t="s">
        <v>1188</v>
      </c>
      <c r="DW60" s="667" t="s">
        <v>1134</v>
      </c>
      <c r="DX60" s="667" t="s">
        <v>1134</v>
      </c>
      <c r="DY60" s="669" t="s">
        <v>1253</v>
      </c>
      <c r="DZ60" s="667" t="s">
        <v>1134</v>
      </c>
      <c r="EA60" s="670" t="s">
        <v>527</v>
      </c>
      <c r="EB60" s="667" t="s">
        <v>1135</v>
      </c>
      <c r="EC60" s="667" t="s">
        <v>1134</v>
      </c>
      <c r="ED60" s="667" t="s">
        <v>1136</v>
      </c>
    </row>
    <row r="61" spans="1:134" x14ac:dyDescent="0.2">
      <c r="A61" s="427" t="s">
        <v>67</v>
      </c>
      <c r="B61" s="632">
        <v>54</v>
      </c>
      <c r="C61" s="770">
        <v>500</v>
      </c>
      <c r="D61" s="830">
        <v>0</v>
      </c>
      <c r="E61" s="830">
        <v>0</v>
      </c>
      <c r="F61" s="866">
        <v>0</v>
      </c>
      <c r="G61" s="830">
        <v>0</v>
      </c>
      <c r="H61" s="830">
        <v>0</v>
      </c>
      <c r="I61" s="828">
        <f t="shared" si="0"/>
        <v>500</v>
      </c>
      <c r="J61" s="832">
        <v>0</v>
      </c>
      <c r="K61" s="832">
        <v>0</v>
      </c>
      <c r="L61" s="830">
        <v>0</v>
      </c>
      <c r="M61" s="802">
        <v>53</v>
      </c>
      <c r="N61" s="832">
        <v>0</v>
      </c>
      <c r="O61" s="833">
        <v>53</v>
      </c>
      <c r="P61" s="832">
        <v>0</v>
      </c>
      <c r="Q61" s="832">
        <v>0</v>
      </c>
      <c r="R61" s="781">
        <v>50</v>
      </c>
      <c r="S61" s="830">
        <v>0</v>
      </c>
      <c r="T61" s="830">
        <v>50</v>
      </c>
      <c r="U61" s="834">
        <v>0</v>
      </c>
      <c r="V61" s="832">
        <v>86</v>
      </c>
      <c r="W61" s="831">
        <v>0</v>
      </c>
      <c r="X61" s="783">
        <v>86</v>
      </c>
      <c r="Y61" s="830">
        <v>0</v>
      </c>
      <c r="Z61" s="833">
        <v>86</v>
      </c>
      <c r="AA61" s="802">
        <v>148</v>
      </c>
      <c r="AB61" s="835">
        <v>35</v>
      </c>
      <c r="AC61" s="1094">
        <v>0</v>
      </c>
      <c r="AD61" s="833">
        <v>113</v>
      </c>
      <c r="AE61" s="836">
        <v>38</v>
      </c>
      <c r="AF61" s="836">
        <v>0</v>
      </c>
      <c r="AG61" s="827">
        <f t="shared" si="1"/>
        <v>375</v>
      </c>
      <c r="AH61" s="827">
        <f t="shared" si="2"/>
        <v>875</v>
      </c>
      <c r="AI61" s="466">
        <f t="shared" si="3"/>
        <v>0</v>
      </c>
      <c r="AJ61" s="467" t="str">
        <f t="shared" si="4"/>
        <v xml:space="preserve"> </v>
      </c>
      <c r="AS61" s="139" t="s">
        <v>287</v>
      </c>
      <c r="AT61" s="139" t="s">
        <v>286</v>
      </c>
      <c r="DS61" s="648"/>
      <c r="DT61" s="648"/>
      <c r="DU61" s="667" t="s">
        <v>415</v>
      </c>
      <c r="DV61" s="667" t="s">
        <v>1188</v>
      </c>
      <c r="DW61" s="667" t="s">
        <v>1134</v>
      </c>
      <c r="DX61" s="667" t="s">
        <v>1134</v>
      </c>
      <c r="DY61" s="669" t="s">
        <v>1253</v>
      </c>
      <c r="DZ61" s="667" t="s">
        <v>1134</v>
      </c>
      <c r="EA61" s="670" t="s">
        <v>287</v>
      </c>
      <c r="EB61" s="667" t="s">
        <v>1135</v>
      </c>
      <c r="EC61" s="667" t="s">
        <v>1134</v>
      </c>
      <c r="ED61" s="667" t="s">
        <v>1136</v>
      </c>
    </row>
    <row r="62" spans="1:134" x14ac:dyDescent="0.2">
      <c r="A62" s="427" t="s">
        <v>139</v>
      </c>
      <c r="B62" s="632">
        <v>55</v>
      </c>
      <c r="C62" s="770">
        <v>0</v>
      </c>
      <c r="D62" s="830">
        <v>0</v>
      </c>
      <c r="E62" s="830">
        <v>0</v>
      </c>
      <c r="F62" s="866">
        <v>0</v>
      </c>
      <c r="G62" s="830">
        <v>0</v>
      </c>
      <c r="H62" s="830">
        <v>0</v>
      </c>
      <c r="I62" s="828">
        <f t="shared" si="0"/>
        <v>0</v>
      </c>
      <c r="J62" s="832">
        <v>0</v>
      </c>
      <c r="K62" s="832">
        <v>0</v>
      </c>
      <c r="L62" s="830">
        <v>0</v>
      </c>
      <c r="M62" s="802">
        <v>0</v>
      </c>
      <c r="N62" s="832">
        <v>0</v>
      </c>
      <c r="O62" s="833">
        <v>0</v>
      </c>
      <c r="P62" s="832">
        <v>0</v>
      </c>
      <c r="Q62" s="832">
        <v>0</v>
      </c>
      <c r="R62" s="781">
        <v>0</v>
      </c>
      <c r="S62" s="830">
        <v>0</v>
      </c>
      <c r="T62" s="830">
        <v>0</v>
      </c>
      <c r="U62" s="834">
        <v>0</v>
      </c>
      <c r="V62" s="832">
        <v>0</v>
      </c>
      <c r="W62" s="831">
        <v>0</v>
      </c>
      <c r="X62" s="783">
        <v>0</v>
      </c>
      <c r="Y62" s="830">
        <v>0</v>
      </c>
      <c r="Z62" s="833">
        <v>0</v>
      </c>
      <c r="AA62" s="802">
        <v>0</v>
      </c>
      <c r="AB62" s="835">
        <v>0</v>
      </c>
      <c r="AC62" s="1094">
        <v>0</v>
      </c>
      <c r="AD62" s="833">
        <v>0</v>
      </c>
      <c r="AE62" s="836">
        <v>0</v>
      </c>
      <c r="AF62" s="836">
        <v>0</v>
      </c>
      <c r="AG62" s="827">
        <f t="shared" si="1"/>
        <v>0</v>
      </c>
      <c r="AH62" s="827">
        <f t="shared" si="2"/>
        <v>0</v>
      </c>
      <c r="AI62" s="466">
        <f t="shared" si="3"/>
        <v>0</v>
      </c>
      <c r="AJ62" s="467" t="str">
        <f t="shared" si="4"/>
        <v xml:space="preserve"> </v>
      </c>
      <c r="AS62" s="139" t="s">
        <v>289</v>
      </c>
      <c r="AT62" s="139" t="s">
        <v>288</v>
      </c>
      <c r="DS62" s="648"/>
      <c r="DT62" s="648"/>
      <c r="DU62" s="667" t="s">
        <v>415</v>
      </c>
      <c r="DV62" s="667" t="s">
        <v>1188</v>
      </c>
      <c r="DW62" s="667" t="s">
        <v>1134</v>
      </c>
      <c r="DX62" s="667" t="s">
        <v>1134</v>
      </c>
      <c r="DY62" s="669" t="s">
        <v>1253</v>
      </c>
      <c r="DZ62" s="667" t="s">
        <v>1134</v>
      </c>
      <c r="EA62" s="670" t="s">
        <v>289</v>
      </c>
      <c r="EB62" s="667" t="s">
        <v>1135</v>
      </c>
      <c r="EC62" s="667" t="s">
        <v>1134</v>
      </c>
      <c r="ED62" s="667" t="s">
        <v>1136</v>
      </c>
    </row>
    <row r="63" spans="1:134" ht="13.5" thickBot="1" x14ac:dyDescent="0.25">
      <c r="A63" s="207" t="s">
        <v>95</v>
      </c>
      <c r="B63" s="632">
        <v>56</v>
      </c>
      <c r="C63" s="830">
        <v>0</v>
      </c>
      <c r="D63" s="830">
        <v>0</v>
      </c>
      <c r="E63" s="830">
        <v>0</v>
      </c>
      <c r="F63" s="866">
        <v>0</v>
      </c>
      <c r="G63" s="830">
        <v>0</v>
      </c>
      <c r="H63" s="830">
        <v>0</v>
      </c>
      <c r="I63" s="828">
        <f t="shared" si="0"/>
        <v>0</v>
      </c>
      <c r="J63" s="832">
        <v>0</v>
      </c>
      <c r="K63" s="832">
        <v>0</v>
      </c>
      <c r="L63" s="837">
        <v>0</v>
      </c>
      <c r="M63" s="867">
        <v>0</v>
      </c>
      <c r="N63" s="838">
        <v>0</v>
      </c>
      <c r="O63" s="833">
        <v>0</v>
      </c>
      <c r="P63" s="832">
        <v>0</v>
      </c>
      <c r="Q63" s="832">
        <v>0</v>
      </c>
      <c r="R63" s="868">
        <v>0</v>
      </c>
      <c r="S63" s="830">
        <v>0</v>
      </c>
      <c r="T63" s="830">
        <v>0</v>
      </c>
      <c r="U63" s="834">
        <v>0</v>
      </c>
      <c r="V63" s="832">
        <v>0</v>
      </c>
      <c r="W63" s="831">
        <v>0</v>
      </c>
      <c r="X63" s="869">
        <v>0</v>
      </c>
      <c r="Y63" s="830">
        <v>0</v>
      </c>
      <c r="Z63" s="833">
        <v>0</v>
      </c>
      <c r="AA63" s="867">
        <v>0</v>
      </c>
      <c r="AB63" s="835">
        <v>0</v>
      </c>
      <c r="AC63" s="1094">
        <v>0</v>
      </c>
      <c r="AD63" s="833">
        <v>0</v>
      </c>
      <c r="AE63" s="836">
        <v>0</v>
      </c>
      <c r="AF63" s="836">
        <v>0</v>
      </c>
      <c r="AG63" s="827">
        <f t="shared" si="1"/>
        <v>0</v>
      </c>
      <c r="AH63" s="827">
        <f t="shared" si="2"/>
        <v>0</v>
      </c>
      <c r="AI63" s="466">
        <f t="shared" si="3"/>
        <v>0</v>
      </c>
      <c r="AJ63" s="467" t="str">
        <f t="shared" si="4"/>
        <v xml:space="preserve"> </v>
      </c>
      <c r="AS63" s="143" t="s">
        <v>609</v>
      </c>
      <c r="AT63" s="143" t="s">
        <v>588</v>
      </c>
      <c r="DS63" s="648"/>
      <c r="DT63" s="648"/>
      <c r="DU63" s="667" t="s">
        <v>415</v>
      </c>
      <c r="DV63" s="667" t="s">
        <v>1188</v>
      </c>
      <c r="DW63" s="667" t="s">
        <v>1134</v>
      </c>
      <c r="DX63" s="667" t="s">
        <v>1134</v>
      </c>
      <c r="DY63" s="669" t="s">
        <v>1253</v>
      </c>
      <c r="DZ63" s="667" t="s">
        <v>1134</v>
      </c>
      <c r="EA63" s="670" t="s">
        <v>1186</v>
      </c>
      <c r="EB63" s="667" t="s">
        <v>1135</v>
      </c>
      <c r="EC63" s="667" t="s">
        <v>1134</v>
      </c>
      <c r="ED63" s="667" t="s">
        <v>1136</v>
      </c>
    </row>
    <row r="64" spans="1:134" ht="14.25" thickBot="1" x14ac:dyDescent="0.25">
      <c r="A64" s="73" t="s">
        <v>142</v>
      </c>
      <c r="B64" s="158">
        <v>57</v>
      </c>
      <c r="C64" s="811">
        <f t="shared" ref="C64:H64" si="5">ROUND(SUM(C8:C63),3)</f>
        <v>1707</v>
      </c>
      <c r="D64" s="811">
        <f t="shared" si="5"/>
        <v>0</v>
      </c>
      <c r="E64" s="811">
        <f t="shared" si="5"/>
        <v>0</v>
      </c>
      <c r="F64" s="811">
        <f t="shared" si="5"/>
        <v>0</v>
      </c>
      <c r="G64" s="811">
        <f t="shared" si="5"/>
        <v>0</v>
      </c>
      <c r="H64" s="811">
        <f t="shared" si="5"/>
        <v>0</v>
      </c>
      <c r="I64" s="812">
        <f t="shared" si="0"/>
        <v>1707</v>
      </c>
      <c r="J64" s="813">
        <f t="shared" ref="J64:AF64" si="6">ROUND(SUM(J8:J63),3)</f>
        <v>0</v>
      </c>
      <c r="K64" s="811">
        <f t="shared" si="6"/>
        <v>0</v>
      </c>
      <c r="L64" s="812">
        <f t="shared" si="6"/>
        <v>0</v>
      </c>
      <c r="M64" s="870">
        <f t="shared" si="6"/>
        <v>156</v>
      </c>
      <c r="N64" s="811">
        <f t="shared" si="6"/>
        <v>0</v>
      </c>
      <c r="O64" s="812">
        <f t="shared" si="6"/>
        <v>156</v>
      </c>
      <c r="P64" s="814">
        <f t="shared" si="6"/>
        <v>0</v>
      </c>
      <c r="Q64" s="811">
        <f t="shared" si="6"/>
        <v>0</v>
      </c>
      <c r="R64" s="871">
        <f t="shared" si="6"/>
        <v>83</v>
      </c>
      <c r="S64" s="811">
        <f t="shared" si="6"/>
        <v>0</v>
      </c>
      <c r="T64" s="811">
        <f t="shared" si="6"/>
        <v>83</v>
      </c>
      <c r="U64" s="812">
        <f t="shared" si="6"/>
        <v>0</v>
      </c>
      <c r="V64" s="814">
        <f t="shared" si="6"/>
        <v>180</v>
      </c>
      <c r="W64" s="811">
        <f t="shared" si="6"/>
        <v>0</v>
      </c>
      <c r="X64" s="872">
        <f t="shared" si="6"/>
        <v>180</v>
      </c>
      <c r="Y64" s="811">
        <f t="shared" si="6"/>
        <v>0</v>
      </c>
      <c r="Z64" s="812">
        <f t="shared" si="6"/>
        <v>180</v>
      </c>
      <c r="AA64" s="870">
        <f t="shared" si="6"/>
        <v>304</v>
      </c>
      <c r="AB64" s="811">
        <f t="shared" si="6"/>
        <v>60</v>
      </c>
      <c r="AC64" s="811">
        <f t="shared" si="6"/>
        <v>0</v>
      </c>
      <c r="AD64" s="812">
        <f t="shared" si="6"/>
        <v>244</v>
      </c>
      <c r="AE64" s="811">
        <f t="shared" si="6"/>
        <v>38</v>
      </c>
      <c r="AF64" s="814">
        <f t="shared" si="6"/>
        <v>0</v>
      </c>
      <c r="AG64" s="811">
        <f t="shared" si="1"/>
        <v>761</v>
      </c>
      <c r="AH64" s="816">
        <f t="shared" si="2"/>
        <v>2468</v>
      </c>
      <c r="AI64" s="466">
        <f t="shared" ref="AI64:AI66" si="7">IF(ROUND(I64-SUM(C64:F64,H64),3)=0,0,1)+IF(ROUND(AG64-SUM(J64:M64,P64:R64,U64,X64,AA64,AE64:AF64),3)=0,0,1)+IF(ROUND(AH64-SUM(AG64,I64),3)=0,0,1)</f>
        <v>0</v>
      </c>
      <c r="AJ64" s="467" t="str">
        <f t="shared" ref="AJ64" si="8">IF(AI64=0," ",IF(AI64=1,"A total is not equal to the sum of its components: ",AI64&amp;" totals are not equal to the sum of their components: "))&amp;IF(AI64=0,"",IF(I64-SUM(C64:F64,H64)=0,"","Total crude. ")&amp;IF(AG64-SUM(J64:M64,P64:R64,U64,X64,AA64,AE64:AF64)=0,"","Total products. ")&amp;IF(AH64-SUM(AG64,I64)=0,"","Total oil."))</f>
        <v xml:space="preserve"> </v>
      </c>
      <c r="AS64" s="143" t="s">
        <v>589</v>
      </c>
      <c r="AT64" s="144" t="s">
        <v>615</v>
      </c>
      <c r="DS64" s="648"/>
      <c r="DT64" s="648"/>
      <c r="DU64" s="667" t="s">
        <v>415</v>
      </c>
      <c r="DV64" s="667" t="s">
        <v>1188</v>
      </c>
      <c r="DW64" s="667" t="s">
        <v>1134</v>
      </c>
      <c r="DX64" s="667" t="s">
        <v>1134</v>
      </c>
      <c r="DY64" s="667" t="s">
        <v>1253</v>
      </c>
      <c r="DZ64" s="667" t="s">
        <v>1134</v>
      </c>
      <c r="EA64" s="667" t="s">
        <v>1177</v>
      </c>
      <c r="EB64" s="667" t="s">
        <v>1135</v>
      </c>
      <c r="EC64" s="667" t="s">
        <v>1134</v>
      </c>
      <c r="ED64" s="667" t="s">
        <v>1136</v>
      </c>
    </row>
    <row r="65" spans="1:46" s="211" customFormat="1" ht="13.5" thickBot="1" x14ac:dyDescent="0.25">
      <c r="A65" s="205"/>
      <c r="B65" s="204"/>
      <c r="C65" s="873"/>
      <c r="D65" s="873"/>
      <c r="E65" s="873"/>
      <c r="F65" s="873"/>
      <c r="G65" s="873"/>
      <c r="H65" s="873"/>
      <c r="I65" s="873"/>
      <c r="J65" s="873"/>
      <c r="K65" s="873"/>
      <c r="L65" s="873"/>
      <c r="M65" s="873"/>
      <c r="N65" s="873"/>
      <c r="O65" s="873"/>
      <c r="P65" s="873"/>
      <c r="Q65" s="873"/>
      <c r="R65" s="873"/>
      <c r="S65" s="873"/>
      <c r="T65" s="873"/>
      <c r="U65" s="873"/>
      <c r="V65" s="873"/>
      <c r="W65" s="873"/>
      <c r="X65" s="873"/>
      <c r="Y65" s="873"/>
      <c r="Z65" s="873"/>
      <c r="AA65" s="873"/>
      <c r="AB65" s="873"/>
      <c r="AC65" s="873"/>
      <c r="AD65" s="873"/>
      <c r="AE65" s="873"/>
      <c r="AF65" s="873"/>
      <c r="AG65" s="873"/>
      <c r="AH65" s="873"/>
      <c r="AI65" s="209"/>
      <c r="AJ65" s="210"/>
      <c r="AS65" s="212"/>
      <c r="AT65" s="213"/>
    </row>
    <row r="66" spans="1:46" ht="13.5" thickBot="1" x14ac:dyDescent="0.25">
      <c r="A66" s="73" t="str">
        <f>IF(EnCMember=1,"Total EnC Contracting Parties","Total EU MS")</f>
        <v>Total EU MS</v>
      </c>
      <c r="B66" s="158">
        <v>58</v>
      </c>
      <c r="C66" s="811">
        <f>ROUND(IF('Table 1'!$G$3&gt;1,IF(EnCMember=1,C8+C14+C47+C27+C37+C43+C44+C53+C60+C11+C13+C15+C20+C21+C22+C23+C24+C25+C26+C28+C29+C30+C32+C34+C38+C39+C40+C41+C45+C49+C50+C51+C54+C55+C56+C57+C61,C11+C13+C15+C20+C21+C22+C23+C24+C25+C26+C28+C29+C30+C32+C34+C38+C39+C40+C41+C45+C49+C50+C51+C54+C55+C56+C57+C61),IF(EnCMember=1,C8+C14+C47+C27+C37+C43+C44+C53+C60+C11+C13+C15+C20+C21+C22+C23+C24+C25+C26+C28+C29+C30+C32+C34+C38+C39+C40+C41+C45+C49+C50+C51+C54+C55+C56+C57,C11+C13+C15+C20+C21+C22+C23+C24+C25+C26+C28+C29+C30+C32+C34+C38+C39+C40+C41+C45+C49+C50+C51+C54+C55+C56+C57)),3)</f>
        <v>1207</v>
      </c>
      <c r="D66" s="811">
        <f>ROUND(IF('Table 1'!$G$3&gt;1,IF(EnCMember=1,D8+D14+D47+D27+D37+D43+D44+D53+D60+D11+D13+D15+D20+D21+D22+D23+D24+D25+D26+D28+D29+D30+D32+D34+D38+D39+D40+D41+D45+D49+D50+D51+D54+D55+D56+D57+D61,D11+D13+D15+D20+D21+D22+D23+D24+D25+D26+D28+D29+D30+D32+D34+D38+D39+D40+D41+D45+D49+D50+D51+D54+D55+D56+D57+D61),IF(EnCMember=1,D8+D14+D47+D27+D37+D43+D44+D53+D60+D11+D13+D15+D20+D21+D22+D23+D24+D25+D26+D28+D29+D30+D32+D34+D38+D39+D40+D41+D45+D49+D50+D51+D54+D55+D56+D57,D11+D13+D15+D20+D21+D22+D23+D24+D25+D26+D28+D29+D30+D32+D34+D38+D39+D40+D41+D45+D49+D50+D51+D54+D55+D56+D57)),3)</f>
        <v>0</v>
      </c>
      <c r="E66" s="811">
        <f>ROUND(IF('Table 1'!$G$3&gt;1,IF(EnCMember=1,E8+E14+E47+E27+E37+E43+E44+E53+E60+E11+E13+E15+E20+E21+E22+E23+E24+E25+E26+E28+E29+E30+E32+E34+E38+E39+E40+E41+E45+E49+E50+E51+E54+E55+E56+E57+E61,E11+E13+E15+E20+E21+E22+E23+E24+E25+E26+E28+E29+E30+E32+E34+E38+E39+E40+E41+E45+E49+E50+E51+E54+E55+E56+E57+E61),IF(EnCMember=1,E8+E14+E47+E27+E37+E43+E44+E53+E60+E11+E13+E15+E20+E21+E22+E23+E24+E25+E26+E28+E29+E30+E32+E34+E38+E39+E40+E41+E45+E49+E50+E51+E54+E55+E56+E57,E11+E13+E15+E20+E21+E22+E23+E24+E25+E26+E28+E29+E30+E32+E34+E38+E39+E40+E41+E45+E49+E50+E51+E54+E55+E56+E57)),3)</f>
        <v>0</v>
      </c>
      <c r="F66" s="811">
        <f>ROUND(IF('Table 1'!$G$3&gt;1,IF(EnCMember=1,F8+F14+F47+F27+F37+F43+F44+F53+F60+F11+F13+F15+F20+F21+F22+F23+F24+F25+F26+F28+F29+F30+F32+F34+F38+F39+F40+F41+F45+F49+F50+F51+F54+F55+F56+F57+F61,F11+F13+F15+F20+F21+F22+F23+F24+F25+F26+F28+F29+F30+F32+F34+F38+F39+F40+F41+F45+F49+F50+F51+F54+F55+F56+F57+F61),IF(EnCMember=1,F8+F14+F47+F27+F37+F43+F44+F53+F60+F11+F13+F15+F20+F21+F22+F23+F24+F25+F26+F28+F29+F30+F32+F34+F38+F39+F40+F41+F45+F49+F50+F51+F54+F55+F56+F57,F11+F13+F15+F20+F21+F22+F23+F24+F25+F26+F28+F29+F30+F32+F34+F38+F39+F40+F41+F45+F49+F50+F51+F54+F55+F56+F57)),3)</f>
        <v>0</v>
      </c>
      <c r="G66" s="811">
        <f>ROUND(IF('Table 1'!$G$3&gt;1,IF(EnCMember=1,G8+G14+G47+G27+G37+G43+G44+G53+G60+G11+G13+G15+G20+G21+G22+G23+G24+G25+G26+G28+G29+G30+G32+G34+G38+G39+G40+G41+G45+G49+G50+G51+G54+G55+G56+G57+G61,G11+G13+G15+G20+G21+G22+G23+G24+G25+G26+G28+G29+G30+G32+G34+G38+G39+G40+G41+G45+G49+G50+G51+G54+G55+G56+G57+G61),IF(EnCMember=1,G8+G14+G47+G27+G37+G43+G44+G53+G60+G11+G13+G15+G20+G21+G22+G23+G24+G25+G26+G28+G29+G30+G32+G34+G38+G39+G40+G41+G45+G49+G50+G51+G54+G55+G56+G57,G11+G13+G15+G20+G21+G22+G23+G24+G25+G26+G28+G29+G30+G32+G34+G38+G39+G40+G41+G45+G49+G50+G51+G54+G55+G56+G57)),3)</f>
        <v>0</v>
      </c>
      <c r="H66" s="811">
        <f>ROUND(IF('Table 1'!$G$3&gt;1,IF(EnCMember=1,H8+H14+H47+H27+H37+H43+H44+H53+H60+H11+H13+H15+H20+H21+H22+H23+H24+H25+H26+H28+H29+H30+H32+H34+H38+H39+H40+H41+H45+H49+H50+H51+H54+H55+H56+H57+H61,H11+H13+H15+H20+H21+H22+H23+H24+H25+H26+H28+H29+H30+H32+H34+H38+H39+H40+H41+H45+H49+H50+H51+H54+H55+H56+H57+H61),IF(EnCMember=1,H8+H14+H47+H27+H37+H43+H44+H53+H60+H11+H13+H15+H20+H21+H22+H23+H24+H25+H26+H28+H29+H30+H32+H34+H38+H39+H40+H41+H45+H49+H50+H51+H54+H55+H56+H57,H11+H13+H15+H20+H21+H22+H23+H24+H25+H26+H28+H29+H30+H32+H34+H38+H39+H40+H41+H45+H49+H50+H51+H54+H55+H56+H57)),3)</f>
        <v>0</v>
      </c>
      <c r="I66" s="812">
        <f>ROUND(IF('Table 1'!$G$3&gt;1,IF(EnCMember=1,I8+I14+I47+I27+I37+I43+I44+I53+I60+I11+I13+I15+I20+I21+I22+I23+I24+I25+I26+I28+I29+I30+I32+I34+I38+I39+I40+I41+I45+I49+I50+I51+I54+I55+I56+I57+I61,I11+I13+I15+I20+I21+I22+I23+I24+I25+I26+I28+I29+I30+I32+I34+I38+I39+I40+I41+I45+I49+I50+I51+I54+I55+I56+I57+I61),IF(EnCMember=1,I8+I14+I47+I27+I37+I43+I44+I53+I60+I11+I13+I15+I20+I21+I22+I23+I24+I25+I26+I28+I29+I30+I32+I34+I38+I39+I40+I41+I45+I49+I50+I51+I54+I55+I56+I57,I11+I13+I15+I20+I21+I22+I23+I24+I25+I26+I28+I29+I30+I32+I34+I38+I39+I40+I41+I45+I49+I50+I51+I54+I55+I56+I57)),3)</f>
        <v>1207</v>
      </c>
      <c r="J66" s="813">
        <f>ROUND(IF('Table 1'!$G$3&gt;1,IF(EnCMember=1,J8+J14+J47+J27+J37+J43+J44+J53+J60+J11+J13+J15+J20+J21+J22+J23+J24+J25+J26+J28+J29+J30+J32+J34+J38+J39+J40+J41+J45+J49+J50+J51+J54+J55+J56+J57+J61,J11+J13+J15+J20+J21+J22+J23+J24+J25+J26+J28+J29+J30+J32+J34+J38+J39+J40+J41+J45+J49+J50+J51+J54+J55+J56+J57+J61),IF(EnCMember=1,J8+J14+J47+J27+J37+J43+J44+J53+J60+J11+J13+J15+J20+J21+J22+J23+J24+J25+J26+J28+J29+J30+J32+J34+J38+J39+J40+J41+J45+J49+J50+J51+J54+J55+J56+J57,J11+J13+J15+J20+J21+J22+J23+J24+J25+J26+J28+J29+J30+J32+J34+J38+J39+J40+J41+J45+J49+J50+J51+J54+J55+J56+J57)),3)</f>
        <v>0</v>
      </c>
      <c r="K66" s="811">
        <f>ROUND(IF('Table 1'!$G$3&gt;1,IF(EnCMember=1,K8+K14+K47+K27+K37+K43+K44+K53+K60+K11+K13+K15+K20+K21+K22+K23+K24+K25+K26+K28+K29+K30+K32+K34+K38+K39+K40+K41+K45+K49+K50+K51+K54+K55+K56+K57+K61,K11+K13+K15+K20+K21+K22+K23+K24+K25+K26+K28+K29+K30+K32+K34+K38+K39+K40+K41+K45+K49+K50+K51+K54+K55+K56+K57+K61),IF(EnCMember=1,K8+K14+K47+K27+K37+K43+K44+K53+K60+K11+K13+K15+K20+K21+K22+K23+K24+K25+K26+K28+K29+K30+K32+K34+K38+K39+K40+K41+K45+K49+K50+K51+K54+K55+K56+K57,K11+K13+K15+K20+K21+K22+K23+K24+K25+K26+K28+K29+K30+K32+K34+K38+K39+K40+K41+K45+K49+K50+K51+K54+K55+K56+K57)),3)</f>
        <v>0</v>
      </c>
      <c r="L66" s="812">
        <f>ROUND(IF('Table 1'!$G$3&gt;1,IF(EnCMember=1,L8+L14+L47+L27+L37+L43+L44+L53+L60+L11+L13+L15+L20+L21+L22+L23+L24+L25+L26+L28+L29+L30+L32+L34+L38+L39+L40+L41+L45+L49+L50+L51+L54+L55+L56+L57+L61,L11+L13+L15+L20+L21+L22+L23+L24+L25+L26+L28+L29+L30+L32+L34+L38+L39+L40+L41+L45+L49+L50+L51+L54+L55+L56+L57+L61),IF(EnCMember=1,L8+L14+L47+L27+L37+L43+L44+L53+L60+L11+L13+L15+L20+L21+L22+L23+L24+L25+L26+L28+L29+L30+L32+L34+L38+L39+L40+L41+L45+L49+L50+L51+L54+L55+L56+L57,L11+L13+L15+L20+L21+L22+L23+L24+L25+L26+L28+L29+L30+L32+L34+L38+L39+L40+L41+L45+L49+L50+L51+L54+L55+L56+L57)),3)</f>
        <v>0</v>
      </c>
      <c r="M66" s="813">
        <f>ROUND(IF('Table 1'!$G$3&gt;1,IF(EnCMember=1,M8+M14+M47+M27+M37+M43+M44+M53+M60+M11+M13+M15+M20+M21+M22+M23+M24+M25+M26+M28+M29+M30+M32+M34+M38+M39+M40+M41+M45+M49+M50+M51+M54+M55+M56+M57+M61,M11+M13+M15+M20+M21+M22+M23+M24+M25+M26+M28+M29+M30+M32+M34+M38+M39+M40+M41+M45+M49+M50+M51+M54+M55+M56+M57+M61),IF(EnCMember=1,M8+M14+M47+M27+M37+M43+M44+M53+M60+M11+M13+M15+M20+M21+M22+M23+M24+M25+M26+M28+M29+M30+M32+M34+M38+M39+M40+M41+M45+M49+M50+M51+M54+M55+M56+M57,M11+M13+M15+M20+M21+M22+M23+M24+M25+M26+M28+M29+M30+M32+M34+M38+M39+M40+M41+M45+M49+M50+M51+M54+M55+M56+M57)),3)</f>
        <v>103</v>
      </c>
      <c r="N66" s="811">
        <f>ROUND(IF('Table 1'!$G$3&gt;1,IF(EnCMember=1,N8+N14+N47+N27+N37+N43+N44+N53+N60+N11+N13+N15+N20+N21+N22+N23+N24+N25+N26+N28+N29+N30+N32+N34+N38+N39+N40+N41+N45+N49+N50+N51+N54+N55+N56+N57+N61,N11+N13+N15+N20+N21+N22+N23+N24+N25+N26+N28+N29+N30+N32+N34+N38+N39+N40+N41+N45+N49+N50+N51+N54+N55+N56+N57+N61),IF(EnCMember=1,N8+N14+N47+N27+N37+N43+N44+N53+N60+N11+N13+N15+N20+N21+N22+N23+N24+N25+N26+N28+N29+N30+N32+N34+N38+N39+N40+N41+N45+N49+N50+N51+N54+N55+N56+N57,N11+N13+N15+N20+N21+N22+N23+N24+N25+N26+N28+N29+N30+N32+N34+N38+N39+N40+N41+N45+N49+N50+N51+N54+N55+N56+N57)),3)</f>
        <v>0</v>
      </c>
      <c r="O66" s="812">
        <f>ROUND(IF('Table 1'!$G$3&gt;1,IF(EnCMember=1,O8+O14+O47+O27+O37+O43+O44+O53+O60+O11+O13+O15+O20+O21+O22+O23+O24+O25+O26+O28+O29+O30+O32+O34+O38+O39+O40+O41+O45+O49+O50+O51+O54+O55+O56+O57+O61,O11+O13+O15+O20+O21+O22+O23+O24+O25+O26+O28+O29+O30+O32+O34+O38+O39+O40+O41+O45+O49+O50+O51+O54+O55+O56+O57+O61),IF(EnCMember=1,O8+O14+O47+O27+O37+O43+O44+O53+O60+O11+O13+O15+O20+O21+O22+O23+O24+O25+O26+O28+O29+O30+O32+O34+O38+O39+O40+O41+O45+O49+O50+O51+O54+O55+O56+O57,O11+O13+O15+O20+O21+O22+O23+O24+O25+O26+O28+O29+O30+O32+O34+O38+O39+O40+O41+O45+O49+O50+O51+O54+O55+O56+O57)),3)</f>
        <v>103</v>
      </c>
      <c r="P66" s="813">
        <f>ROUND(IF('Table 1'!$G$3&gt;1,IF(EnCMember=1,P8+P14+P47+P27+P37+P43+P44+P53+P60+P11+P13+P15+P20+P21+P22+P23+P24+P25+P26+P28+P29+P30+P32+P34+P38+P39+P40+P41+P45+P49+P50+P51+P54+P55+P56+P57+P61,P11+P13+P15+P20+P21+P22+P23+P24+P25+P26+P28+P29+P30+P32+P34+P38+P39+P40+P41+P45+P49+P50+P51+P54+P55+P56+P57+P61),IF(EnCMember=1,P8+P14+P47+P27+P37+P43+P44+P53+P60+P11+P13+P15+P20+P21+P22+P23+P24+P25+P26+P28+P29+P30+P32+P34+P38+P39+P40+P41+P45+P49+P50+P51+P54+P55+P56+P57,P11+P13+P15+P20+P21+P22+P23+P24+P25+P26+P28+P29+P30+P32+P34+P38+P39+P40+P41+P45+P49+P50+P51+P54+P55+P56+P57)),3)</f>
        <v>0</v>
      </c>
      <c r="Q66" s="811">
        <f>ROUND(IF('Table 1'!$G$3&gt;1,IF(EnCMember=1,Q8+Q14+Q47+Q27+Q37+Q43+Q44+Q53+Q60+Q11+Q13+Q15+Q20+Q21+Q22+Q23+Q24+Q25+Q26+Q28+Q29+Q30+Q32+Q34+Q38+Q39+Q40+Q41+Q45+Q49+Q50+Q51+Q54+Q55+Q56+Q57+Q61,Q11+Q13+Q15+Q20+Q21+Q22+Q23+Q24+Q25+Q26+Q28+Q29+Q30+Q32+Q34+Q38+Q39+Q40+Q41+Q45+Q49+Q50+Q51+Q54+Q55+Q56+Q57+Q61),IF(EnCMember=1,Q8+Q14+Q47+Q27+Q37+Q43+Q44+Q53+Q60+Q11+Q13+Q15+Q20+Q21+Q22+Q23+Q24+Q25+Q26+Q28+Q29+Q30+Q32+Q34+Q38+Q39+Q40+Q41+Q45+Q49+Q50+Q51+Q54+Q55+Q56+Q57,Q11+Q13+Q15+Q20+Q21+Q22+Q23+Q24+Q25+Q26+Q28+Q29+Q30+Q32+Q34+Q38+Q39+Q40+Q41+Q45+Q49+Q50+Q51+Q54+Q55+Q56+Q57)),3)</f>
        <v>0</v>
      </c>
      <c r="R66" s="811">
        <f>ROUND(IF('Table 1'!$G$3&gt;1,IF(EnCMember=1,R8+R14+R47+R27+R37+R43+R44+R53+R60+R11+R13+R15+R20+R21+R22+R23+R24+R25+R26+R28+R29+R30+R32+R34+R38+R39+R40+R41+R45+R49+R50+R51+R54+R55+R56+R57+R61,R11+R13+R15+R20+R21+R22+R23+R24+R25+R26+R28+R29+R30+R32+R34+R38+R39+R40+R41+R45+R49+R50+R51+R54+R55+R56+R57+R61),IF(EnCMember=1,R8+R14+R47+R27+R37+R43+R44+R53+R60+R11+R13+R15+R20+R21+R22+R23+R24+R25+R26+R28+R29+R30+R32+R34+R38+R39+R40+R41+R45+R49+R50+R51+R54+R55+R56+R57,R11+R13+R15+R20+R21+R22+R23+R24+R25+R26+R28+R29+R30+R32+R34+R38+R39+R40+R41+R45+R49+R50+R51+R54+R55+R56+R57)),3)</f>
        <v>33</v>
      </c>
      <c r="S66" s="811">
        <f>ROUND(IF('Table 1'!$G$3&gt;1,IF(EnCMember=1,S8+S14+S47+S27+S37+S43+S44+S53+S60+S11+S13+S15+S20+S21+S22+S23+S24+S25+S26+S28+S29+S30+S32+S34+S38+S39+S40+S41+S45+S49+S50+S51+S54+S55+S56+S57+S61,S11+S13+S15+S20+S21+S22+S23+S24+S25+S26+S28+S29+S30+S32+S34+S38+S39+S40+S41+S45+S49+S50+S51+S54+S55+S56+S57+S61),IF(EnCMember=1,S8+S14+S47+S27+S37+S43+S44+S53+S60+S11+S13+S15+S20+S21+S22+S23+S24+S25+S26+S28+S29+S30+S32+S34+S38+S39+S40+S41+S45+S49+S50+S51+S54+S55+S56+S57,S11+S13+S15+S20+S21+S22+S23+S24+S25+S26+S28+S29+S30+S32+S34+S38+S39+S40+S41+S45+S49+S50+S51+S54+S55+S56+S57)),3)</f>
        <v>0</v>
      </c>
      <c r="T66" s="811">
        <f>ROUND(IF('Table 1'!$G$3&gt;1,IF(EnCMember=1,T8+T14+T47+T27+T37+T43+T44+T53+T60+T11+T13+T15+T20+T21+T22+T23+T24+T25+T26+T28+T29+T30+T32+T34+T38+T39+T40+T41+T45+T49+T50+T51+T54+T55+T56+T57+T61,T11+T13+T15+T20+T21+T22+T23+T24+T25+T26+T28+T29+T30+T32+T34+T38+T39+T40+T41+T45+T49+T50+T51+T54+T55+T56+T57+T61),IF(EnCMember=1,T8+T14+T47+T27+T37+T43+T44+T53+T60+T11+T13+T15+T20+T21+T22+T23+T24+T25+T26+T28+T29+T30+T32+T34+T38+T39+T40+T41+T45+T49+T50+T51+T54+T55+T56+T57,T11+T13+T15+T20+T21+T22+T23+T24+T25+T26+T28+T29+T30+T32+T34+T38+T39+T40+T41+T45+T49+T50+T51+T54+T55+T56+T57)),3)</f>
        <v>33</v>
      </c>
      <c r="U66" s="812">
        <f>ROUND(IF('Table 1'!$G$3&gt;1,IF(EnCMember=1,U8+U14+U47+U27+U37+U43+U44+U53+U60+U11+U13+U15+U20+U21+U22+U23+U24+U25+U26+U28+U29+U30+U32+U34+U38+U39+U40+U41+U45+U49+U50+U51+U54+U55+U56+U57+U61,U11+U13+U15+U20+U21+U22+U23+U24+U25+U26+U28+U29+U30+U32+U34+U38+U39+U40+U41+U45+U49+U50+U51+U54+U55+U56+U57+U61),IF(EnCMember=1,U8+U14+U47+U27+U37+U43+U44+U53+U60+U11+U13+U15+U20+U21+U22+U23+U24+U25+U26+U28+U29+U30+U32+U34+U38+U39+U40+U41+U45+U49+U50+U51+U54+U55+U56+U57,U11+U13+U15+U20+U21+U22+U23+U24+U25+U26+U28+U29+U30+U32+U34+U38+U39+U40+U41+U45+U49+U50+U51+U54+U55+U56+U57)),3)</f>
        <v>0</v>
      </c>
      <c r="V66" s="813">
        <f>ROUND(IF('Table 1'!$G$3&gt;1,IF(EnCMember=1,V8+V14+V47+V27+V37+V43+V44+V53+V60+V11+V13+V15+V20+V21+V22+V23+V24+V25+V26+V28+V29+V30+V32+V34+V38+V39+V40+V41+V45+V49+V50+V51+V54+V55+V56+V57+V61,V11+V13+V15+V20+V21+V22+V23+V24+V25+V26+V28+V29+V30+V32+V34+V38+V39+V40+V41+V45+V49+V50+V51+V54+V55+V56+V57+V61),IF(EnCMember=1,V8+V14+V47+V27+V37+V43+V44+V53+V60+V11+V13+V15+V20+V21+V22+V23+V24+V25+V26+V28+V29+V30+V32+V34+V38+V39+V40+V41+V45+V49+V50+V51+V54+V55+V56+V57,V11+V13+V15+V20+V21+V22+V23+V24+V25+V26+V28+V29+V30+V32+V34+V38+V39+V40+V41+V45+V49+V50+V51+V54+V55+V56+V57)),3)</f>
        <v>94</v>
      </c>
      <c r="W66" s="811">
        <f>ROUND(IF('Table 1'!$G$3&gt;1,IF(EnCMember=1,W8+W14+W47+W27+W37+W43+W44+W53+W60+W11+W13+W15+W20+W21+W22+W23+W24+W25+W26+W28+W29+W30+W32+W34+W38+W39+W40+W41+W45+W49+W50+W51+W54+W55+W56+W57+W61,W11+W13+W15+W20+W21+W22+W23+W24+W25+W26+W28+W29+W30+W32+W34+W38+W39+W40+W41+W45+W49+W50+W51+W54+W55+W56+W57+W61),IF(EnCMember=1,W8+W14+W47+W27+W37+W43+W44+W53+W60+W11+W13+W15+W20+W21+W22+W23+W24+W25+W26+W28+W29+W30+W32+W34+W38+W39+W40+W41+W45+W49+W50+W51+W54+W55+W56+W57,W11+W13+W15+W20+W21+W22+W23+W24+W25+W26+W28+W29+W30+W32+W34+W38+W39+W40+W41+W45+W49+W50+W51+W54+W55+W56+W57)),3)</f>
        <v>0</v>
      </c>
      <c r="X66" s="811">
        <f>ROUND(IF('Table 1'!$G$3&gt;1,IF(EnCMember=1,X8+X14+X47+X27+X37+X43+X44+X53+X60+X11+X13+X15+X20+X21+X22+X23+X24+X25+X26+X28+X29+X30+X32+X34+X38+X39+X40+X41+X45+X49+X50+X51+X54+X55+X56+X57+X61,X11+X13+X15+X20+X21+X22+X23+X24+X25+X26+X28+X29+X30+X32+X34+X38+X39+X40+X41+X45+X49+X50+X51+X54+X55+X56+X57+X61),IF(EnCMember=1,X8+X14+X47+X27+X37+X43+X44+X53+X60+X11+X13+X15+X20+X21+X22+X23+X24+X25+X26+X28+X29+X30+X32+X34+X38+X39+X40+X41+X45+X49+X50+X51+X54+X55+X56+X57,X11+X13+X15+X20+X21+X22+X23+X24+X25+X26+X28+X29+X30+X32+X34+X38+X39+X40+X41+X45+X49+X50+X51+X54+X55+X56+X57)),3)</f>
        <v>94</v>
      </c>
      <c r="Y66" s="811">
        <f>ROUND(IF('Table 1'!$G$3&gt;1,IF(EnCMember=1,Y8+Y14+Y47+Y27+Y37+Y43+Y44+Y53+Y60+Y11+Y13+Y15+Y20+Y21+Y22+Y23+Y24+Y25+Y26+Y28+Y29+Y30+Y32+Y34+Y38+Y39+Y40+Y41+Y45+Y49+Y50+Y51+Y54+Y55+Y56+Y57+Y61,Y11+Y13+Y15+Y20+Y21+Y22+Y23+Y24+Y25+Y26+Y28+Y29+Y30+Y32+Y34+Y38+Y39+Y40+Y41+Y45+Y49+Y50+Y51+Y54+Y55+Y56+Y57+Y61),IF(EnCMember=1,Y8+Y14+Y47+Y27+Y37+Y43+Y44+Y53+Y60+Y11+Y13+Y15+Y20+Y21+Y22+Y23+Y24+Y25+Y26+Y28+Y29+Y30+Y32+Y34+Y38+Y39+Y40+Y41+Y45+Y49+Y50+Y51+Y54+Y55+Y56+Y57,Y11+Y13+Y15+Y20+Y21+Y22+Y23+Y24+Y25+Y26+Y28+Y29+Y30+Y32+Y34+Y38+Y39+Y40+Y41+Y45+Y49+Y50+Y51+Y54+Y55+Y56+Y57)),3)</f>
        <v>0</v>
      </c>
      <c r="Z66" s="812">
        <f>ROUND(IF('Table 1'!$G$3&gt;1,IF(EnCMember=1,Z8+Z14+Z47+Z27+Z37+Z43+Z44+Z53+Z60+Z11+Z13+Z15+Z20+Z21+Z22+Z23+Z24+Z25+Z26+Z28+Z29+Z30+Z32+Z34+Z38+Z39+Z40+Z41+Z45+Z49+Z50+Z51+Z54+Z55+Z56+Z57+Z61,Z11+Z13+Z15+Z20+Z21+Z22+Z23+Z24+Z25+Z26+Z28+Z29+Z30+Z32+Z34+Z38+Z39+Z40+Z41+Z45+Z49+Z50+Z51+Z54+Z55+Z56+Z57+Z61),IF(EnCMember=1,Z8+Z14+Z47+Z27+Z37+Z43+Z44+Z53+Z60+Z11+Z13+Z15+Z20+Z21+Z22+Z23+Z24+Z25+Z26+Z28+Z29+Z30+Z32+Z34+Z38+Z39+Z40+Z41+Z45+Z49+Z50+Z51+Z54+Z55+Z56+Z57,Z11+Z13+Z15+Z20+Z21+Z22+Z23+Z24+Z25+Z26+Z28+Z29+Z30+Z32+Z34+Z38+Z39+Z40+Z41+Z45+Z49+Z50+Z51+Z54+Z55+Z56+Z57)),3)</f>
        <v>94</v>
      </c>
      <c r="AA66" s="813">
        <f>ROUND(IF('Table 1'!$G$3&gt;1,IF(EnCMember=1,AA8+AA14+AA47+AA27+AA37+AA43+AA44+AA53+AA60+AA11+AA13+AA15+AA20+AA21+AA22+AA23+AA24+AA25+AA26+AA28+AA29+AA30+AA32+AA34+AA38+AA39+AA40+AA41+AA45+AA49+AA50+AA51+AA54+AA55+AA56+AA57+AA61,AA11+AA13+AA15+AA20+AA21+AA22+AA23+AA24+AA25+AA26+AA28+AA29+AA30+AA32+AA34+AA38+AA39+AA40+AA41+AA45+AA49+AA50+AA51+AA54+AA55+AA56+AA57+AA61),IF(EnCMember=1,AA8+AA14+AA47+AA27+AA37+AA43+AA44+AA53+AA60+AA11+AA13+AA15+AA20+AA21+AA22+AA23+AA24+AA25+AA26+AA28+AA29+AA30+AA32+AA34+AA38+AA39+AA40+AA41+AA45+AA49+AA50+AA51+AA54+AA55+AA56+AA57,AA11+AA13+AA15+AA20+AA21+AA22+AA23+AA24+AA25+AA26+AA28+AA29+AA30+AA32+AA34+AA38+AA39+AA40+AA41+AA45+AA49+AA50+AA51+AA54+AA55+AA56+AA57)),3)</f>
        <v>156</v>
      </c>
      <c r="AB66" s="811">
        <f>ROUND(IF('Table 1'!$G$3&gt;1,IF(EnCMember=1,AB8+AB14+AB47+AB27+AB37+AB43+AB44+AB53+AB60+AB11+AB13+AB15+AB20+AB21+AB22+AB23+AB24+AB25+AB26+AB28+AB29+AB30+AB32+AB34+AB38+AB39+AB40+AB41+AB45+AB49+AB50+AB51+AB54+AB55+AB56+AB57+AB61,AB11+AB13+AB15+AB20+AB21+AB22+AB23+AB24+AB25+AB26+AB28+AB29+AB30+AB32+AB34+AB38+AB39+AB40+AB41+AB45+AB49+AB50+AB51+AB54+AB55+AB56+AB57+AB61),IF(EnCMember=1,AB8+AB14+AB47+AB27+AB37+AB43+AB44+AB53+AB60+AB11+AB13+AB15+AB20+AB21+AB22+AB23+AB24+AB25+AB26+AB28+AB29+AB30+AB32+AB34+AB38+AB39+AB40+AB41+AB45+AB49+AB50+AB51+AB54+AB55+AB56+AB57,AB11+AB13+AB15+AB20+AB21+AB22+AB23+AB24+AB25+AB26+AB28+AB29+AB30+AB32+AB34+AB38+AB39+AB40+AB41+AB45+AB49+AB50+AB51+AB54+AB55+AB56+AB57)),3)</f>
        <v>25</v>
      </c>
      <c r="AC66" s="811">
        <f>ROUND(IF('Table 1'!$G$3&gt;1,IF(EnCMember=1,AC8+AC14+AC47+AC27+AC37+AC43+AC44+AC53+AC60+AC11+AC13+AC15+AC20+AC21+AC22+AC23+AC24+AC25+AC26+AC28+AC29+AC30+AC32+AC34+AC38+AC39+AC40+AC41+AC45+AC49+AC50+AC51+AC54+AC55+AC56+AC57+AC61,AC11+AC13+AC15+AC20+AC21+AC22+AC23+AC24+AC25+AC26+AC28+AC29+AC30+AC32+AC34+AC38+AC39+AC40+AC41+AC45+AC49+AC50+AC51+AC54+AC55+AC56+AC57+AC61),IF(EnCMember=1,AC8+AC14+AC47+AC27+AC37+AC43+AC44+AC53+AC60+AC11+AC13+AC15+AC20+AC21+AC22+AC23+AC24+AC25+AC26+AC28+AC29+AC30+AC32+AC34+AC38+AC39+AC40+AC41+AC45+AC49+AC50+AC51+AC54+AC55+AC56+AC57,AC11+AC13+AC15+AC20+AC21+AC22+AC23+AC24+AC25+AC26+AC28+AC29+AC30+AC32+AC34+AC38+AC39+AC40+AC41+AC45+AC49+AC50+AC51+AC54+AC55+AC56+AC57)),3)</f>
        <v>0</v>
      </c>
      <c r="AD66" s="812">
        <f>ROUND(IF('Table 1'!$G$3&gt;1,IF(EnCMember=1,AD8+AD14+AD47+AD27+AD37+AD43+AD44+AD53+AD60+AD11+AD13+AD15+AD20+AD21+AD22+AD23+AD24+AD25+AD26+AD28+AD29+AD30+AD32+AD34+AD38+AD39+AD40+AD41+AD45+AD49+AD50+AD51+AD54+AD55+AD56+AD57+AD61,AD11+AD13+AD15+AD20+AD21+AD22+AD23+AD24+AD25+AD26+AD28+AD29+AD30+AD32+AD34+AD38+AD39+AD40+AD41+AD45+AD49+AD50+AD51+AD54+AD55+AD56+AD57+AD61),IF(EnCMember=1,AD8+AD14+AD47+AD27+AD37+AD43+AD44+AD53+AD60+AD11+AD13+AD15+AD20+AD21+AD22+AD23+AD24+AD25+AD26+AD28+AD29+AD30+AD32+AD34+AD38+AD39+AD40+AD41+AD45+AD49+AD50+AD51+AD54+AD55+AD56+AD57,AD11+AD13+AD15+AD20+AD21+AD22+AD23+AD24+AD25+AD26+AD28+AD29+AD30+AD32+AD34+AD38+AD39+AD40+AD41+AD45+AD49+AD50+AD51+AD54+AD55+AD56+AD57)),3)</f>
        <v>131</v>
      </c>
      <c r="AE66" s="813">
        <f>ROUND(IF('Table 1'!$G$3&gt;1,IF(EnCMember=1,AE8+AE14+AE47+AE27+AE37+AE43+AE44+AE53+AE60+AE11+AE13+AE15+AE20+AE21+AE22+AE23+AE24+AE25+AE26+AE28+AE29+AE30+AE32+AE34+AE38+AE39+AE40+AE41+AE45+AE49+AE50+AE51+AE54+AE55+AE56+AE57+AE61,AE11+AE13+AE15+AE20+AE21+AE22+AE23+AE24+AE25+AE26+AE28+AE29+AE30+AE32+AE34+AE38+AE39+AE40+AE41+AE45+AE49+AE50+AE51+AE54+AE55+AE56+AE57+AE61),IF(EnCMember=1,AE8+AE14+AE47+AE27+AE37+AE43+AE44+AE53+AE60+AE11+AE13+AE15+AE20+AE21+AE22+AE23+AE24+AE25+AE26+AE28+AE29+AE30+AE32+AE34+AE38+AE39+AE40+AE41+AE45+AE49+AE50+AE51+AE54+AE55+AE56+AE57,AE11+AE13+AE15+AE20+AE21+AE22+AE23+AE24+AE25+AE26+AE28+AE29+AE30+AE32+AE34+AE38+AE39+AE40+AE41+AE45+AE49+AE50+AE51+AE54+AE55+AE56+AE57)),3)</f>
        <v>0</v>
      </c>
      <c r="AF66" s="811">
        <f>ROUND(IF('Table 1'!$G$3&gt;1,IF(EnCMember=1,AF8+AF14+AF47+AF27+AF37+AF43+AF44+AF53+AF60+AF11+AF13+AF15+AF20+AF21+AF22+AF23+AF24+AF25+AF26+AF28+AF29+AF30+AF32+AF34+AF38+AF39+AF40+AF41+AF45+AF49+AF50+AF51+AF54+AF55+AF56+AF57+AF61,AF11+AF13+AF15+AF20+AF21+AF22+AF23+AF24+AF25+AF26+AF28+AF29+AF30+AF32+AF34+AF38+AF39+AF40+AF41+AF45+AF49+AF50+AF51+AF54+AF55+AF56+AF57+AF61),IF(EnCMember=1,AF8+AF14+AF47+AF27+AF37+AF43+AF44+AF53+AF60+AF11+AF13+AF15+AF20+AF21+AF22+AF23+AF24+AF25+AF26+AF28+AF29+AF30+AF32+AF34+AF38+AF39+AF40+AF41+AF45+AF49+AF50+AF51+AF54+AF55+AF56+AF57,AF11+AF13+AF15+AF20+AF21+AF22+AF23+AF24+AF25+AF26+AF28+AF29+AF30+AF32+AF34+AF38+AF39+AF40+AF41+AF45+AF49+AF50+AF51+AF54+AF55+AF56+AF57)),3)</f>
        <v>0</v>
      </c>
      <c r="AG66" s="811">
        <f>ROUND(IF('Table 1'!$G$3&gt;1,IF(EnCMember=1,AG8+AG14+AG47+AG27+AG37+AG43+AG44+AG53+AG60+AG11+AG13+AG15+AG20+AG21+AG22+AG23+AG24+AG25+AG26+AG28+AG29+AG30+AG32+AG34+AG38+AG39+AG40+AG41+AG45+AG49+AG50+AG51+AG54+AG55+AG56+AG57+AG61,AG11+AG13+AG15+AG20+AG21+AG22+AG23+AG24+AG25+AG26+AG28+AG29+AG30+AG32+AG34+AG38+AG39+AG40+AG41+AG45+AG49+AG50+AG51+AG54+AG55+AG56+AG57+AG61),IF(EnCMember=1,AG8+AG14+AG47+AG27+AG37+AG43+AG44+AG53+AG60+AG11+AG13+AG15+AG20+AG21+AG22+AG23+AG24+AG25+AG26+AG28+AG29+AG30+AG32+AG34+AG38+AG39+AG40+AG41+AG45+AG49+AG50+AG51+AG54+AG55+AG56+AG57,AG11+AG13+AG15+AG20+AG21+AG22+AG23+AG24+AG25+AG26+AG28+AG29+AG30+AG32+AG34+AG38+AG39+AG40+AG41+AG45+AG49+AG50+AG51+AG54+AG55+AG56+AG57)),3)</f>
        <v>386</v>
      </c>
      <c r="AH66" s="816">
        <f>ROUND(IF('Table 1'!$G$3&gt;1,IF(EnCMember=1,AH8+AH14+AH47+AH27+AH37+AH43+AH44+AH53+AH60+AH11+AH13+AH15+AH20+AH21+AH22+AH23+AH24+AH25+AH26+AH28+AH29+AH30+AH32+AH34+AH38+AH39+AH40+AH41+AH45+AH49+AH50+AH51+AH54+AH55+AH56+AH57+AH61,AH11+AH13+AH15+AH20+AH21+AH22+AH23+AH24+AH25+AH26+AH28+AH29+AH30+AH32+AH34+AH38+AH39+AH40+AH41+AH45+AH49+AH50+AH51+AH54+AH55+AH56+AH57+AH61),IF(EnCMember=1,AH8+AH14+AH47+AH27+AH37+AH43+AH44+AH53+AH60+AH11+AH13+AH15+AH20+AH21+AH22+AH23+AH24+AH25+AH26+AH28+AH29+AH30+AH32+AH34+AH38+AH39+AH40+AH41+AH45+AH49+AH50+AH51+AH54+AH55+AH56+AH57,AH11+AH13+AH15+AH20+AH21+AH22+AH23+AH24+AH25+AH26+AH28+AH29+AH30+AH32+AH34+AH38+AH39+AH40+AH41+AH45+AH49+AH50+AH51+AH54+AH55+AH56+AH57)),3)</f>
        <v>1593</v>
      </c>
      <c r="AI66" s="466">
        <f t="shared" si="7"/>
        <v>0</v>
      </c>
      <c r="AJ66" s="467" t="str">
        <f>IF(AI66=0," ",IF(AI66=1,"A total is not equal to the sum of its components: ",AI66&amp;" totals are not equal to the sum of their components: "))&amp;IF(AI66=0,"",IF(I66-SUM(C66:F66,H66)=0,"","Total crude. ")&amp;IF(AG66-SUM(J66:M66,P66:R66,U66,X66,AA66,AE66:AF66)=0,"","Total products. ")&amp;IF(AH66-SUM(AG66,I66)=0,"","Total oil."))</f>
        <v xml:space="preserve"> </v>
      </c>
      <c r="AS66" s="143" t="s">
        <v>898</v>
      </c>
      <c r="AT66" s="144" t="s">
        <v>681</v>
      </c>
    </row>
    <row r="67" spans="1:46" s="32" customFormat="1" ht="24" customHeight="1" x14ac:dyDescent="0.2">
      <c r="C67" s="1050" t="str">
        <f>IF(ROUND(SUM(C8:C63),3)&lt;&gt;C64,"Total not correct","")</f>
        <v/>
      </c>
      <c r="D67" s="1050" t="str">
        <f>IF(ROUND(SUM(D8:D63),3)&lt;&gt;D64,"Total not correct","")</f>
        <v/>
      </c>
      <c r="E67" s="1050" t="str">
        <f t="shared" ref="E67:AH67" si="9">IF(ROUND(SUM(E8:E63),3)&lt;&gt;E64,"Total not correct","")</f>
        <v/>
      </c>
      <c r="F67" s="1050" t="str">
        <f t="shared" si="9"/>
        <v/>
      </c>
      <c r="G67" s="1050" t="str">
        <f t="shared" si="9"/>
        <v/>
      </c>
      <c r="H67" s="1050" t="str">
        <f t="shared" si="9"/>
        <v/>
      </c>
      <c r="I67" s="1050" t="str">
        <f t="shared" si="9"/>
        <v/>
      </c>
      <c r="J67" s="1050" t="str">
        <f t="shared" si="9"/>
        <v/>
      </c>
      <c r="K67" s="1050" t="str">
        <f t="shared" si="9"/>
        <v/>
      </c>
      <c r="L67" s="1050" t="str">
        <f t="shared" si="9"/>
        <v/>
      </c>
      <c r="M67" s="1050" t="str">
        <f t="shared" si="9"/>
        <v/>
      </c>
      <c r="N67" s="1050" t="str">
        <f t="shared" si="9"/>
        <v/>
      </c>
      <c r="O67" s="1050" t="str">
        <f t="shared" si="9"/>
        <v/>
      </c>
      <c r="P67" s="1050" t="str">
        <f t="shared" si="9"/>
        <v/>
      </c>
      <c r="Q67" s="1050" t="str">
        <f t="shared" si="9"/>
        <v/>
      </c>
      <c r="R67" s="1050" t="str">
        <f t="shared" si="9"/>
        <v/>
      </c>
      <c r="S67" s="1050" t="str">
        <f t="shared" si="9"/>
        <v/>
      </c>
      <c r="T67" s="1050" t="str">
        <f t="shared" si="9"/>
        <v/>
      </c>
      <c r="U67" s="1050" t="str">
        <f t="shared" si="9"/>
        <v/>
      </c>
      <c r="V67" s="1050" t="str">
        <f t="shared" si="9"/>
        <v/>
      </c>
      <c r="W67" s="1050" t="str">
        <f t="shared" si="9"/>
        <v/>
      </c>
      <c r="X67" s="1050" t="str">
        <f t="shared" si="9"/>
        <v/>
      </c>
      <c r="Y67" s="1050" t="str">
        <f t="shared" si="9"/>
        <v/>
      </c>
      <c r="Z67" s="1050" t="str">
        <f t="shared" si="9"/>
        <v/>
      </c>
      <c r="AA67" s="1050" t="str">
        <f t="shared" si="9"/>
        <v/>
      </c>
      <c r="AB67" s="1050" t="str">
        <f t="shared" si="9"/>
        <v/>
      </c>
      <c r="AC67" s="1050"/>
      <c r="AD67" s="1050" t="str">
        <f t="shared" si="9"/>
        <v/>
      </c>
      <c r="AE67" s="1050" t="str">
        <f t="shared" si="9"/>
        <v/>
      </c>
      <c r="AF67" s="1050" t="str">
        <f t="shared" si="9"/>
        <v/>
      </c>
      <c r="AG67" s="1050" t="str">
        <f t="shared" si="9"/>
        <v/>
      </c>
      <c r="AH67" s="1050" t="str">
        <f t="shared" si="9"/>
        <v/>
      </c>
      <c r="AI67" s="157"/>
      <c r="AJ67" s="157"/>
    </row>
    <row r="68" spans="1:46" s="32" customFormat="1" x14ac:dyDescent="0.2">
      <c r="C68" s="1050" t="str">
        <f t="shared" ref="C68:AH68" si="10">IF(MIN(C8:C64,C66)&lt;0,"Negative number","")</f>
        <v/>
      </c>
      <c r="D68" s="1050" t="str">
        <f t="shared" si="10"/>
        <v/>
      </c>
      <c r="E68" s="1050" t="str">
        <f t="shared" si="10"/>
        <v/>
      </c>
      <c r="F68" s="1050" t="str">
        <f t="shared" si="10"/>
        <v/>
      </c>
      <c r="G68" s="1050" t="str">
        <f t="shared" si="10"/>
        <v/>
      </c>
      <c r="H68" s="1050" t="str">
        <f t="shared" si="10"/>
        <v/>
      </c>
      <c r="I68" s="1050" t="str">
        <f t="shared" si="10"/>
        <v/>
      </c>
      <c r="J68" s="1050" t="str">
        <f t="shared" si="10"/>
        <v/>
      </c>
      <c r="K68" s="1050" t="str">
        <f t="shared" si="10"/>
        <v/>
      </c>
      <c r="L68" s="1050" t="str">
        <f t="shared" si="10"/>
        <v/>
      </c>
      <c r="M68" s="1050" t="str">
        <f t="shared" si="10"/>
        <v/>
      </c>
      <c r="N68" s="1050" t="str">
        <f t="shared" si="10"/>
        <v/>
      </c>
      <c r="O68" s="1050" t="str">
        <f t="shared" si="10"/>
        <v/>
      </c>
      <c r="P68" s="1050" t="str">
        <f t="shared" si="10"/>
        <v/>
      </c>
      <c r="Q68" s="1050" t="str">
        <f t="shared" si="10"/>
        <v/>
      </c>
      <c r="R68" s="1050" t="str">
        <f t="shared" si="10"/>
        <v/>
      </c>
      <c r="S68" s="1050" t="str">
        <f t="shared" si="10"/>
        <v/>
      </c>
      <c r="T68" s="1050" t="str">
        <f t="shared" si="10"/>
        <v/>
      </c>
      <c r="U68" s="1050" t="str">
        <f t="shared" si="10"/>
        <v/>
      </c>
      <c r="V68" s="1050" t="str">
        <f t="shared" si="10"/>
        <v/>
      </c>
      <c r="W68" s="1050" t="str">
        <f t="shared" si="10"/>
        <v/>
      </c>
      <c r="X68" s="1050" t="str">
        <f t="shared" si="10"/>
        <v/>
      </c>
      <c r="Y68" s="1050" t="str">
        <f t="shared" si="10"/>
        <v/>
      </c>
      <c r="Z68" s="1050" t="str">
        <f t="shared" si="10"/>
        <v/>
      </c>
      <c r="AA68" s="1050" t="str">
        <f t="shared" si="10"/>
        <v/>
      </c>
      <c r="AB68" s="1050" t="str">
        <f t="shared" si="10"/>
        <v/>
      </c>
      <c r="AC68" s="1050"/>
      <c r="AD68" s="1050" t="str">
        <f t="shared" si="10"/>
        <v/>
      </c>
      <c r="AE68" s="1050" t="str">
        <f t="shared" si="10"/>
        <v/>
      </c>
      <c r="AF68" s="1050" t="str">
        <f t="shared" si="10"/>
        <v/>
      </c>
      <c r="AG68" s="1050" t="str">
        <f t="shared" si="10"/>
        <v/>
      </c>
      <c r="AH68" s="1050" t="str">
        <f t="shared" si="10"/>
        <v/>
      </c>
      <c r="AI68" s="157"/>
      <c r="AJ68" s="157"/>
    </row>
    <row r="69" spans="1:46" s="32" customFormat="1" ht="24" customHeight="1" x14ac:dyDescent="0.2">
      <c r="C69" s="1050" t="str">
        <f>IF(ROUND(IF('Table 1'!$G$3&gt;1,IF(EnCMember=1,C8+C9+C12+C14+C47+C27+C37+C43+C44+C53+C60,C11+C13+C15+C20+C21+C22+C23+C24+C25+C26+C28+C29+C30+C32+C34+C38+C39+C40+C41+C45+C49+C50+C51+C54+C55+C56+C57+C61),IF(EnCMember=1,C8+C9+C12+C14+C47+C27+C37+C43+C44+C53+C60,C11+C13+C15+C20+C21+C22+C23+C24+C25+C26+C28+C29+C30+C32+C34+C38+C39+C40+C41+C45+C49+C50+C51+C54+C55+C56+C57)),3)&lt;&gt;C66,"Total EU MS not correct","")</f>
        <v/>
      </c>
      <c r="D69" s="1050" t="str">
        <f>IF(ROUND(IF('Table 1'!$G$3&gt;1,IF(EnCMember=1,D8+D9+D12+D14+D47+D27+D37+D43+D44+D53+D60,D11+D13+D15+D20+D21+D22+D23+D24+D25+D26+D28+D29+D30+D32+D34+D38+D39+D40+D41+D45+D49+D50+D51+D54+D55+D56+D57+D61),IF(EnCMember=1,D8+D9+D12+D14+D47+D27+D37+D43+D44+D53+D60,D11+D13+D15+D20+D21+D22+D23+D24+D25+D26+D28+D29+D30+D32+D34+D38+D39+D40+D41+D45+D49+D50+D51+D54+D55+D56+D57)),3)&lt;&gt;D66,"Total EU MS not correct","")</f>
        <v/>
      </c>
      <c r="E69" s="1050" t="str">
        <f>IF(ROUND(IF('Table 1'!$G$3&gt;1,IF(EnCMember=1,E8+E9+E12+E14+E47+E27+E37+E43+E44+E53+E60,E11+E13+E15+E20+E21+E22+E23+E24+E25+E26+E28+E29+E30+E32+E34+E38+E39+E40+E41+E45+E49+E50+E51+E54+E55+E56+E57+E61),IF(EnCMember=1,E8+E9+E12+E14+E47+E27+E37+E43+E44+E53+E60,E11+E13+E15+E20+E21+E22+E23+E24+E25+E26+E28+E29+E30+E32+E34+E38+E39+E40+E41+E45+E49+E50+E51+E54+E55+E56+E57)),3)&lt;&gt;E66,"Total EU MS not correct","")</f>
        <v/>
      </c>
      <c r="F69" s="1050" t="str">
        <f>IF(ROUND(IF('Table 1'!$G$3&gt;1,IF(EnCMember=1,F8+F9+F12+F14+F47+F27+F37+F43+F44+F53+F60,F11+F13+F15+F20+F21+F22+F23+F24+F25+F26+F28+F29+F30+F32+F34+F38+F39+F40+F41+F45+F49+F50+F51+F54+F55+F56+F57+F61),IF(EnCMember=1,F8+F9+F12+F14+F47+F27+F37+F43+F44+F53+F60,F11+F13+F15+F20+F21+F22+F23+F24+F25+F26+F28+F29+F30+F32+F34+F38+F39+F40+F41+F45+F49+F50+F51+F54+F55+F56+F57)),3)&lt;&gt;F66,"Total EU MS not correct","")</f>
        <v/>
      </c>
      <c r="G69" s="1050" t="str">
        <f>IF(ROUND(IF('Table 1'!$G$3&gt;1,IF(EnCMember=1,G8+G9+G12+G14+G47+G27+G37+G43+G44+G53+G60,G11+G13+G15+G20+G21+G22+G23+G24+G25+G26+G28+G29+G30+G32+G34+G38+G39+G40+G41+G45+G49+G50+G51+G54+G55+G56+G57+G61),IF(EnCMember=1,G8+G9+G12+G14+G47+G27+G37+G43+G44+G53+G60,G11+G13+G15+G20+G21+G22+G23+G24+G25+G26+G28+G29+G30+G32+G34+G38+G39+G40+G41+G45+G49+G50+G51+G54+G55+G56+G57)),3)&lt;&gt;G66,"Total EU MS not correct","")</f>
        <v/>
      </c>
      <c r="H69" s="1050" t="str">
        <f>IF(ROUND(IF('Table 1'!$G$3&gt;1,IF(EnCMember=1,H8+H9+H12+H14+H47+H27+H37+H43+H44+H53+H60,H11+H13+H15+H20+H21+H22+H23+H24+H25+H26+H28+H29+H30+H32+H34+H38+H39+H40+H41+H45+H49+H50+H51+H54+H55+H56+H57+H61),IF(EnCMember=1,H8+H9+H12+H14+H47+H27+H37+H43+H44+H53+H60,H11+H13+H15+H20+H21+H22+H23+H24+H25+H26+H28+H29+H30+H32+H34+H38+H39+H40+H41+H45+H49+H50+H51+H54+H55+H56+H57)),3)&lt;&gt;H66,"Total EU MS not correct","")</f>
        <v/>
      </c>
      <c r="I69" s="1050" t="str">
        <f>IF(ROUND(IF('Table 1'!$G$3&gt;1,IF(EnCMember=1,I8+I9+I12+I14+I47+I27+I37+I43+I44+I53+I60,I11+I13+I15+I20+I21+I22+I23+I24+I25+I26+I28+I29+I30+I32+I34+I38+I39+I40+I41+I45+I49+I50+I51+I54+I55+I56+I57+I61),IF(EnCMember=1,I8+I9+I12+I14+I47+I27+I37+I43+I44+I53+I60,I11+I13+I15+I20+I21+I22+I23+I24+I25+I26+I28+I29+I30+I32+I34+I38+I39+I40+I41+I45+I49+I50+I51+I54+I55+I56+I57)),3)&lt;&gt;I66,"Total EU MS not correct","")</f>
        <v/>
      </c>
      <c r="J69" s="1050" t="str">
        <f>IF(ROUND(IF('Table 1'!$G$3&gt;1,IF(EnCMember=1,J8+J9+J12+J14+J47+J27+J37+J43+J44+J53+J60,J11+J13+J15+J20+J21+J22+J23+J24+J25+J26+J28+J29+J30+J32+J34+J38+J39+J40+J41+J45+J49+J50+J51+J54+J55+J56+J57+J61),IF(EnCMember=1,J8+J9+J12+J14+J47+J27+J37+J43+J44+J53+J60,J11+J13+J15+J20+J21+J22+J23+J24+J25+J26+J28+J29+J30+J32+J34+J38+J39+J40+J41+J45+J49+J50+J51+J54+J55+J56+J57)),3)&lt;&gt;J66,"Total EU MS not correct","")</f>
        <v/>
      </c>
      <c r="K69" s="1050" t="str">
        <f>IF(ROUND(IF('Table 1'!$G$3&gt;1,IF(EnCMember=1,K8+K9+K12+K14+K47+K27+K37+K43+K44+K53+K60,K11+K13+K15+K20+K21+K22+K23+K24+K25+K26+K28+K29+K30+K32+K34+K38+K39+K40+K41+K45+K49+K50+K51+K54+K55+K56+K57+K61),IF(EnCMember=1,K8+K9+K12+K14+K47+K27+K37+K43+K44+K53+K60,K11+K13+K15+K20+K21+K22+K23+K24+K25+K26+K28+K29+K30+K32+K34+K38+K39+K40+K41+K45+K49+K50+K51+K54+K55+K56+K57)),3)&lt;&gt;K66,"Total EU MS not correct","")</f>
        <v/>
      </c>
      <c r="L69" s="1050" t="str">
        <f>IF(ROUND(IF('Table 1'!$G$3&gt;1,IF(EnCMember=1,L8+L9+L12+L14+L47+L27+L37+L43+L44+L53+L60,L11+L13+L15+L20+L21+L22+L23+L24+L25+L26+L28+L29+L30+L32+L34+L38+L39+L40+L41+L45+L49+L50+L51+L54+L55+L56+L57+L61),IF(EnCMember=1,L8+L9+L12+L14+L47+L27+L37+L43+L44+L53+L60,L11+L13+L15+L20+L21+L22+L23+L24+L25+L26+L28+L29+L30+L32+L34+L38+L39+L40+L41+L45+L49+L50+L51+L54+L55+L56+L57)),3)&lt;&gt;L66,"Total EU MS not correct","")</f>
        <v/>
      </c>
      <c r="M69" s="1050" t="str">
        <f>IF(ROUND(IF('Table 1'!$G$3&gt;1,IF(EnCMember=1,M8+M9+M12+M14+M47+M27+M37+M43+M44+M53+M60,M11+M13+M15+M20+M21+M22+M23+M24+M25+M26+M28+M29+M30+M32+M34+M38+M39+M40+M41+M45+M49+M50+M51+M54+M55+M56+M57+M61),IF(EnCMember=1,M8+M9+M12+M14+M47+M27+M37+M43+M44+M53+M60,M11+M13+M15+M20+M21+M22+M23+M24+M25+M26+M28+M29+M30+M32+M34+M38+M39+M40+M41+M45+M49+M50+M51+M54+M55+M56+M57)),3)&lt;&gt;M66,"Total EU MS not correct","")</f>
        <v/>
      </c>
      <c r="N69" s="1050" t="str">
        <f>IF(ROUND(IF('Table 1'!$G$3&gt;1,IF(EnCMember=1,N8+N9+N12+N14+N47+N27+N37+N43+N44+N53+N60,N11+N13+N15+N20+N21+N22+N23+N24+N25+N26+N28+N29+N30+N32+N34+N38+N39+N40+N41+N45+N49+N50+N51+N54+N55+N56+N57+N61),IF(EnCMember=1,N8+N9+N12+N14+N47+N27+N37+N43+N44+N53+N60,N11+N13+N15+N20+N21+N22+N23+N24+N25+N26+N28+N29+N30+N32+N34+N38+N39+N40+N41+N45+N49+N50+N51+N54+N55+N56+N57)),3)&lt;&gt;N66,"Total EU MS not correct","")</f>
        <v/>
      </c>
      <c r="O69" s="1050" t="str">
        <f>IF(ROUND(IF('Table 1'!$G$3&gt;1,IF(EnCMember=1,O8+O9+O12+O14+O47+O27+O37+O43+O44+O53+O60,O11+O13+O15+O20+O21+O22+O23+O24+O25+O26+O28+O29+O30+O32+O34+O38+O39+O40+O41+O45+O49+O50+O51+O54+O55+O56+O57+O61),IF(EnCMember=1,O8+O9+O12+O14+O47+O27+O37+O43+O44+O53+O60,O11+O13+O15+O20+O21+O22+O23+O24+O25+O26+O28+O29+O30+O32+O34+O38+O39+O40+O41+O45+O49+O50+O51+O54+O55+O56+O57)),3)&lt;&gt;O66,"Total EU MS not correct","")</f>
        <v/>
      </c>
      <c r="P69" s="1050" t="str">
        <f>IF(ROUND(IF('Table 1'!$G$3&gt;1,IF(EnCMember=1,P8+P9+P12+P14+P47+P27+P37+P43+P44+P53+P60,P11+P13+P15+P20+P21+P22+P23+P24+P25+P26+P28+P29+P30+P32+P34+P38+P39+P40+P41+P45+P49+P50+P51+P54+P55+P56+P57+P61),IF(EnCMember=1,P8+P9+P12+P14+P47+P27+P37+P43+P44+P53+P60,P11+P13+P15+P20+P21+P22+P23+P24+P25+P26+P28+P29+P30+P32+P34+P38+P39+P40+P41+P45+P49+P50+P51+P54+P55+P56+P57)),3)&lt;&gt;P66,"Total EU MS not correct","")</f>
        <v/>
      </c>
      <c r="Q69" s="1050" t="str">
        <f>IF(ROUND(IF('Table 1'!$G$3&gt;1,IF(EnCMember=1,Q8+Q9+Q12+Q14+Q47+Q27+Q37+Q43+Q44+Q53+Q60,Q11+Q13+Q15+Q20+Q21+Q22+Q23+Q24+Q25+Q26+Q28+Q29+Q30+Q32+Q34+Q38+Q39+Q40+Q41+Q45+Q49+Q50+Q51+Q54+Q55+Q56+Q57+Q61),IF(EnCMember=1,Q8+Q9+Q12+Q14+Q47+Q27+Q37+Q43+Q44+Q53+Q60,Q11+Q13+Q15+Q20+Q21+Q22+Q23+Q24+Q25+Q26+Q28+Q29+Q30+Q32+Q34+Q38+Q39+Q40+Q41+Q45+Q49+Q50+Q51+Q54+Q55+Q56+Q57)),3)&lt;&gt;Q66,"Total EU MS not correct","")</f>
        <v/>
      </c>
      <c r="R69" s="1050" t="str">
        <f>IF(ROUND(IF('Table 1'!$G$3&gt;1,IF(EnCMember=1,R8+R9+R12+R14+R47+R27+R37+R43+R44+R53+R60,R11+R13+R15+R20+R21+R22+R23+R24+R25+R26+R28+R29+R30+R32+R34+R38+R39+R40+R41+R45+R49+R50+R51+R54+R55+R56+R57+R61),IF(EnCMember=1,R8+R9+R12+R14+R47+R27+R37+R43+R44+R53+R60,R11+R13+R15+R20+R21+R22+R23+R24+R25+R26+R28+R29+R30+R32+R34+R38+R39+R40+R41+R45+R49+R50+R51+R54+R55+R56+R57)),3)&lt;&gt;R66,"Total EU MS not correct","")</f>
        <v/>
      </c>
      <c r="S69" s="1050" t="str">
        <f>IF(ROUND(IF('Table 1'!$G$3&gt;1,IF(EnCMember=1,S8+S9+S12+S14+S47+S27+S37+S43+S44+S53+S60,S11+S13+S15+S20+S21+S22+S23+S24+S25+S26+S28+S29+S30+S32+S34+S38+S39+S40+S41+S45+S49+S50+S51+S54+S55+S56+S57+S61),IF(EnCMember=1,S8+S9+S12+S14+S47+S27+S37+S43+S44+S53+S60,S11+S13+S15+S20+S21+S22+S23+S24+S25+S26+S28+S29+S30+S32+S34+S38+S39+S40+S41+S45+S49+S50+S51+S54+S55+S56+S57)),3)&lt;&gt;S66,"Total EU MS not correct","")</f>
        <v/>
      </c>
      <c r="T69" s="1050" t="str">
        <f>IF(ROUND(IF('Table 1'!$G$3&gt;1,IF(EnCMember=1,T8+T9+T12+T14+T47+T27+T37+T43+T44+T53+T60,T11+T13+T15+T20+T21+T22+T23+T24+T25+T26+T28+T29+T30+T32+T34+T38+T39+T40+T41+T45+T49+T50+T51+T54+T55+T56+T57+T61),IF(EnCMember=1,T8+T9+T12+T14+T47+T27+T37+T43+T44+T53+T60,T11+T13+T15+T20+T21+T22+T23+T24+T25+T26+T28+T29+T30+T32+T34+T38+T39+T40+T41+T45+T49+T50+T51+T54+T55+T56+T57)),3)&lt;&gt;T66,"Total EU MS not correct","")</f>
        <v/>
      </c>
      <c r="U69" s="1050" t="str">
        <f>IF(ROUND(IF('Table 1'!$G$3&gt;1,IF(EnCMember=1,U8+U9+U12+U14+U47+U27+U37+U43+U44+U53+U60,U11+U13+U15+U20+U21+U22+U23+U24+U25+U26+U28+U29+U30+U32+U34+U38+U39+U40+U41+U45+U49+U50+U51+U54+U55+U56+U57+U61),IF(EnCMember=1,U8+U9+U12+U14+U47+U27+U37+U43+U44+U53+U60,U11+U13+U15+U20+U21+U22+U23+U24+U25+U26+U28+U29+U30+U32+U34+U38+U39+U40+U41+U45+U49+U50+U51+U54+U55+U56+U57)),3)&lt;&gt;U66,"Total EU MS not correct","")</f>
        <v/>
      </c>
      <c r="V69" s="1050" t="str">
        <f>IF(ROUND(IF('Table 1'!$G$3&gt;1,IF(EnCMember=1,V8+V9+V12+V14+V47+V27+V37+V43+V44+V53+V60,V11+V13+V15+V20+V21+V22+V23+V24+V25+V26+V28+V29+V30+V32+V34+V38+V39+V40+V41+V45+V49+V50+V51+V54+V55+V56+V57+V61),IF(EnCMember=1,V8+V9+V12+V14+V47+V27+V37+V43+V44+V53+V60,V11+V13+V15+V20+V21+V22+V23+V24+V25+V26+V28+V29+V30+V32+V34+V38+V39+V40+V41+V45+V49+V50+V51+V54+V55+V56+V57)),3)&lt;&gt;V66,"Total EU MS not correct","")</f>
        <v/>
      </c>
      <c r="W69" s="1050" t="str">
        <f>IF(ROUND(IF('Table 1'!$G$3&gt;1,IF(EnCMember=1,W8+W9+W12+W14+W47+W27+W37+W43+W44+W53+W60,W11+W13+W15+W20+W21+W22+W23+W24+W25+W26+W28+W29+W30+W32+W34+W38+W39+W40+W41+W45+W49+W50+W51+W54+W55+W56+W57+W61),IF(EnCMember=1,W8+W9+W12+W14+W47+W27+W37+W43+W44+W53+W60,W11+W13+W15+W20+W21+W22+W23+W24+W25+W26+W28+W29+W30+W32+W34+W38+W39+W40+W41+W45+W49+W50+W51+W54+W55+W56+W57)),3)&lt;&gt;W66,"Total EU MS not correct","")</f>
        <v/>
      </c>
      <c r="X69" s="1050" t="str">
        <f>IF(ROUND(IF('Table 1'!$G$3&gt;1,IF(EnCMember=1,X8+X9+X12+X14+X47+X27+X37+X43+X44+X53+X60,X11+X13+X15+X20+X21+X22+X23+X24+X25+X26+X28+X29+X30+X32+X34+X38+X39+X40+X41+X45+X49+X50+X51+X54+X55+X56+X57+X61),IF(EnCMember=1,X8+X9+X12+X14+X47+X27+X37+X43+X44+X53+X60,X11+X13+X15+X20+X21+X22+X23+X24+X25+X26+X28+X29+X30+X32+X34+X38+X39+X40+X41+X45+X49+X50+X51+X54+X55+X56+X57)),3)&lt;&gt;X66,"Total EU MS not correct","")</f>
        <v/>
      </c>
      <c r="Y69" s="1050" t="str">
        <f>IF(ROUND(IF('Table 1'!$G$3&gt;1,IF(EnCMember=1,Y8+Y9+Y12+Y14+Y47+Y27+Y37+Y43+Y44+Y53+Y60,Y11+Y13+Y15+Y20+Y21+Y22+Y23+Y24+Y25+Y26+Y28+Y29+Y30+Y32+Y34+Y38+Y39+Y40+Y41+Y45+Y49+Y50+Y51+Y54+Y55+Y56+Y57+Y61),IF(EnCMember=1,Y8+Y9+Y12+Y14+Y47+Y27+Y37+Y43+Y44+Y53+Y60,Y11+Y13+Y15+Y20+Y21+Y22+Y23+Y24+Y25+Y26+Y28+Y29+Y30+Y32+Y34+Y38+Y39+Y40+Y41+Y45+Y49+Y50+Y51+Y54+Y55+Y56+Y57)),3)&lt;&gt;Y66,"Total EU MS not correct","")</f>
        <v/>
      </c>
      <c r="Z69" s="1050" t="str">
        <f>IF(ROUND(IF('Table 1'!$G$3&gt;1,IF(EnCMember=1,Z8+Z9+Z12+Z14+Z47+Z27+Z37+Z43+Z44+Z53+Z60,Z11+Z13+Z15+Z20+Z21+Z22+Z23+Z24+Z25+Z26+Z28+Z29+Z30+Z32+Z34+Z38+Z39+Z40+Z41+Z45+Z49+Z50+Z51+Z54+Z55+Z56+Z57+Z61),IF(EnCMember=1,Z8+Z9+Z12+Z14+Z47+Z27+Z37+Z43+Z44+Z53+Z60,Z11+Z13+Z15+Z20+Z21+Z22+Z23+Z24+Z25+Z26+Z28+Z29+Z30+Z32+Z34+Z38+Z39+Z40+Z41+Z45+Z49+Z50+Z51+Z54+Z55+Z56+Z57)),3)&lt;&gt;Z66,"Total EU MS not correct","")</f>
        <v/>
      </c>
      <c r="AA69" s="1050" t="str">
        <f>IF(ROUND(IF('Table 1'!$G$3&gt;1,IF(EnCMember=1,AA8+AA9+AA12+AA14+AA47+AA27+AA37+AA43+AA44+AA53+AA60,AA11+AA13+AA15+AA20+AA21+AA22+AA23+AA24+AA25+AA26+AA28+AA29+AA30+AA32+AA34+AA38+AA39+AA40+AA41+AA45+AA49+AA50+AA51+AA54+AA55+AA56+AA57+AA61),IF(EnCMember=1,AA8+AA9+AA12+AA14+AA47+AA27+AA37+AA43+AA44+AA53+AA60,AA11+AA13+AA15+AA20+AA21+AA22+AA23+AA24+AA25+AA26+AA28+AA29+AA30+AA32+AA34+AA38+AA39+AA40+AA41+AA45+AA49+AA50+AA51+AA54+AA55+AA56+AA57)),3)&lt;&gt;AA66,"Total EU MS not correct","")</f>
        <v/>
      </c>
      <c r="AB69" s="1050" t="str">
        <f>IF(ROUND(IF('Table 1'!$G$3&gt;1,IF(EnCMember=1,AB8+AB9+AB12+AB14+AB47+AB27+AB37+AB43+AB44+AB53+AB60,AB11+AB13+AB15+AB20+AB21+AB22+AB23+AB24+AB25+AB26+AB28+AB29+AB30+AB32+AB34+AB38+AB39+AB40+AB41+AB45+AB49+AB50+AB51+AB54+AB55+AB56+AB57+AB61),IF(EnCMember=1,AB8+AB9+AB12+AB14+AB47+AB27+AB37+AB43+AB44+AB53+AB60,AB11+AB13+AB15+AB20+AB21+AB22+AB23+AB24+AB25+AB26+AB28+AB29+AB30+AB32+AB34+AB38+AB39+AB40+AB41+AB45+AB49+AB50+AB51+AB54+AB55+AB56+AB57)),3)&lt;&gt;AB66,"Total EU MS not correct","")</f>
        <v/>
      </c>
      <c r="AC69" s="1050"/>
      <c r="AD69" s="1050" t="str">
        <f>IF(ROUND(IF('Table 1'!$G$3&gt;1,IF(EnCMember=1,AD8+AD9+AD12+AD14+AD47+AD27+AD37+AD43+AD44+AD53+AD60,AD11+AD13+AD15+AD20+AD21+AD22+AD23+AD24+AD25+AD26+AD28+AD29+AD30+AD32+AD34+AD38+AD39+AD40+AD41+AD45+AD49+AD50+AD51+AD54+AD55+AD56+AD57+AD61),IF(EnCMember=1,AD8+AD9+AD12+AD14+AD47+AD27+AD37+AD43+AD44+AD53+AD60,AD11+AD13+AD15+AD20+AD21+AD22+AD23+AD24+AD25+AD26+AD28+AD29+AD30+AD32+AD34+AD38+AD39+AD40+AD41+AD45+AD49+AD50+AD51+AD54+AD55+AD56+AD57)),3)&lt;&gt;AD66,"Total EU MS not correct","")</f>
        <v/>
      </c>
      <c r="AE69" s="1050" t="str">
        <f>IF(ROUND(IF('Table 1'!$G$3&gt;1,IF(EnCMember=1,AE8+AE9+AE12+AE14+AE47+AE27+AE37+AE43+AE44+AE53+AE60,AE11+AE13+AE15+AE20+AE21+AE22+AE23+AE24+AE25+AE26+AE28+AE29+AE30+AE32+AE34+AE38+AE39+AE40+AE41+AE45+AE49+AE50+AE51+AE54+AE55+AE56+AE57+AE61),IF(EnCMember=1,AE8+AE9+AE12+AE14+AE47+AE27+AE37+AE43+AE44+AE53+AE60,AE11+AE13+AE15+AE20+AE21+AE22+AE23+AE24+AE25+AE26+AE28+AE29+AE30+AE32+AE34+AE38+AE39+AE40+AE41+AE45+AE49+AE50+AE51+AE54+AE55+AE56+AE57)),3)&lt;&gt;AE66,"Total EU MS not correct","")</f>
        <v/>
      </c>
      <c r="AF69" s="1050" t="str">
        <f>IF(ROUND(IF('Table 1'!$G$3&gt;1,IF(EnCMember=1,AF8+AF9+AF12+AF14+AF47+AF27+AF37+AF43+AF44+AF53+AF60,AF11+AF13+AF15+AF20+AF21+AF22+AF23+AF24+AF25+AF26+AF28+AF29+AF30+AF32+AF34+AF38+AF39+AF40+AF41+AF45+AF49+AF50+AF51+AF54+AF55+AF56+AF57+AF61),IF(EnCMember=1,AF8+AF9+AF12+AF14+AF47+AF27+AF37+AF43+AF44+AF53+AF60,AF11+AF13+AF15+AF20+AF21+AF22+AF23+AF24+AF25+AF26+AF28+AF29+AF30+AF32+AF34+AF38+AF39+AF40+AF41+AF45+AF49+AF50+AF51+AF54+AF55+AF56+AF57)),3)&lt;&gt;AF66,"Total EU MS not correct","")</f>
        <v/>
      </c>
      <c r="AG69" s="1050" t="str">
        <f>IF(ROUND(IF('Table 1'!$G$3&gt;1,IF(EnCMember=1,AG8+AG9+AG12+AG14+AG47+AG27+AG37+AG43+AG44+AG53+AG60,AG11+AG13+AG15+AG20+AG21+AG22+AG23+AG24+AG25+AG26+AG28+AG29+AG30+AG32+AG34+AG38+AG39+AG40+AG41+AG45+AG49+AG50+AG51+AG54+AG55+AG56+AG57+AG61),IF(EnCMember=1,AG8+AG9+AG12+AG14+AG47+AG27+AG37+AG43+AG44+AG53+AG60,AG11+AG13+AG15+AG20+AG21+AG22+AG23+AG24+AG25+AG26+AG28+AG29+AG30+AG32+AG34+AG38+AG39+AG40+AG41+AG45+AG49+AG50+AG51+AG54+AG55+AG56+AG57)),3)&lt;&gt;AG66,"Total EU MS not correct","")</f>
        <v/>
      </c>
      <c r="AH69" s="1050" t="str">
        <f>IF(ROUND(IF('Table 1'!$G$3&gt;1,IF(EnCMember=1,AH8+AH9+AH12+AH14+AH47+AH27+AH37+AH43+AH44+AH53+AH60,AH11+AH13+AH15+AH20+AH21+AH22+AH23+AH24+AH25+AH26+AH28+AH29+AH30+AH32+AH34+AH38+AH39+AH40+AH41+AH45+AH49+AH50+AH51+AH54+AH55+AH56+AH57+AH61),IF(EnCMember=1,AH8+AH9+AH12+AH14+AH47+AH27+AH37+AH43+AH44+AH53+AH60,AH11+AH13+AH15+AH20+AH21+AH22+AH23+AH24+AH25+AH26+AH28+AH29+AH30+AH32+AH34+AH38+AH39+AH40+AH41+AH45+AH49+AH50+AH51+AH54+AH55+AH56+AH57)),3)&lt;&gt;AH66,"Total EU MS not correct","")</f>
        <v/>
      </c>
      <c r="AI69" s="1050" t="str">
        <f>IF(ROUND(IF('Table 1'!$G$3&gt;1,IF(EnCMember=1,AI8+AI9+AI12+AI14+AI47+AI27+AI37+AI43+AI44+AI53+AI60,AI11+AI13+AI15+AI20+AI21+AI22+AI23+AI24+AI25+AI26+AI28+AI29+AI30+AI32+AI34+AI38+AI39+AI40+AI41+AI45+AI49+AI50+AI51+AI54+AI55+AI56+AI57+AI61),IF(EnCMember=1,AI8+AI9+AI12+AI14+AI47+AI27+AI37+AI43+AI44+AI53+AI60,AI11+AI13+AI15+AI20+AI21+AI22+AI23+AI24+AI25+AI26+AI28+AI29+AI30+AI32+AI34+AI38+AI39+AI40+AI41+AI45+AI49+AI50+AI51+AI54+AI55+AI56+AI57)),3)&lt;&gt;AI66,"Total EU MS not correct","")</f>
        <v/>
      </c>
      <c r="AJ69" s="157"/>
    </row>
    <row r="70" spans="1:46" s="220" customFormat="1" ht="28.5" customHeight="1" x14ac:dyDescent="0.2">
      <c r="C70" s="1050" t="str">
        <f>IF(NOT(ROUND(C64-'Table 6'!C64,3)&lt;=0),"Total greater than in Table 6","")</f>
        <v/>
      </c>
      <c r="D70" s="1050" t="str">
        <f>IF(NOT(ROUND(D64-'Table 6'!D64,3)&lt;=0),"Total greater than in Table 6","")</f>
        <v/>
      </c>
      <c r="E70" s="1050" t="str">
        <f>IF(NOT(ROUND(E64-'Table 6'!E64,3)&lt;=0),"Total greater than in Table 6","")</f>
        <v/>
      </c>
      <c r="F70" s="1050" t="str">
        <f>IF(NOT(ROUND(F64-'Table 6'!F64,3)&lt;=0),"Total greater than in Table 6","")</f>
        <v/>
      </c>
      <c r="G70" s="1050" t="str">
        <f>IF(NOT(ROUND(G64-'Table 6'!G64,3)&lt;=0),"Total greater than in Table 6","")</f>
        <v/>
      </c>
      <c r="H70" s="1050" t="str">
        <f>IF(NOT(ROUND(H64-'Table 6'!H64,3)&lt;=0),"Total greater than in Table 6","")</f>
        <v/>
      </c>
      <c r="I70" s="1050" t="str">
        <f>IF(NOT(ROUND(I64-'Table 6'!I64,3)&lt;=0),"Total greater than in Table 6","")</f>
        <v/>
      </c>
      <c r="J70" s="1050" t="str">
        <f>IF(NOT(ROUND(J64-'Table 6'!J64,3)&lt;=0),"Total greater than in Table 6","")</f>
        <v/>
      </c>
      <c r="K70" s="1050" t="str">
        <f>IF(NOT(ROUND(K64-'Table 6'!K64,3)&lt;=0),"Total greater than in Table 6","")</f>
        <v/>
      </c>
      <c r="L70" s="1050" t="str">
        <f>IF(NOT(ROUND(L64-'Table 6'!L64,3)&lt;=0),"Total greater than in Table 6","")</f>
        <v/>
      </c>
      <c r="M70" s="1050" t="str">
        <f>IF(NOT(ROUND(M64-'Table 6'!M64,3)&lt;=0),"Total greater than in Table 6","")</f>
        <v/>
      </c>
      <c r="N70" s="1050" t="str">
        <f>IF(NOT(ROUND(N64-'Table 6'!N64,3)&lt;=0),"Total greater than in Table 6","")</f>
        <v/>
      </c>
      <c r="O70" s="1050" t="str">
        <f>IF(NOT(ROUND(O64-'Table 6'!O64,3)&lt;=0),"Total greater than in Table 6","")</f>
        <v/>
      </c>
      <c r="P70" s="1050" t="str">
        <f>IF(NOT(ROUND(P64-'Table 6'!P64,3)&lt;=0),"Total greater than in Table 6","")</f>
        <v/>
      </c>
      <c r="Q70" s="1050" t="str">
        <f>IF(NOT(ROUND(Q64-'Table 6'!Q64,3)&lt;=0),"Total greater than in Table 6","")</f>
        <v/>
      </c>
      <c r="R70" s="1050" t="str">
        <f>IF(NOT(ROUND(R64-'Table 6'!R64,3)&lt;=0),"Total greater than in Table 6","")</f>
        <v/>
      </c>
      <c r="S70" s="1050" t="str">
        <f>IF(NOT(ROUND(S64-'Table 6'!S64,3)&lt;=0),"Total greater than in Table 6","")</f>
        <v/>
      </c>
      <c r="T70" s="1050" t="str">
        <f>IF(NOT(ROUND(T64-'Table 6'!T64,3)&lt;=0),"Total greater than in Table 6","")</f>
        <v/>
      </c>
      <c r="U70" s="1050" t="str">
        <f>IF(NOT(ROUND(U64-'Table 6'!U64,3)&lt;=0),"Total greater than in Table 6","")</f>
        <v/>
      </c>
      <c r="V70" s="1050" t="str">
        <f>IF(NOT(ROUND(V64-'Table 6'!V64,3)&lt;=0),"Total greater than in Table 6","")</f>
        <v/>
      </c>
      <c r="W70" s="1050" t="str">
        <f>IF(NOT(ROUND(W64-'Table 6'!W64,3)&lt;=0),"Total greater than in Table 6","")</f>
        <v/>
      </c>
      <c r="X70" s="1050" t="str">
        <f>IF(NOT(ROUND(X64-'Table 6'!X64,3)&lt;=0),"Total greater than in Table 6","")</f>
        <v/>
      </c>
      <c r="Y70" s="1050" t="str">
        <f>IF(NOT(ROUND(Y64-'Table 6'!Y64,3)&lt;=0),"Total greater than in Table 6","")</f>
        <v/>
      </c>
      <c r="Z70" s="1050" t="str">
        <f>IF(NOT(ROUND(Z64-'Table 6'!Z64,3)&lt;=0),"Total greater than in Table 6","")</f>
        <v/>
      </c>
      <c r="AA70" s="1050" t="str">
        <f>IF(NOT(ROUND(AA64-'Table 6'!AA64,3)&lt;=0),"Total greater than in Table 6","")</f>
        <v/>
      </c>
      <c r="AB70" s="1050" t="str">
        <f>IF(NOT(ROUND(AB64-'Table 6'!AB64,3)&lt;=0),"Total greater than in Table 6","")</f>
        <v/>
      </c>
      <c r="AC70" s="1050"/>
      <c r="AD70" s="1050" t="str">
        <f>IF(NOT(ROUND(AD64-'Table 6'!AD64,3)&lt;=0),"Total greater than in Table 6","")</f>
        <v/>
      </c>
      <c r="AE70" s="1050" t="str">
        <f>IF(NOT(ROUND(AE64-'Table 6'!AE64,3)&lt;=0),"Total greater than in Table 6","")</f>
        <v/>
      </c>
      <c r="AF70" s="1050" t="str">
        <f>IF(NOT(ROUND(AF64-'Table 6'!AF64,3)&lt;=0),"Total greater than in Table 6","")</f>
        <v/>
      </c>
      <c r="AG70" s="1050" t="str">
        <f>IF(NOT(ROUND(AG64-'Table 6'!AG64,3)&lt;=0),"Total greater than in Table 6","")</f>
        <v/>
      </c>
      <c r="AH70" s="1050" t="str">
        <f>IF(NOT(ROUND(AH64-'Table 6'!AH64,3)&lt;=0),"Total greater than in Table 6","")</f>
        <v/>
      </c>
      <c r="AI70" s="157"/>
      <c r="AJ70" s="221"/>
    </row>
    <row r="71" spans="1:46" s="218" customFormat="1" ht="12" x14ac:dyDescent="0.2">
      <c r="A71" s="7" t="s">
        <v>1403</v>
      </c>
      <c r="B71" s="7"/>
      <c r="E71" s="1051">
        <f>COUNTIF(C70:AH70,"")-COUNTA(C66:AH66)</f>
        <v>0</v>
      </c>
      <c r="F71" s="3" t="str">
        <f>IF(E71=0,"OK","Total greater than in Table 6")</f>
        <v>OK</v>
      </c>
      <c r="AJ71" s="157"/>
      <c r="AM71" s="31"/>
      <c r="AN71" s="31"/>
    </row>
    <row r="72" spans="1:46" s="32" customFormat="1" x14ac:dyDescent="0.2">
      <c r="A72" s="12" t="s">
        <v>1386</v>
      </c>
      <c r="B72" s="219"/>
      <c r="C72" s="218"/>
      <c r="D72" s="218"/>
      <c r="E72" s="1049">
        <f ca="1">IF(MAX(IFERROR(OFFSET(C7,MATCH(CountryCode,$AT$8:$AT$64,0),0,1,30),0))&gt;0,1,0)+IF(CountryCode=Param!$D$67,MAX(C62:AE62),0)</f>
        <v>0</v>
      </c>
      <c r="F72" s="3" t="str">
        <f ca="1">IF(E72=0,"OK","Country is reporting stocks with itself")</f>
        <v>OK</v>
      </c>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157"/>
      <c r="AJ72" s="157"/>
    </row>
    <row r="73" spans="1:46" s="32" customFormat="1" x14ac:dyDescent="0.2">
      <c r="A73" s="7" t="s">
        <v>1112</v>
      </c>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157"/>
      <c r="AJ73" s="157"/>
    </row>
    <row r="138" spans="2:34" hidden="1" x14ac:dyDescent="0.2">
      <c r="B138" s="306" t="s">
        <v>329</v>
      </c>
      <c r="C138" s="373" t="s">
        <v>330</v>
      </c>
      <c r="D138" s="373" t="s">
        <v>6</v>
      </c>
      <c r="E138" s="373" t="s">
        <v>331</v>
      </c>
      <c r="F138" s="373" t="s">
        <v>332</v>
      </c>
      <c r="G138" s="373" t="s">
        <v>333</v>
      </c>
      <c r="H138" s="373" t="s">
        <v>334</v>
      </c>
      <c r="I138" s="373" t="s">
        <v>335</v>
      </c>
      <c r="J138" s="373" t="s">
        <v>353</v>
      </c>
      <c r="K138" s="156" t="s">
        <v>9</v>
      </c>
      <c r="L138" s="156" t="s">
        <v>354</v>
      </c>
      <c r="M138" s="156" t="s">
        <v>355</v>
      </c>
      <c r="N138" s="156" t="s">
        <v>356</v>
      </c>
      <c r="O138" s="156" t="s">
        <v>891</v>
      </c>
      <c r="P138" s="156" t="s">
        <v>357</v>
      </c>
      <c r="Q138" s="156" t="s">
        <v>358</v>
      </c>
      <c r="R138" s="156" t="s">
        <v>359</v>
      </c>
      <c r="S138" s="156" t="s">
        <v>878</v>
      </c>
      <c r="T138" s="156" t="s">
        <v>879</v>
      </c>
      <c r="U138" s="156" t="s">
        <v>360</v>
      </c>
      <c r="V138" s="156" t="s">
        <v>361</v>
      </c>
      <c r="W138" s="156" t="s">
        <v>363</v>
      </c>
      <c r="X138" s="156" t="s">
        <v>364</v>
      </c>
      <c r="Y138" s="156" t="s">
        <v>362</v>
      </c>
      <c r="Z138" s="156" t="s">
        <v>880</v>
      </c>
      <c r="AA138" s="156" t="s">
        <v>367</v>
      </c>
      <c r="AB138" s="156" t="s">
        <v>365</v>
      </c>
      <c r="AC138" s="156" t="s">
        <v>1412</v>
      </c>
      <c r="AD138" s="156" t="s">
        <v>366</v>
      </c>
      <c r="AE138" s="156" t="s">
        <v>368</v>
      </c>
      <c r="AF138" s="156" t="s">
        <v>606</v>
      </c>
      <c r="AG138" s="156" t="s">
        <v>369</v>
      </c>
      <c r="AH138" s="156" t="s">
        <v>416</v>
      </c>
    </row>
    <row r="1000" spans="1:59" ht="22.5" hidden="1" x14ac:dyDescent="0.2">
      <c r="A1000" s="641" t="s">
        <v>1113</v>
      </c>
      <c r="C1000" s="642" t="s">
        <v>1114</v>
      </c>
      <c r="D1000" s="642" t="s">
        <v>1115</v>
      </c>
      <c r="E1000" s="642" t="s">
        <v>1116</v>
      </c>
      <c r="F1000" s="642" t="s">
        <v>1117</v>
      </c>
      <c r="G1000" s="642" t="s">
        <v>1118</v>
      </c>
      <c r="H1000" s="642" t="s">
        <v>1119</v>
      </c>
      <c r="I1000" s="642" t="s">
        <v>1120</v>
      </c>
      <c r="J1000" s="642" t="s">
        <v>1143</v>
      </c>
      <c r="K1000" s="642" t="s">
        <v>1144</v>
      </c>
      <c r="L1000" s="642" t="s">
        <v>1145</v>
      </c>
      <c r="M1000" s="642" t="s">
        <v>1146</v>
      </c>
      <c r="N1000" s="642" t="s">
        <v>1147</v>
      </c>
      <c r="O1000" s="642" t="s">
        <v>1148</v>
      </c>
      <c r="P1000" s="642" t="s">
        <v>1149</v>
      </c>
      <c r="Q1000" s="642" t="s">
        <v>1150</v>
      </c>
      <c r="R1000" s="642" t="s">
        <v>1151</v>
      </c>
      <c r="S1000" s="642" t="s">
        <v>1152</v>
      </c>
      <c r="T1000" s="642" t="s">
        <v>1153</v>
      </c>
      <c r="U1000" s="642" t="s">
        <v>1154</v>
      </c>
      <c r="V1000" s="642" t="s">
        <v>1155</v>
      </c>
      <c r="W1000" s="642" t="s">
        <v>1156</v>
      </c>
      <c r="X1000" s="642" t="s">
        <v>1157</v>
      </c>
      <c r="Y1000" s="642" t="s">
        <v>1158</v>
      </c>
      <c r="Z1000" s="642" t="s">
        <v>1159</v>
      </c>
      <c r="AA1000" s="642" t="s">
        <v>1160</v>
      </c>
      <c r="AB1000" s="642" t="s">
        <v>1161</v>
      </c>
      <c r="AC1000" s="642" t="s">
        <v>1414</v>
      </c>
      <c r="AD1000" s="642" t="s">
        <v>1162</v>
      </c>
      <c r="AE1000" s="642" t="s">
        <v>1163</v>
      </c>
      <c r="AF1000" s="642" t="s">
        <v>1406</v>
      </c>
      <c r="AG1000" s="642" t="s">
        <v>1178</v>
      </c>
      <c r="AH1000" s="642" t="s">
        <v>1164</v>
      </c>
      <c r="AL1000" s="3"/>
      <c r="AM1000" s="3"/>
      <c r="AV1000" s="211"/>
      <c r="AW1000" s="211"/>
      <c r="AX1000" s="211"/>
      <c r="AY1000" s="211"/>
      <c r="AZ1000" s="211"/>
      <c r="BA1000" s="211"/>
      <c r="BB1000" s="211"/>
      <c r="BC1000" s="211"/>
      <c r="BD1000" s="211"/>
      <c r="BE1000" s="211"/>
      <c r="BF1000" s="211"/>
      <c r="BG1000" s="211"/>
    </row>
  </sheetData>
  <sheetProtection algorithmName="SHA-512" hashValue="6Jjtk/W8KR7STNsW/NghMCi6HE29jAbOGANvUkDCcSlL1INR6qdEtbeN9tYLU2QaWWE1Ibdh+nMi0URqOF+3WQ==" saltValue="UCvHNRnmjYrNDiDmoIAErg==" spinCount="100000" sheet="1" objects="1" scenarios="1"/>
  <mergeCells count="21">
    <mergeCell ref="Q5:Q6"/>
    <mergeCell ref="C5:C6"/>
    <mergeCell ref="D5:D6"/>
    <mergeCell ref="E5:E6"/>
    <mergeCell ref="F5:F6"/>
    <mergeCell ref="I5:I6"/>
    <mergeCell ref="H5:H6"/>
    <mergeCell ref="J5:J6"/>
    <mergeCell ref="K5:K6"/>
    <mergeCell ref="L5:L6"/>
    <mergeCell ref="M5:M6"/>
    <mergeCell ref="P5:P6"/>
    <mergeCell ref="AG5:AG6"/>
    <mergeCell ref="AH5:AH6"/>
    <mergeCell ref="AJ5:AJ6"/>
    <mergeCell ref="R5:R6"/>
    <mergeCell ref="U5:U6"/>
    <mergeCell ref="X5:X6"/>
    <mergeCell ref="AA5:AA6"/>
    <mergeCell ref="AE5:AE6"/>
    <mergeCell ref="AF5:AF6"/>
  </mergeCells>
  <phoneticPr fontId="44" type="noConversion"/>
  <conditionalFormatting sqref="I63">
    <cfRule type="cellIs" dxfId="778" priority="310" stopIfTrue="1" operator="notEqual">
      <formula>SUM(C63:F63,H63)</formula>
    </cfRule>
  </conditionalFormatting>
  <conditionalFormatting sqref="AG13 AG28:AG36 AG38:AG42 AG61:AG63 AG44:AG57 AG15:AG26">
    <cfRule type="cellIs" dxfId="777" priority="309" stopIfTrue="1" operator="notEqual">
      <formula>SUM(J13:L13,M13,P13:R13,U13,X13,AA13,AE13:AF13)</formula>
    </cfRule>
  </conditionalFormatting>
  <conditionalFormatting sqref="AH13 AH28:AH36 AH38:AH42 AH61:AH63 AH44:AH57 AH15:AH26">
    <cfRule type="cellIs" dxfId="776" priority="308" stopIfTrue="1" operator="notEqual">
      <formula>I13+AG13</formula>
    </cfRule>
  </conditionalFormatting>
  <conditionalFormatting sqref="X63">
    <cfRule type="expression" dxfId="775" priority="319" stopIfTrue="1">
      <formula>OR(AND(OR(V63&lt;&gt;0,W63&lt;&gt;0),X63&lt;&gt;V63+W63),AND(OR(Y63&lt;&gt;0,Z63&lt;&gt;0),X63&lt;&gt;Y63+Z63))</formula>
    </cfRule>
    <cfRule type="expression" dxfId="774" priority="320" stopIfTrue="1">
      <formula>OR(AND(V63+W63=0,X63&lt;&gt;0),AND(Y63+Z63=0,X63&lt;&gt;0))</formula>
    </cfRule>
  </conditionalFormatting>
  <conditionalFormatting sqref="AA63">
    <cfRule type="expression" dxfId="773" priority="317" stopIfTrue="1">
      <formula>AND(AB63+AD63=0,AA63&lt;&gt;0)</formula>
    </cfRule>
    <cfRule type="cellIs" dxfId="772" priority="318" stopIfTrue="1" operator="notEqual">
      <formula>AB63+AD63</formula>
    </cfRule>
  </conditionalFormatting>
  <conditionalFormatting sqref="R63 M63">
    <cfRule type="expression" dxfId="771" priority="315" stopIfTrue="1">
      <formula>AND(N63+O63=0,M63&lt;&gt;0)</formula>
    </cfRule>
    <cfRule type="cellIs" dxfId="770" priority="316" stopIfTrue="1" operator="notEqual">
      <formula>N63+O63</formula>
    </cfRule>
  </conditionalFormatting>
  <conditionalFormatting sqref="G63">
    <cfRule type="cellIs" dxfId="769" priority="312" stopIfTrue="1" operator="greaterThan">
      <formula>F63</formula>
    </cfRule>
  </conditionalFormatting>
  <conditionalFormatting sqref="AG13:AH13 AG38:AH42 C63:AH63 AG44:AH57 AG61:AH62 AG28:AH36 AG15:AH26">
    <cfRule type="cellIs" dxfId="768" priority="311" stopIfTrue="1" operator="lessThan">
      <formula>0</formula>
    </cfRule>
  </conditionalFormatting>
  <conditionalFormatting sqref="I8:I62">
    <cfRule type="cellIs" dxfId="767" priority="270" stopIfTrue="1" operator="notEqual">
      <formula>ROUND(SUM(C8:F8,H8),3)</formula>
    </cfRule>
  </conditionalFormatting>
  <conditionalFormatting sqref="AG8:AG12">
    <cfRule type="cellIs" dxfId="766" priority="271" stopIfTrue="1" operator="notEqual">
      <formula>ROUND(SUM(J8:L8,M8,P8:R8,U8,X8,AA8,AE8:AF8),3)</formula>
    </cfRule>
  </conditionalFormatting>
  <conditionalFormatting sqref="AH8:AH12">
    <cfRule type="cellIs" dxfId="765" priority="272" stopIfTrue="1" operator="notEqual">
      <formula>ROUND(I8+AG8,3)</formula>
    </cfRule>
  </conditionalFormatting>
  <conditionalFormatting sqref="X8:X62">
    <cfRule type="expression" dxfId="764" priority="281" stopIfTrue="1">
      <formula>OR(AND(OR(V8&lt;&gt;0,W8&lt;&gt;0),X8&lt;&gt;V8+W8),AND(OR(Y8&lt;&gt;0,Z8&lt;&gt;0),X8&lt;&gt;Y8+Z8))</formula>
    </cfRule>
    <cfRule type="expression" dxfId="763" priority="282" stopIfTrue="1">
      <formula>OR(AND(V8+W8=0,X8&lt;&gt;0),AND(Y8+Z8=0,X8&lt;&gt;0))</formula>
    </cfRule>
  </conditionalFormatting>
  <conditionalFormatting sqref="AA8:AA62">
    <cfRule type="expression" dxfId="762" priority="279" stopIfTrue="1">
      <formula>AND(AB8+AD8=0,AA8&lt;&gt;0)</formula>
    </cfRule>
    <cfRule type="cellIs" dxfId="761" priority="280" stopIfTrue="1" operator="notEqual">
      <formula>AB8+AD8</formula>
    </cfRule>
  </conditionalFormatting>
  <conditionalFormatting sqref="R8:R62">
    <cfRule type="expression" dxfId="760" priority="277" stopIfTrue="1">
      <formula>AND(S8+T8=0,R8&lt;&gt;0)</formula>
    </cfRule>
    <cfRule type="cellIs" dxfId="759" priority="278" stopIfTrue="1" operator="notEqual">
      <formula>S8+T8</formula>
    </cfRule>
  </conditionalFormatting>
  <conditionalFormatting sqref="G8:G62">
    <cfRule type="cellIs" dxfId="758" priority="274" stopIfTrue="1" operator="greaterThan">
      <formula>F8</formula>
    </cfRule>
  </conditionalFormatting>
  <conditionalFormatting sqref="D8:AH8 AG9:AH12 D9:AF62">
    <cfRule type="cellIs" dxfId="757" priority="273" stopIfTrue="1" operator="lessThan">
      <formula>0</formula>
    </cfRule>
  </conditionalFormatting>
  <conditionalFormatting sqref="M8:M62">
    <cfRule type="expression" dxfId="756" priority="275" stopIfTrue="1">
      <formula>AND(N8+O8=0,M8&lt;&gt;0)</formula>
    </cfRule>
    <cfRule type="cellIs" dxfId="755" priority="276" stopIfTrue="1" operator="notEqual">
      <formula>N8+O8</formula>
    </cfRule>
  </conditionalFormatting>
  <conditionalFormatting sqref="AG14:AH14">
    <cfRule type="cellIs" dxfId="754" priority="260" stopIfTrue="1" operator="lessThan">
      <formula>0</formula>
    </cfRule>
  </conditionalFormatting>
  <conditionalFormatting sqref="AG27:AH27">
    <cfRule type="cellIs" dxfId="753" priority="247" stopIfTrue="1" operator="lessThan">
      <formula>0</formula>
    </cfRule>
  </conditionalFormatting>
  <conditionalFormatting sqref="AG37:AH37">
    <cfRule type="cellIs" dxfId="752" priority="234" stopIfTrue="1" operator="lessThan">
      <formula>0</formula>
    </cfRule>
  </conditionalFormatting>
  <conditionalFormatting sqref="AG43:AH43">
    <cfRule type="cellIs" dxfId="751" priority="221" stopIfTrue="1" operator="lessThan">
      <formula>0</formula>
    </cfRule>
  </conditionalFormatting>
  <conditionalFormatting sqref="AG58">
    <cfRule type="cellIs" dxfId="750" priority="165" stopIfTrue="1" operator="notEqual">
      <formula>SUM(J58:L58,M58,P58:R58,U58,X58,AA58,AE58:AF58)</formula>
    </cfRule>
  </conditionalFormatting>
  <conditionalFormatting sqref="AH58">
    <cfRule type="cellIs" dxfId="749" priority="166" stopIfTrue="1" operator="notEqual">
      <formula>I58+AG58</formula>
    </cfRule>
  </conditionalFormatting>
  <conditionalFormatting sqref="AG58:AH58">
    <cfRule type="cellIs" dxfId="748" priority="167" stopIfTrue="1" operator="lessThan">
      <formula>0</formula>
    </cfRule>
  </conditionalFormatting>
  <conditionalFormatting sqref="AG60">
    <cfRule type="cellIs" dxfId="747" priority="152" stopIfTrue="1" operator="notEqual">
      <formula>SUM(J60:L60,M60,P60:R60,U60,X60,AA60,AE60:AF60)</formula>
    </cfRule>
  </conditionalFormatting>
  <conditionalFormatting sqref="AH60">
    <cfRule type="cellIs" dxfId="746" priority="153" stopIfTrue="1" operator="notEqual">
      <formula>I60+AG60</formula>
    </cfRule>
  </conditionalFormatting>
  <conditionalFormatting sqref="AG60:AH60">
    <cfRule type="cellIs" dxfId="745" priority="154" stopIfTrue="1" operator="lessThan">
      <formula>0</formula>
    </cfRule>
  </conditionalFormatting>
  <conditionalFormatting sqref="AG59">
    <cfRule type="cellIs" dxfId="744" priority="139" stopIfTrue="1" operator="notEqual">
      <formula>SUM(J59:L59,M59,P59:R59,U59,X59,AA59,AE59:AF59)</formula>
    </cfRule>
  </conditionalFormatting>
  <conditionalFormatting sqref="AH59">
    <cfRule type="cellIs" dxfId="743" priority="140" stopIfTrue="1" operator="notEqual">
      <formula>I59+AG59</formula>
    </cfRule>
  </conditionalFormatting>
  <conditionalFormatting sqref="AG59:AH59">
    <cfRule type="cellIs" dxfId="742" priority="141" stopIfTrue="1" operator="lessThan">
      <formula>0</formula>
    </cfRule>
  </conditionalFormatting>
  <conditionalFormatting sqref="I64">
    <cfRule type="cellIs" dxfId="741" priority="24" stopIfTrue="1" operator="notEqual">
      <formula>SUM(C64:F64,H64)</formula>
    </cfRule>
  </conditionalFormatting>
  <conditionalFormatting sqref="AG64">
    <cfRule type="cellIs" dxfId="740" priority="25" stopIfTrue="1" operator="notEqual">
      <formula>SUM(J64:L64,M64,P64:R64,U64,X64,AA64,AE64:AF64)</formula>
    </cfRule>
  </conditionalFormatting>
  <conditionalFormatting sqref="AH64">
    <cfRule type="cellIs" dxfId="739" priority="26" stopIfTrue="1" operator="notEqual">
      <formula>I64+AG64</formula>
    </cfRule>
  </conditionalFormatting>
  <conditionalFormatting sqref="X64">
    <cfRule type="expression" dxfId="738" priority="36" stopIfTrue="1">
      <formula>OR(AND(OR(V64&lt;&gt;0,W64&lt;&gt;0),X64&lt;&gt;V64+W64),AND(OR(Y64&lt;&gt;0,Z64&lt;&gt;0),X64&lt;&gt;Y64+Z64))</formula>
    </cfRule>
    <cfRule type="expression" dxfId="737" priority="37" stopIfTrue="1">
      <formula>OR(AND(V64+W64=0,X64&lt;&gt;0),AND(Y64+Z64=0,X64&lt;&gt;0))</formula>
    </cfRule>
  </conditionalFormatting>
  <conditionalFormatting sqref="AA64">
    <cfRule type="expression" dxfId="736" priority="34" stopIfTrue="1">
      <formula>AND(AB64+AD64=0,AA64&lt;&gt;0)</formula>
    </cfRule>
    <cfRule type="cellIs" dxfId="735" priority="35" stopIfTrue="1" operator="notEqual">
      <formula>AB64+AD64</formula>
    </cfRule>
  </conditionalFormatting>
  <conditionalFormatting sqref="R64">
    <cfRule type="expression" dxfId="734" priority="32" stopIfTrue="1">
      <formula>AND(S64+T64=0,R64&lt;&gt;0)</formula>
    </cfRule>
    <cfRule type="cellIs" dxfId="733" priority="33" stopIfTrue="1" operator="notEqual">
      <formula>S64+T64</formula>
    </cfRule>
  </conditionalFormatting>
  <conditionalFormatting sqref="G64">
    <cfRule type="cellIs" dxfId="732" priority="29" stopIfTrue="1" operator="greaterThan">
      <formula>F64</formula>
    </cfRule>
  </conditionalFormatting>
  <conditionalFormatting sqref="C64:AH64">
    <cfRule type="cellIs" dxfId="731" priority="28" stopIfTrue="1" operator="lessThan">
      <formula>0</formula>
    </cfRule>
  </conditionalFormatting>
  <conditionalFormatting sqref="C64:AH64">
    <cfRule type="cellIs" dxfId="730" priority="27" stopIfTrue="1" operator="notEqual">
      <formula>ROUND(SUM(C8:C63),3)</formula>
    </cfRule>
  </conditionalFormatting>
  <conditionalFormatting sqref="M64">
    <cfRule type="expression" dxfId="729" priority="30" stopIfTrue="1">
      <formula>AND(N64+O64=0,M64&lt;&gt;0)</formula>
    </cfRule>
    <cfRule type="cellIs" dxfId="728" priority="31" stopIfTrue="1" operator="notEqual">
      <formula>N64+O64</formula>
    </cfRule>
  </conditionalFormatting>
  <conditionalFormatting sqref="F72">
    <cfRule type="cellIs" dxfId="727" priority="23" stopIfTrue="1" operator="notEqual">
      <formula>"OK"</formula>
    </cfRule>
  </conditionalFormatting>
  <conditionalFormatting sqref="C8:C62">
    <cfRule type="cellIs" dxfId="726" priority="21" stopIfTrue="1" operator="lessThan">
      <formula>0</formula>
    </cfRule>
  </conditionalFormatting>
  <conditionalFormatting sqref="F71">
    <cfRule type="cellIs" dxfId="725" priority="19" stopIfTrue="1" operator="notEqual">
      <formula>"OK"</formula>
    </cfRule>
  </conditionalFormatting>
  <conditionalFormatting sqref="I66">
    <cfRule type="cellIs" dxfId="724" priority="1" stopIfTrue="1" operator="notEqual">
      <formula>SUM(C66:F66,H66)</formula>
    </cfRule>
  </conditionalFormatting>
  <conditionalFormatting sqref="AG66">
    <cfRule type="cellIs" dxfId="723" priority="2" stopIfTrue="1" operator="notEqual">
      <formula>SUM(J66:L66,M66,P66:R66,U66,X66,AA66,AE66:AF66)</formula>
    </cfRule>
  </conditionalFormatting>
  <conditionalFormatting sqref="AH66">
    <cfRule type="cellIs" dxfId="722" priority="3" stopIfTrue="1" operator="notEqual">
      <formula>I66+AG66</formula>
    </cfRule>
  </conditionalFormatting>
  <conditionalFormatting sqref="X66">
    <cfRule type="expression" dxfId="721" priority="12" stopIfTrue="1">
      <formula>OR(AND(OR(V66&lt;&gt;0,W66&lt;&gt;0),X66&lt;&gt;V66+W66),AND(OR(Y66&lt;&gt;0,Z66&lt;&gt;0),X66&lt;&gt;Y66+Z66))</formula>
    </cfRule>
    <cfRule type="expression" dxfId="720" priority="13" stopIfTrue="1">
      <formula>OR(AND(V66+W66=0,X66&lt;&gt;0),AND(Y66+Z66=0,X66&lt;&gt;0))</formula>
    </cfRule>
  </conditionalFormatting>
  <conditionalFormatting sqref="AA66">
    <cfRule type="expression" dxfId="719" priority="10" stopIfTrue="1">
      <formula>AND(AB66+AD66=0,AA66&lt;&gt;0)</formula>
    </cfRule>
    <cfRule type="cellIs" dxfId="718" priority="11" stopIfTrue="1" operator="notEqual">
      <formula>AB66+AD66</formula>
    </cfRule>
  </conditionalFormatting>
  <conditionalFormatting sqref="R66">
    <cfRule type="expression" dxfId="717" priority="8" stopIfTrue="1">
      <formula>AND(S66+T66=0,R66&lt;&gt;0)</formula>
    </cfRule>
    <cfRule type="cellIs" dxfId="716" priority="9" stopIfTrue="1" operator="notEqual">
      <formula>S66+T66</formula>
    </cfRule>
  </conditionalFormatting>
  <conditionalFormatting sqref="G66">
    <cfRule type="cellIs" dxfId="715" priority="5" stopIfTrue="1" operator="greaterThan">
      <formula>F66</formula>
    </cfRule>
  </conditionalFormatting>
  <conditionalFormatting sqref="C66:AH66">
    <cfRule type="cellIs" dxfId="714" priority="4" stopIfTrue="1" operator="lessThan">
      <formula>0</formula>
    </cfRule>
  </conditionalFormatting>
  <conditionalFormatting sqref="M66">
    <cfRule type="expression" dxfId="713" priority="6" stopIfTrue="1">
      <formula>AND(N66+O66=0,M66&lt;&gt;0)</formula>
    </cfRule>
    <cfRule type="cellIs" dxfId="712" priority="7" stopIfTrue="1" operator="notEqual">
      <formula>N66+O66</formula>
    </cfRule>
  </conditionalFormatting>
  <dataValidations count="1">
    <dataValidation type="decimal" operator="greaterThanOrEqual" allowBlank="1" showErrorMessage="1" errorTitle="Input error" error="Numbers only!" sqref="C8:AH66" xr:uid="{00000000-0002-0000-0800-000000000000}">
      <formula1>-10000000</formula1>
    </dataValidation>
  </dataValidations>
  <pageMargins left="0.39370078740157483" right="0.39370078740157483" top="0.78740157480314965" bottom="0.78740157480314965" header="0.39370078740157483" footer="0.39370078740157483"/>
  <pageSetup paperSize="9" scale="44" orientation="landscape" r:id="rId1"/>
  <headerFooter alignWithMargins="0">
    <oddHeader>&amp;A</oddHeader>
    <oddFooter>Page &amp;P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EE1000"/>
  <sheetViews>
    <sheetView zoomScaleNormal="100" workbookViewId="0">
      <pane xSplit="2" ySplit="7" topLeftCell="C8" activePane="bottomRight" state="frozen"/>
      <selection activeCell="H62" sqref="H62"/>
      <selection pane="topRight" activeCell="H62" sqref="H62"/>
      <selection pane="bottomLeft" activeCell="H62" sqref="H62"/>
      <selection pane="bottomRight" activeCell="C8" sqref="C8"/>
    </sheetView>
  </sheetViews>
  <sheetFormatPr defaultColWidth="9.140625" defaultRowHeight="12.75" x14ac:dyDescent="0.2"/>
  <cols>
    <col min="1" max="1" width="31.28515625" style="2" customWidth="1"/>
    <col min="2" max="2" width="3.5703125" style="2" customWidth="1"/>
    <col min="3" max="33" width="9.28515625" style="2" customWidth="1"/>
    <col min="34" max="34" width="9.28515625" style="211" customWidth="1"/>
    <col min="35" max="35" width="2" style="211" customWidth="1"/>
    <col min="36" max="36" width="76.140625" style="211" customWidth="1"/>
    <col min="37" max="37" width="9.140625" style="2"/>
    <col min="38" max="38" width="3.5703125" style="141" customWidth="1"/>
    <col min="39" max="39" width="12.140625" style="141" customWidth="1"/>
    <col min="40" max="44" width="9.140625" style="2"/>
    <col min="45" max="45" width="3.7109375" style="2" hidden="1" customWidth="1"/>
    <col min="46" max="46" width="13.42578125" style="2" hidden="1" customWidth="1"/>
    <col min="47" max="122" width="9.140625" style="2"/>
    <col min="123" max="135" width="9.140625" style="2" hidden="1" customWidth="1"/>
    <col min="136" max="16384" width="9.140625" style="2"/>
  </cols>
  <sheetData>
    <row r="1" spans="1:135" x14ac:dyDescent="0.2">
      <c r="A1" s="1" t="s">
        <v>611</v>
      </c>
      <c r="B1" s="1"/>
      <c r="AH1" s="2"/>
      <c r="AI1" s="2"/>
      <c r="AJ1" s="2"/>
      <c r="AS1" s="141"/>
      <c r="AT1" s="303" t="s">
        <v>351</v>
      </c>
    </row>
    <row r="2" spans="1:135" x14ac:dyDescent="0.2">
      <c r="A2" s="24" t="str">
        <f>IF('Table 1'!D2=0,"",'Table 1'!D2)</f>
        <v>Netherlands</v>
      </c>
      <c r="B2" s="28"/>
      <c r="AH2" s="2"/>
      <c r="AI2" s="2"/>
      <c r="AJ2" s="2"/>
      <c r="AS2" s="141"/>
      <c r="AT2" s="338" t="s">
        <v>415</v>
      </c>
    </row>
    <row r="3" spans="1:135" x14ac:dyDescent="0.2">
      <c r="A3" s="24" t="str">
        <f>IF('Table 1'!D3=0,"",'Table 1'!D3 &amp; " " &amp; QuestYear)</f>
        <v>September 2026</v>
      </c>
      <c r="B3" s="24"/>
      <c r="AH3" s="2"/>
      <c r="AI3" s="2"/>
      <c r="AJ3" s="2"/>
      <c r="AS3" s="141"/>
      <c r="AT3" s="303" t="s">
        <v>586</v>
      </c>
    </row>
    <row r="4" spans="1:135" x14ac:dyDescent="0.2">
      <c r="A4" s="5" t="s">
        <v>683</v>
      </c>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H4" s="25" t="s">
        <v>108</v>
      </c>
      <c r="AI4" s="2"/>
      <c r="AJ4" s="2"/>
      <c r="AS4" s="141"/>
      <c r="AT4" s="425" t="s">
        <v>591</v>
      </c>
    </row>
    <row r="5" spans="1:135" ht="12.75" customHeight="1" x14ac:dyDescent="0.2">
      <c r="A5" s="242"/>
      <c r="B5" s="203"/>
      <c r="C5" s="1106" t="s">
        <v>656</v>
      </c>
      <c r="D5" s="1106" t="s">
        <v>657</v>
      </c>
      <c r="E5" s="1106" t="s">
        <v>647</v>
      </c>
      <c r="F5" s="1158" t="s">
        <v>666</v>
      </c>
      <c r="G5" s="281"/>
      <c r="H5" s="1150" t="s">
        <v>885</v>
      </c>
      <c r="I5" s="1110" t="s">
        <v>645</v>
      </c>
      <c r="J5" s="1122" t="s">
        <v>8</v>
      </c>
      <c r="K5" s="1124" t="s">
        <v>9</v>
      </c>
      <c r="L5" s="1126" t="s">
        <v>10</v>
      </c>
      <c r="M5" s="1114" t="s">
        <v>659</v>
      </c>
      <c r="N5" s="329"/>
      <c r="O5" s="190"/>
      <c r="P5" s="1122" t="s">
        <v>660</v>
      </c>
      <c r="Q5" s="1124" t="s">
        <v>661</v>
      </c>
      <c r="R5" s="1116" t="s">
        <v>668</v>
      </c>
      <c r="S5" s="191"/>
      <c r="T5" s="192"/>
      <c r="U5" s="1126" t="s">
        <v>664</v>
      </c>
      <c r="V5" s="193"/>
      <c r="W5" s="190"/>
      <c r="X5" s="1118" t="s">
        <v>670</v>
      </c>
      <c r="Y5" s="190"/>
      <c r="Z5" s="190"/>
      <c r="AA5" s="1114" t="s">
        <v>628</v>
      </c>
      <c r="AB5" s="190"/>
      <c r="AC5" s="190"/>
      <c r="AD5" s="190"/>
      <c r="AE5" s="1122" t="s">
        <v>629</v>
      </c>
      <c r="AF5" s="1150" t="s">
        <v>630</v>
      </c>
      <c r="AG5" s="1120" t="s">
        <v>631</v>
      </c>
      <c r="AH5" s="1120" t="s">
        <v>679</v>
      </c>
      <c r="AI5" s="2"/>
      <c r="AJ5" s="1139" t="s">
        <v>350</v>
      </c>
      <c r="AS5" s="141"/>
      <c r="AT5" s="141"/>
    </row>
    <row r="6" spans="1:135" ht="45" customHeight="1" x14ac:dyDescent="0.25">
      <c r="A6" s="201"/>
      <c r="B6" s="202"/>
      <c r="C6" s="1107"/>
      <c r="D6" s="1107"/>
      <c r="E6" s="1107"/>
      <c r="F6" s="1159"/>
      <c r="G6" s="99" t="s">
        <v>667</v>
      </c>
      <c r="H6" s="1138"/>
      <c r="I6" s="1111"/>
      <c r="J6" s="1123"/>
      <c r="K6" s="1125"/>
      <c r="L6" s="1127"/>
      <c r="M6" s="1115"/>
      <c r="N6" s="184" t="s">
        <v>623</v>
      </c>
      <c r="O6" s="185" t="s">
        <v>626</v>
      </c>
      <c r="P6" s="1123"/>
      <c r="Q6" s="1125"/>
      <c r="R6" s="1117"/>
      <c r="S6" s="186" t="s">
        <v>662</v>
      </c>
      <c r="T6" s="187" t="s">
        <v>663</v>
      </c>
      <c r="U6" s="1127"/>
      <c r="V6" s="188" t="s">
        <v>627</v>
      </c>
      <c r="W6" s="189" t="s">
        <v>669</v>
      </c>
      <c r="X6" s="1119"/>
      <c r="Y6" s="184" t="s">
        <v>624</v>
      </c>
      <c r="Z6" s="186" t="s">
        <v>671</v>
      </c>
      <c r="AA6" s="1115"/>
      <c r="AB6" s="187" t="s">
        <v>674</v>
      </c>
      <c r="AC6" s="186" t="s">
        <v>1411</v>
      </c>
      <c r="AD6" s="196" t="s">
        <v>872</v>
      </c>
      <c r="AE6" s="1123"/>
      <c r="AF6" s="1138"/>
      <c r="AG6" s="1121"/>
      <c r="AH6" s="1121"/>
      <c r="AI6" s="27"/>
      <c r="AJ6" s="1140"/>
      <c r="AS6" s="141"/>
      <c r="AT6" s="141"/>
      <c r="DS6" s="643" t="s">
        <v>1121</v>
      </c>
      <c r="DT6" s="644"/>
      <c r="DU6" s="645"/>
      <c r="DV6" s="645"/>
      <c r="DW6" s="645"/>
      <c r="DX6" s="645"/>
      <c r="DY6" s="645"/>
      <c r="DZ6" s="645"/>
      <c r="EA6" s="645"/>
      <c r="EB6" s="645"/>
      <c r="EC6" s="645"/>
      <c r="ED6" s="645"/>
    </row>
    <row r="7" spans="1:135" ht="12.75" customHeight="1" x14ac:dyDescent="0.2">
      <c r="A7" s="97"/>
      <c r="B7" s="98"/>
      <c r="C7" s="87" t="s">
        <v>152</v>
      </c>
      <c r="D7" s="86" t="s">
        <v>153</v>
      </c>
      <c r="E7" s="86" t="s">
        <v>154</v>
      </c>
      <c r="F7" s="180" t="s">
        <v>155</v>
      </c>
      <c r="G7" s="198" t="s">
        <v>156</v>
      </c>
      <c r="H7" s="198" t="s">
        <v>157</v>
      </c>
      <c r="I7" s="199" t="s">
        <v>158</v>
      </c>
      <c r="J7" s="87" t="s">
        <v>159</v>
      </c>
      <c r="K7" s="87" t="s">
        <v>160</v>
      </c>
      <c r="L7" s="96" t="s">
        <v>161</v>
      </c>
      <c r="M7" s="179" t="s">
        <v>162</v>
      </c>
      <c r="N7" s="198" t="s">
        <v>163</v>
      </c>
      <c r="O7" s="89" t="s">
        <v>164</v>
      </c>
      <c r="P7" s="95" t="s">
        <v>165</v>
      </c>
      <c r="Q7" s="177" t="s">
        <v>166</v>
      </c>
      <c r="R7" s="180" t="s">
        <v>167</v>
      </c>
      <c r="S7" s="198" t="s">
        <v>168</v>
      </c>
      <c r="T7" s="86" t="s">
        <v>169</v>
      </c>
      <c r="U7" s="94" t="s">
        <v>170</v>
      </c>
      <c r="V7" s="87" t="s">
        <v>171</v>
      </c>
      <c r="W7" s="101" t="s">
        <v>172</v>
      </c>
      <c r="X7" s="176" t="s">
        <v>173</v>
      </c>
      <c r="Y7" s="200" t="s">
        <v>174</v>
      </c>
      <c r="Z7" s="89" t="s">
        <v>175</v>
      </c>
      <c r="AA7" s="179" t="s">
        <v>176</v>
      </c>
      <c r="AB7" s="200" t="s">
        <v>177</v>
      </c>
      <c r="AC7" s="200" t="s">
        <v>181</v>
      </c>
      <c r="AD7" s="89" t="s">
        <v>417</v>
      </c>
      <c r="AE7" s="178" t="s">
        <v>672</v>
      </c>
      <c r="AF7" s="89" t="s">
        <v>678</v>
      </c>
      <c r="AG7" s="90" t="s">
        <v>499</v>
      </c>
      <c r="AH7" s="90" t="s">
        <v>680</v>
      </c>
      <c r="AI7" s="27"/>
      <c r="AJ7" s="90" t="s">
        <v>1413</v>
      </c>
      <c r="AS7" s="141"/>
      <c r="AT7" s="303" t="s">
        <v>553</v>
      </c>
      <c r="DS7" s="646" t="s">
        <v>1122</v>
      </c>
      <c r="DT7" s="646" t="s">
        <v>1113</v>
      </c>
      <c r="DU7" s="646" t="s">
        <v>1123</v>
      </c>
      <c r="DV7" s="646" t="s">
        <v>1124</v>
      </c>
      <c r="DW7" s="646" t="s">
        <v>1125</v>
      </c>
      <c r="DX7" s="646" t="s">
        <v>1126</v>
      </c>
      <c r="DY7" s="646" t="s">
        <v>415</v>
      </c>
      <c r="DZ7" s="646" t="s">
        <v>1127</v>
      </c>
      <c r="EA7" s="646" t="s">
        <v>1128</v>
      </c>
      <c r="EB7" s="646" t="s">
        <v>1129</v>
      </c>
      <c r="EC7" s="646" t="s">
        <v>1130</v>
      </c>
      <c r="ED7" s="646" t="s">
        <v>1131</v>
      </c>
      <c r="EE7" s="646" t="s">
        <v>1244</v>
      </c>
    </row>
    <row r="8" spans="1:135" x14ac:dyDescent="0.2">
      <c r="A8" s="225" t="s">
        <v>930</v>
      </c>
      <c r="B8" s="632">
        <v>1</v>
      </c>
      <c r="C8" s="770">
        <v>0</v>
      </c>
      <c r="D8" s="830">
        <v>0</v>
      </c>
      <c r="E8" s="830">
        <v>0</v>
      </c>
      <c r="F8" s="866">
        <v>0</v>
      </c>
      <c r="G8" s="830">
        <v>0</v>
      </c>
      <c r="H8" s="830">
        <v>0</v>
      </c>
      <c r="I8" s="828">
        <f t="shared" ref="I8:I64" si="0">ROUND(SUM(C8:F8,H8),3)</f>
        <v>0</v>
      </c>
      <c r="J8" s="832">
        <v>0</v>
      </c>
      <c r="K8" s="832">
        <v>0</v>
      </c>
      <c r="L8" s="830">
        <v>0</v>
      </c>
      <c r="M8" s="802">
        <v>0</v>
      </c>
      <c r="N8" s="832">
        <v>0</v>
      </c>
      <c r="O8" s="833">
        <v>0</v>
      </c>
      <c r="P8" s="832">
        <v>0</v>
      </c>
      <c r="Q8" s="832">
        <v>0</v>
      </c>
      <c r="R8" s="781">
        <v>0</v>
      </c>
      <c r="S8" s="830">
        <v>0</v>
      </c>
      <c r="T8" s="830">
        <v>0</v>
      </c>
      <c r="U8" s="834">
        <v>0</v>
      </c>
      <c r="V8" s="832">
        <v>0</v>
      </c>
      <c r="W8" s="831">
        <v>0</v>
      </c>
      <c r="X8" s="783">
        <v>0</v>
      </c>
      <c r="Y8" s="830">
        <v>0</v>
      </c>
      <c r="Z8" s="833">
        <v>0</v>
      </c>
      <c r="AA8" s="802">
        <v>0</v>
      </c>
      <c r="AB8" s="835">
        <v>0</v>
      </c>
      <c r="AC8" s="1094">
        <v>0</v>
      </c>
      <c r="AD8" s="833">
        <v>0</v>
      </c>
      <c r="AE8" s="836">
        <v>0</v>
      </c>
      <c r="AF8" s="836">
        <v>0</v>
      </c>
      <c r="AG8" s="827">
        <f t="shared" ref="AG8:AG64" si="1">ROUND(SUM(J8:M8,P8:R8,U8,X8,AA8,AE8:AF8),3)</f>
        <v>0</v>
      </c>
      <c r="AH8" s="827">
        <f t="shared" ref="AH8:AH64" si="2">ROUND(SUM(I8,AG8),3)</f>
        <v>0</v>
      </c>
      <c r="AI8" s="466">
        <f>IF(ROUND(I8-SUM(C8:F8,H8),3)=0,0,1)+IF(ROUND(AG8-SUM(J8:M8,P8:R8,U8,X8,AA8,AE8:AF8),3)=0,0,1)+IF(ROUND(AH8-SUM(AG8,I8),3)=0,0,1)</f>
        <v>0</v>
      </c>
      <c r="AJ8" s="467" t="str">
        <f>IF(AI8=0," ",IF(AI8=1,"A total is not equal to the sum of its components: ",AI8&amp;" totals are not equal to the sum of their components: "))&amp;IF(AI8=0,"",IF(I8-SUM(C8:F8,H8)=0,"","Total crude. ")&amp;IF(AG8-SUM(J8:M8,P8:R8,U8,X8,AA8,AE8:AF8)=0,"","Total products. ")&amp;IF(AH8-SUM(AG8,I8)=0,"","Total oil."))</f>
        <v xml:space="preserve"> </v>
      </c>
      <c r="AS8" s="130" t="s">
        <v>932</v>
      </c>
      <c r="AT8" s="130" t="s">
        <v>931</v>
      </c>
      <c r="DS8" s="647" t="str">
        <f>VLOOKUP(CountryUser, Param!$C$9:$E$67, 3, 0)</f>
        <v>NL</v>
      </c>
      <c r="DT8" s="647" t="s">
        <v>1132</v>
      </c>
      <c r="DU8" s="667" t="s">
        <v>415</v>
      </c>
      <c r="DV8" s="667" t="s">
        <v>1188</v>
      </c>
      <c r="DW8" s="667" t="s">
        <v>1134</v>
      </c>
      <c r="DX8" s="667" t="s">
        <v>1134</v>
      </c>
      <c r="DY8" s="669" t="s">
        <v>1190</v>
      </c>
      <c r="DZ8" s="667" t="s">
        <v>1134</v>
      </c>
      <c r="EA8" s="670" t="s">
        <v>932</v>
      </c>
      <c r="EB8" s="667" t="s">
        <v>1135</v>
      </c>
      <c r="EC8" s="667" t="s">
        <v>1134</v>
      </c>
      <c r="ED8" s="667" t="s">
        <v>1136</v>
      </c>
      <c r="EE8" s="667" t="str">
        <f>QuestYear&amp;"-"&amp;TEXT(MATCH(FirstMonth, Param!C71:C82,0), "00")</f>
        <v>2026-09</v>
      </c>
    </row>
    <row r="9" spans="1:135" x14ac:dyDescent="0.2">
      <c r="A9" s="225" t="s">
        <v>554</v>
      </c>
      <c r="B9" s="632">
        <v>2</v>
      </c>
      <c r="C9" s="770">
        <v>0</v>
      </c>
      <c r="D9" s="830">
        <v>0</v>
      </c>
      <c r="E9" s="830">
        <v>0</v>
      </c>
      <c r="F9" s="866">
        <v>0</v>
      </c>
      <c r="G9" s="830">
        <v>0</v>
      </c>
      <c r="H9" s="830">
        <v>0</v>
      </c>
      <c r="I9" s="828">
        <f t="shared" si="0"/>
        <v>0</v>
      </c>
      <c r="J9" s="832">
        <v>0</v>
      </c>
      <c r="K9" s="832">
        <v>0</v>
      </c>
      <c r="L9" s="830">
        <v>0</v>
      </c>
      <c r="M9" s="802">
        <v>0</v>
      </c>
      <c r="N9" s="832">
        <v>0</v>
      </c>
      <c r="O9" s="833">
        <v>0</v>
      </c>
      <c r="P9" s="832">
        <v>0</v>
      </c>
      <c r="Q9" s="832">
        <v>0</v>
      </c>
      <c r="R9" s="781">
        <v>0</v>
      </c>
      <c r="S9" s="830">
        <v>0</v>
      </c>
      <c r="T9" s="830">
        <v>0</v>
      </c>
      <c r="U9" s="834">
        <v>0</v>
      </c>
      <c r="V9" s="832">
        <v>0</v>
      </c>
      <c r="W9" s="831">
        <v>0</v>
      </c>
      <c r="X9" s="783">
        <v>0</v>
      </c>
      <c r="Y9" s="830">
        <v>0</v>
      </c>
      <c r="Z9" s="833">
        <v>0</v>
      </c>
      <c r="AA9" s="802">
        <v>0</v>
      </c>
      <c r="AB9" s="835">
        <v>0</v>
      </c>
      <c r="AC9" s="1094">
        <v>0</v>
      </c>
      <c r="AD9" s="833">
        <v>0</v>
      </c>
      <c r="AE9" s="836">
        <v>0</v>
      </c>
      <c r="AF9" s="836">
        <v>0</v>
      </c>
      <c r="AG9" s="827">
        <f t="shared" si="1"/>
        <v>0</v>
      </c>
      <c r="AH9" s="827">
        <f t="shared" si="2"/>
        <v>0</v>
      </c>
      <c r="AI9" s="466">
        <f t="shared" ref="AI9:AI63" si="3">IF(ROUND(I9-SUM(C9:F9,H9),3)=0,0,1)+IF(ROUND(AG9-SUM(J9:M9,P9:R9,U9,X9,AA9,AE9:AF9),3)=0,0,1)+IF(ROUND(AH9-SUM(AG9,I9),3)=0,0,1)</f>
        <v>0</v>
      </c>
      <c r="AJ9" s="467" t="str">
        <f t="shared" ref="AJ9:AJ63" si="4">IF(AI9=0," ",IF(AI9=1,"A total is not equal to the sum of its components: ",AI9&amp;" totals are not equal to the sum of their components: "))&amp;IF(AI9=0,"",IF(I9-SUM(C9:F9,H9)=0,"","Total crude. ")&amp;IF(AG9-SUM(J9:M9,P9:R9,U9,X9,AA9,AE9:AF9)=0,"","Total products. ")&amp;IF(AH9-SUM(AG9,I9)=0,"","Total oil."))</f>
        <v xml:space="preserve"> </v>
      </c>
      <c r="AS9" s="130" t="s">
        <v>501</v>
      </c>
      <c r="AT9" s="130" t="s">
        <v>502</v>
      </c>
      <c r="DS9" s="647"/>
      <c r="DT9" s="647"/>
      <c r="DU9" s="667" t="s">
        <v>415</v>
      </c>
      <c r="DV9" s="667" t="s">
        <v>1188</v>
      </c>
      <c r="DW9" s="667" t="s">
        <v>1134</v>
      </c>
      <c r="DX9" s="667" t="s">
        <v>1134</v>
      </c>
      <c r="DY9" s="669" t="s">
        <v>1190</v>
      </c>
      <c r="DZ9" s="667" t="s">
        <v>1134</v>
      </c>
      <c r="EA9" s="670" t="s">
        <v>501</v>
      </c>
      <c r="EB9" s="667" t="s">
        <v>1135</v>
      </c>
      <c r="EC9" s="667" t="s">
        <v>1134</v>
      </c>
      <c r="ED9" s="667" t="s">
        <v>1136</v>
      </c>
      <c r="EE9" s="1077"/>
    </row>
    <row r="10" spans="1:135" x14ac:dyDescent="0.2">
      <c r="A10" s="225" t="s">
        <v>115</v>
      </c>
      <c r="B10" s="632">
        <v>3</v>
      </c>
      <c r="C10" s="770">
        <v>0</v>
      </c>
      <c r="D10" s="830">
        <v>0</v>
      </c>
      <c r="E10" s="830">
        <v>0</v>
      </c>
      <c r="F10" s="866">
        <v>0</v>
      </c>
      <c r="G10" s="830">
        <v>0</v>
      </c>
      <c r="H10" s="830">
        <v>0</v>
      </c>
      <c r="I10" s="828">
        <f t="shared" si="0"/>
        <v>0</v>
      </c>
      <c r="J10" s="832">
        <v>0</v>
      </c>
      <c r="K10" s="832">
        <v>0</v>
      </c>
      <c r="L10" s="830">
        <v>0</v>
      </c>
      <c r="M10" s="802">
        <v>0</v>
      </c>
      <c r="N10" s="832">
        <v>0</v>
      </c>
      <c r="O10" s="833">
        <v>0</v>
      </c>
      <c r="P10" s="832">
        <v>0</v>
      </c>
      <c r="Q10" s="832">
        <v>0</v>
      </c>
      <c r="R10" s="781">
        <v>0</v>
      </c>
      <c r="S10" s="830">
        <v>0</v>
      </c>
      <c r="T10" s="830">
        <v>0</v>
      </c>
      <c r="U10" s="834">
        <v>0</v>
      </c>
      <c r="V10" s="832">
        <v>0</v>
      </c>
      <c r="W10" s="831">
        <v>0</v>
      </c>
      <c r="X10" s="783">
        <v>0</v>
      </c>
      <c r="Y10" s="830">
        <v>0</v>
      </c>
      <c r="Z10" s="833">
        <v>0</v>
      </c>
      <c r="AA10" s="802">
        <v>0</v>
      </c>
      <c r="AB10" s="835">
        <v>0</v>
      </c>
      <c r="AC10" s="1094">
        <v>0</v>
      </c>
      <c r="AD10" s="833">
        <v>0</v>
      </c>
      <c r="AE10" s="836">
        <v>0</v>
      </c>
      <c r="AF10" s="836">
        <v>0</v>
      </c>
      <c r="AG10" s="827">
        <f t="shared" si="1"/>
        <v>0</v>
      </c>
      <c r="AH10" s="827">
        <f t="shared" si="2"/>
        <v>0</v>
      </c>
      <c r="AI10" s="466">
        <f t="shared" si="3"/>
        <v>0</v>
      </c>
      <c r="AJ10" s="467" t="str">
        <f t="shared" si="4"/>
        <v xml:space="preserve"> </v>
      </c>
      <c r="AS10" s="139" t="s">
        <v>232</v>
      </c>
      <c r="AT10" s="139" t="s">
        <v>231</v>
      </c>
      <c r="DS10" s="668"/>
      <c r="DT10" s="668"/>
      <c r="DU10" s="667" t="s">
        <v>415</v>
      </c>
      <c r="DV10" s="667" t="s">
        <v>1188</v>
      </c>
      <c r="DW10" s="667" t="s">
        <v>1134</v>
      </c>
      <c r="DX10" s="667" t="s">
        <v>1134</v>
      </c>
      <c r="DY10" s="669" t="s">
        <v>1190</v>
      </c>
      <c r="DZ10" s="667" t="s">
        <v>1134</v>
      </c>
      <c r="EA10" s="670" t="s">
        <v>232</v>
      </c>
      <c r="EB10" s="667" t="s">
        <v>1135</v>
      </c>
      <c r="EC10" s="667" t="s">
        <v>1134</v>
      </c>
      <c r="ED10" s="667" t="s">
        <v>1136</v>
      </c>
    </row>
    <row r="11" spans="1:135" x14ac:dyDescent="0.2">
      <c r="A11" s="225" t="s">
        <v>15</v>
      </c>
      <c r="B11" s="632">
        <v>4</v>
      </c>
      <c r="C11" s="770">
        <v>0</v>
      </c>
      <c r="D11" s="830">
        <v>0</v>
      </c>
      <c r="E11" s="830">
        <v>0</v>
      </c>
      <c r="F11" s="866">
        <v>0</v>
      </c>
      <c r="G11" s="830">
        <v>0</v>
      </c>
      <c r="H11" s="830">
        <v>0</v>
      </c>
      <c r="I11" s="828">
        <f t="shared" si="0"/>
        <v>0</v>
      </c>
      <c r="J11" s="832">
        <v>0</v>
      </c>
      <c r="K11" s="832">
        <v>0</v>
      </c>
      <c r="L11" s="830">
        <v>0</v>
      </c>
      <c r="M11" s="802">
        <v>0</v>
      </c>
      <c r="N11" s="832">
        <v>0</v>
      </c>
      <c r="O11" s="833">
        <v>0</v>
      </c>
      <c r="P11" s="832">
        <v>0</v>
      </c>
      <c r="Q11" s="832">
        <v>0</v>
      </c>
      <c r="R11" s="781">
        <v>0</v>
      </c>
      <c r="S11" s="830">
        <v>0</v>
      </c>
      <c r="T11" s="830">
        <v>0</v>
      </c>
      <c r="U11" s="834">
        <v>0</v>
      </c>
      <c r="V11" s="832">
        <v>0</v>
      </c>
      <c r="W11" s="831">
        <v>0</v>
      </c>
      <c r="X11" s="783">
        <v>0</v>
      </c>
      <c r="Y11" s="830">
        <v>0</v>
      </c>
      <c r="Z11" s="833">
        <v>0</v>
      </c>
      <c r="AA11" s="802">
        <v>0</v>
      </c>
      <c r="AB11" s="835">
        <v>0</v>
      </c>
      <c r="AC11" s="1094">
        <v>0</v>
      </c>
      <c r="AD11" s="833">
        <v>0</v>
      </c>
      <c r="AE11" s="836">
        <v>0</v>
      </c>
      <c r="AF11" s="836">
        <v>0</v>
      </c>
      <c r="AG11" s="827">
        <f t="shared" si="1"/>
        <v>0</v>
      </c>
      <c r="AH11" s="827">
        <f t="shared" si="2"/>
        <v>0</v>
      </c>
      <c r="AI11" s="466">
        <f t="shared" si="3"/>
        <v>0</v>
      </c>
      <c r="AJ11" s="467" t="str">
        <f t="shared" si="4"/>
        <v xml:space="preserve"> </v>
      </c>
      <c r="AS11" s="139" t="s">
        <v>234</v>
      </c>
      <c r="AT11" s="139" t="s">
        <v>233</v>
      </c>
      <c r="DS11" s="648"/>
      <c r="DT11" s="648"/>
      <c r="DU11" s="667" t="s">
        <v>415</v>
      </c>
      <c r="DV11" s="667" t="s">
        <v>1188</v>
      </c>
      <c r="DW11" s="667" t="s">
        <v>1134</v>
      </c>
      <c r="DX11" s="667" t="s">
        <v>1134</v>
      </c>
      <c r="DY11" s="669" t="s">
        <v>1190</v>
      </c>
      <c r="DZ11" s="667" t="s">
        <v>1134</v>
      </c>
      <c r="EA11" s="670" t="s">
        <v>234</v>
      </c>
      <c r="EB11" s="667" t="s">
        <v>1135</v>
      </c>
      <c r="EC11" s="667" t="s">
        <v>1134</v>
      </c>
      <c r="ED11" s="667" t="s">
        <v>1136</v>
      </c>
    </row>
    <row r="12" spans="1:135" x14ac:dyDescent="0.2">
      <c r="A12" s="225" t="s">
        <v>556</v>
      </c>
      <c r="B12" s="632">
        <v>5</v>
      </c>
      <c r="C12" s="770">
        <v>0</v>
      </c>
      <c r="D12" s="830">
        <v>0</v>
      </c>
      <c r="E12" s="830">
        <v>0</v>
      </c>
      <c r="F12" s="866">
        <v>0</v>
      </c>
      <c r="G12" s="830">
        <v>0</v>
      </c>
      <c r="H12" s="830">
        <v>0</v>
      </c>
      <c r="I12" s="828">
        <f t="shared" si="0"/>
        <v>0</v>
      </c>
      <c r="J12" s="832">
        <v>0</v>
      </c>
      <c r="K12" s="832">
        <v>0</v>
      </c>
      <c r="L12" s="830">
        <v>0</v>
      </c>
      <c r="M12" s="802">
        <v>0</v>
      </c>
      <c r="N12" s="832">
        <v>0</v>
      </c>
      <c r="O12" s="833">
        <v>0</v>
      </c>
      <c r="P12" s="832">
        <v>0</v>
      </c>
      <c r="Q12" s="832">
        <v>0</v>
      </c>
      <c r="R12" s="781">
        <v>0</v>
      </c>
      <c r="S12" s="830">
        <v>0</v>
      </c>
      <c r="T12" s="830">
        <v>0</v>
      </c>
      <c r="U12" s="834">
        <v>0</v>
      </c>
      <c r="V12" s="832">
        <v>0</v>
      </c>
      <c r="W12" s="831">
        <v>0</v>
      </c>
      <c r="X12" s="783">
        <v>0</v>
      </c>
      <c r="Y12" s="830">
        <v>0</v>
      </c>
      <c r="Z12" s="833">
        <v>0</v>
      </c>
      <c r="AA12" s="802">
        <v>0</v>
      </c>
      <c r="AB12" s="835">
        <v>0</v>
      </c>
      <c r="AC12" s="1094">
        <v>0</v>
      </c>
      <c r="AD12" s="833">
        <v>0</v>
      </c>
      <c r="AE12" s="836">
        <v>0</v>
      </c>
      <c r="AF12" s="836">
        <v>0</v>
      </c>
      <c r="AG12" s="827">
        <f t="shared" si="1"/>
        <v>0</v>
      </c>
      <c r="AH12" s="827">
        <f t="shared" si="2"/>
        <v>0</v>
      </c>
      <c r="AI12" s="466">
        <f t="shared" si="3"/>
        <v>0</v>
      </c>
      <c r="AJ12" s="467" t="str">
        <f t="shared" si="4"/>
        <v xml:space="preserve"> </v>
      </c>
      <c r="AS12" s="130" t="s">
        <v>505</v>
      </c>
      <c r="AT12" s="130" t="s">
        <v>506</v>
      </c>
      <c r="DS12" s="648"/>
      <c r="DT12" s="648"/>
      <c r="DU12" s="667" t="s">
        <v>415</v>
      </c>
      <c r="DV12" s="667" t="s">
        <v>1188</v>
      </c>
      <c r="DW12" s="667" t="s">
        <v>1134</v>
      </c>
      <c r="DX12" s="667" t="s">
        <v>1134</v>
      </c>
      <c r="DY12" s="669" t="s">
        <v>1190</v>
      </c>
      <c r="DZ12" s="667" t="s">
        <v>1134</v>
      </c>
      <c r="EA12" s="670" t="s">
        <v>505</v>
      </c>
      <c r="EB12" s="667" t="s">
        <v>1135</v>
      </c>
      <c r="EC12" s="667" t="s">
        <v>1134</v>
      </c>
      <c r="ED12" s="667" t="s">
        <v>1136</v>
      </c>
    </row>
    <row r="13" spans="1:135" x14ac:dyDescent="0.2">
      <c r="A13" s="225" t="s">
        <v>116</v>
      </c>
      <c r="B13" s="632">
        <v>6</v>
      </c>
      <c r="C13" s="770">
        <v>0</v>
      </c>
      <c r="D13" s="830">
        <v>0</v>
      </c>
      <c r="E13" s="830">
        <v>0</v>
      </c>
      <c r="F13" s="866">
        <v>0</v>
      </c>
      <c r="G13" s="830">
        <v>0</v>
      </c>
      <c r="H13" s="830">
        <v>0</v>
      </c>
      <c r="I13" s="828">
        <f t="shared" si="0"/>
        <v>0</v>
      </c>
      <c r="J13" s="832">
        <v>0</v>
      </c>
      <c r="K13" s="832">
        <v>0</v>
      </c>
      <c r="L13" s="830">
        <v>0</v>
      </c>
      <c r="M13" s="802">
        <v>0</v>
      </c>
      <c r="N13" s="832">
        <v>0</v>
      </c>
      <c r="O13" s="833">
        <v>0</v>
      </c>
      <c r="P13" s="832">
        <v>0</v>
      </c>
      <c r="Q13" s="832">
        <v>0</v>
      </c>
      <c r="R13" s="781">
        <v>0</v>
      </c>
      <c r="S13" s="830">
        <v>0</v>
      </c>
      <c r="T13" s="830">
        <v>0</v>
      </c>
      <c r="U13" s="834">
        <v>0</v>
      </c>
      <c r="V13" s="832">
        <v>0</v>
      </c>
      <c r="W13" s="831">
        <v>0</v>
      </c>
      <c r="X13" s="783">
        <v>0</v>
      </c>
      <c r="Y13" s="830">
        <v>0</v>
      </c>
      <c r="Z13" s="833">
        <v>0</v>
      </c>
      <c r="AA13" s="802">
        <v>0</v>
      </c>
      <c r="AB13" s="835">
        <v>0</v>
      </c>
      <c r="AC13" s="1094">
        <v>0</v>
      </c>
      <c r="AD13" s="833">
        <v>0</v>
      </c>
      <c r="AE13" s="836">
        <v>0</v>
      </c>
      <c r="AF13" s="836">
        <v>0</v>
      </c>
      <c r="AG13" s="827">
        <f t="shared" si="1"/>
        <v>0</v>
      </c>
      <c r="AH13" s="827">
        <f t="shared" si="2"/>
        <v>0</v>
      </c>
      <c r="AI13" s="466">
        <f t="shared" si="3"/>
        <v>0</v>
      </c>
      <c r="AJ13" s="467" t="str">
        <f t="shared" si="4"/>
        <v xml:space="preserve"> </v>
      </c>
      <c r="AS13" s="139" t="s">
        <v>236</v>
      </c>
      <c r="AT13" s="139" t="s">
        <v>235</v>
      </c>
      <c r="DS13" s="648"/>
      <c r="DT13" s="648"/>
      <c r="DU13" s="667" t="s">
        <v>415</v>
      </c>
      <c r="DV13" s="667" t="s">
        <v>1188</v>
      </c>
      <c r="DW13" s="667" t="s">
        <v>1134</v>
      </c>
      <c r="DX13" s="667" t="s">
        <v>1134</v>
      </c>
      <c r="DY13" s="669" t="s">
        <v>1190</v>
      </c>
      <c r="DZ13" s="667" t="s">
        <v>1134</v>
      </c>
      <c r="EA13" s="670" t="s">
        <v>236</v>
      </c>
      <c r="EB13" s="667" t="s">
        <v>1135</v>
      </c>
      <c r="EC13" s="667" t="s">
        <v>1134</v>
      </c>
      <c r="ED13" s="667" t="s">
        <v>1136</v>
      </c>
    </row>
    <row r="14" spans="1:135" x14ac:dyDescent="0.2">
      <c r="A14" s="225" t="s">
        <v>595</v>
      </c>
      <c r="B14" s="632">
        <v>7</v>
      </c>
      <c r="C14" s="770">
        <v>0</v>
      </c>
      <c r="D14" s="830">
        <v>0</v>
      </c>
      <c r="E14" s="830">
        <v>0</v>
      </c>
      <c r="F14" s="866">
        <v>0</v>
      </c>
      <c r="G14" s="830">
        <v>0</v>
      </c>
      <c r="H14" s="830">
        <v>0</v>
      </c>
      <c r="I14" s="828">
        <f t="shared" si="0"/>
        <v>0</v>
      </c>
      <c r="J14" s="832">
        <v>0</v>
      </c>
      <c r="K14" s="832">
        <v>0</v>
      </c>
      <c r="L14" s="830">
        <v>0</v>
      </c>
      <c r="M14" s="802">
        <v>0</v>
      </c>
      <c r="N14" s="832">
        <v>0</v>
      </c>
      <c r="O14" s="833">
        <v>0</v>
      </c>
      <c r="P14" s="832">
        <v>0</v>
      </c>
      <c r="Q14" s="832">
        <v>0</v>
      </c>
      <c r="R14" s="781">
        <v>0</v>
      </c>
      <c r="S14" s="830">
        <v>0</v>
      </c>
      <c r="T14" s="830">
        <v>0</v>
      </c>
      <c r="U14" s="834">
        <v>0</v>
      </c>
      <c r="V14" s="832">
        <v>0</v>
      </c>
      <c r="W14" s="831">
        <v>0</v>
      </c>
      <c r="X14" s="783">
        <v>0</v>
      </c>
      <c r="Y14" s="830">
        <v>0</v>
      </c>
      <c r="Z14" s="833">
        <v>0</v>
      </c>
      <c r="AA14" s="802">
        <v>0</v>
      </c>
      <c r="AB14" s="835">
        <v>0</v>
      </c>
      <c r="AC14" s="1094">
        <v>0</v>
      </c>
      <c r="AD14" s="833">
        <v>0</v>
      </c>
      <c r="AE14" s="836">
        <v>0</v>
      </c>
      <c r="AF14" s="836">
        <v>0</v>
      </c>
      <c r="AG14" s="827">
        <f t="shared" si="1"/>
        <v>0</v>
      </c>
      <c r="AH14" s="827">
        <f t="shared" si="2"/>
        <v>0</v>
      </c>
      <c r="AI14" s="466">
        <f t="shared" si="3"/>
        <v>0</v>
      </c>
      <c r="AJ14" s="467" t="str">
        <f t="shared" si="4"/>
        <v xml:space="preserve"> </v>
      </c>
      <c r="AS14" s="139" t="s">
        <v>537</v>
      </c>
      <c r="AT14" s="139" t="s">
        <v>538</v>
      </c>
      <c r="DS14" s="648"/>
      <c r="DT14" s="648"/>
      <c r="DU14" s="667" t="s">
        <v>415</v>
      </c>
      <c r="DV14" s="667" t="s">
        <v>1188</v>
      </c>
      <c r="DW14" s="667" t="s">
        <v>1134</v>
      </c>
      <c r="DX14" s="667" t="s">
        <v>1134</v>
      </c>
      <c r="DY14" s="669" t="s">
        <v>1190</v>
      </c>
      <c r="DZ14" s="667" t="s">
        <v>1134</v>
      </c>
      <c r="EA14" s="670" t="s">
        <v>537</v>
      </c>
      <c r="EB14" s="667" t="s">
        <v>1135</v>
      </c>
      <c r="EC14" s="667" t="s">
        <v>1134</v>
      </c>
      <c r="ED14" s="667" t="s">
        <v>1136</v>
      </c>
    </row>
    <row r="15" spans="1:135" x14ac:dyDescent="0.2">
      <c r="A15" s="225" t="s">
        <v>20</v>
      </c>
      <c r="B15" s="632">
        <v>8</v>
      </c>
      <c r="C15" s="770">
        <v>0</v>
      </c>
      <c r="D15" s="830">
        <v>0</v>
      </c>
      <c r="E15" s="830">
        <v>0</v>
      </c>
      <c r="F15" s="866">
        <v>0</v>
      </c>
      <c r="G15" s="830">
        <v>0</v>
      </c>
      <c r="H15" s="830">
        <v>0</v>
      </c>
      <c r="I15" s="828">
        <f t="shared" si="0"/>
        <v>0</v>
      </c>
      <c r="J15" s="832">
        <v>0</v>
      </c>
      <c r="K15" s="832">
        <v>0</v>
      </c>
      <c r="L15" s="830">
        <v>0</v>
      </c>
      <c r="M15" s="802">
        <v>0</v>
      </c>
      <c r="N15" s="832">
        <v>0</v>
      </c>
      <c r="O15" s="833">
        <v>0</v>
      </c>
      <c r="P15" s="832">
        <v>0</v>
      </c>
      <c r="Q15" s="832">
        <v>0</v>
      </c>
      <c r="R15" s="781">
        <v>0</v>
      </c>
      <c r="S15" s="830">
        <v>0</v>
      </c>
      <c r="T15" s="830">
        <v>0</v>
      </c>
      <c r="U15" s="834">
        <v>0</v>
      </c>
      <c r="V15" s="832">
        <v>0</v>
      </c>
      <c r="W15" s="831">
        <v>0</v>
      </c>
      <c r="X15" s="783">
        <v>0</v>
      </c>
      <c r="Y15" s="830">
        <v>0</v>
      </c>
      <c r="Z15" s="833">
        <v>0</v>
      </c>
      <c r="AA15" s="802">
        <v>0</v>
      </c>
      <c r="AB15" s="835">
        <v>0</v>
      </c>
      <c r="AC15" s="1094">
        <v>0</v>
      </c>
      <c r="AD15" s="833">
        <v>0</v>
      </c>
      <c r="AE15" s="836">
        <v>0</v>
      </c>
      <c r="AF15" s="836">
        <v>0</v>
      </c>
      <c r="AG15" s="827">
        <f t="shared" si="1"/>
        <v>0</v>
      </c>
      <c r="AH15" s="827">
        <f t="shared" si="2"/>
        <v>0</v>
      </c>
      <c r="AI15" s="466">
        <f t="shared" si="3"/>
        <v>0</v>
      </c>
      <c r="AJ15" s="467" t="str">
        <f t="shared" si="4"/>
        <v xml:space="preserve"> </v>
      </c>
      <c r="AS15" s="139" t="s">
        <v>433</v>
      </c>
      <c r="AT15" s="139" t="s">
        <v>434</v>
      </c>
      <c r="DS15" s="648"/>
      <c r="DT15" s="648"/>
      <c r="DU15" s="667" t="s">
        <v>415</v>
      </c>
      <c r="DV15" s="667" t="s">
        <v>1188</v>
      </c>
      <c r="DW15" s="667" t="s">
        <v>1134</v>
      </c>
      <c r="DX15" s="667" t="s">
        <v>1134</v>
      </c>
      <c r="DY15" s="669" t="s">
        <v>1190</v>
      </c>
      <c r="DZ15" s="667" t="s">
        <v>1134</v>
      </c>
      <c r="EA15" s="670" t="s">
        <v>433</v>
      </c>
      <c r="EB15" s="667" t="s">
        <v>1135</v>
      </c>
      <c r="EC15" s="667" t="s">
        <v>1134</v>
      </c>
      <c r="ED15" s="667" t="s">
        <v>1136</v>
      </c>
    </row>
    <row r="16" spans="1:135" x14ac:dyDescent="0.2">
      <c r="A16" s="225" t="s">
        <v>117</v>
      </c>
      <c r="B16" s="632">
        <v>9</v>
      </c>
      <c r="C16" s="770">
        <v>0</v>
      </c>
      <c r="D16" s="830">
        <v>0</v>
      </c>
      <c r="E16" s="830">
        <v>0</v>
      </c>
      <c r="F16" s="866">
        <v>0</v>
      </c>
      <c r="G16" s="830">
        <v>0</v>
      </c>
      <c r="H16" s="830">
        <v>0</v>
      </c>
      <c r="I16" s="828">
        <f t="shared" si="0"/>
        <v>0</v>
      </c>
      <c r="J16" s="832">
        <v>0</v>
      </c>
      <c r="K16" s="832">
        <v>0</v>
      </c>
      <c r="L16" s="830">
        <v>0</v>
      </c>
      <c r="M16" s="802">
        <v>0</v>
      </c>
      <c r="N16" s="832">
        <v>0</v>
      </c>
      <c r="O16" s="833">
        <v>0</v>
      </c>
      <c r="P16" s="832">
        <v>0</v>
      </c>
      <c r="Q16" s="832">
        <v>0</v>
      </c>
      <c r="R16" s="781">
        <v>0</v>
      </c>
      <c r="S16" s="830">
        <v>0</v>
      </c>
      <c r="T16" s="830">
        <v>0</v>
      </c>
      <c r="U16" s="834">
        <v>0</v>
      </c>
      <c r="V16" s="832">
        <v>0</v>
      </c>
      <c r="W16" s="831">
        <v>0</v>
      </c>
      <c r="X16" s="783">
        <v>0</v>
      </c>
      <c r="Y16" s="830">
        <v>0</v>
      </c>
      <c r="Z16" s="833">
        <v>0</v>
      </c>
      <c r="AA16" s="802">
        <v>0</v>
      </c>
      <c r="AB16" s="835">
        <v>0</v>
      </c>
      <c r="AC16" s="1094">
        <v>0</v>
      </c>
      <c r="AD16" s="833">
        <v>0</v>
      </c>
      <c r="AE16" s="836">
        <v>0</v>
      </c>
      <c r="AF16" s="836">
        <v>0</v>
      </c>
      <c r="AG16" s="827">
        <f t="shared" si="1"/>
        <v>0</v>
      </c>
      <c r="AH16" s="827">
        <f t="shared" si="2"/>
        <v>0</v>
      </c>
      <c r="AI16" s="466">
        <f t="shared" si="3"/>
        <v>0</v>
      </c>
      <c r="AJ16" s="467" t="str">
        <f t="shared" si="4"/>
        <v xml:space="preserve"> </v>
      </c>
      <c r="AS16" s="139" t="s">
        <v>238</v>
      </c>
      <c r="AT16" s="139" t="s">
        <v>237</v>
      </c>
      <c r="DS16" s="648"/>
      <c r="DT16" s="648"/>
      <c r="DU16" s="667" t="s">
        <v>415</v>
      </c>
      <c r="DV16" s="667" t="s">
        <v>1188</v>
      </c>
      <c r="DW16" s="667" t="s">
        <v>1134</v>
      </c>
      <c r="DX16" s="667" t="s">
        <v>1134</v>
      </c>
      <c r="DY16" s="669" t="s">
        <v>1190</v>
      </c>
      <c r="DZ16" s="667" t="s">
        <v>1134</v>
      </c>
      <c r="EA16" s="670" t="s">
        <v>238</v>
      </c>
      <c r="EB16" s="667" t="s">
        <v>1135</v>
      </c>
      <c r="EC16" s="667" t="s">
        <v>1134</v>
      </c>
      <c r="ED16" s="667" t="s">
        <v>1136</v>
      </c>
    </row>
    <row r="17" spans="1:134" x14ac:dyDescent="0.2">
      <c r="A17" s="225" t="s">
        <v>613</v>
      </c>
      <c r="B17" s="632">
        <v>10</v>
      </c>
      <c r="C17" s="770">
        <v>0</v>
      </c>
      <c r="D17" s="830">
        <v>0</v>
      </c>
      <c r="E17" s="830">
        <v>0</v>
      </c>
      <c r="F17" s="866">
        <v>0</v>
      </c>
      <c r="G17" s="830">
        <v>0</v>
      </c>
      <c r="H17" s="830">
        <v>0</v>
      </c>
      <c r="I17" s="828">
        <f t="shared" si="0"/>
        <v>0</v>
      </c>
      <c r="J17" s="832">
        <v>0</v>
      </c>
      <c r="K17" s="832">
        <v>0</v>
      </c>
      <c r="L17" s="830">
        <v>0</v>
      </c>
      <c r="M17" s="802">
        <v>0</v>
      </c>
      <c r="N17" s="832">
        <v>0</v>
      </c>
      <c r="O17" s="833">
        <v>0</v>
      </c>
      <c r="P17" s="832">
        <v>0</v>
      </c>
      <c r="Q17" s="832">
        <v>0</v>
      </c>
      <c r="R17" s="781">
        <v>0</v>
      </c>
      <c r="S17" s="830">
        <v>0</v>
      </c>
      <c r="T17" s="830">
        <v>0</v>
      </c>
      <c r="U17" s="834">
        <v>0</v>
      </c>
      <c r="V17" s="832">
        <v>0</v>
      </c>
      <c r="W17" s="831">
        <v>0</v>
      </c>
      <c r="X17" s="783">
        <v>0</v>
      </c>
      <c r="Y17" s="830">
        <v>0</v>
      </c>
      <c r="Z17" s="833">
        <v>0</v>
      </c>
      <c r="AA17" s="802">
        <v>0</v>
      </c>
      <c r="AB17" s="835">
        <v>0</v>
      </c>
      <c r="AC17" s="1094">
        <v>0</v>
      </c>
      <c r="AD17" s="833">
        <v>0</v>
      </c>
      <c r="AE17" s="836">
        <v>0</v>
      </c>
      <c r="AF17" s="836">
        <v>0</v>
      </c>
      <c r="AG17" s="827">
        <f t="shared" si="1"/>
        <v>0</v>
      </c>
      <c r="AH17" s="827">
        <f t="shared" si="2"/>
        <v>0</v>
      </c>
      <c r="AI17" s="466">
        <f t="shared" si="3"/>
        <v>0</v>
      </c>
      <c r="AJ17" s="467" t="str">
        <f t="shared" si="4"/>
        <v xml:space="preserve"> </v>
      </c>
      <c r="AS17" s="139" t="s">
        <v>617</v>
      </c>
      <c r="AT17" s="139" t="s">
        <v>618</v>
      </c>
      <c r="DS17" s="648"/>
      <c r="DT17" s="648"/>
      <c r="DU17" s="667" t="s">
        <v>415</v>
      </c>
      <c r="DV17" s="667" t="s">
        <v>1188</v>
      </c>
      <c r="DW17" s="667" t="s">
        <v>1134</v>
      </c>
      <c r="DX17" s="667" t="s">
        <v>1134</v>
      </c>
      <c r="DY17" s="669" t="s">
        <v>1190</v>
      </c>
      <c r="DZ17" s="667" t="s">
        <v>1134</v>
      </c>
      <c r="EA17" s="670" t="s">
        <v>617</v>
      </c>
      <c r="EB17" s="667" t="s">
        <v>1135</v>
      </c>
      <c r="EC17" s="667" t="s">
        <v>1134</v>
      </c>
      <c r="ED17" s="667" t="s">
        <v>1136</v>
      </c>
    </row>
    <row r="18" spans="1:134" x14ac:dyDescent="0.2">
      <c r="A18" s="225" t="s">
        <v>23</v>
      </c>
      <c r="B18" s="632">
        <v>11</v>
      </c>
      <c r="C18" s="770">
        <v>0</v>
      </c>
      <c r="D18" s="830">
        <v>0</v>
      </c>
      <c r="E18" s="830">
        <v>0</v>
      </c>
      <c r="F18" s="866">
        <v>0</v>
      </c>
      <c r="G18" s="830">
        <v>0</v>
      </c>
      <c r="H18" s="830">
        <v>0</v>
      </c>
      <c r="I18" s="828">
        <f t="shared" si="0"/>
        <v>0</v>
      </c>
      <c r="J18" s="832">
        <v>0</v>
      </c>
      <c r="K18" s="832">
        <v>0</v>
      </c>
      <c r="L18" s="830">
        <v>0</v>
      </c>
      <c r="M18" s="802">
        <v>0</v>
      </c>
      <c r="N18" s="832">
        <v>0</v>
      </c>
      <c r="O18" s="833">
        <v>0</v>
      </c>
      <c r="P18" s="832">
        <v>0</v>
      </c>
      <c r="Q18" s="832">
        <v>0</v>
      </c>
      <c r="R18" s="781">
        <v>0</v>
      </c>
      <c r="S18" s="830">
        <v>0</v>
      </c>
      <c r="T18" s="830">
        <v>0</v>
      </c>
      <c r="U18" s="834">
        <v>0</v>
      </c>
      <c r="V18" s="832">
        <v>0</v>
      </c>
      <c r="W18" s="831">
        <v>0</v>
      </c>
      <c r="X18" s="783">
        <v>0</v>
      </c>
      <c r="Y18" s="830">
        <v>0</v>
      </c>
      <c r="Z18" s="833">
        <v>0</v>
      </c>
      <c r="AA18" s="802">
        <v>0</v>
      </c>
      <c r="AB18" s="835">
        <v>0</v>
      </c>
      <c r="AC18" s="1094">
        <v>0</v>
      </c>
      <c r="AD18" s="833">
        <v>0</v>
      </c>
      <c r="AE18" s="836">
        <v>0</v>
      </c>
      <c r="AF18" s="836">
        <v>0</v>
      </c>
      <c r="AG18" s="827">
        <f t="shared" si="1"/>
        <v>0</v>
      </c>
      <c r="AH18" s="827">
        <f t="shared" si="2"/>
        <v>0</v>
      </c>
      <c r="AI18" s="466">
        <f t="shared" si="3"/>
        <v>0</v>
      </c>
      <c r="AJ18" s="467" t="str">
        <f t="shared" si="4"/>
        <v xml:space="preserve"> </v>
      </c>
      <c r="AS18" s="130" t="s">
        <v>439</v>
      </c>
      <c r="AT18" s="130" t="s">
        <v>440</v>
      </c>
      <c r="DS18" s="648"/>
      <c r="DT18" s="648"/>
      <c r="DU18" s="667" t="s">
        <v>415</v>
      </c>
      <c r="DV18" s="667" t="s">
        <v>1188</v>
      </c>
      <c r="DW18" s="667" t="s">
        <v>1134</v>
      </c>
      <c r="DX18" s="667" t="s">
        <v>1134</v>
      </c>
      <c r="DY18" s="669" t="s">
        <v>1190</v>
      </c>
      <c r="DZ18" s="667" t="s">
        <v>1134</v>
      </c>
      <c r="EA18" s="670" t="s">
        <v>439</v>
      </c>
      <c r="EB18" s="667" t="s">
        <v>1135</v>
      </c>
      <c r="EC18" s="667" t="s">
        <v>1134</v>
      </c>
      <c r="ED18" s="667" t="s">
        <v>1136</v>
      </c>
    </row>
    <row r="19" spans="1:134" x14ac:dyDescent="0.2">
      <c r="A19" s="225" t="s">
        <v>964</v>
      </c>
      <c r="B19" s="632">
        <v>12</v>
      </c>
      <c r="C19" s="770">
        <v>0</v>
      </c>
      <c r="D19" s="830">
        <v>0</v>
      </c>
      <c r="E19" s="830">
        <v>0</v>
      </c>
      <c r="F19" s="866">
        <v>0</v>
      </c>
      <c r="G19" s="830">
        <v>0</v>
      </c>
      <c r="H19" s="830">
        <v>0</v>
      </c>
      <c r="I19" s="828">
        <f t="shared" si="0"/>
        <v>0</v>
      </c>
      <c r="J19" s="832">
        <v>0</v>
      </c>
      <c r="K19" s="832">
        <v>0</v>
      </c>
      <c r="L19" s="830">
        <v>0</v>
      </c>
      <c r="M19" s="802">
        <v>0</v>
      </c>
      <c r="N19" s="832">
        <v>0</v>
      </c>
      <c r="O19" s="833">
        <v>0</v>
      </c>
      <c r="P19" s="832">
        <v>0</v>
      </c>
      <c r="Q19" s="832">
        <v>0</v>
      </c>
      <c r="R19" s="781">
        <v>0</v>
      </c>
      <c r="S19" s="830">
        <v>0</v>
      </c>
      <c r="T19" s="830">
        <v>0</v>
      </c>
      <c r="U19" s="834">
        <v>0</v>
      </c>
      <c r="V19" s="832">
        <v>0</v>
      </c>
      <c r="W19" s="831">
        <v>0</v>
      </c>
      <c r="X19" s="783">
        <v>0</v>
      </c>
      <c r="Y19" s="830">
        <v>0</v>
      </c>
      <c r="Z19" s="833">
        <v>0</v>
      </c>
      <c r="AA19" s="802">
        <v>0</v>
      </c>
      <c r="AB19" s="835">
        <v>0</v>
      </c>
      <c r="AC19" s="1094">
        <v>0</v>
      </c>
      <c r="AD19" s="833">
        <v>0</v>
      </c>
      <c r="AE19" s="836">
        <v>0</v>
      </c>
      <c r="AF19" s="836">
        <v>0</v>
      </c>
      <c r="AG19" s="827">
        <f t="shared" si="1"/>
        <v>0</v>
      </c>
      <c r="AH19" s="827">
        <f t="shared" si="2"/>
        <v>0</v>
      </c>
      <c r="AI19" s="466">
        <f t="shared" si="3"/>
        <v>0</v>
      </c>
      <c r="AJ19" s="467" t="str">
        <f t="shared" si="4"/>
        <v xml:space="preserve"> </v>
      </c>
      <c r="AS19" s="130" t="s">
        <v>1034</v>
      </c>
      <c r="AT19" s="130" t="s">
        <v>1035</v>
      </c>
      <c r="DS19" s="648"/>
      <c r="DT19" s="648"/>
      <c r="DU19" s="667" t="s">
        <v>415</v>
      </c>
      <c r="DV19" s="667" t="s">
        <v>1188</v>
      </c>
      <c r="DW19" s="667" t="s">
        <v>1134</v>
      </c>
      <c r="DX19" s="667" t="s">
        <v>1134</v>
      </c>
      <c r="DY19" s="669" t="s">
        <v>1190</v>
      </c>
      <c r="DZ19" s="667" t="s">
        <v>1134</v>
      </c>
      <c r="EA19" s="670" t="s">
        <v>1034</v>
      </c>
      <c r="EB19" s="667" t="s">
        <v>1135</v>
      </c>
      <c r="EC19" s="667" t="s">
        <v>1134</v>
      </c>
      <c r="ED19" s="667" t="s">
        <v>1136</v>
      </c>
    </row>
    <row r="20" spans="1:134" x14ac:dyDescent="0.2">
      <c r="A20" s="225" t="s">
        <v>567</v>
      </c>
      <c r="B20" s="632">
        <v>13</v>
      </c>
      <c r="C20" s="770">
        <v>0</v>
      </c>
      <c r="D20" s="830">
        <v>0</v>
      </c>
      <c r="E20" s="830">
        <v>0</v>
      </c>
      <c r="F20" s="866">
        <v>0</v>
      </c>
      <c r="G20" s="830">
        <v>0</v>
      </c>
      <c r="H20" s="830">
        <v>0</v>
      </c>
      <c r="I20" s="828">
        <f t="shared" si="0"/>
        <v>0</v>
      </c>
      <c r="J20" s="832">
        <v>0</v>
      </c>
      <c r="K20" s="832">
        <v>0</v>
      </c>
      <c r="L20" s="830">
        <v>0</v>
      </c>
      <c r="M20" s="802">
        <v>0</v>
      </c>
      <c r="N20" s="832">
        <v>0</v>
      </c>
      <c r="O20" s="833">
        <v>0</v>
      </c>
      <c r="P20" s="832">
        <v>0</v>
      </c>
      <c r="Q20" s="832">
        <v>0</v>
      </c>
      <c r="R20" s="781">
        <v>0</v>
      </c>
      <c r="S20" s="830">
        <v>0</v>
      </c>
      <c r="T20" s="830">
        <v>0</v>
      </c>
      <c r="U20" s="834">
        <v>0</v>
      </c>
      <c r="V20" s="832">
        <v>0</v>
      </c>
      <c r="W20" s="831">
        <v>0</v>
      </c>
      <c r="X20" s="783">
        <v>0</v>
      </c>
      <c r="Y20" s="830">
        <v>0</v>
      </c>
      <c r="Z20" s="833">
        <v>0</v>
      </c>
      <c r="AA20" s="802">
        <v>0</v>
      </c>
      <c r="AB20" s="835">
        <v>0</v>
      </c>
      <c r="AC20" s="1094">
        <v>0</v>
      </c>
      <c r="AD20" s="833">
        <v>0</v>
      </c>
      <c r="AE20" s="836">
        <v>0</v>
      </c>
      <c r="AF20" s="836">
        <v>0</v>
      </c>
      <c r="AG20" s="827">
        <f t="shared" si="1"/>
        <v>0</v>
      </c>
      <c r="AH20" s="827">
        <f t="shared" si="2"/>
        <v>0</v>
      </c>
      <c r="AI20" s="466">
        <f t="shared" si="3"/>
        <v>0</v>
      </c>
      <c r="AJ20" s="467" t="str">
        <f t="shared" si="4"/>
        <v xml:space="preserve"> </v>
      </c>
      <c r="AS20" s="139" t="s">
        <v>539</v>
      </c>
      <c r="AT20" s="139" t="s">
        <v>540</v>
      </c>
      <c r="DS20" s="648"/>
      <c r="DT20" s="648"/>
      <c r="DU20" s="667" t="s">
        <v>415</v>
      </c>
      <c r="DV20" s="667" t="s">
        <v>1188</v>
      </c>
      <c r="DW20" s="667" t="s">
        <v>1134</v>
      </c>
      <c r="DX20" s="667" t="s">
        <v>1134</v>
      </c>
      <c r="DY20" s="669" t="s">
        <v>1190</v>
      </c>
      <c r="DZ20" s="667" t="s">
        <v>1134</v>
      </c>
      <c r="EA20" s="670" t="s">
        <v>539</v>
      </c>
      <c r="EB20" s="667" t="s">
        <v>1135</v>
      </c>
      <c r="EC20" s="667" t="s">
        <v>1134</v>
      </c>
      <c r="ED20" s="667" t="s">
        <v>1136</v>
      </c>
    </row>
    <row r="21" spans="1:134" x14ac:dyDescent="0.2">
      <c r="A21" s="225" t="s">
        <v>150</v>
      </c>
      <c r="B21" s="632">
        <v>14</v>
      </c>
      <c r="C21" s="770">
        <v>0</v>
      </c>
      <c r="D21" s="830">
        <v>0</v>
      </c>
      <c r="E21" s="830">
        <v>0</v>
      </c>
      <c r="F21" s="866">
        <v>0</v>
      </c>
      <c r="G21" s="830">
        <v>0</v>
      </c>
      <c r="H21" s="830">
        <v>0</v>
      </c>
      <c r="I21" s="828">
        <f t="shared" si="0"/>
        <v>0</v>
      </c>
      <c r="J21" s="832">
        <v>0</v>
      </c>
      <c r="K21" s="832">
        <v>0</v>
      </c>
      <c r="L21" s="830">
        <v>0</v>
      </c>
      <c r="M21" s="802">
        <v>0</v>
      </c>
      <c r="N21" s="832">
        <v>0</v>
      </c>
      <c r="O21" s="833">
        <v>0</v>
      </c>
      <c r="P21" s="832">
        <v>0</v>
      </c>
      <c r="Q21" s="832">
        <v>0</v>
      </c>
      <c r="R21" s="781">
        <v>0</v>
      </c>
      <c r="S21" s="830">
        <v>0</v>
      </c>
      <c r="T21" s="830">
        <v>0</v>
      </c>
      <c r="U21" s="834">
        <v>0</v>
      </c>
      <c r="V21" s="832">
        <v>0</v>
      </c>
      <c r="W21" s="831">
        <v>0</v>
      </c>
      <c r="X21" s="783">
        <v>0</v>
      </c>
      <c r="Y21" s="830">
        <v>0</v>
      </c>
      <c r="Z21" s="833">
        <v>0</v>
      </c>
      <c r="AA21" s="802">
        <v>0</v>
      </c>
      <c r="AB21" s="835">
        <v>0</v>
      </c>
      <c r="AC21" s="1094">
        <v>0</v>
      </c>
      <c r="AD21" s="833">
        <v>0</v>
      </c>
      <c r="AE21" s="836">
        <v>0</v>
      </c>
      <c r="AF21" s="836">
        <v>0</v>
      </c>
      <c r="AG21" s="827">
        <f t="shared" si="1"/>
        <v>0</v>
      </c>
      <c r="AH21" s="827">
        <f t="shared" si="2"/>
        <v>0</v>
      </c>
      <c r="AI21" s="466">
        <f t="shared" si="3"/>
        <v>0</v>
      </c>
      <c r="AJ21" s="467" t="str">
        <f t="shared" si="4"/>
        <v xml:space="preserve"> </v>
      </c>
      <c r="AS21" s="139" t="s">
        <v>445</v>
      </c>
      <c r="AT21" s="139" t="s">
        <v>446</v>
      </c>
      <c r="DS21" s="648"/>
      <c r="DT21" s="648"/>
      <c r="DU21" s="667" t="s">
        <v>415</v>
      </c>
      <c r="DV21" s="667" t="s">
        <v>1188</v>
      </c>
      <c r="DW21" s="667" t="s">
        <v>1134</v>
      </c>
      <c r="DX21" s="667" t="s">
        <v>1134</v>
      </c>
      <c r="DY21" s="669" t="s">
        <v>1190</v>
      </c>
      <c r="DZ21" s="667" t="s">
        <v>1134</v>
      </c>
      <c r="EA21" s="670" t="s">
        <v>445</v>
      </c>
      <c r="EB21" s="667" t="s">
        <v>1135</v>
      </c>
      <c r="EC21" s="667" t="s">
        <v>1134</v>
      </c>
      <c r="ED21" s="667" t="s">
        <v>1136</v>
      </c>
    </row>
    <row r="22" spans="1:134" x14ac:dyDescent="0.2">
      <c r="A22" s="225" t="s">
        <v>25</v>
      </c>
      <c r="B22" s="632">
        <v>15</v>
      </c>
      <c r="C22" s="770">
        <v>0</v>
      </c>
      <c r="D22" s="830">
        <v>0</v>
      </c>
      <c r="E22" s="830">
        <v>0</v>
      </c>
      <c r="F22" s="866">
        <v>0</v>
      </c>
      <c r="G22" s="830">
        <v>0</v>
      </c>
      <c r="H22" s="830">
        <v>0</v>
      </c>
      <c r="I22" s="828">
        <f t="shared" si="0"/>
        <v>0</v>
      </c>
      <c r="J22" s="832">
        <v>0</v>
      </c>
      <c r="K22" s="832">
        <v>0</v>
      </c>
      <c r="L22" s="830">
        <v>0</v>
      </c>
      <c r="M22" s="802">
        <v>0</v>
      </c>
      <c r="N22" s="832">
        <v>0</v>
      </c>
      <c r="O22" s="833">
        <v>0</v>
      </c>
      <c r="P22" s="832">
        <v>0</v>
      </c>
      <c r="Q22" s="832">
        <v>0</v>
      </c>
      <c r="R22" s="781">
        <v>0</v>
      </c>
      <c r="S22" s="830">
        <v>0</v>
      </c>
      <c r="T22" s="830">
        <v>0</v>
      </c>
      <c r="U22" s="834">
        <v>0</v>
      </c>
      <c r="V22" s="832">
        <v>0</v>
      </c>
      <c r="W22" s="831">
        <v>0</v>
      </c>
      <c r="X22" s="783">
        <v>0</v>
      </c>
      <c r="Y22" s="830">
        <v>0</v>
      </c>
      <c r="Z22" s="833">
        <v>0</v>
      </c>
      <c r="AA22" s="802">
        <v>0</v>
      </c>
      <c r="AB22" s="835">
        <v>0</v>
      </c>
      <c r="AC22" s="1094">
        <v>0</v>
      </c>
      <c r="AD22" s="833">
        <v>0</v>
      </c>
      <c r="AE22" s="836">
        <v>0</v>
      </c>
      <c r="AF22" s="836">
        <v>0</v>
      </c>
      <c r="AG22" s="827">
        <f t="shared" si="1"/>
        <v>0</v>
      </c>
      <c r="AH22" s="827">
        <f t="shared" si="2"/>
        <v>0</v>
      </c>
      <c r="AI22" s="466">
        <f t="shared" si="3"/>
        <v>0</v>
      </c>
      <c r="AJ22" s="467" t="str">
        <f t="shared" si="4"/>
        <v xml:space="preserve"> </v>
      </c>
      <c r="AS22" s="139" t="s">
        <v>240</v>
      </c>
      <c r="AT22" s="139" t="s">
        <v>239</v>
      </c>
      <c r="DS22" s="648"/>
      <c r="DT22" s="648"/>
      <c r="DU22" s="667" t="s">
        <v>415</v>
      </c>
      <c r="DV22" s="667" t="s">
        <v>1188</v>
      </c>
      <c r="DW22" s="667" t="s">
        <v>1134</v>
      </c>
      <c r="DX22" s="667" t="s">
        <v>1134</v>
      </c>
      <c r="DY22" s="669" t="s">
        <v>1190</v>
      </c>
      <c r="DZ22" s="667" t="s">
        <v>1134</v>
      </c>
      <c r="EA22" s="670" t="s">
        <v>240</v>
      </c>
      <c r="EB22" s="667" t="s">
        <v>1135</v>
      </c>
      <c r="EC22" s="667" t="s">
        <v>1134</v>
      </c>
      <c r="ED22" s="667" t="s">
        <v>1136</v>
      </c>
    </row>
    <row r="23" spans="1:134" x14ac:dyDescent="0.2">
      <c r="A23" s="225" t="s">
        <v>118</v>
      </c>
      <c r="B23" s="632">
        <v>16</v>
      </c>
      <c r="C23" s="770">
        <v>0</v>
      </c>
      <c r="D23" s="830">
        <v>0</v>
      </c>
      <c r="E23" s="830">
        <v>0</v>
      </c>
      <c r="F23" s="866">
        <v>0</v>
      </c>
      <c r="G23" s="830">
        <v>0</v>
      </c>
      <c r="H23" s="830">
        <v>0</v>
      </c>
      <c r="I23" s="828">
        <f t="shared" si="0"/>
        <v>0</v>
      </c>
      <c r="J23" s="832">
        <v>0</v>
      </c>
      <c r="K23" s="832">
        <v>0</v>
      </c>
      <c r="L23" s="830">
        <v>0</v>
      </c>
      <c r="M23" s="802">
        <v>0</v>
      </c>
      <c r="N23" s="832">
        <v>0</v>
      </c>
      <c r="O23" s="833">
        <v>0</v>
      </c>
      <c r="P23" s="832">
        <v>0</v>
      </c>
      <c r="Q23" s="832">
        <v>0</v>
      </c>
      <c r="R23" s="781">
        <v>0</v>
      </c>
      <c r="S23" s="830">
        <v>0</v>
      </c>
      <c r="T23" s="830">
        <v>0</v>
      </c>
      <c r="U23" s="834">
        <v>0</v>
      </c>
      <c r="V23" s="832">
        <v>0</v>
      </c>
      <c r="W23" s="831">
        <v>0</v>
      </c>
      <c r="X23" s="783">
        <v>0</v>
      </c>
      <c r="Y23" s="830">
        <v>0</v>
      </c>
      <c r="Z23" s="833">
        <v>0</v>
      </c>
      <c r="AA23" s="802">
        <v>0</v>
      </c>
      <c r="AB23" s="835">
        <v>0</v>
      </c>
      <c r="AC23" s="1094">
        <v>0</v>
      </c>
      <c r="AD23" s="833">
        <v>0</v>
      </c>
      <c r="AE23" s="836">
        <v>0</v>
      </c>
      <c r="AF23" s="836">
        <v>0</v>
      </c>
      <c r="AG23" s="827">
        <f t="shared" si="1"/>
        <v>0</v>
      </c>
      <c r="AH23" s="827">
        <f t="shared" si="2"/>
        <v>0</v>
      </c>
      <c r="AI23" s="466">
        <f t="shared" si="3"/>
        <v>0</v>
      </c>
      <c r="AJ23" s="467" t="str">
        <f t="shared" si="4"/>
        <v xml:space="preserve"> </v>
      </c>
      <c r="AS23" s="139" t="s">
        <v>242</v>
      </c>
      <c r="AT23" s="139" t="s">
        <v>241</v>
      </c>
      <c r="DS23" s="648"/>
      <c r="DT23" s="648"/>
      <c r="DU23" s="667" t="s">
        <v>415</v>
      </c>
      <c r="DV23" s="667" t="s">
        <v>1188</v>
      </c>
      <c r="DW23" s="667" t="s">
        <v>1134</v>
      </c>
      <c r="DX23" s="667" t="s">
        <v>1134</v>
      </c>
      <c r="DY23" s="669" t="s">
        <v>1190</v>
      </c>
      <c r="DZ23" s="667" t="s">
        <v>1134</v>
      </c>
      <c r="EA23" s="670" t="s">
        <v>242</v>
      </c>
      <c r="EB23" s="667" t="s">
        <v>1135</v>
      </c>
      <c r="EC23" s="667" t="s">
        <v>1134</v>
      </c>
      <c r="ED23" s="667" t="s">
        <v>1136</v>
      </c>
    </row>
    <row r="24" spans="1:134" x14ac:dyDescent="0.2">
      <c r="A24" s="225" t="s">
        <v>557</v>
      </c>
      <c r="B24" s="632">
        <v>17</v>
      </c>
      <c r="C24" s="770">
        <v>0</v>
      </c>
      <c r="D24" s="830">
        <v>0</v>
      </c>
      <c r="E24" s="830">
        <v>0</v>
      </c>
      <c r="F24" s="866">
        <v>0</v>
      </c>
      <c r="G24" s="830">
        <v>0</v>
      </c>
      <c r="H24" s="830">
        <v>0</v>
      </c>
      <c r="I24" s="828">
        <f t="shared" si="0"/>
        <v>0</v>
      </c>
      <c r="J24" s="832">
        <v>0</v>
      </c>
      <c r="K24" s="832">
        <v>0</v>
      </c>
      <c r="L24" s="830">
        <v>0</v>
      </c>
      <c r="M24" s="802">
        <v>0</v>
      </c>
      <c r="N24" s="832">
        <v>0</v>
      </c>
      <c r="O24" s="833">
        <v>0</v>
      </c>
      <c r="P24" s="832">
        <v>0</v>
      </c>
      <c r="Q24" s="832">
        <v>0</v>
      </c>
      <c r="R24" s="781">
        <v>0</v>
      </c>
      <c r="S24" s="830">
        <v>0</v>
      </c>
      <c r="T24" s="830">
        <v>0</v>
      </c>
      <c r="U24" s="834">
        <v>0</v>
      </c>
      <c r="V24" s="832">
        <v>0</v>
      </c>
      <c r="W24" s="831">
        <v>0</v>
      </c>
      <c r="X24" s="783">
        <v>0</v>
      </c>
      <c r="Y24" s="830">
        <v>0</v>
      </c>
      <c r="Z24" s="833">
        <v>0</v>
      </c>
      <c r="AA24" s="802">
        <v>0</v>
      </c>
      <c r="AB24" s="835">
        <v>0</v>
      </c>
      <c r="AC24" s="1094">
        <v>0</v>
      </c>
      <c r="AD24" s="833">
        <v>0</v>
      </c>
      <c r="AE24" s="836">
        <v>0</v>
      </c>
      <c r="AF24" s="836">
        <v>0</v>
      </c>
      <c r="AG24" s="827">
        <f t="shared" si="1"/>
        <v>0</v>
      </c>
      <c r="AH24" s="827">
        <f t="shared" si="2"/>
        <v>0</v>
      </c>
      <c r="AI24" s="466">
        <f t="shared" si="3"/>
        <v>0</v>
      </c>
      <c r="AJ24" s="467" t="str">
        <f t="shared" si="4"/>
        <v xml:space="preserve"> </v>
      </c>
      <c r="AS24" s="139" t="s">
        <v>507</v>
      </c>
      <c r="AT24" s="139" t="s">
        <v>508</v>
      </c>
      <c r="DS24" s="648"/>
      <c r="DT24" s="648"/>
      <c r="DU24" s="667" t="s">
        <v>415</v>
      </c>
      <c r="DV24" s="667" t="s">
        <v>1188</v>
      </c>
      <c r="DW24" s="667" t="s">
        <v>1134</v>
      </c>
      <c r="DX24" s="667" t="s">
        <v>1134</v>
      </c>
      <c r="DY24" s="669" t="s">
        <v>1190</v>
      </c>
      <c r="DZ24" s="667" t="s">
        <v>1134</v>
      </c>
      <c r="EA24" s="670" t="s">
        <v>507</v>
      </c>
      <c r="EB24" s="667" t="s">
        <v>1135</v>
      </c>
      <c r="EC24" s="667" t="s">
        <v>1134</v>
      </c>
      <c r="ED24" s="667" t="s">
        <v>1136</v>
      </c>
    </row>
    <row r="25" spans="1:134" x14ac:dyDescent="0.2">
      <c r="A25" s="225" t="s">
        <v>119</v>
      </c>
      <c r="B25" s="632">
        <v>18</v>
      </c>
      <c r="C25" s="770">
        <v>0</v>
      </c>
      <c r="D25" s="830">
        <v>0</v>
      </c>
      <c r="E25" s="830">
        <v>0</v>
      </c>
      <c r="F25" s="866">
        <v>0</v>
      </c>
      <c r="G25" s="830">
        <v>0</v>
      </c>
      <c r="H25" s="830">
        <v>0</v>
      </c>
      <c r="I25" s="828">
        <f t="shared" si="0"/>
        <v>0</v>
      </c>
      <c r="J25" s="832">
        <v>0</v>
      </c>
      <c r="K25" s="832">
        <v>0</v>
      </c>
      <c r="L25" s="830">
        <v>0</v>
      </c>
      <c r="M25" s="802">
        <v>0</v>
      </c>
      <c r="N25" s="832">
        <v>0</v>
      </c>
      <c r="O25" s="833">
        <v>0</v>
      </c>
      <c r="P25" s="832">
        <v>0</v>
      </c>
      <c r="Q25" s="832">
        <v>0</v>
      </c>
      <c r="R25" s="781">
        <v>0</v>
      </c>
      <c r="S25" s="830">
        <v>0</v>
      </c>
      <c r="T25" s="830">
        <v>0</v>
      </c>
      <c r="U25" s="834">
        <v>0</v>
      </c>
      <c r="V25" s="832">
        <v>0</v>
      </c>
      <c r="W25" s="831">
        <v>0</v>
      </c>
      <c r="X25" s="783">
        <v>0</v>
      </c>
      <c r="Y25" s="830">
        <v>0</v>
      </c>
      <c r="Z25" s="833">
        <v>0</v>
      </c>
      <c r="AA25" s="802">
        <v>0</v>
      </c>
      <c r="AB25" s="835">
        <v>0</v>
      </c>
      <c r="AC25" s="1094">
        <v>0</v>
      </c>
      <c r="AD25" s="833">
        <v>0</v>
      </c>
      <c r="AE25" s="836">
        <v>0</v>
      </c>
      <c r="AF25" s="836">
        <v>0</v>
      </c>
      <c r="AG25" s="827">
        <f t="shared" si="1"/>
        <v>0</v>
      </c>
      <c r="AH25" s="827">
        <f t="shared" si="2"/>
        <v>0</v>
      </c>
      <c r="AI25" s="466">
        <f t="shared" si="3"/>
        <v>0</v>
      </c>
      <c r="AJ25" s="467" t="str">
        <f t="shared" si="4"/>
        <v xml:space="preserve"> </v>
      </c>
      <c r="AS25" s="139" t="s">
        <v>244</v>
      </c>
      <c r="AT25" s="139" t="s">
        <v>243</v>
      </c>
      <c r="DS25" s="648"/>
      <c r="DT25" s="648"/>
      <c r="DU25" s="667" t="s">
        <v>415</v>
      </c>
      <c r="DV25" s="667" t="s">
        <v>1188</v>
      </c>
      <c r="DW25" s="667" t="s">
        <v>1134</v>
      </c>
      <c r="DX25" s="667" t="s">
        <v>1134</v>
      </c>
      <c r="DY25" s="669" t="s">
        <v>1190</v>
      </c>
      <c r="DZ25" s="667" t="s">
        <v>1134</v>
      </c>
      <c r="EA25" s="670" t="s">
        <v>244</v>
      </c>
      <c r="EB25" s="667" t="s">
        <v>1135</v>
      </c>
      <c r="EC25" s="667" t="s">
        <v>1134</v>
      </c>
      <c r="ED25" s="667" t="s">
        <v>1136</v>
      </c>
    </row>
    <row r="26" spans="1:134" x14ac:dyDescent="0.2">
      <c r="A26" s="225" t="s">
        <v>30</v>
      </c>
      <c r="B26" s="632">
        <v>19</v>
      </c>
      <c r="C26" s="770">
        <v>0</v>
      </c>
      <c r="D26" s="830">
        <v>0</v>
      </c>
      <c r="E26" s="830">
        <v>0</v>
      </c>
      <c r="F26" s="866">
        <v>0</v>
      </c>
      <c r="G26" s="830">
        <v>0</v>
      </c>
      <c r="H26" s="830">
        <v>0</v>
      </c>
      <c r="I26" s="828">
        <f t="shared" si="0"/>
        <v>0</v>
      </c>
      <c r="J26" s="832">
        <v>0</v>
      </c>
      <c r="K26" s="832">
        <v>0</v>
      </c>
      <c r="L26" s="830">
        <v>0</v>
      </c>
      <c r="M26" s="802">
        <v>0</v>
      </c>
      <c r="N26" s="832">
        <v>0</v>
      </c>
      <c r="O26" s="833">
        <v>0</v>
      </c>
      <c r="P26" s="832">
        <v>0</v>
      </c>
      <c r="Q26" s="832">
        <v>0</v>
      </c>
      <c r="R26" s="781">
        <v>0</v>
      </c>
      <c r="S26" s="830">
        <v>0</v>
      </c>
      <c r="T26" s="830">
        <v>0</v>
      </c>
      <c r="U26" s="834">
        <v>0</v>
      </c>
      <c r="V26" s="832">
        <v>0</v>
      </c>
      <c r="W26" s="831">
        <v>0</v>
      </c>
      <c r="X26" s="783">
        <v>0</v>
      </c>
      <c r="Y26" s="830">
        <v>0</v>
      </c>
      <c r="Z26" s="833">
        <v>0</v>
      </c>
      <c r="AA26" s="802">
        <v>0</v>
      </c>
      <c r="AB26" s="835">
        <v>0</v>
      </c>
      <c r="AC26" s="1094">
        <v>0</v>
      </c>
      <c r="AD26" s="833">
        <v>0</v>
      </c>
      <c r="AE26" s="836">
        <v>0</v>
      </c>
      <c r="AF26" s="836">
        <v>0</v>
      </c>
      <c r="AG26" s="827">
        <f t="shared" si="1"/>
        <v>0</v>
      </c>
      <c r="AH26" s="827">
        <f t="shared" si="2"/>
        <v>0</v>
      </c>
      <c r="AI26" s="466">
        <f t="shared" si="3"/>
        <v>0</v>
      </c>
      <c r="AJ26" s="467" t="str">
        <f t="shared" si="4"/>
        <v xml:space="preserve"> </v>
      </c>
      <c r="AS26" s="139" t="s">
        <v>246</v>
      </c>
      <c r="AT26" s="139" t="s">
        <v>245</v>
      </c>
      <c r="DS26" s="648"/>
      <c r="DT26" s="648"/>
      <c r="DU26" s="667" t="s">
        <v>415</v>
      </c>
      <c r="DV26" s="667" t="s">
        <v>1188</v>
      </c>
      <c r="DW26" s="667" t="s">
        <v>1134</v>
      </c>
      <c r="DX26" s="667" t="s">
        <v>1134</v>
      </c>
      <c r="DY26" s="669" t="s">
        <v>1190</v>
      </c>
      <c r="DZ26" s="667" t="s">
        <v>1134</v>
      </c>
      <c r="EA26" s="670" t="s">
        <v>246</v>
      </c>
      <c r="EB26" s="667" t="s">
        <v>1135</v>
      </c>
      <c r="EC26" s="667" t="s">
        <v>1134</v>
      </c>
      <c r="ED26" s="667" t="s">
        <v>1136</v>
      </c>
    </row>
    <row r="27" spans="1:134" x14ac:dyDescent="0.2">
      <c r="A27" s="225" t="s">
        <v>558</v>
      </c>
      <c r="B27" s="632">
        <v>20</v>
      </c>
      <c r="C27" s="770">
        <v>0</v>
      </c>
      <c r="D27" s="830">
        <v>0</v>
      </c>
      <c r="E27" s="830">
        <v>0</v>
      </c>
      <c r="F27" s="866">
        <v>0</v>
      </c>
      <c r="G27" s="830">
        <v>0</v>
      </c>
      <c r="H27" s="830">
        <v>0</v>
      </c>
      <c r="I27" s="828">
        <f t="shared" si="0"/>
        <v>0</v>
      </c>
      <c r="J27" s="832">
        <v>0</v>
      </c>
      <c r="K27" s="832">
        <v>0</v>
      </c>
      <c r="L27" s="830">
        <v>0</v>
      </c>
      <c r="M27" s="802">
        <v>0</v>
      </c>
      <c r="N27" s="832">
        <v>0</v>
      </c>
      <c r="O27" s="833">
        <v>0</v>
      </c>
      <c r="P27" s="832">
        <v>0</v>
      </c>
      <c r="Q27" s="832">
        <v>0</v>
      </c>
      <c r="R27" s="781">
        <v>0</v>
      </c>
      <c r="S27" s="830">
        <v>0</v>
      </c>
      <c r="T27" s="830">
        <v>0</v>
      </c>
      <c r="U27" s="834">
        <v>0</v>
      </c>
      <c r="V27" s="832">
        <v>0</v>
      </c>
      <c r="W27" s="831">
        <v>0</v>
      </c>
      <c r="X27" s="783">
        <v>0</v>
      </c>
      <c r="Y27" s="830">
        <v>0</v>
      </c>
      <c r="Z27" s="833">
        <v>0</v>
      </c>
      <c r="AA27" s="802">
        <v>0</v>
      </c>
      <c r="AB27" s="835">
        <v>0</v>
      </c>
      <c r="AC27" s="1094">
        <v>0</v>
      </c>
      <c r="AD27" s="833">
        <v>0</v>
      </c>
      <c r="AE27" s="836">
        <v>0</v>
      </c>
      <c r="AF27" s="836">
        <v>0</v>
      </c>
      <c r="AG27" s="827">
        <f t="shared" si="1"/>
        <v>0</v>
      </c>
      <c r="AH27" s="827">
        <f t="shared" si="2"/>
        <v>0</v>
      </c>
      <c r="AI27" s="466">
        <f t="shared" si="3"/>
        <v>0</v>
      </c>
      <c r="AJ27" s="467" t="str">
        <f t="shared" si="4"/>
        <v xml:space="preserve"> </v>
      </c>
      <c r="AS27" s="139" t="s">
        <v>509</v>
      </c>
      <c r="AT27" s="139" t="s">
        <v>510</v>
      </c>
      <c r="DS27" s="648"/>
      <c r="DT27" s="648"/>
      <c r="DU27" s="667" t="s">
        <v>415</v>
      </c>
      <c r="DV27" s="667" t="s">
        <v>1188</v>
      </c>
      <c r="DW27" s="667" t="s">
        <v>1134</v>
      </c>
      <c r="DX27" s="667" t="s">
        <v>1134</v>
      </c>
      <c r="DY27" s="669" t="s">
        <v>1190</v>
      </c>
      <c r="DZ27" s="667" t="s">
        <v>1134</v>
      </c>
      <c r="EA27" s="670" t="s">
        <v>509</v>
      </c>
      <c r="EB27" s="667" t="s">
        <v>1135</v>
      </c>
      <c r="EC27" s="667" t="s">
        <v>1134</v>
      </c>
      <c r="ED27" s="667" t="s">
        <v>1136</v>
      </c>
    </row>
    <row r="28" spans="1:134" x14ac:dyDescent="0.2">
      <c r="A28" s="225" t="s">
        <v>120</v>
      </c>
      <c r="B28" s="632">
        <v>21</v>
      </c>
      <c r="C28" s="770">
        <v>0</v>
      </c>
      <c r="D28" s="830">
        <v>0</v>
      </c>
      <c r="E28" s="830">
        <v>0</v>
      </c>
      <c r="F28" s="866">
        <v>0</v>
      </c>
      <c r="G28" s="830">
        <v>0</v>
      </c>
      <c r="H28" s="830">
        <v>0</v>
      </c>
      <c r="I28" s="828">
        <f t="shared" si="0"/>
        <v>0</v>
      </c>
      <c r="J28" s="832">
        <v>0</v>
      </c>
      <c r="K28" s="832">
        <v>0</v>
      </c>
      <c r="L28" s="830">
        <v>0</v>
      </c>
      <c r="M28" s="802">
        <v>0</v>
      </c>
      <c r="N28" s="832">
        <v>0</v>
      </c>
      <c r="O28" s="833">
        <v>0</v>
      </c>
      <c r="P28" s="832">
        <v>0</v>
      </c>
      <c r="Q28" s="832">
        <v>0</v>
      </c>
      <c r="R28" s="781">
        <v>0</v>
      </c>
      <c r="S28" s="830">
        <v>0</v>
      </c>
      <c r="T28" s="830">
        <v>0</v>
      </c>
      <c r="U28" s="834">
        <v>0</v>
      </c>
      <c r="V28" s="832">
        <v>0</v>
      </c>
      <c r="W28" s="831">
        <v>0</v>
      </c>
      <c r="X28" s="783">
        <v>0</v>
      </c>
      <c r="Y28" s="830">
        <v>0</v>
      </c>
      <c r="Z28" s="833">
        <v>0</v>
      </c>
      <c r="AA28" s="802">
        <v>0</v>
      </c>
      <c r="AB28" s="835">
        <v>0</v>
      </c>
      <c r="AC28" s="1094">
        <v>0</v>
      </c>
      <c r="AD28" s="833">
        <v>0</v>
      </c>
      <c r="AE28" s="836">
        <v>0</v>
      </c>
      <c r="AF28" s="836">
        <v>0</v>
      </c>
      <c r="AG28" s="827">
        <f t="shared" si="1"/>
        <v>0</v>
      </c>
      <c r="AH28" s="827">
        <f t="shared" si="2"/>
        <v>0</v>
      </c>
      <c r="AI28" s="466">
        <f t="shared" si="3"/>
        <v>0</v>
      </c>
      <c r="AJ28" s="467" t="str">
        <f t="shared" si="4"/>
        <v xml:space="preserve"> </v>
      </c>
      <c r="AS28" s="139" t="s">
        <v>248</v>
      </c>
      <c r="AT28" s="139" t="s">
        <v>247</v>
      </c>
      <c r="DS28" s="648"/>
      <c r="DT28" s="648"/>
      <c r="DU28" s="667" t="s">
        <v>415</v>
      </c>
      <c r="DV28" s="667" t="s">
        <v>1188</v>
      </c>
      <c r="DW28" s="667" t="s">
        <v>1134</v>
      </c>
      <c r="DX28" s="667" t="s">
        <v>1134</v>
      </c>
      <c r="DY28" s="669" t="s">
        <v>1190</v>
      </c>
      <c r="DZ28" s="667" t="s">
        <v>1134</v>
      </c>
      <c r="EA28" s="670" t="s">
        <v>248</v>
      </c>
      <c r="EB28" s="667" t="s">
        <v>1135</v>
      </c>
      <c r="EC28" s="667" t="s">
        <v>1134</v>
      </c>
      <c r="ED28" s="667" t="s">
        <v>1136</v>
      </c>
    </row>
    <row r="29" spans="1:134" x14ac:dyDescent="0.2">
      <c r="A29" s="225" t="s">
        <v>121</v>
      </c>
      <c r="B29" s="632">
        <v>22</v>
      </c>
      <c r="C29" s="770">
        <v>0</v>
      </c>
      <c r="D29" s="830">
        <v>0</v>
      </c>
      <c r="E29" s="830">
        <v>0</v>
      </c>
      <c r="F29" s="866">
        <v>0</v>
      </c>
      <c r="G29" s="830">
        <v>0</v>
      </c>
      <c r="H29" s="830">
        <v>0</v>
      </c>
      <c r="I29" s="828">
        <f t="shared" si="0"/>
        <v>0</v>
      </c>
      <c r="J29" s="832">
        <v>0</v>
      </c>
      <c r="K29" s="832">
        <v>0</v>
      </c>
      <c r="L29" s="830">
        <v>0</v>
      </c>
      <c r="M29" s="802">
        <v>0</v>
      </c>
      <c r="N29" s="832">
        <v>0</v>
      </c>
      <c r="O29" s="833">
        <v>0</v>
      </c>
      <c r="P29" s="832">
        <v>0</v>
      </c>
      <c r="Q29" s="832">
        <v>0</v>
      </c>
      <c r="R29" s="781">
        <v>0</v>
      </c>
      <c r="S29" s="830">
        <v>0</v>
      </c>
      <c r="T29" s="830">
        <v>0</v>
      </c>
      <c r="U29" s="834">
        <v>0</v>
      </c>
      <c r="V29" s="832">
        <v>0</v>
      </c>
      <c r="W29" s="831">
        <v>0</v>
      </c>
      <c r="X29" s="783">
        <v>0</v>
      </c>
      <c r="Y29" s="830">
        <v>0</v>
      </c>
      <c r="Z29" s="833">
        <v>0</v>
      </c>
      <c r="AA29" s="802">
        <v>0</v>
      </c>
      <c r="AB29" s="835">
        <v>0</v>
      </c>
      <c r="AC29" s="1094">
        <v>0</v>
      </c>
      <c r="AD29" s="833">
        <v>0</v>
      </c>
      <c r="AE29" s="836">
        <v>0</v>
      </c>
      <c r="AF29" s="836">
        <v>0</v>
      </c>
      <c r="AG29" s="827">
        <f t="shared" si="1"/>
        <v>0</v>
      </c>
      <c r="AH29" s="827">
        <f t="shared" si="2"/>
        <v>0</v>
      </c>
      <c r="AI29" s="466">
        <f t="shared" si="3"/>
        <v>0</v>
      </c>
      <c r="AJ29" s="467" t="str">
        <f t="shared" si="4"/>
        <v xml:space="preserve"> </v>
      </c>
      <c r="AS29" s="139" t="s">
        <v>250</v>
      </c>
      <c r="AT29" s="139" t="s">
        <v>249</v>
      </c>
      <c r="DS29" s="648"/>
      <c r="DT29" s="648"/>
      <c r="DU29" s="667" t="s">
        <v>415</v>
      </c>
      <c r="DV29" s="667" t="s">
        <v>1188</v>
      </c>
      <c r="DW29" s="667" t="s">
        <v>1134</v>
      </c>
      <c r="DX29" s="667" t="s">
        <v>1134</v>
      </c>
      <c r="DY29" s="669" t="s">
        <v>1190</v>
      </c>
      <c r="DZ29" s="667" t="s">
        <v>1134</v>
      </c>
      <c r="EA29" s="670" t="s">
        <v>250</v>
      </c>
      <c r="EB29" s="667" t="s">
        <v>1135</v>
      </c>
      <c r="EC29" s="667" t="s">
        <v>1134</v>
      </c>
      <c r="ED29" s="667" t="s">
        <v>1136</v>
      </c>
    </row>
    <row r="30" spans="1:134" x14ac:dyDescent="0.2">
      <c r="A30" s="225" t="s">
        <v>122</v>
      </c>
      <c r="B30" s="632">
        <v>23</v>
      </c>
      <c r="C30" s="770">
        <v>0</v>
      </c>
      <c r="D30" s="830">
        <v>0</v>
      </c>
      <c r="E30" s="830">
        <v>0</v>
      </c>
      <c r="F30" s="866">
        <v>0</v>
      </c>
      <c r="G30" s="830">
        <v>0</v>
      </c>
      <c r="H30" s="830">
        <v>0</v>
      </c>
      <c r="I30" s="828">
        <f t="shared" si="0"/>
        <v>0</v>
      </c>
      <c r="J30" s="832">
        <v>0</v>
      </c>
      <c r="K30" s="832">
        <v>0</v>
      </c>
      <c r="L30" s="830">
        <v>0</v>
      </c>
      <c r="M30" s="802">
        <v>0</v>
      </c>
      <c r="N30" s="832">
        <v>0</v>
      </c>
      <c r="O30" s="833">
        <v>0</v>
      </c>
      <c r="P30" s="832">
        <v>0</v>
      </c>
      <c r="Q30" s="832">
        <v>0</v>
      </c>
      <c r="R30" s="781">
        <v>0</v>
      </c>
      <c r="S30" s="830">
        <v>0</v>
      </c>
      <c r="T30" s="830">
        <v>0</v>
      </c>
      <c r="U30" s="834">
        <v>0</v>
      </c>
      <c r="V30" s="832">
        <v>0</v>
      </c>
      <c r="W30" s="831">
        <v>0</v>
      </c>
      <c r="X30" s="783">
        <v>0</v>
      </c>
      <c r="Y30" s="830">
        <v>0</v>
      </c>
      <c r="Z30" s="833">
        <v>0</v>
      </c>
      <c r="AA30" s="802">
        <v>0</v>
      </c>
      <c r="AB30" s="835">
        <v>0</v>
      </c>
      <c r="AC30" s="1094">
        <v>0</v>
      </c>
      <c r="AD30" s="833">
        <v>0</v>
      </c>
      <c r="AE30" s="836">
        <v>0</v>
      </c>
      <c r="AF30" s="836">
        <v>0</v>
      </c>
      <c r="AG30" s="827">
        <f t="shared" si="1"/>
        <v>0</v>
      </c>
      <c r="AH30" s="827">
        <f t="shared" si="2"/>
        <v>0</v>
      </c>
      <c r="AI30" s="466">
        <f t="shared" si="3"/>
        <v>0</v>
      </c>
      <c r="AJ30" s="467" t="str">
        <f t="shared" si="4"/>
        <v xml:space="preserve"> </v>
      </c>
      <c r="AS30" s="139" t="s">
        <v>252</v>
      </c>
      <c r="AT30" s="139" t="s">
        <v>251</v>
      </c>
      <c r="DS30" s="648"/>
      <c r="DT30" s="648"/>
      <c r="DU30" s="667" t="s">
        <v>415</v>
      </c>
      <c r="DV30" s="667" t="s">
        <v>1188</v>
      </c>
      <c r="DW30" s="667" t="s">
        <v>1134</v>
      </c>
      <c r="DX30" s="667" t="s">
        <v>1134</v>
      </c>
      <c r="DY30" s="669" t="s">
        <v>1190</v>
      </c>
      <c r="DZ30" s="667" t="s">
        <v>1134</v>
      </c>
      <c r="EA30" s="670" t="s">
        <v>252</v>
      </c>
      <c r="EB30" s="667" t="s">
        <v>1135</v>
      </c>
      <c r="EC30" s="667" t="s">
        <v>1134</v>
      </c>
      <c r="ED30" s="667" t="s">
        <v>1136</v>
      </c>
    </row>
    <row r="31" spans="1:134" x14ac:dyDescent="0.2">
      <c r="A31" s="225" t="s">
        <v>123</v>
      </c>
      <c r="B31" s="632">
        <v>24</v>
      </c>
      <c r="C31" s="770">
        <v>0</v>
      </c>
      <c r="D31" s="830">
        <v>0</v>
      </c>
      <c r="E31" s="830">
        <v>0</v>
      </c>
      <c r="F31" s="866">
        <v>0</v>
      </c>
      <c r="G31" s="830">
        <v>0</v>
      </c>
      <c r="H31" s="830">
        <v>0</v>
      </c>
      <c r="I31" s="828">
        <f t="shared" si="0"/>
        <v>0</v>
      </c>
      <c r="J31" s="832">
        <v>0</v>
      </c>
      <c r="K31" s="832">
        <v>0</v>
      </c>
      <c r="L31" s="830">
        <v>0</v>
      </c>
      <c r="M31" s="802">
        <v>0</v>
      </c>
      <c r="N31" s="832">
        <v>0</v>
      </c>
      <c r="O31" s="833">
        <v>0</v>
      </c>
      <c r="P31" s="832">
        <v>0</v>
      </c>
      <c r="Q31" s="832">
        <v>0</v>
      </c>
      <c r="R31" s="781">
        <v>0</v>
      </c>
      <c r="S31" s="830">
        <v>0</v>
      </c>
      <c r="T31" s="830">
        <v>0</v>
      </c>
      <c r="U31" s="834">
        <v>0</v>
      </c>
      <c r="V31" s="832">
        <v>0</v>
      </c>
      <c r="W31" s="831">
        <v>0</v>
      </c>
      <c r="X31" s="783">
        <v>0</v>
      </c>
      <c r="Y31" s="830">
        <v>0</v>
      </c>
      <c r="Z31" s="833">
        <v>0</v>
      </c>
      <c r="AA31" s="802">
        <v>0</v>
      </c>
      <c r="AB31" s="835">
        <v>0</v>
      </c>
      <c r="AC31" s="1094">
        <v>0</v>
      </c>
      <c r="AD31" s="833">
        <v>0</v>
      </c>
      <c r="AE31" s="836">
        <v>0</v>
      </c>
      <c r="AF31" s="836">
        <v>0</v>
      </c>
      <c r="AG31" s="827">
        <f t="shared" si="1"/>
        <v>0</v>
      </c>
      <c r="AH31" s="827">
        <f t="shared" si="2"/>
        <v>0</v>
      </c>
      <c r="AI31" s="466">
        <f t="shared" si="3"/>
        <v>0</v>
      </c>
      <c r="AJ31" s="467" t="str">
        <f t="shared" si="4"/>
        <v xml:space="preserve"> </v>
      </c>
      <c r="AS31" s="139" t="s">
        <v>254</v>
      </c>
      <c r="AT31" s="139" t="s">
        <v>253</v>
      </c>
      <c r="DS31" s="648"/>
      <c r="DT31" s="648"/>
      <c r="DU31" s="667" t="s">
        <v>415</v>
      </c>
      <c r="DV31" s="667" t="s">
        <v>1188</v>
      </c>
      <c r="DW31" s="667" t="s">
        <v>1134</v>
      </c>
      <c r="DX31" s="667" t="s">
        <v>1134</v>
      </c>
      <c r="DY31" s="669" t="s">
        <v>1190</v>
      </c>
      <c r="DZ31" s="667" t="s">
        <v>1134</v>
      </c>
      <c r="EA31" s="670" t="s">
        <v>254</v>
      </c>
      <c r="EB31" s="667" t="s">
        <v>1135</v>
      </c>
      <c r="EC31" s="667" t="s">
        <v>1134</v>
      </c>
      <c r="ED31" s="667" t="s">
        <v>1136</v>
      </c>
    </row>
    <row r="32" spans="1:134" x14ac:dyDescent="0.2">
      <c r="A32" s="225" t="s">
        <v>124</v>
      </c>
      <c r="B32" s="632">
        <v>25</v>
      </c>
      <c r="C32" s="770">
        <v>0</v>
      </c>
      <c r="D32" s="830">
        <v>0</v>
      </c>
      <c r="E32" s="830">
        <v>0</v>
      </c>
      <c r="F32" s="866">
        <v>0</v>
      </c>
      <c r="G32" s="830">
        <v>0</v>
      </c>
      <c r="H32" s="830">
        <v>0</v>
      </c>
      <c r="I32" s="828">
        <f t="shared" si="0"/>
        <v>0</v>
      </c>
      <c r="J32" s="832">
        <v>0</v>
      </c>
      <c r="K32" s="832">
        <v>0</v>
      </c>
      <c r="L32" s="830">
        <v>0</v>
      </c>
      <c r="M32" s="802">
        <v>0</v>
      </c>
      <c r="N32" s="832">
        <v>0</v>
      </c>
      <c r="O32" s="833">
        <v>0</v>
      </c>
      <c r="P32" s="832">
        <v>0</v>
      </c>
      <c r="Q32" s="832">
        <v>0</v>
      </c>
      <c r="R32" s="781">
        <v>0</v>
      </c>
      <c r="S32" s="830">
        <v>0</v>
      </c>
      <c r="T32" s="830">
        <v>0</v>
      </c>
      <c r="U32" s="834">
        <v>0</v>
      </c>
      <c r="V32" s="832">
        <v>0</v>
      </c>
      <c r="W32" s="831">
        <v>0</v>
      </c>
      <c r="X32" s="783">
        <v>0</v>
      </c>
      <c r="Y32" s="830">
        <v>0</v>
      </c>
      <c r="Z32" s="833">
        <v>0</v>
      </c>
      <c r="AA32" s="802">
        <v>0</v>
      </c>
      <c r="AB32" s="835">
        <v>0</v>
      </c>
      <c r="AC32" s="1094">
        <v>0</v>
      </c>
      <c r="AD32" s="833">
        <v>0</v>
      </c>
      <c r="AE32" s="836">
        <v>0</v>
      </c>
      <c r="AF32" s="836">
        <v>0</v>
      </c>
      <c r="AG32" s="827">
        <f t="shared" si="1"/>
        <v>0</v>
      </c>
      <c r="AH32" s="827">
        <f t="shared" si="2"/>
        <v>0</v>
      </c>
      <c r="AI32" s="466">
        <f t="shared" si="3"/>
        <v>0</v>
      </c>
      <c r="AJ32" s="467" t="str">
        <f t="shared" si="4"/>
        <v xml:space="preserve"> </v>
      </c>
      <c r="AS32" s="139" t="s">
        <v>256</v>
      </c>
      <c r="AT32" s="139" t="s">
        <v>255</v>
      </c>
      <c r="DS32" s="648"/>
      <c r="DT32" s="648"/>
      <c r="DU32" s="667" t="s">
        <v>415</v>
      </c>
      <c r="DV32" s="667" t="s">
        <v>1188</v>
      </c>
      <c r="DW32" s="667" t="s">
        <v>1134</v>
      </c>
      <c r="DX32" s="667" t="s">
        <v>1134</v>
      </c>
      <c r="DY32" s="669" t="s">
        <v>1190</v>
      </c>
      <c r="DZ32" s="667" t="s">
        <v>1134</v>
      </c>
      <c r="EA32" s="670" t="s">
        <v>256</v>
      </c>
      <c r="EB32" s="667" t="s">
        <v>1135</v>
      </c>
      <c r="EC32" s="667" t="s">
        <v>1134</v>
      </c>
      <c r="ED32" s="667" t="s">
        <v>1136</v>
      </c>
    </row>
    <row r="33" spans="1:134" x14ac:dyDescent="0.2">
      <c r="A33" s="225" t="s">
        <v>97</v>
      </c>
      <c r="B33" s="632">
        <v>26</v>
      </c>
      <c r="C33" s="770">
        <v>0</v>
      </c>
      <c r="D33" s="830">
        <v>0</v>
      </c>
      <c r="E33" s="830">
        <v>0</v>
      </c>
      <c r="F33" s="866">
        <v>0</v>
      </c>
      <c r="G33" s="830">
        <v>0</v>
      </c>
      <c r="H33" s="830">
        <v>0</v>
      </c>
      <c r="I33" s="828">
        <f t="shared" si="0"/>
        <v>0</v>
      </c>
      <c r="J33" s="832">
        <v>0</v>
      </c>
      <c r="K33" s="832">
        <v>0</v>
      </c>
      <c r="L33" s="830">
        <v>0</v>
      </c>
      <c r="M33" s="802">
        <v>0</v>
      </c>
      <c r="N33" s="832">
        <v>0</v>
      </c>
      <c r="O33" s="833">
        <v>0</v>
      </c>
      <c r="P33" s="832">
        <v>0</v>
      </c>
      <c r="Q33" s="832">
        <v>0</v>
      </c>
      <c r="R33" s="781">
        <v>0</v>
      </c>
      <c r="S33" s="830">
        <v>0</v>
      </c>
      <c r="T33" s="830">
        <v>0</v>
      </c>
      <c r="U33" s="834">
        <v>0</v>
      </c>
      <c r="V33" s="832">
        <v>0</v>
      </c>
      <c r="W33" s="831">
        <v>0</v>
      </c>
      <c r="X33" s="783">
        <v>0</v>
      </c>
      <c r="Y33" s="830">
        <v>0</v>
      </c>
      <c r="Z33" s="833">
        <v>0</v>
      </c>
      <c r="AA33" s="802">
        <v>0</v>
      </c>
      <c r="AB33" s="835">
        <v>0</v>
      </c>
      <c r="AC33" s="1094">
        <v>0</v>
      </c>
      <c r="AD33" s="833">
        <v>0</v>
      </c>
      <c r="AE33" s="836">
        <v>0</v>
      </c>
      <c r="AF33" s="836">
        <v>0</v>
      </c>
      <c r="AG33" s="827">
        <f t="shared" si="1"/>
        <v>0</v>
      </c>
      <c r="AH33" s="827">
        <f t="shared" si="2"/>
        <v>0</v>
      </c>
      <c r="AI33" s="466">
        <f t="shared" si="3"/>
        <v>0</v>
      </c>
      <c r="AJ33" s="467" t="str">
        <f t="shared" si="4"/>
        <v xml:space="preserve"> </v>
      </c>
      <c r="AS33" s="139" t="s">
        <v>572</v>
      </c>
      <c r="AT33" s="139" t="s">
        <v>573</v>
      </c>
      <c r="DS33" s="648"/>
      <c r="DT33" s="648"/>
      <c r="DU33" s="667" t="s">
        <v>415</v>
      </c>
      <c r="DV33" s="667" t="s">
        <v>1188</v>
      </c>
      <c r="DW33" s="667" t="s">
        <v>1134</v>
      </c>
      <c r="DX33" s="667" t="s">
        <v>1134</v>
      </c>
      <c r="DY33" s="669" t="s">
        <v>1190</v>
      </c>
      <c r="DZ33" s="667" t="s">
        <v>1134</v>
      </c>
      <c r="EA33" s="670" t="s">
        <v>572</v>
      </c>
      <c r="EB33" s="667" t="s">
        <v>1135</v>
      </c>
      <c r="EC33" s="667" t="s">
        <v>1134</v>
      </c>
      <c r="ED33" s="667" t="s">
        <v>1136</v>
      </c>
    </row>
    <row r="34" spans="1:134" x14ac:dyDescent="0.2">
      <c r="A34" s="225" t="s">
        <v>125</v>
      </c>
      <c r="B34" s="632">
        <v>27</v>
      </c>
      <c r="C34" s="770">
        <v>0</v>
      </c>
      <c r="D34" s="830">
        <v>0</v>
      </c>
      <c r="E34" s="830">
        <v>0</v>
      </c>
      <c r="F34" s="866">
        <v>0</v>
      </c>
      <c r="G34" s="830">
        <v>0</v>
      </c>
      <c r="H34" s="830">
        <v>0</v>
      </c>
      <c r="I34" s="828">
        <f t="shared" si="0"/>
        <v>0</v>
      </c>
      <c r="J34" s="832">
        <v>0</v>
      </c>
      <c r="K34" s="832">
        <v>0</v>
      </c>
      <c r="L34" s="830">
        <v>0</v>
      </c>
      <c r="M34" s="802">
        <v>0</v>
      </c>
      <c r="N34" s="832">
        <v>0</v>
      </c>
      <c r="O34" s="833">
        <v>0</v>
      </c>
      <c r="P34" s="832">
        <v>0</v>
      </c>
      <c r="Q34" s="832">
        <v>0</v>
      </c>
      <c r="R34" s="781">
        <v>0</v>
      </c>
      <c r="S34" s="830">
        <v>0</v>
      </c>
      <c r="T34" s="830">
        <v>0</v>
      </c>
      <c r="U34" s="834">
        <v>0</v>
      </c>
      <c r="V34" s="832">
        <v>0</v>
      </c>
      <c r="W34" s="831">
        <v>0</v>
      </c>
      <c r="X34" s="783">
        <v>0</v>
      </c>
      <c r="Y34" s="830">
        <v>0</v>
      </c>
      <c r="Z34" s="833">
        <v>0</v>
      </c>
      <c r="AA34" s="802">
        <v>0</v>
      </c>
      <c r="AB34" s="835">
        <v>0</v>
      </c>
      <c r="AC34" s="1094">
        <v>0</v>
      </c>
      <c r="AD34" s="833">
        <v>0</v>
      </c>
      <c r="AE34" s="836">
        <v>0</v>
      </c>
      <c r="AF34" s="836">
        <v>0</v>
      </c>
      <c r="AG34" s="827">
        <f t="shared" si="1"/>
        <v>0</v>
      </c>
      <c r="AH34" s="827">
        <f t="shared" si="2"/>
        <v>0</v>
      </c>
      <c r="AI34" s="466">
        <f t="shared" si="3"/>
        <v>0</v>
      </c>
      <c r="AJ34" s="467" t="str">
        <f t="shared" si="4"/>
        <v xml:space="preserve"> </v>
      </c>
      <c r="AS34" s="139" t="s">
        <v>258</v>
      </c>
      <c r="AT34" s="139" t="s">
        <v>257</v>
      </c>
      <c r="DS34" s="648"/>
      <c r="DT34" s="648"/>
      <c r="DU34" s="667" t="s">
        <v>415</v>
      </c>
      <c r="DV34" s="667" t="s">
        <v>1188</v>
      </c>
      <c r="DW34" s="667" t="s">
        <v>1134</v>
      </c>
      <c r="DX34" s="667" t="s">
        <v>1134</v>
      </c>
      <c r="DY34" s="669" t="s">
        <v>1190</v>
      </c>
      <c r="DZ34" s="667" t="s">
        <v>1134</v>
      </c>
      <c r="EA34" s="670" t="s">
        <v>258</v>
      </c>
      <c r="EB34" s="667" t="s">
        <v>1135</v>
      </c>
      <c r="EC34" s="667" t="s">
        <v>1134</v>
      </c>
      <c r="ED34" s="667" t="s">
        <v>1136</v>
      </c>
    </row>
    <row r="35" spans="1:134" x14ac:dyDescent="0.2">
      <c r="A35" s="225" t="s">
        <v>126</v>
      </c>
      <c r="B35" s="632">
        <v>28</v>
      </c>
      <c r="C35" s="770">
        <v>0</v>
      </c>
      <c r="D35" s="830">
        <v>0</v>
      </c>
      <c r="E35" s="830">
        <v>0</v>
      </c>
      <c r="F35" s="866">
        <v>0</v>
      </c>
      <c r="G35" s="830">
        <v>0</v>
      </c>
      <c r="H35" s="830">
        <v>0</v>
      </c>
      <c r="I35" s="828">
        <f t="shared" si="0"/>
        <v>0</v>
      </c>
      <c r="J35" s="832">
        <v>0</v>
      </c>
      <c r="K35" s="832">
        <v>0</v>
      </c>
      <c r="L35" s="830">
        <v>0</v>
      </c>
      <c r="M35" s="802">
        <v>0</v>
      </c>
      <c r="N35" s="832">
        <v>0</v>
      </c>
      <c r="O35" s="833">
        <v>0</v>
      </c>
      <c r="P35" s="832">
        <v>0</v>
      </c>
      <c r="Q35" s="832">
        <v>0</v>
      </c>
      <c r="R35" s="781">
        <v>0</v>
      </c>
      <c r="S35" s="830">
        <v>0</v>
      </c>
      <c r="T35" s="830">
        <v>0</v>
      </c>
      <c r="U35" s="834">
        <v>0</v>
      </c>
      <c r="V35" s="832">
        <v>0</v>
      </c>
      <c r="W35" s="831">
        <v>0</v>
      </c>
      <c r="X35" s="783">
        <v>0</v>
      </c>
      <c r="Y35" s="830">
        <v>0</v>
      </c>
      <c r="Z35" s="833">
        <v>0</v>
      </c>
      <c r="AA35" s="802">
        <v>0</v>
      </c>
      <c r="AB35" s="835">
        <v>0</v>
      </c>
      <c r="AC35" s="1094">
        <v>0</v>
      </c>
      <c r="AD35" s="833">
        <v>0</v>
      </c>
      <c r="AE35" s="836">
        <v>0</v>
      </c>
      <c r="AF35" s="836">
        <v>0</v>
      </c>
      <c r="AG35" s="827">
        <f t="shared" si="1"/>
        <v>0</v>
      </c>
      <c r="AH35" s="827">
        <f t="shared" si="2"/>
        <v>0</v>
      </c>
      <c r="AI35" s="466">
        <f t="shared" si="3"/>
        <v>0</v>
      </c>
      <c r="AJ35" s="467" t="str">
        <f t="shared" si="4"/>
        <v xml:space="preserve"> </v>
      </c>
      <c r="AS35" s="139" t="s">
        <v>260</v>
      </c>
      <c r="AT35" s="139" t="s">
        <v>259</v>
      </c>
      <c r="DS35" s="648"/>
      <c r="DT35" s="648"/>
      <c r="DU35" s="667" t="s">
        <v>415</v>
      </c>
      <c r="DV35" s="667" t="s">
        <v>1188</v>
      </c>
      <c r="DW35" s="667" t="s">
        <v>1134</v>
      </c>
      <c r="DX35" s="667" t="s">
        <v>1134</v>
      </c>
      <c r="DY35" s="669" t="s">
        <v>1190</v>
      </c>
      <c r="DZ35" s="667" t="s">
        <v>1134</v>
      </c>
      <c r="EA35" s="670" t="s">
        <v>260</v>
      </c>
      <c r="EB35" s="667" t="s">
        <v>1135</v>
      </c>
      <c r="EC35" s="667" t="s">
        <v>1134</v>
      </c>
      <c r="ED35" s="667" t="s">
        <v>1136</v>
      </c>
    </row>
    <row r="36" spans="1:134" x14ac:dyDescent="0.2">
      <c r="A36" s="225" t="s">
        <v>127</v>
      </c>
      <c r="B36" s="632">
        <v>29</v>
      </c>
      <c r="C36" s="770">
        <v>0</v>
      </c>
      <c r="D36" s="830">
        <v>0</v>
      </c>
      <c r="E36" s="830">
        <v>0</v>
      </c>
      <c r="F36" s="866">
        <v>0</v>
      </c>
      <c r="G36" s="830">
        <v>0</v>
      </c>
      <c r="H36" s="830">
        <v>0</v>
      </c>
      <c r="I36" s="828">
        <f t="shared" si="0"/>
        <v>0</v>
      </c>
      <c r="J36" s="832">
        <v>0</v>
      </c>
      <c r="K36" s="832">
        <v>0</v>
      </c>
      <c r="L36" s="830">
        <v>0</v>
      </c>
      <c r="M36" s="802">
        <v>0</v>
      </c>
      <c r="N36" s="832">
        <v>0</v>
      </c>
      <c r="O36" s="833">
        <v>0</v>
      </c>
      <c r="P36" s="832">
        <v>0</v>
      </c>
      <c r="Q36" s="832">
        <v>0</v>
      </c>
      <c r="R36" s="781">
        <v>0</v>
      </c>
      <c r="S36" s="830">
        <v>0</v>
      </c>
      <c r="T36" s="830">
        <v>0</v>
      </c>
      <c r="U36" s="834">
        <v>0</v>
      </c>
      <c r="V36" s="832">
        <v>0</v>
      </c>
      <c r="W36" s="831">
        <v>0</v>
      </c>
      <c r="X36" s="783">
        <v>0</v>
      </c>
      <c r="Y36" s="830">
        <v>0</v>
      </c>
      <c r="Z36" s="833">
        <v>0</v>
      </c>
      <c r="AA36" s="802">
        <v>0</v>
      </c>
      <c r="AB36" s="835">
        <v>0</v>
      </c>
      <c r="AC36" s="1094">
        <v>0</v>
      </c>
      <c r="AD36" s="833">
        <v>0</v>
      </c>
      <c r="AE36" s="836">
        <v>0</v>
      </c>
      <c r="AF36" s="836">
        <v>0</v>
      </c>
      <c r="AG36" s="827">
        <f t="shared" si="1"/>
        <v>0</v>
      </c>
      <c r="AH36" s="827">
        <f t="shared" si="2"/>
        <v>0</v>
      </c>
      <c r="AI36" s="466">
        <f t="shared" si="3"/>
        <v>0</v>
      </c>
      <c r="AJ36" s="467" t="str">
        <f t="shared" si="4"/>
        <v xml:space="preserve"> </v>
      </c>
      <c r="AS36" s="139" t="s">
        <v>262</v>
      </c>
      <c r="AT36" s="139" t="s">
        <v>261</v>
      </c>
      <c r="DS36" s="648"/>
      <c r="DT36" s="648"/>
      <c r="DU36" s="667" t="s">
        <v>415</v>
      </c>
      <c r="DV36" s="667" t="s">
        <v>1188</v>
      </c>
      <c r="DW36" s="667" t="s">
        <v>1134</v>
      </c>
      <c r="DX36" s="667" t="s">
        <v>1134</v>
      </c>
      <c r="DY36" s="669" t="s">
        <v>1190</v>
      </c>
      <c r="DZ36" s="667" t="s">
        <v>1134</v>
      </c>
      <c r="EA36" s="670" t="s">
        <v>262</v>
      </c>
      <c r="EB36" s="667" t="s">
        <v>1135</v>
      </c>
      <c r="EC36" s="667" t="s">
        <v>1134</v>
      </c>
      <c r="ED36" s="667" t="s">
        <v>1136</v>
      </c>
    </row>
    <row r="37" spans="1:134" x14ac:dyDescent="0.2">
      <c r="A37" s="225" t="s">
        <v>983</v>
      </c>
      <c r="B37" s="632">
        <v>30</v>
      </c>
      <c r="C37" s="770">
        <v>0</v>
      </c>
      <c r="D37" s="830">
        <v>0</v>
      </c>
      <c r="E37" s="830">
        <v>0</v>
      </c>
      <c r="F37" s="866">
        <v>0</v>
      </c>
      <c r="G37" s="830">
        <v>0</v>
      </c>
      <c r="H37" s="830">
        <v>0</v>
      </c>
      <c r="I37" s="828">
        <f t="shared" si="0"/>
        <v>0</v>
      </c>
      <c r="J37" s="832">
        <v>0</v>
      </c>
      <c r="K37" s="832">
        <v>0</v>
      </c>
      <c r="L37" s="830">
        <v>0</v>
      </c>
      <c r="M37" s="802">
        <v>0</v>
      </c>
      <c r="N37" s="832">
        <v>0</v>
      </c>
      <c r="O37" s="833">
        <v>0</v>
      </c>
      <c r="P37" s="832">
        <v>0</v>
      </c>
      <c r="Q37" s="832">
        <v>0</v>
      </c>
      <c r="R37" s="781">
        <v>0</v>
      </c>
      <c r="S37" s="830">
        <v>0</v>
      </c>
      <c r="T37" s="830">
        <v>0</v>
      </c>
      <c r="U37" s="834">
        <v>0</v>
      </c>
      <c r="V37" s="832">
        <v>0</v>
      </c>
      <c r="W37" s="831">
        <v>0</v>
      </c>
      <c r="X37" s="783">
        <v>0</v>
      </c>
      <c r="Y37" s="830">
        <v>0</v>
      </c>
      <c r="Z37" s="833">
        <v>0</v>
      </c>
      <c r="AA37" s="802">
        <v>0</v>
      </c>
      <c r="AB37" s="835">
        <v>0</v>
      </c>
      <c r="AC37" s="1094">
        <v>0</v>
      </c>
      <c r="AD37" s="833">
        <v>0</v>
      </c>
      <c r="AE37" s="836">
        <v>0</v>
      </c>
      <c r="AF37" s="836">
        <v>0</v>
      </c>
      <c r="AG37" s="827">
        <f t="shared" si="1"/>
        <v>0</v>
      </c>
      <c r="AH37" s="827">
        <f t="shared" si="2"/>
        <v>0</v>
      </c>
      <c r="AI37" s="466">
        <f t="shared" si="3"/>
        <v>0</v>
      </c>
      <c r="AJ37" s="467" t="str">
        <f t="shared" si="4"/>
        <v xml:space="preserve"> </v>
      </c>
      <c r="AS37" s="139" t="s">
        <v>929</v>
      </c>
      <c r="AT37" s="139" t="s">
        <v>928</v>
      </c>
      <c r="DS37" s="648"/>
      <c r="DT37" s="648"/>
      <c r="DU37" s="667" t="s">
        <v>415</v>
      </c>
      <c r="DV37" s="667" t="s">
        <v>1188</v>
      </c>
      <c r="DW37" s="667" t="s">
        <v>1134</v>
      </c>
      <c r="DX37" s="667" t="s">
        <v>1134</v>
      </c>
      <c r="DY37" s="669" t="s">
        <v>1190</v>
      </c>
      <c r="DZ37" s="667" t="s">
        <v>1134</v>
      </c>
      <c r="EA37" s="670" t="s">
        <v>929</v>
      </c>
      <c r="EB37" s="667" t="s">
        <v>1135</v>
      </c>
      <c r="EC37" s="667" t="s">
        <v>1134</v>
      </c>
      <c r="ED37" s="667" t="s">
        <v>1136</v>
      </c>
    </row>
    <row r="38" spans="1:134" x14ac:dyDescent="0.2">
      <c r="A38" s="225" t="s">
        <v>561</v>
      </c>
      <c r="B38" s="632">
        <v>31</v>
      </c>
      <c r="C38" s="770">
        <v>0</v>
      </c>
      <c r="D38" s="830">
        <v>0</v>
      </c>
      <c r="E38" s="830">
        <v>0</v>
      </c>
      <c r="F38" s="866">
        <v>0</v>
      </c>
      <c r="G38" s="830">
        <v>0</v>
      </c>
      <c r="H38" s="830">
        <v>0</v>
      </c>
      <c r="I38" s="828">
        <f t="shared" si="0"/>
        <v>0</v>
      </c>
      <c r="J38" s="832">
        <v>0</v>
      </c>
      <c r="K38" s="832">
        <v>0</v>
      </c>
      <c r="L38" s="830">
        <v>0</v>
      </c>
      <c r="M38" s="802">
        <v>0</v>
      </c>
      <c r="N38" s="832">
        <v>0</v>
      </c>
      <c r="O38" s="833">
        <v>0</v>
      </c>
      <c r="P38" s="832">
        <v>0</v>
      </c>
      <c r="Q38" s="832">
        <v>0</v>
      </c>
      <c r="R38" s="781">
        <v>0</v>
      </c>
      <c r="S38" s="830">
        <v>0</v>
      </c>
      <c r="T38" s="830">
        <v>0</v>
      </c>
      <c r="U38" s="834">
        <v>0</v>
      </c>
      <c r="V38" s="832">
        <v>0</v>
      </c>
      <c r="W38" s="831">
        <v>0</v>
      </c>
      <c r="X38" s="783">
        <v>0</v>
      </c>
      <c r="Y38" s="830">
        <v>0</v>
      </c>
      <c r="Z38" s="833">
        <v>0</v>
      </c>
      <c r="AA38" s="802">
        <v>0</v>
      </c>
      <c r="AB38" s="835">
        <v>0</v>
      </c>
      <c r="AC38" s="1094">
        <v>0</v>
      </c>
      <c r="AD38" s="833">
        <v>0</v>
      </c>
      <c r="AE38" s="836">
        <v>0</v>
      </c>
      <c r="AF38" s="836">
        <v>0</v>
      </c>
      <c r="AG38" s="827">
        <f t="shared" si="1"/>
        <v>0</v>
      </c>
      <c r="AH38" s="827">
        <f t="shared" si="2"/>
        <v>0</v>
      </c>
      <c r="AI38" s="466">
        <f t="shared" si="3"/>
        <v>0</v>
      </c>
      <c r="AJ38" s="467" t="str">
        <f t="shared" si="4"/>
        <v xml:space="preserve"> </v>
      </c>
      <c r="AS38" s="139" t="s">
        <v>515</v>
      </c>
      <c r="AT38" s="139" t="s">
        <v>516</v>
      </c>
      <c r="DS38" s="648"/>
      <c r="DT38" s="648"/>
      <c r="DU38" s="667" t="s">
        <v>415</v>
      </c>
      <c r="DV38" s="667" t="s">
        <v>1188</v>
      </c>
      <c r="DW38" s="667" t="s">
        <v>1134</v>
      </c>
      <c r="DX38" s="667" t="s">
        <v>1134</v>
      </c>
      <c r="DY38" s="669" t="s">
        <v>1190</v>
      </c>
      <c r="DZ38" s="667" t="s">
        <v>1134</v>
      </c>
      <c r="EA38" s="670" t="s">
        <v>515</v>
      </c>
      <c r="EB38" s="667" t="s">
        <v>1135</v>
      </c>
      <c r="EC38" s="667" t="s">
        <v>1134</v>
      </c>
      <c r="ED38" s="667" t="s">
        <v>1136</v>
      </c>
    </row>
    <row r="39" spans="1:134" x14ac:dyDescent="0.2">
      <c r="A39" s="225" t="s">
        <v>562</v>
      </c>
      <c r="B39" s="632">
        <v>32</v>
      </c>
      <c r="C39" s="770">
        <v>0</v>
      </c>
      <c r="D39" s="830">
        <v>0</v>
      </c>
      <c r="E39" s="830">
        <v>0</v>
      </c>
      <c r="F39" s="866">
        <v>0</v>
      </c>
      <c r="G39" s="830">
        <v>0</v>
      </c>
      <c r="H39" s="830">
        <v>0</v>
      </c>
      <c r="I39" s="828">
        <f t="shared" si="0"/>
        <v>0</v>
      </c>
      <c r="J39" s="832">
        <v>0</v>
      </c>
      <c r="K39" s="832">
        <v>0</v>
      </c>
      <c r="L39" s="830">
        <v>0</v>
      </c>
      <c r="M39" s="802">
        <v>0</v>
      </c>
      <c r="N39" s="832">
        <v>0</v>
      </c>
      <c r="O39" s="833">
        <v>0</v>
      </c>
      <c r="P39" s="832">
        <v>0</v>
      </c>
      <c r="Q39" s="832">
        <v>0</v>
      </c>
      <c r="R39" s="781">
        <v>0</v>
      </c>
      <c r="S39" s="830">
        <v>0</v>
      </c>
      <c r="T39" s="830">
        <v>0</v>
      </c>
      <c r="U39" s="834">
        <v>0</v>
      </c>
      <c r="V39" s="832">
        <v>0</v>
      </c>
      <c r="W39" s="831">
        <v>0</v>
      </c>
      <c r="X39" s="783">
        <v>0</v>
      </c>
      <c r="Y39" s="830">
        <v>0</v>
      </c>
      <c r="Z39" s="833">
        <v>0</v>
      </c>
      <c r="AA39" s="802">
        <v>0</v>
      </c>
      <c r="AB39" s="835">
        <v>0</v>
      </c>
      <c r="AC39" s="1094">
        <v>0</v>
      </c>
      <c r="AD39" s="833">
        <v>0</v>
      </c>
      <c r="AE39" s="836">
        <v>0</v>
      </c>
      <c r="AF39" s="836">
        <v>0</v>
      </c>
      <c r="AG39" s="827">
        <f t="shared" si="1"/>
        <v>0</v>
      </c>
      <c r="AH39" s="827">
        <f t="shared" si="2"/>
        <v>0</v>
      </c>
      <c r="AI39" s="466">
        <f t="shared" si="3"/>
        <v>0</v>
      </c>
      <c r="AJ39" s="467" t="str">
        <f t="shared" si="4"/>
        <v xml:space="preserve"> </v>
      </c>
      <c r="AS39" s="139" t="s">
        <v>517</v>
      </c>
      <c r="AT39" s="139" t="s">
        <v>518</v>
      </c>
      <c r="DS39" s="648"/>
      <c r="DT39" s="648"/>
      <c r="DU39" s="667" t="s">
        <v>415</v>
      </c>
      <c r="DV39" s="667" t="s">
        <v>1188</v>
      </c>
      <c r="DW39" s="667" t="s">
        <v>1134</v>
      </c>
      <c r="DX39" s="667" t="s">
        <v>1134</v>
      </c>
      <c r="DY39" s="669" t="s">
        <v>1190</v>
      </c>
      <c r="DZ39" s="667" t="s">
        <v>1134</v>
      </c>
      <c r="EA39" s="670" t="s">
        <v>517</v>
      </c>
      <c r="EB39" s="667" t="s">
        <v>1135</v>
      </c>
      <c r="EC39" s="667" t="s">
        <v>1134</v>
      </c>
      <c r="ED39" s="667" t="s">
        <v>1136</v>
      </c>
    </row>
    <row r="40" spans="1:134" x14ac:dyDescent="0.2">
      <c r="A40" s="225" t="s">
        <v>128</v>
      </c>
      <c r="B40" s="632">
        <v>33</v>
      </c>
      <c r="C40" s="770">
        <v>0</v>
      </c>
      <c r="D40" s="830">
        <v>0</v>
      </c>
      <c r="E40" s="830">
        <v>0</v>
      </c>
      <c r="F40" s="866">
        <v>0</v>
      </c>
      <c r="G40" s="830">
        <v>0</v>
      </c>
      <c r="H40" s="830">
        <v>0</v>
      </c>
      <c r="I40" s="828">
        <f t="shared" si="0"/>
        <v>0</v>
      </c>
      <c r="J40" s="832">
        <v>0</v>
      </c>
      <c r="K40" s="832">
        <v>0</v>
      </c>
      <c r="L40" s="830">
        <v>0</v>
      </c>
      <c r="M40" s="802">
        <v>0</v>
      </c>
      <c r="N40" s="832">
        <v>0</v>
      </c>
      <c r="O40" s="833">
        <v>0</v>
      </c>
      <c r="P40" s="832">
        <v>0</v>
      </c>
      <c r="Q40" s="832">
        <v>0</v>
      </c>
      <c r="R40" s="781">
        <v>0</v>
      </c>
      <c r="S40" s="830">
        <v>0</v>
      </c>
      <c r="T40" s="830">
        <v>0</v>
      </c>
      <c r="U40" s="834">
        <v>0</v>
      </c>
      <c r="V40" s="832">
        <v>0</v>
      </c>
      <c r="W40" s="831">
        <v>0</v>
      </c>
      <c r="X40" s="783">
        <v>0</v>
      </c>
      <c r="Y40" s="830">
        <v>0</v>
      </c>
      <c r="Z40" s="833">
        <v>0</v>
      </c>
      <c r="AA40" s="802">
        <v>0</v>
      </c>
      <c r="AB40" s="835">
        <v>0</v>
      </c>
      <c r="AC40" s="1094">
        <v>0</v>
      </c>
      <c r="AD40" s="833">
        <v>0</v>
      </c>
      <c r="AE40" s="836">
        <v>0</v>
      </c>
      <c r="AF40" s="836">
        <v>0</v>
      </c>
      <c r="AG40" s="827">
        <f t="shared" si="1"/>
        <v>0</v>
      </c>
      <c r="AH40" s="827">
        <f t="shared" si="2"/>
        <v>0</v>
      </c>
      <c r="AI40" s="466">
        <f t="shared" si="3"/>
        <v>0</v>
      </c>
      <c r="AJ40" s="467" t="str">
        <f t="shared" si="4"/>
        <v xml:space="preserve"> </v>
      </c>
      <c r="AS40" s="139" t="s">
        <v>264</v>
      </c>
      <c r="AT40" s="139" t="s">
        <v>263</v>
      </c>
      <c r="DS40" s="648"/>
      <c r="DT40" s="648"/>
      <c r="DU40" s="667" t="s">
        <v>415</v>
      </c>
      <c r="DV40" s="667" t="s">
        <v>1188</v>
      </c>
      <c r="DW40" s="667" t="s">
        <v>1134</v>
      </c>
      <c r="DX40" s="667" t="s">
        <v>1134</v>
      </c>
      <c r="DY40" s="669" t="s">
        <v>1190</v>
      </c>
      <c r="DZ40" s="667" t="s">
        <v>1134</v>
      </c>
      <c r="EA40" s="670" t="s">
        <v>264</v>
      </c>
      <c r="EB40" s="667" t="s">
        <v>1135</v>
      </c>
      <c r="EC40" s="667" t="s">
        <v>1134</v>
      </c>
      <c r="ED40" s="667" t="s">
        <v>1136</v>
      </c>
    </row>
    <row r="41" spans="1:134" x14ac:dyDescent="0.2">
      <c r="A41" s="225" t="s">
        <v>151</v>
      </c>
      <c r="B41" s="632">
        <v>34</v>
      </c>
      <c r="C41" s="770">
        <v>0</v>
      </c>
      <c r="D41" s="830">
        <v>0</v>
      </c>
      <c r="E41" s="830">
        <v>0</v>
      </c>
      <c r="F41" s="866">
        <v>0</v>
      </c>
      <c r="G41" s="830">
        <v>0</v>
      </c>
      <c r="H41" s="830">
        <v>0</v>
      </c>
      <c r="I41" s="828">
        <f t="shared" si="0"/>
        <v>0</v>
      </c>
      <c r="J41" s="832">
        <v>0</v>
      </c>
      <c r="K41" s="832">
        <v>0</v>
      </c>
      <c r="L41" s="830">
        <v>0</v>
      </c>
      <c r="M41" s="802">
        <v>0</v>
      </c>
      <c r="N41" s="832">
        <v>0</v>
      </c>
      <c r="O41" s="833">
        <v>0</v>
      </c>
      <c r="P41" s="832">
        <v>0</v>
      </c>
      <c r="Q41" s="832">
        <v>0</v>
      </c>
      <c r="R41" s="781">
        <v>0</v>
      </c>
      <c r="S41" s="830">
        <v>0</v>
      </c>
      <c r="T41" s="830">
        <v>0</v>
      </c>
      <c r="U41" s="834">
        <v>0</v>
      </c>
      <c r="V41" s="832">
        <v>0</v>
      </c>
      <c r="W41" s="831">
        <v>0</v>
      </c>
      <c r="X41" s="783">
        <v>0</v>
      </c>
      <c r="Y41" s="830">
        <v>0</v>
      </c>
      <c r="Z41" s="833">
        <v>0</v>
      </c>
      <c r="AA41" s="802">
        <v>0</v>
      </c>
      <c r="AB41" s="835">
        <v>0</v>
      </c>
      <c r="AC41" s="1094">
        <v>0</v>
      </c>
      <c r="AD41" s="833">
        <v>0</v>
      </c>
      <c r="AE41" s="836">
        <v>0</v>
      </c>
      <c r="AF41" s="836">
        <v>0</v>
      </c>
      <c r="AG41" s="827">
        <f t="shared" si="1"/>
        <v>0</v>
      </c>
      <c r="AH41" s="827">
        <f t="shared" si="2"/>
        <v>0</v>
      </c>
      <c r="AI41" s="466">
        <f t="shared" si="3"/>
        <v>0</v>
      </c>
      <c r="AJ41" s="467" t="str">
        <f t="shared" si="4"/>
        <v xml:space="preserve"> </v>
      </c>
      <c r="AS41" s="139" t="s">
        <v>469</v>
      </c>
      <c r="AT41" s="139" t="s">
        <v>470</v>
      </c>
      <c r="DS41" s="648"/>
      <c r="DT41" s="648"/>
      <c r="DU41" s="667" t="s">
        <v>415</v>
      </c>
      <c r="DV41" s="667" t="s">
        <v>1188</v>
      </c>
      <c r="DW41" s="667" t="s">
        <v>1134</v>
      </c>
      <c r="DX41" s="667" t="s">
        <v>1134</v>
      </c>
      <c r="DY41" s="669" t="s">
        <v>1190</v>
      </c>
      <c r="DZ41" s="667" t="s">
        <v>1134</v>
      </c>
      <c r="EA41" s="670" t="s">
        <v>469</v>
      </c>
      <c r="EB41" s="667" t="s">
        <v>1135</v>
      </c>
      <c r="EC41" s="667" t="s">
        <v>1134</v>
      </c>
      <c r="ED41" s="667" t="s">
        <v>1136</v>
      </c>
    </row>
    <row r="42" spans="1:134" x14ac:dyDescent="0.2">
      <c r="A42" s="225" t="s">
        <v>129</v>
      </c>
      <c r="B42" s="632">
        <v>35</v>
      </c>
      <c r="C42" s="770">
        <v>0</v>
      </c>
      <c r="D42" s="830">
        <v>0</v>
      </c>
      <c r="E42" s="830">
        <v>0</v>
      </c>
      <c r="F42" s="866">
        <v>0</v>
      </c>
      <c r="G42" s="830">
        <v>0</v>
      </c>
      <c r="H42" s="830">
        <v>0</v>
      </c>
      <c r="I42" s="828">
        <f t="shared" si="0"/>
        <v>0</v>
      </c>
      <c r="J42" s="832">
        <v>0</v>
      </c>
      <c r="K42" s="832">
        <v>0</v>
      </c>
      <c r="L42" s="830">
        <v>0</v>
      </c>
      <c r="M42" s="802">
        <v>0</v>
      </c>
      <c r="N42" s="832">
        <v>0</v>
      </c>
      <c r="O42" s="833">
        <v>0</v>
      </c>
      <c r="P42" s="832">
        <v>0</v>
      </c>
      <c r="Q42" s="832">
        <v>0</v>
      </c>
      <c r="R42" s="781">
        <v>0</v>
      </c>
      <c r="S42" s="830">
        <v>0</v>
      </c>
      <c r="T42" s="830">
        <v>0</v>
      </c>
      <c r="U42" s="834">
        <v>0</v>
      </c>
      <c r="V42" s="832">
        <v>0</v>
      </c>
      <c r="W42" s="831">
        <v>0</v>
      </c>
      <c r="X42" s="783">
        <v>0</v>
      </c>
      <c r="Y42" s="830">
        <v>0</v>
      </c>
      <c r="Z42" s="833">
        <v>0</v>
      </c>
      <c r="AA42" s="802">
        <v>0</v>
      </c>
      <c r="AB42" s="835">
        <v>0</v>
      </c>
      <c r="AC42" s="1094">
        <v>0</v>
      </c>
      <c r="AD42" s="833">
        <v>0</v>
      </c>
      <c r="AE42" s="836">
        <v>0</v>
      </c>
      <c r="AF42" s="836">
        <v>0</v>
      </c>
      <c r="AG42" s="827">
        <f t="shared" si="1"/>
        <v>0</v>
      </c>
      <c r="AH42" s="827">
        <f t="shared" si="2"/>
        <v>0</v>
      </c>
      <c r="AI42" s="466">
        <f t="shared" si="3"/>
        <v>0</v>
      </c>
      <c r="AJ42" s="467" t="str">
        <f t="shared" si="4"/>
        <v xml:space="preserve"> </v>
      </c>
      <c r="AS42" s="139" t="s">
        <v>266</v>
      </c>
      <c r="AT42" s="139" t="s">
        <v>265</v>
      </c>
      <c r="DS42" s="648"/>
      <c r="DT42" s="648"/>
      <c r="DU42" s="667" t="s">
        <v>415</v>
      </c>
      <c r="DV42" s="667" t="s">
        <v>1188</v>
      </c>
      <c r="DW42" s="667" t="s">
        <v>1134</v>
      </c>
      <c r="DX42" s="667" t="s">
        <v>1134</v>
      </c>
      <c r="DY42" s="669" t="s">
        <v>1190</v>
      </c>
      <c r="DZ42" s="667" t="s">
        <v>1134</v>
      </c>
      <c r="EA42" s="670" t="s">
        <v>266</v>
      </c>
      <c r="EB42" s="667" t="s">
        <v>1135</v>
      </c>
      <c r="EC42" s="667" t="s">
        <v>1134</v>
      </c>
      <c r="ED42" s="667" t="s">
        <v>1136</v>
      </c>
    </row>
    <row r="43" spans="1:134" x14ac:dyDescent="0.2">
      <c r="A43" s="225" t="s">
        <v>939</v>
      </c>
      <c r="B43" s="632">
        <v>36</v>
      </c>
      <c r="C43" s="770">
        <v>0</v>
      </c>
      <c r="D43" s="830">
        <v>0</v>
      </c>
      <c r="E43" s="830">
        <v>0</v>
      </c>
      <c r="F43" s="866">
        <v>0</v>
      </c>
      <c r="G43" s="830">
        <v>0</v>
      </c>
      <c r="H43" s="830">
        <v>0</v>
      </c>
      <c r="I43" s="828">
        <f t="shared" si="0"/>
        <v>0</v>
      </c>
      <c r="J43" s="832">
        <v>0</v>
      </c>
      <c r="K43" s="832">
        <v>0</v>
      </c>
      <c r="L43" s="830">
        <v>0</v>
      </c>
      <c r="M43" s="802">
        <v>0</v>
      </c>
      <c r="N43" s="832">
        <v>0</v>
      </c>
      <c r="O43" s="833">
        <v>0</v>
      </c>
      <c r="P43" s="832">
        <v>0</v>
      </c>
      <c r="Q43" s="832">
        <v>0</v>
      </c>
      <c r="R43" s="781">
        <v>0</v>
      </c>
      <c r="S43" s="830">
        <v>0</v>
      </c>
      <c r="T43" s="830">
        <v>0</v>
      </c>
      <c r="U43" s="834">
        <v>0</v>
      </c>
      <c r="V43" s="832">
        <v>0</v>
      </c>
      <c r="W43" s="831">
        <v>0</v>
      </c>
      <c r="X43" s="783">
        <v>0</v>
      </c>
      <c r="Y43" s="830">
        <v>0</v>
      </c>
      <c r="Z43" s="833">
        <v>0</v>
      </c>
      <c r="AA43" s="802">
        <v>0</v>
      </c>
      <c r="AB43" s="835">
        <v>0</v>
      </c>
      <c r="AC43" s="1094">
        <v>0</v>
      </c>
      <c r="AD43" s="833">
        <v>0</v>
      </c>
      <c r="AE43" s="836">
        <v>0</v>
      </c>
      <c r="AF43" s="836">
        <v>0</v>
      </c>
      <c r="AG43" s="827">
        <f t="shared" si="1"/>
        <v>0</v>
      </c>
      <c r="AH43" s="827">
        <f t="shared" si="2"/>
        <v>0</v>
      </c>
      <c r="AI43" s="466">
        <f t="shared" si="3"/>
        <v>0</v>
      </c>
      <c r="AJ43" s="467" t="str">
        <f t="shared" si="4"/>
        <v xml:space="preserve"> </v>
      </c>
      <c r="AS43" s="139" t="s">
        <v>519</v>
      </c>
      <c r="AT43" s="139" t="s">
        <v>520</v>
      </c>
      <c r="DS43" s="648"/>
      <c r="DT43" s="648"/>
      <c r="DU43" s="667" t="s">
        <v>415</v>
      </c>
      <c r="DV43" s="667" t="s">
        <v>1188</v>
      </c>
      <c r="DW43" s="667" t="s">
        <v>1134</v>
      </c>
      <c r="DX43" s="667" t="s">
        <v>1134</v>
      </c>
      <c r="DY43" s="669" t="s">
        <v>1190</v>
      </c>
      <c r="DZ43" s="667" t="s">
        <v>1134</v>
      </c>
      <c r="EA43" s="670" t="s">
        <v>519</v>
      </c>
      <c r="EB43" s="667" t="s">
        <v>1135</v>
      </c>
      <c r="EC43" s="667" t="s">
        <v>1134</v>
      </c>
      <c r="ED43" s="667" t="s">
        <v>1136</v>
      </c>
    </row>
    <row r="44" spans="1:134" x14ac:dyDescent="0.2">
      <c r="A44" s="225" t="s">
        <v>568</v>
      </c>
      <c r="B44" s="632">
        <v>37</v>
      </c>
      <c r="C44" s="770">
        <v>0</v>
      </c>
      <c r="D44" s="830">
        <v>0</v>
      </c>
      <c r="E44" s="830">
        <v>0</v>
      </c>
      <c r="F44" s="866">
        <v>0</v>
      </c>
      <c r="G44" s="830">
        <v>0</v>
      </c>
      <c r="H44" s="830">
        <v>0</v>
      </c>
      <c r="I44" s="828">
        <f t="shared" si="0"/>
        <v>0</v>
      </c>
      <c r="J44" s="832">
        <v>0</v>
      </c>
      <c r="K44" s="832">
        <v>0</v>
      </c>
      <c r="L44" s="830">
        <v>0</v>
      </c>
      <c r="M44" s="802">
        <v>0</v>
      </c>
      <c r="N44" s="832">
        <v>0</v>
      </c>
      <c r="O44" s="833">
        <v>0</v>
      </c>
      <c r="P44" s="832">
        <v>0</v>
      </c>
      <c r="Q44" s="832">
        <v>0</v>
      </c>
      <c r="R44" s="781">
        <v>0</v>
      </c>
      <c r="S44" s="830">
        <v>0</v>
      </c>
      <c r="T44" s="830">
        <v>0</v>
      </c>
      <c r="U44" s="834">
        <v>0</v>
      </c>
      <c r="V44" s="832">
        <v>0</v>
      </c>
      <c r="W44" s="831">
        <v>0</v>
      </c>
      <c r="X44" s="783">
        <v>0</v>
      </c>
      <c r="Y44" s="830">
        <v>0</v>
      </c>
      <c r="Z44" s="833">
        <v>0</v>
      </c>
      <c r="AA44" s="802">
        <v>0</v>
      </c>
      <c r="AB44" s="835">
        <v>0</v>
      </c>
      <c r="AC44" s="1094">
        <v>0</v>
      </c>
      <c r="AD44" s="833">
        <v>0</v>
      </c>
      <c r="AE44" s="836">
        <v>0</v>
      </c>
      <c r="AF44" s="836">
        <v>0</v>
      </c>
      <c r="AG44" s="827">
        <f t="shared" si="1"/>
        <v>0</v>
      </c>
      <c r="AH44" s="827">
        <f t="shared" si="2"/>
        <v>0</v>
      </c>
      <c r="AI44" s="466">
        <f t="shared" si="3"/>
        <v>0</v>
      </c>
      <c r="AJ44" s="467" t="str">
        <f t="shared" si="4"/>
        <v xml:space="preserve"> </v>
      </c>
      <c r="AS44" s="139" t="s">
        <v>542</v>
      </c>
      <c r="AT44" s="139" t="s">
        <v>543</v>
      </c>
      <c r="DS44" s="648"/>
      <c r="DT44" s="648"/>
      <c r="DU44" s="667" t="s">
        <v>415</v>
      </c>
      <c r="DV44" s="667" t="s">
        <v>1188</v>
      </c>
      <c r="DW44" s="667" t="s">
        <v>1134</v>
      </c>
      <c r="DX44" s="667" t="s">
        <v>1134</v>
      </c>
      <c r="DY44" s="669" t="s">
        <v>1190</v>
      </c>
      <c r="DZ44" s="667" t="s">
        <v>1134</v>
      </c>
      <c r="EA44" s="670" t="s">
        <v>542</v>
      </c>
      <c r="EB44" s="667" t="s">
        <v>1135</v>
      </c>
      <c r="EC44" s="667" t="s">
        <v>1134</v>
      </c>
      <c r="ED44" s="667" t="s">
        <v>1136</v>
      </c>
    </row>
    <row r="45" spans="1:134" x14ac:dyDescent="0.2">
      <c r="A45" s="225" t="s">
        <v>130</v>
      </c>
      <c r="B45" s="632">
        <v>38</v>
      </c>
      <c r="C45" s="770">
        <v>0</v>
      </c>
      <c r="D45" s="830">
        <v>0</v>
      </c>
      <c r="E45" s="830">
        <v>0</v>
      </c>
      <c r="F45" s="866">
        <v>0</v>
      </c>
      <c r="G45" s="830">
        <v>0</v>
      </c>
      <c r="H45" s="830">
        <v>0</v>
      </c>
      <c r="I45" s="828">
        <f t="shared" si="0"/>
        <v>0</v>
      </c>
      <c r="J45" s="832">
        <v>0</v>
      </c>
      <c r="K45" s="832">
        <v>0</v>
      </c>
      <c r="L45" s="830">
        <v>0</v>
      </c>
      <c r="M45" s="802">
        <v>0</v>
      </c>
      <c r="N45" s="832">
        <v>0</v>
      </c>
      <c r="O45" s="833">
        <v>0</v>
      </c>
      <c r="P45" s="832">
        <v>0</v>
      </c>
      <c r="Q45" s="832">
        <v>0</v>
      </c>
      <c r="R45" s="781">
        <v>0</v>
      </c>
      <c r="S45" s="830">
        <v>0</v>
      </c>
      <c r="T45" s="830">
        <v>0</v>
      </c>
      <c r="U45" s="834">
        <v>0</v>
      </c>
      <c r="V45" s="832">
        <v>0</v>
      </c>
      <c r="W45" s="831">
        <v>0</v>
      </c>
      <c r="X45" s="783">
        <v>0</v>
      </c>
      <c r="Y45" s="830">
        <v>0</v>
      </c>
      <c r="Z45" s="833">
        <v>0</v>
      </c>
      <c r="AA45" s="802">
        <v>0</v>
      </c>
      <c r="AB45" s="835">
        <v>0</v>
      </c>
      <c r="AC45" s="1094">
        <v>0</v>
      </c>
      <c r="AD45" s="833">
        <v>0</v>
      </c>
      <c r="AE45" s="836">
        <v>0</v>
      </c>
      <c r="AF45" s="836">
        <v>0</v>
      </c>
      <c r="AG45" s="827">
        <f t="shared" si="1"/>
        <v>0</v>
      </c>
      <c r="AH45" s="827">
        <f t="shared" si="2"/>
        <v>0</v>
      </c>
      <c r="AI45" s="466">
        <f t="shared" si="3"/>
        <v>0</v>
      </c>
      <c r="AJ45" s="467" t="str">
        <f t="shared" si="4"/>
        <v xml:space="preserve"> </v>
      </c>
      <c r="AS45" s="139" t="s">
        <v>268</v>
      </c>
      <c r="AT45" s="139" t="s">
        <v>267</v>
      </c>
      <c r="DS45" s="648"/>
      <c r="DT45" s="648"/>
      <c r="DU45" s="667" t="s">
        <v>415</v>
      </c>
      <c r="DV45" s="667" t="s">
        <v>1188</v>
      </c>
      <c r="DW45" s="667" t="s">
        <v>1134</v>
      </c>
      <c r="DX45" s="667" t="s">
        <v>1134</v>
      </c>
      <c r="DY45" s="669" t="s">
        <v>1190</v>
      </c>
      <c r="DZ45" s="667" t="s">
        <v>1134</v>
      </c>
      <c r="EA45" s="670" t="s">
        <v>268</v>
      </c>
      <c r="EB45" s="667" t="s">
        <v>1135</v>
      </c>
      <c r="EC45" s="667" t="s">
        <v>1134</v>
      </c>
      <c r="ED45" s="667" t="s">
        <v>1136</v>
      </c>
    </row>
    <row r="46" spans="1:134" x14ac:dyDescent="0.2">
      <c r="A46" s="427" t="s">
        <v>131</v>
      </c>
      <c r="B46" s="632">
        <v>39</v>
      </c>
      <c r="C46" s="770">
        <v>0</v>
      </c>
      <c r="D46" s="830">
        <v>0</v>
      </c>
      <c r="E46" s="830">
        <v>0</v>
      </c>
      <c r="F46" s="866">
        <v>0</v>
      </c>
      <c r="G46" s="830">
        <v>0</v>
      </c>
      <c r="H46" s="830">
        <v>0</v>
      </c>
      <c r="I46" s="828">
        <f t="shared" si="0"/>
        <v>0</v>
      </c>
      <c r="J46" s="832">
        <v>0</v>
      </c>
      <c r="K46" s="832">
        <v>0</v>
      </c>
      <c r="L46" s="830">
        <v>0</v>
      </c>
      <c r="M46" s="802">
        <v>0</v>
      </c>
      <c r="N46" s="832">
        <v>0</v>
      </c>
      <c r="O46" s="833">
        <v>0</v>
      </c>
      <c r="P46" s="832">
        <v>0</v>
      </c>
      <c r="Q46" s="832">
        <v>0</v>
      </c>
      <c r="R46" s="781">
        <v>0</v>
      </c>
      <c r="S46" s="830">
        <v>0</v>
      </c>
      <c r="T46" s="830">
        <v>0</v>
      </c>
      <c r="U46" s="834">
        <v>0</v>
      </c>
      <c r="V46" s="832">
        <v>0</v>
      </c>
      <c r="W46" s="831">
        <v>0</v>
      </c>
      <c r="X46" s="783">
        <v>0</v>
      </c>
      <c r="Y46" s="830">
        <v>0</v>
      </c>
      <c r="Z46" s="833">
        <v>0</v>
      </c>
      <c r="AA46" s="802">
        <v>0</v>
      </c>
      <c r="AB46" s="835">
        <v>0</v>
      </c>
      <c r="AC46" s="1094">
        <v>0</v>
      </c>
      <c r="AD46" s="833">
        <v>0</v>
      </c>
      <c r="AE46" s="836">
        <v>0</v>
      </c>
      <c r="AF46" s="836">
        <v>0</v>
      </c>
      <c r="AG46" s="827">
        <f t="shared" si="1"/>
        <v>0</v>
      </c>
      <c r="AH46" s="827">
        <f t="shared" si="2"/>
        <v>0</v>
      </c>
      <c r="AI46" s="466">
        <f t="shared" si="3"/>
        <v>0</v>
      </c>
      <c r="AJ46" s="467" t="str">
        <f t="shared" si="4"/>
        <v xml:space="preserve"> </v>
      </c>
      <c r="AS46" s="139" t="s">
        <v>269</v>
      </c>
      <c r="AT46" s="139" t="s">
        <v>269</v>
      </c>
      <c r="DS46" s="648"/>
      <c r="DT46" s="648"/>
      <c r="DU46" s="667" t="s">
        <v>415</v>
      </c>
      <c r="DV46" s="667" t="s">
        <v>1188</v>
      </c>
      <c r="DW46" s="667" t="s">
        <v>1134</v>
      </c>
      <c r="DX46" s="667" t="s">
        <v>1134</v>
      </c>
      <c r="DY46" s="669" t="s">
        <v>1190</v>
      </c>
      <c r="DZ46" s="667" t="s">
        <v>1134</v>
      </c>
      <c r="EA46" s="670" t="s">
        <v>269</v>
      </c>
      <c r="EB46" s="667" t="s">
        <v>1135</v>
      </c>
      <c r="EC46" s="667" t="s">
        <v>1134</v>
      </c>
      <c r="ED46" s="667" t="s">
        <v>1136</v>
      </c>
    </row>
    <row r="47" spans="1:134" x14ac:dyDescent="0.2">
      <c r="A47" s="74" t="s">
        <v>1365</v>
      </c>
      <c r="B47" s="632">
        <v>40</v>
      </c>
      <c r="C47" s="770">
        <v>0</v>
      </c>
      <c r="D47" s="830">
        <v>0</v>
      </c>
      <c r="E47" s="830">
        <v>0</v>
      </c>
      <c r="F47" s="866">
        <v>0</v>
      </c>
      <c r="G47" s="830">
        <v>0</v>
      </c>
      <c r="H47" s="830">
        <v>0</v>
      </c>
      <c r="I47" s="828">
        <f t="shared" si="0"/>
        <v>0</v>
      </c>
      <c r="J47" s="832">
        <v>0</v>
      </c>
      <c r="K47" s="832">
        <v>0</v>
      </c>
      <c r="L47" s="830">
        <v>0</v>
      </c>
      <c r="M47" s="802">
        <v>0</v>
      </c>
      <c r="N47" s="832">
        <v>0</v>
      </c>
      <c r="O47" s="833">
        <v>0</v>
      </c>
      <c r="P47" s="832">
        <v>0</v>
      </c>
      <c r="Q47" s="832">
        <v>0</v>
      </c>
      <c r="R47" s="781">
        <v>0</v>
      </c>
      <c r="S47" s="830">
        <v>0</v>
      </c>
      <c r="T47" s="830">
        <v>0</v>
      </c>
      <c r="U47" s="834">
        <v>0</v>
      </c>
      <c r="V47" s="832">
        <v>0</v>
      </c>
      <c r="W47" s="831">
        <v>0</v>
      </c>
      <c r="X47" s="783">
        <v>0</v>
      </c>
      <c r="Y47" s="830">
        <v>0</v>
      </c>
      <c r="Z47" s="833">
        <v>0</v>
      </c>
      <c r="AA47" s="802">
        <v>0</v>
      </c>
      <c r="AB47" s="835">
        <v>0</v>
      </c>
      <c r="AC47" s="1094">
        <v>0</v>
      </c>
      <c r="AD47" s="833">
        <v>0</v>
      </c>
      <c r="AE47" s="836">
        <v>0</v>
      </c>
      <c r="AF47" s="836">
        <v>0</v>
      </c>
      <c r="AG47" s="827">
        <f t="shared" si="1"/>
        <v>0</v>
      </c>
      <c r="AH47" s="827">
        <f t="shared" si="2"/>
        <v>0</v>
      </c>
      <c r="AI47" s="466">
        <f t="shared" si="3"/>
        <v>0</v>
      </c>
      <c r="AJ47" s="467" t="str">
        <f t="shared" si="4"/>
        <v xml:space="preserve"> </v>
      </c>
      <c r="AS47" s="139" t="s">
        <v>541</v>
      </c>
      <c r="AT47" s="1085" t="s">
        <v>1402</v>
      </c>
      <c r="DS47" s="648"/>
      <c r="DT47" s="648"/>
      <c r="DU47" s="667" t="s">
        <v>415</v>
      </c>
      <c r="DV47" s="667" t="s">
        <v>1188</v>
      </c>
      <c r="DW47" s="667" t="s">
        <v>1134</v>
      </c>
      <c r="DX47" s="667" t="s">
        <v>1134</v>
      </c>
      <c r="DY47" s="669" t="s">
        <v>1190</v>
      </c>
      <c r="DZ47" s="667" t="s">
        <v>1134</v>
      </c>
      <c r="EA47" s="670" t="s">
        <v>541</v>
      </c>
      <c r="EB47" s="667" t="s">
        <v>1135</v>
      </c>
      <c r="EC47" s="667" t="s">
        <v>1134</v>
      </c>
      <c r="ED47" s="667" t="s">
        <v>1136</v>
      </c>
    </row>
    <row r="48" spans="1:134" x14ac:dyDescent="0.2">
      <c r="A48" s="427" t="s">
        <v>132</v>
      </c>
      <c r="B48" s="632">
        <v>41</v>
      </c>
      <c r="C48" s="770">
        <v>0</v>
      </c>
      <c r="D48" s="830">
        <v>0</v>
      </c>
      <c r="E48" s="830">
        <v>0</v>
      </c>
      <c r="F48" s="866">
        <v>0</v>
      </c>
      <c r="G48" s="830">
        <v>0</v>
      </c>
      <c r="H48" s="830">
        <v>0</v>
      </c>
      <c r="I48" s="828">
        <f t="shared" si="0"/>
        <v>0</v>
      </c>
      <c r="J48" s="832">
        <v>0</v>
      </c>
      <c r="K48" s="832">
        <v>0</v>
      </c>
      <c r="L48" s="830">
        <v>0</v>
      </c>
      <c r="M48" s="802">
        <v>0</v>
      </c>
      <c r="N48" s="832">
        <v>0</v>
      </c>
      <c r="O48" s="833">
        <v>0</v>
      </c>
      <c r="P48" s="832">
        <v>0</v>
      </c>
      <c r="Q48" s="832">
        <v>0</v>
      </c>
      <c r="R48" s="781">
        <v>0</v>
      </c>
      <c r="S48" s="830">
        <v>0</v>
      </c>
      <c r="T48" s="830">
        <v>0</v>
      </c>
      <c r="U48" s="834">
        <v>0</v>
      </c>
      <c r="V48" s="832">
        <v>0</v>
      </c>
      <c r="W48" s="831">
        <v>0</v>
      </c>
      <c r="X48" s="783">
        <v>0</v>
      </c>
      <c r="Y48" s="830">
        <v>0</v>
      </c>
      <c r="Z48" s="833">
        <v>0</v>
      </c>
      <c r="AA48" s="802">
        <v>0</v>
      </c>
      <c r="AB48" s="835">
        <v>0</v>
      </c>
      <c r="AC48" s="1094">
        <v>0</v>
      </c>
      <c r="AD48" s="833">
        <v>0</v>
      </c>
      <c r="AE48" s="836">
        <v>0</v>
      </c>
      <c r="AF48" s="836">
        <v>0</v>
      </c>
      <c r="AG48" s="827">
        <f t="shared" si="1"/>
        <v>0</v>
      </c>
      <c r="AH48" s="827">
        <f t="shared" si="2"/>
        <v>0</v>
      </c>
      <c r="AI48" s="466">
        <f t="shared" si="3"/>
        <v>0</v>
      </c>
      <c r="AJ48" s="467" t="str">
        <f t="shared" si="4"/>
        <v xml:space="preserve"> </v>
      </c>
      <c r="AS48" s="139" t="s">
        <v>271</v>
      </c>
      <c r="AT48" s="139" t="s">
        <v>270</v>
      </c>
      <c r="DS48" s="648"/>
      <c r="DT48" s="648"/>
      <c r="DU48" s="667" t="s">
        <v>415</v>
      </c>
      <c r="DV48" s="667" t="s">
        <v>1188</v>
      </c>
      <c r="DW48" s="667" t="s">
        <v>1134</v>
      </c>
      <c r="DX48" s="667" t="s">
        <v>1134</v>
      </c>
      <c r="DY48" s="669" t="s">
        <v>1190</v>
      </c>
      <c r="DZ48" s="667" t="s">
        <v>1134</v>
      </c>
      <c r="EA48" s="670" t="s">
        <v>271</v>
      </c>
      <c r="EB48" s="667" t="s">
        <v>1135</v>
      </c>
      <c r="EC48" s="667" t="s">
        <v>1134</v>
      </c>
      <c r="ED48" s="667" t="s">
        <v>1136</v>
      </c>
    </row>
    <row r="49" spans="1:134" x14ac:dyDescent="0.2">
      <c r="A49" s="427" t="s">
        <v>133</v>
      </c>
      <c r="B49" s="632">
        <v>42</v>
      </c>
      <c r="C49" s="770">
        <v>0</v>
      </c>
      <c r="D49" s="830">
        <v>0</v>
      </c>
      <c r="E49" s="830">
        <v>0</v>
      </c>
      <c r="F49" s="866">
        <v>0</v>
      </c>
      <c r="G49" s="830">
        <v>0</v>
      </c>
      <c r="H49" s="830">
        <v>0</v>
      </c>
      <c r="I49" s="828">
        <f t="shared" si="0"/>
        <v>0</v>
      </c>
      <c r="J49" s="832">
        <v>0</v>
      </c>
      <c r="K49" s="832">
        <v>0</v>
      </c>
      <c r="L49" s="830">
        <v>0</v>
      </c>
      <c r="M49" s="802">
        <v>0</v>
      </c>
      <c r="N49" s="832">
        <v>0</v>
      </c>
      <c r="O49" s="833">
        <v>0</v>
      </c>
      <c r="P49" s="832">
        <v>0</v>
      </c>
      <c r="Q49" s="832">
        <v>0</v>
      </c>
      <c r="R49" s="781">
        <v>0</v>
      </c>
      <c r="S49" s="830">
        <v>0</v>
      </c>
      <c r="T49" s="830">
        <v>0</v>
      </c>
      <c r="U49" s="834">
        <v>0</v>
      </c>
      <c r="V49" s="832">
        <v>0</v>
      </c>
      <c r="W49" s="831">
        <v>0</v>
      </c>
      <c r="X49" s="783">
        <v>0</v>
      </c>
      <c r="Y49" s="830">
        <v>0</v>
      </c>
      <c r="Z49" s="833">
        <v>0</v>
      </c>
      <c r="AA49" s="802">
        <v>0</v>
      </c>
      <c r="AB49" s="835">
        <v>0</v>
      </c>
      <c r="AC49" s="1094">
        <v>0</v>
      </c>
      <c r="AD49" s="833">
        <v>0</v>
      </c>
      <c r="AE49" s="836">
        <v>0</v>
      </c>
      <c r="AF49" s="836">
        <v>0</v>
      </c>
      <c r="AG49" s="827">
        <f t="shared" si="1"/>
        <v>0</v>
      </c>
      <c r="AH49" s="827">
        <f t="shared" si="2"/>
        <v>0</v>
      </c>
      <c r="AI49" s="466">
        <f t="shared" si="3"/>
        <v>0</v>
      </c>
      <c r="AJ49" s="467" t="str">
        <f t="shared" si="4"/>
        <v xml:space="preserve"> </v>
      </c>
      <c r="AS49" s="139" t="s">
        <v>273</v>
      </c>
      <c r="AT49" s="139" t="s">
        <v>272</v>
      </c>
      <c r="DS49" s="648"/>
      <c r="DT49" s="648"/>
      <c r="DU49" s="667" t="s">
        <v>415</v>
      </c>
      <c r="DV49" s="667" t="s">
        <v>1188</v>
      </c>
      <c r="DW49" s="667" t="s">
        <v>1134</v>
      </c>
      <c r="DX49" s="667" t="s">
        <v>1134</v>
      </c>
      <c r="DY49" s="669" t="s">
        <v>1190</v>
      </c>
      <c r="DZ49" s="667" t="s">
        <v>1134</v>
      </c>
      <c r="EA49" s="670" t="s">
        <v>273</v>
      </c>
      <c r="EB49" s="667" t="s">
        <v>1135</v>
      </c>
      <c r="EC49" s="667" t="s">
        <v>1134</v>
      </c>
      <c r="ED49" s="667" t="s">
        <v>1136</v>
      </c>
    </row>
    <row r="50" spans="1:134" x14ac:dyDescent="0.2">
      <c r="A50" s="427" t="s">
        <v>134</v>
      </c>
      <c r="B50" s="632">
        <v>43</v>
      </c>
      <c r="C50" s="770">
        <v>0</v>
      </c>
      <c r="D50" s="830">
        <v>0</v>
      </c>
      <c r="E50" s="830">
        <v>0</v>
      </c>
      <c r="F50" s="866">
        <v>0</v>
      </c>
      <c r="G50" s="830">
        <v>0</v>
      </c>
      <c r="H50" s="830">
        <v>0</v>
      </c>
      <c r="I50" s="828">
        <f t="shared" si="0"/>
        <v>0</v>
      </c>
      <c r="J50" s="832">
        <v>0</v>
      </c>
      <c r="K50" s="832">
        <v>0</v>
      </c>
      <c r="L50" s="830">
        <v>0</v>
      </c>
      <c r="M50" s="802">
        <v>0</v>
      </c>
      <c r="N50" s="832">
        <v>0</v>
      </c>
      <c r="O50" s="833">
        <v>0</v>
      </c>
      <c r="P50" s="832">
        <v>0</v>
      </c>
      <c r="Q50" s="832">
        <v>0</v>
      </c>
      <c r="R50" s="781">
        <v>0</v>
      </c>
      <c r="S50" s="830">
        <v>0</v>
      </c>
      <c r="T50" s="830">
        <v>0</v>
      </c>
      <c r="U50" s="834">
        <v>0</v>
      </c>
      <c r="V50" s="832">
        <v>0</v>
      </c>
      <c r="W50" s="831">
        <v>0</v>
      </c>
      <c r="X50" s="783">
        <v>0</v>
      </c>
      <c r="Y50" s="830">
        <v>0</v>
      </c>
      <c r="Z50" s="833">
        <v>0</v>
      </c>
      <c r="AA50" s="802">
        <v>0</v>
      </c>
      <c r="AB50" s="835">
        <v>0</v>
      </c>
      <c r="AC50" s="1094">
        <v>0</v>
      </c>
      <c r="AD50" s="833">
        <v>0</v>
      </c>
      <c r="AE50" s="836">
        <v>0</v>
      </c>
      <c r="AF50" s="836">
        <v>0</v>
      </c>
      <c r="AG50" s="827">
        <f t="shared" si="1"/>
        <v>0</v>
      </c>
      <c r="AH50" s="827">
        <f t="shared" si="2"/>
        <v>0</v>
      </c>
      <c r="AI50" s="466">
        <f t="shared" si="3"/>
        <v>0</v>
      </c>
      <c r="AJ50" s="467" t="str">
        <f t="shared" si="4"/>
        <v xml:space="preserve"> </v>
      </c>
      <c r="AS50" s="139" t="s">
        <v>275</v>
      </c>
      <c r="AT50" s="139" t="s">
        <v>274</v>
      </c>
      <c r="DS50" s="648"/>
      <c r="DT50" s="648"/>
      <c r="DU50" s="667" t="s">
        <v>415</v>
      </c>
      <c r="DV50" s="667" t="s">
        <v>1188</v>
      </c>
      <c r="DW50" s="667" t="s">
        <v>1134</v>
      </c>
      <c r="DX50" s="667" t="s">
        <v>1134</v>
      </c>
      <c r="DY50" s="669" t="s">
        <v>1190</v>
      </c>
      <c r="DZ50" s="667" t="s">
        <v>1134</v>
      </c>
      <c r="EA50" s="670" t="s">
        <v>275</v>
      </c>
      <c r="EB50" s="667" t="s">
        <v>1135</v>
      </c>
      <c r="EC50" s="667" t="s">
        <v>1134</v>
      </c>
      <c r="ED50" s="667" t="s">
        <v>1136</v>
      </c>
    </row>
    <row r="51" spans="1:134" x14ac:dyDescent="0.2">
      <c r="A51" s="427" t="s">
        <v>59</v>
      </c>
      <c r="B51" s="632">
        <v>44</v>
      </c>
      <c r="C51" s="770">
        <v>0</v>
      </c>
      <c r="D51" s="830">
        <v>0</v>
      </c>
      <c r="E51" s="830">
        <v>0</v>
      </c>
      <c r="F51" s="866">
        <v>0</v>
      </c>
      <c r="G51" s="830">
        <v>0</v>
      </c>
      <c r="H51" s="830">
        <v>0</v>
      </c>
      <c r="I51" s="828">
        <f t="shared" si="0"/>
        <v>0</v>
      </c>
      <c r="J51" s="832">
        <v>0</v>
      </c>
      <c r="K51" s="832">
        <v>0</v>
      </c>
      <c r="L51" s="830">
        <v>0</v>
      </c>
      <c r="M51" s="802">
        <v>0</v>
      </c>
      <c r="N51" s="832">
        <v>0</v>
      </c>
      <c r="O51" s="833">
        <v>0</v>
      </c>
      <c r="P51" s="832">
        <v>0</v>
      </c>
      <c r="Q51" s="832">
        <v>0</v>
      </c>
      <c r="R51" s="781">
        <v>0</v>
      </c>
      <c r="S51" s="830">
        <v>0</v>
      </c>
      <c r="T51" s="830">
        <v>0</v>
      </c>
      <c r="U51" s="834">
        <v>0</v>
      </c>
      <c r="V51" s="832">
        <v>0</v>
      </c>
      <c r="W51" s="831">
        <v>0</v>
      </c>
      <c r="X51" s="783">
        <v>0</v>
      </c>
      <c r="Y51" s="830">
        <v>0</v>
      </c>
      <c r="Z51" s="833">
        <v>0</v>
      </c>
      <c r="AA51" s="802">
        <v>0</v>
      </c>
      <c r="AB51" s="835">
        <v>0</v>
      </c>
      <c r="AC51" s="1094">
        <v>0</v>
      </c>
      <c r="AD51" s="833">
        <v>0</v>
      </c>
      <c r="AE51" s="836">
        <v>0</v>
      </c>
      <c r="AF51" s="836">
        <v>0</v>
      </c>
      <c r="AG51" s="827">
        <f t="shared" si="1"/>
        <v>0</v>
      </c>
      <c r="AH51" s="827">
        <f t="shared" si="2"/>
        <v>0</v>
      </c>
      <c r="AI51" s="466">
        <f t="shared" si="3"/>
        <v>0</v>
      </c>
      <c r="AJ51" s="467" t="str">
        <f t="shared" si="4"/>
        <v xml:space="preserve"> </v>
      </c>
      <c r="AS51" s="139" t="s">
        <v>487</v>
      </c>
      <c r="AT51" s="139" t="s">
        <v>488</v>
      </c>
      <c r="DS51" s="648"/>
      <c r="DT51" s="648"/>
      <c r="DU51" s="667" t="s">
        <v>415</v>
      </c>
      <c r="DV51" s="667" t="s">
        <v>1188</v>
      </c>
      <c r="DW51" s="667" t="s">
        <v>1134</v>
      </c>
      <c r="DX51" s="667" t="s">
        <v>1134</v>
      </c>
      <c r="DY51" s="669" t="s">
        <v>1190</v>
      </c>
      <c r="DZ51" s="667" t="s">
        <v>1134</v>
      </c>
      <c r="EA51" s="670" t="s">
        <v>487</v>
      </c>
      <c r="EB51" s="667" t="s">
        <v>1135</v>
      </c>
      <c r="EC51" s="667" t="s">
        <v>1134</v>
      </c>
      <c r="ED51" s="667" t="s">
        <v>1136</v>
      </c>
    </row>
    <row r="52" spans="1:134" x14ac:dyDescent="0.2">
      <c r="A52" s="427" t="s">
        <v>621</v>
      </c>
      <c r="B52" s="632">
        <v>45</v>
      </c>
      <c r="C52" s="770">
        <v>0</v>
      </c>
      <c r="D52" s="830">
        <v>0</v>
      </c>
      <c r="E52" s="830">
        <v>0</v>
      </c>
      <c r="F52" s="866">
        <v>0</v>
      </c>
      <c r="G52" s="830">
        <v>0</v>
      </c>
      <c r="H52" s="830">
        <v>0</v>
      </c>
      <c r="I52" s="828">
        <f t="shared" si="0"/>
        <v>0</v>
      </c>
      <c r="J52" s="832">
        <v>0</v>
      </c>
      <c r="K52" s="832">
        <v>0</v>
      </c>
      <c r="L52" s="830">
        <v>0</v>
      </c>
      <c r="M52" s="802">
        <v>0</v>
      </c>
      <c r="N52" s="832">
        <v>0</v>
      </c>
      <c r="O52" s="833">
        <v>0</v>
      </c>
      <c r="P52" s="832">
        <v>0</v>
      </c>
      <c r="Q52" s="832">
        <v>0</v>
      </c>
      <c r="R52" s="781">
        <v>0</v>
      </c>
      <c r="S52" s="830">
        <v>0</v>
      </c>
      <c r="T52" s="830">
        <v>0</v>
      </c>
      <c r="U52" s="834">
        <v>0</v>
      </c>
      <c r="V52" s="832">
        <v>0</v>
      </c>
      <c r="W52" s="831">
        <v>0</v>
      </c>
      <c r="X52" s="783">
        <v>0</v>
      </c>
      <c r="Y52" s="830">
        <v>0</v>
      </c>
      <c r="Z52" s="833">
        <v>0</v>
      </c>
      <c r="AA52" s="802">
        <v>0</v>
      </c>
      <c r="AB52" s="835">
        <v>0</v>
      </c>
      <c r="AC52" s="1094">
        <v>0</v>
      </c>
      <c r="AD52" s="833">
        <v>0</v>
      </c>
      <c r="AE52" s="836">
        <v>0</v>
      </c>
      <c r="AF52" s="836">
        <v>0</v>
      </c>
      <c r="AG52" s="827">
        <f t="shared" si="1"/>
        <v>0</v>
      </c>
      <c r="AH52" s="827">
        <f t="shared" si="2"/>
        <v>0</v>
      </c>
      <c r="AI52" s="466">
        <f t="shared" si="3"/>
        <v>0</v>
      </c>
      <c r="AJ52" s="467" t="str">
        <f t="shared" si="4"/>
        <v xml:space="preserve"> </v>
      </c>
      <c r="AS52" s="139" t="s">
        <v>521</v>
      </c>
      <c r="AT52" s="139" t="s">
        <v>522</v>
      </c>
      <c r="DS52" s="648"/>
      <c r="DT52" s="648"/>
      <c r="DU52" s="667" t="s">
        <v>415</v>
      </c>
      <c r="DV52" s="667" t="s">
        <v>1188</v>
      </c>
      <c r="DW52" s="667" t="s">
        <v>1134</v>
      </c>
      <c r="DX52" s="667" t="s">
        <v>1134</v>
      </c>
      <c r="DY52" s="669" t="s">
        <v>1190</v>
      </c>
      <c r="DZ52" s="667" t="s">
        <v>1134</v>
      </c>
      <c r="EA52" s="670" t="s">
        <v>521</v>
      </c>
      <c r="EB52" s="667" t="s">
        <v>1135</v>
      </c>
      <c r="EC52" s="667" t="s">
        <v>1134</v>
      </c>
      <c r="ED52" s="667" t="s">
        <v>1136</v>
      </c>
    </row>
    <row r="53" spans="1:134" x14ac:dyDescent="0.2">
      <c r="A53" s="427" t="s">
        <v>569</v>
      </c>
      <c r="B53" s="632">
        <v>46</v>
      </c>
      <c r="C53" s="770">
        <v>0</v>
      </c>
      <c r="D53" s="830">
        <v>0</v>
      </c>
      <c r="E53" s="830">
        <v>0</v>
      </c>
      <c r="F53" s="866">
        <v>0</v>
      </c>
      <c r="G53" s="830">
        <v>0</v>
      </c>
      <c r="H53" s="830">
        <v>0</v>
      </c>
      <c r="I53" s="828">
        <f t="shared" si="0"/>
        <v>0</v>
      </c>
      <c r="J53" s="832">
        <v>0</v>
      </c>
      <c r="K53" s="832">
        <v>0</v>
      </c>
      <c r="L53" s="830">
        <v>0</v>
      </c>
      <c r="M53" s="802">
        <v>0</v>
      </c>
      <c r="N53" s="832">
        <v>0</v>
      </c>
      <c r="O53" s="833">
        <v>0</v>
      </c>
      <c r="P53" s="832">
        <v>0</v>
      </c>
      <c r="Q53" s="832">
        <v>0</v>
      </c>
      <c r="R53" s="781">
        <v>0</v>
      </c>
      <c r="S53" s="830">
        <v>0</v>
      </c>
      <c r="T53" s="830">
        <v>0</v>
      </c>
      <c r="U53" s="834">
        <v>0</v>
      </c>
      <c r="V53" s="832">
        <v>0</v>
      </c>
      <c r="W53" s="831">
        <v>0</v>
      </c>
      <c r="X53" s="783">
        <v>0</v>
      </c>
      <c r="Y53" s="830">
        <v>0</v>
      </c>
      <c r="Z53" s="833">
        <v>0</v>
      </c>
      <c r="AA53" s="802">
        <v>0</v>
      </c>
      <c r="AB53" s="835">
        <v>0</v>
      </c>
      <c r="AC53" s="1094">
        <v>0</v>
      </c>
      <c r="AD53" s="833">
        <v>0</v>
      </c>
      <c r="AE53" s="836">
        <v>0</v>
      </c>
      <c r="AF53" s="836">
        <v>0</v>
      </c>
      <c r="AG53" s="827">
        <f t="shared" si="1"/>
        <v>0</v>
      </c>
      <c r="AH53" s="827">
        <f t="shared" si="2"/>
        <v>0</v>
      </c>
      <c r="AI53" s="466">
        <f t="shared" si="3"/>
        <v>0</v>
      </c>
      <c r="AJ53" s="467" t="str">
        <f t="shared" si="4"/>
        <v xml:space="preserve"> </v>
      </c>
      <c r="AS53" s="139" t="s">
        <v>544</v>
      </c>
      <c r="AT53" s="139" t="s">
        <v>545</v>
      </c>
      <c r="DS53" s="648"/>
      <c r="DT53" s="648"/>
      <c r="DU53" s="667" t="s">
        <v>415</v>
      </c>
      <c r="DV53" s="667" t="s">
        <v>1188</v>
      </c>
      <c r="DW53" s="667" t="s">
        <v>1134</v>
      </c>
      <c r="DX53" s="667" t="s">
        <v>1134</v>
      </c>
      <c r="DY53" s="669" t="s">
        <v>1190</v>
      </c>
      <c r="DZ53" s="667" t="s">
        <v>1134</v>
      </c>
      <c r="EA53" s="670" t="s">
        <v>544</v>
      </c>
      <c r="EB53" s="667" t="s">
        <v>1135</v>
      </c>
      <c r="EC53" s="667" t="s">
        <v>1134</v>
      </c>
      <c r="ED53" s="667" t="s">
        <v>1136</v>
      </c>
    </row>
    <row r="54" spans="1:134" x14ac:dyDescent="0.2">
      <c r="A54" s="427" t="s">
        <v>99</v>
      </c>
      <c r="B54" s="632">
        <v>47</v>
      </c>
      <c r="C54" s="770">
        <v>0</v>
      </c>
      <c r="D54" s="830">
        <v>0</v>
      </c>
      <c r="E54" s="830">
        <v>0</v>
      </c>
      <c r="F54" s="866">
        <v>0</v>
      </c>
      <c r="G54" s="830">
        <v>0</v>
      </c>
      <c r="H54" s="830">
        <v>0</v>
      </c>
      <c r="I54" s="828">
        <f t="shared" si="0"/>
        <v>0</v>
      </c>
      <c r="J54" s="832">
        <v>0</v>
      </c>
      <c r="K54" s="832">
        <v>0</v>
      </c>
      <c r="L54" s="830">
        <v>0</v>
      </c>
      <c r="M54" s="802">
        <v>0</v>
      </c>
      <c r="N54" s="832">
        <v>0</v>
      </c>
      <c r="O54" s="833">
        <v>0</v>
      </c>
      <c r="P54" s="832">
        <v>0</v>
      </c>
      <c r="Q54" s="832">
        <v>0</v>
      </c>
      <c r="R54" s="781">
        <v>0</v>
      </c>
      <c r="S54" s="830">
        <v>0</v>
      </c>
      <c r="T54" s="830">
        <v>0</v>
      </c>
      <c r="U54" s="834">
        <v>0</v>
      </c>
      <c r="V54" s="832">
        <v>0</v>
      </c>
      <c r="W54" s="831">
        <v>0</v>
      </c>
      <c r="X54" s="783">
        <v>0</v>
      </c>
      <c r="Y54" s="830">
        <v>0</v>
      </c>
      <c r="Z54" s="833">
        <v>0</v>
      </c>
      <c r="AA54" s="802">
        <v>0</v>
      </c>
      <c r="AB54" s="835">
        <v>0</v>
      </c>
      <c r="AC54" s="1094">
        <v>0</v>
      </c>
      <c r="AD54" s="833">
        <v>0</v>
      </c>
      <c r="AE54" s="836">
        <v>0</v>
      </c>
      <c r="AF54" s="836">
        <v>0</v>
      </c>
      <c r="AG54" s="827">
        <f t="shared" si="1"/>
        <v>0</v>
      </c>
      <c r="AH54" s="827">
        <f t="shared" si="2"/>
        <v>0</v>
      </c>
      <c r="AI54" s="466">
        <f t="shared" si="3"/>
        <v>0</v>
      </c>
      <c r="AJ54" s="467" t="str">
        <f t="shared" si="4"/>
        <v xml:space="preserve"> </v>
      </c>
      <c r="AS54" s="139" t="s">
        <v>277</v>
      </c>
      <c r="AT54" s="139" t="s">
        <v>276</v>
      </c>
      <c r="DS54" s="648"/>
      <c r="DT54" s="648"/>
      <c r="DU54" s="667" t="s">
        <v>415</v>
      </c>
      <c r="DV54" s="667" t="s">
        <v>1188</v>
      </c>
      <c r="DW54" s="667" t="s">
        <v>1134</v>
      </c>
      <c r="DX54" s="667" t="s">
        <v>1134</v>
      </c>
      <c r="DY54" s="669" t="s">
        <v>1190</v>
      </c>
      <c r="DZ54" s="667" t="s">
        <v>1134</v>
      </c>
      <c r="EA54" s="670" t="s">
        <v>277</v>
      </c>
      <c r="EB54" s="667" t="s">
        <v>1135</v>
      </c>
      <c r="EC54" s="667" t="s">
        <v>1134</v>
      </c>
      <c r="ED54" s="667" t="s">
        <v>1136</v>
      </c>
    </row>
    <row r="55" spans="1:134" x14ac:dyDescent="0.2">
      <c r="A55" s="427" t="s">
        <v>570</v>
      </c>
      <c r="B55" s="632">
        <v>48</v>
      </c>
      <c r="C55" s="770">
        <v>0</v>
      </c>
      <c r="D55" s="830">
        <v>0</v>
      </c>
      <c r="E55" s="830">
        <v>0</v>
      </c>
      <c r="F55" s="866">
        <v>0</v>
      </c>
      <c r="G55" s="830">
        <v>0</v>
      </c>
      <c r="H55" s="830">
        <v>0</v>
      </c>
      <c r="I55" s="828">
        <f t="shared" si="0"/>
        <v>0</v>
      </c>
      <c r="J55" s="832">
        <v>0</v>
      </c>
      <c r="K55" s="832">
        <v>0</v>
      </c>
      <c r="L55" s="830">
        <v>0</v>
      </c>
      <c r="M55" s="802">
        <v>0</v>
      </c>
      <c r="N55" s="832">
        <v>0</v>
      </c>
      <c r="O55" s="833">
        <v>0</v>
      </c>
      <c r="P55" s="832">
        <v>0</v>
      </c>
      <c r="Q55" s="832">
        <v>0</v>
      </c>
      <c r="R55" s="781">
        <v>0</v>
      </c>
      <c r="S55" s="830">
        <v>0</v>
      </c>
      <c r="T55" s="830">
        <v>0</v>
      </c>
      <c r="U55" s="834">
        <v>0</v>
      </c>
      <c r="V55" s="832">
        <v>0</v>
      </c>
      <c r="W55" s="831">
        <v>0</v>
      </c>
      <c r="X55" s="783">
        <v>0</v>
      </c>
      <c r="Y55" s="830">
        <v>0</v>
      </c>
      <c r="Z55" s="833">
        <v>0</v>
      </c>
      <c r="AA55" s="802">
        <v>0</v>
      </c>
      <c r="AB55" s="835">
        <v>0</v>
      </c>
      <c r="AC55" s="1094">
        <v>0</v>
      </c>
      <c r="AD55" s="833">
        <v>0</v>
      </c>
      <c r="AE55" s="836">
        <v>0</v>
      </c>
      <c r="AF55" s="836">
        <v>0</v>
      </c>
      <c r="AG55" s="827">
        <f t="shared" si="1"/>
        <v>0</v>
      </c>
      <c r="AH55" s="827">
        <f t="shared" si="2"/>
        <v>0</v>
      </c>
      <c r="AI55" s="466">
        <f t="shared" si="3"/>
        <v>0</v>
      </c>
      <c r="AJ55" s="467" t="str">
        <f t="shared" si="4"/>
        <v xml:space="preserve"> </v>
      </c>
      <c r="AS55" s="139" t="s">
        <v>546</v>
      </c>
      <c r="AT55" s="139" t="s">
        <v>547</v>
      </c>
      <c r="DS55" s="648"/>
      <c r="DT55" s="648"/>
      <c r="DU55" s="667" t="s">
        <v>415</v>
      </c>
      <c r="DV55" s="667" t="s">
        <v>1188</v>
      </c>
      <c r="DW55" s="667" t="s">
        <v>1134</v>
      </c>
      <c r="DX55" s="667" t="s">
        <v>1134</v>
      </c>
      <c r="DY55" s="669" t="s">
        <v>1190</v>
      </c>
      <c r="DZ55" s="667" t="s">
        <v>1134</v>
      </c>
      <c r="EA55" s="670" t="s">
        <v>546</v>
      </c>
      <c r="EB55" s="667" t="s">
        <v>1135</v>
      </c>
      <c r="EC55" s="667" t="s">
        <v>1134</v>
      </c>
      <c r="ED55" s="667" t="s">
        <v>1136</v>
      </c>
    </row>
    <row r="56" spans="1:134" x14ac:dyDescent="0.2">
      <c r="A56" s="427" t="s">
        <v>135</v>
      </c>
      <c r="B56" s="632">
        <v>49</v>
      </c>
      <c r="C56" s="770">
        <v>0</v>
      </c>
      <c r="D56" s="830">
        <v>0</v>
      </c>
      <c r="E56" s="830">
        <v>0</v>
      </c>
      <c r="F56" s="866">
        <v>0</v>
      </c>
      <c r="G56" s="830">
        <v>0</v>
      </c>
      <c r="H56" s="830">
        <v>0</v>
      </c>
      <c r="I56" s="828">
        <f t="shared" si="0"/>
        <v>0</v>
      </c>
      <c r="J56" s="832">
        <v>0</v>
      </c>
      <c r="K56" s="832">
        <v>0</v>
      </c>
      <c r="L56" s="830">
        <v>0</v>
      </c>
      <c r="M56" s="802">
        <v>0</v>
      </c>
      <c r="N56" s="832">
        <v>0</v>
      </c>
      <c r="O56" s="833">
        <v>0</v>
      </c>
      <c r="P56" s="832">
        <v>0</v>
      </c>
      <c r="Q56" s="832">
        <v>0</v>
      </c>
      <c r="R56" s="781">
        <v>0</v>
      </c>
      <c r="S56" s="830">
        <v>0</v>
      </c>
      <c r="T56" s="830">
        <v>0</v>
      </c>
      <c r="U56" s="834">
        <v>0</v>
      </c>
      <c r="V56" s="832">
        <v>0</v>
      </c>
      <c r="W56" s="831">
        <v>0</v>
      </c>
      <c r="X56" s="783">
        <v>0</v>
      </c>
      <c r="Y56" s="830">
        <v>0</v>
      </c>
      <c r="Z56" s="833">
        <v>0</v>
      </c>
      <c r="AA56" s="802">
        <v>0</v>
      </c>
      <c r="AB56" s="835">
        <v>0</v>
      </c>
      <c r="AC56" s="1094">
        <v>0</v>
      </c>
      <c r="AD56" s="833">
        <v>0</v>
      </c>
      <c r="AE56" s="836">
        <v>0</v>
      </c>
      <c r="AF56" s="836">
        <v>0</v>
      </c>
      <c r="AG56" s="827">
        <f t="shared" si="1"/>
        <v>0</v>
      </c>
      <c r="AH56" s="827">
        <f t="shared" si="2"/>
        <v>0</v>
      </c>
      <c r="AI56" s="466">
        <f t="shared" si="3"/>
        <v>0</v>
      </c>
      <c r="AJ56" s="467" t="str">
        <f t="shared" si="4"/>
        <v xml:space="preserve"> </v>
      </c>
      <c r="AS56" s="139" t="s">
        <v>279</v>
      </c>
      <c r="AT56" s="139" t="s">
        <v>278</v>
      </c>
      <c r="DS56" s="648"/>
      <c r="DT56" s="648"/>
      <c r="DU56" s="667" t="s">
        <v>415</v>
      </c>
      <c r="DV56" s="667" t="s">
        <v>1188</v>
      </c>
      <c r="DW56" s="667" t="s">
        <v>1134</v>
      </c>
      <c r="DX56" s="667" t="s">
        <v>1134</v>
      </c>
      <c r="DY56" s="669" t="s">
        <v>1190</v>
      </c>
      <c r="DZ56" s="667" t="s">
        <v>1134</v>
      </c>
      <c r="EA56" s="670" t="s">
        <v>279</v>
      </c>
      <c r="EB56" s="667" t="s">
        <v>1135</v>
      </c>
      <c r="EC56" s="667" t="s">
        <v>1134</v>
      </c>
      <c r="ED56" s="667" t="s">
        <v>1136</v>
      </c>
    </row>
    <row r="57" spans="1:134" x14ac:dyDescent="0.2">
      <c r="A57" s="427" t="s">
        <v>136</v>
      </c>
      <c r="B57" s="632">
        <v>50</v>
      </c>
      <c r="C57" s="770">
        <v>0</v>
      </c>
      <c r="D57" s="830">
        <v>0</v>
      </c>
      <c r="E57" s="830">
        <v>0</v>
      </c>
      <c r="F57" s="866">
        <v>0</v>
      </c>
      <c r="G57" s="830">
        <v>0</v>
      </c>
      <c r="H57" s="830">
        <v>0</v>
      </c>
      <c r="I57" s="828">
        <f t="shared" si="0"/>
        <v>0</v>
      </c>
      <c r="J57" s="832">
        <v>0</v>
      </c>
      <c r="K57" s="832">
        <v>0</v>
      </c>
      <c r="L57" s="830">
        <v>0</v>
      </c>
      <c r="M57" s="802">
        <v>0</v>
      </c>
      <c r="N57" s="832">
        <v>0</v>
      </c>
      <c r="O57" s="833">
        <v>0</v>
      </c>
      <c r="P57" s="832">
        <v>0</v>
      </c>
      <c r="Q57" s="832">
        <v>0</v>
      </c>
      <c r="R57" s="781">
        <v>0</v>
      </c>
      <c r="S57" s="830">
        <v>0</v>
      </c>
      <c r="T57" s="830">
        <v>0</v>
      </c>
      <c r="U57" s="834">
        <v>0</v>
      </c>
      <c r="V57" s="832">
        <v>0</v>
      </c>
      <c r="W57" s="831">
        <v>0</v>
      </c>
      <c r="X57" s="783">
        <v>0</v>
      </c>
      <c r="Y57" s="830">
        <v>0</v>
      </c>
      <c r="Z57" s="833">
        <v>0</v>
      </c>
      <c r="AA57" s="802">
        <v>0</v>
      </c>
      <c r="AB57" s="835">
        <v>0</v>
      </c>
      <c r="AC57" s="1094">
        <v>0</v>
      </c>
      <c r="AD57" s="833">
        <v>0</v>
      </c>
      <c r="AE57" s="836">
        <v>0</v>
      </c>
      <c r="AF57" s="836">
        <v>0</v>
      </c>
      <c r="AG57" s="827">
        <f t="shared" si="1"/>
        <v>0</v>
      </c>
      <c r="AH57" s="827">
        <f t="shared" si="2"/>
        <v>0</v>
      </c>
      <c r="AI57" s="466">
        <f t="shared" si="3"/>
        <v>0</v>
      </c>
      <c r="AJ57" s="467" t="str">
        <f t="shared" si="4"/>
        <v xml:space="preserve"> </v>
      </c>
      <c r="AS57" s="139" t="s">
        <v>281</v>
      </c>
      <c r="AT57" s="139" t="s">
        <v>280</v>
      </c>
      <c r="DS57" s="648"/>
      <c r="DT57" s="648"/>
      <c r="DU57" s="667" t="s">
        <v>415</v>
      </c>
      <c r="DV57" s="667" t="s">
        <v>1188</v>
      </c>
      <c r="DW57" s="667" t="s">
        <v>1134</v>
      </c>
      <c r="DX57" s="667" t="s">
        <v>1134</v>
      </c>
      <c r="DY57" s="669" t="s">
        <v>1190</v>
      </c>
      <c r="DZ57" s="667" t="s">
        <v>1134</v>
      </c>
      <c r="EA57" s="670" t="s">
        <v>281</v>
      </c>
      <c r="EB57" s="667" t="s">
        <v>1135</v>
      </c>
      <c r="EC57" s="667" t="s">
        <v>1134</v>
      </c>
      <c r="ED57" s="667" t="s">
        <v>1136</v>
      </c>
    </row>
    <row r="58" spans="1:134" x14ac:dyDescent="0.2">
      <c r="A58" s="427" t="s">
        <v>137</v>
      </c>
      <c r="B58" s="632">
        <v>51</v>
      </c>
      <c r="C58" s="770">
        <v>0</v>
      </c>
      <c r="D58" s="830">
        <v>0</v>
      </c>
      <c r="E58" s="830">
        <v>0</v>
      </c>
      <c r="F58" s="866">
        <v>0</v>
      </c>
      <c r="G58" s="830">
        <v>0</v>
      </c>
      <c r="H58" s="830">
        <v>0</v>
      </c>
      <c r="I58" s="828">
        <f t="shared" si="0"/>
        <v>0</v>
      </c>
      <c r="J58" s="832">
        <v>0</v>
      </c>
      <c r="K58" s="832">
        <v>0</v>
      </c>
      <c r="L58" s="830">
        <v>0</v>
      </c>
      <c r="M58" s="802">
        <v>0</v>
      </c>
      <c r="N58" s="832">
        <v>0</v>
      </c>
      <c r="O58" s="833">
        <v>0</v>
      </c>
      <c r="P58" s="832">
        <v>0</v>
      </c>
      <c r="Q58" s="832">
        <v>0</v>
      </c>
      <c r="R58" s="781">
        <v>0</v>
      </c>
      <c r="S58" s="830">
        <v>0</v>
      </c>
      <c r="T58" s="830">
        <v>0</v>
      </c>
      <c r="U58" s="834">
        <v>0</v>
      </c>
      <c r="V58" s="832">
        <v>0</v>
      </c>
      <c r="W58" s="831">
        <v>0</v>
      </c>
      <c r="X58" s="783">
        <v>0</v>
      </c>
      <c r="Y58" s="830">
        <v>0</v>
      </c>
      <c r="Z58" s="833">
        <v>0</v>
      </c>
      <c r="AA58" s="802">
        <v>0</v>
      </c>
      <c r="AB58" s="835">
        <v>0</v>
      </c>
      <c r="AC58" s="1094">
        <v>0</v>
      </c>
      <c r="AD58" s="833">
        <v>0</v>
      </c>
      <c r="AE58" s="836">
        <v>0</v>
      </c>
      <c r="AF58" s="836">
        <v>0</v>
      </c>
      <c r="AG58" s="827">
        <f t="shared" si="1"/>
        <v>0</v>
      </c>
      <c r="AH58" s="827">
        <f t="shared" si="2"/>
        <v>0</v>
      </c>
      <c r="AI58" s="466">
        <f t="shared" si="3"/>
        <v>0</v>
      </c>
      <c r="AJ58" s="467" t="str">
        <f t="shared" si="4"/>
        <v xml:space="preserve"> </v>
      </c>
      <c r="AS58" s="139" t="s">
        <v>283</v>
      </c>
      <c r="AT58" s="139" t="s">
        <v>282</v>
      </c>
      <c r="DS58" s="648"/>
      <c r="DT58" s="648"/>
      <c r="DU58" s="667" t="s">
        <v>415</v>
      </c>
      <c r="DV58" s="667" t="s">
        <v>1188</v>
      </c>
      <c r="DW58" s="667" t="s">
        <v>1134</v>
      </c>
      <c r="DX58" s="667" t="s">
        <v>1134</v>
      </c>
      <c r="DY58" s="669" t="s">
        <v>1190</v>
      </c>
      <c r="DZ58" s="667" t="s">
        <v>1134</v>
      </c>
      <c r="EA58" s="670" t="s">
        <v>283</v>
      </c>
      <c r="EB58" s="667" t="s">
        <v>1135</v>
      </c>
      <c r="EC58" s="667" t="s">
        <v>1134</v>
      </c>
      <c r="ED58" s="667" t="s">
        <v>1136</v>
      </c>
    </row>
    <row r="59" spans="1:134" x14ac:dyDescent="0.2">
      <c r="A59" s="427" t="s">
        <v>138</v>
      </c>
      <c r="B59" s="632">
        <v>52</v>
      </c>
      <c r="C59" s="770">
        <v>0</v>
      </c>
      <c r="D59" s="830">
        <v>0</v>
      </c>
      <c r="E59" s="830">
        <v>0</v>
      </c>
      <c r="F59" s="866">
        <v>0</v>
      </c>
      <c r="G59" s="830">
        <v>0</v>
      </c>
      <c r="H59" s="830">
        <v>0</v>
      </c>
      <c r="I59" s="828">
        <f t="shared" si="0"/>
        <v>0</v>
      </c>
      <c r="J59" s="832">
        <v>0</v>
      </c>
      <c r="K59" s="832">
        <v>0</v>
      </c>
      <c r="L59" s="830">
        <v>0</v>
      </c>
      <c r="M59" s="802">
        <v>0</v>
      </c>
      <c r="N59" s="832">
        <v>0</v>
      </c>
      <c r="O59" s="833">
        <v>0</v>
      </c>
      <c r="P59" s="832">
        <v>0</v>
      </c>
      <c r="Q59" s="832">
        <v>0</v>
      </c>
      <c r="R59" s="781">
        <v>0</v>
      </c>
      <c r="S59" s="830">
        <v>0</v>
      </c>
      <c r="T59" s="830">
        <v>0</v>
      </c>
      <c r="U59" s="834">
        <v>0</v>
      </c>
      <c r="V59" s="832">
        <v>0</v>
      </c>
      <c r="W59" s="831">
        <v>0</v>
      </c>
      <c r="X59" s="783">
        <v>0</v>
      </c>
      <c r="Y59" s="830">
        <v>0</v>
      </c>
      <c r="Z59" s="833">
        <v>0</v>
      </c>
      <c r="AA59" s="802">
        <v>0</v>
      </c>
      <c r="AB59" s="835">
        <v>0</v>
      </c>
      <c r="AC59" s="1094">
        <v>0</v>
      </c>
      <c r="AD59" s="833">
        <v>0</v>
      </c>
      <c r="AE59" s="836">
        <v>0</v>
      </c>
      <c r="AF59" s="836">
        <v>0</v>
      </c>
      <c r="AG59" s="827">
        <f t="shared" si="1"/>
        <v>0</v>
      </c>
      <c r="AH59" s="827">
        <f t="shared" si="2"/>
        <v>0</v>
      </c>
      <c r="AI59" s="466">
        <f t="shared" si="3"/>
        <v>0</v>
      </c>
      <c r="AJ59" s="467" t="str">
        <f t="shared" si="4"/>
        <v xml:space="preserve"> </v>
      </c>
      <c r="AS59" s="139" t="s">
        <v>285</v>
      </c>
      <c r="AT59" s="139" t="s">
        <v>284</v>
      </c>
      <c r="DS59" s="648"/>
      <c r="DT59" s="648"/>
      <c r="DU59" s="667" t="s">
        <v>415</v>
      </c>
      <c r="DV59" s="667" t="s">
        <v>1188</v>
      </c>
      <c r="DW59" s="667" t="s">
        <v>1134</v>
      </c>
      <c r="DX59" s="667" t="s">
        <v>1134</v>
      </c>
      <c r="DY59" s="669" t="s">
        <v>1190</v>
      </c>
      <c r="DZ59" s="667" t="s">
        <v>1134</v>
      </c>
      <c r="EA59" s="670" t="s">
        <v>285</v>
      </c>
      <c r="EB59" s="667" t="s">
        <v>1135</v>
      </c>
      <c r="EC59" s="667" t="s">
        <v>1134</v>
      </c>
      <c r="ED59" s="667" t="s">
        <v>1136</v>
      </c>
    </row>
    <row r="60" spans="1:134" x14ac:dyDescent="0.2">
      <c r="A60" s="427" t="s">
        <v>565</v>
      </c>
      <c r="B60" s="632">
        <v>53</v>
      </c>
      <c r="C60" s="770">
        <v>0</v>
      </c>
      <c r="D60" s="830">
        <v>0</v>
      </c>
      <c r="E60" s="830">
        <v>0</v>
      </c>
      <c r="F60" s="866">
        <v>0</v>
      </c>
      <c r="G60" s="830">
        <v>0</v>
      </c>
      <c r="H60" s="830">
        <v>0</v>
      </c>
      <c r="I60" s="828">
        <f t="shared" si="0"/>
        <v>0</v>
      </c>
      <c r="J60" s="832">
        <v>0</v>
      </c>
      <c r="K60" s="832">
        <v>0</v>
      </c>
      <c r="L60" s="830">
        <v>0</v>
      </c>
      <c r="M60" s="802">
        <v>0</v>
      </c>
      <c r="N60" s="832">
        <v>0</v>
      </c>
      <c r="O60" s="833">
        <v>0</v>
      </c>
      <c r="P60" s="832">
        <v>0</v>
      </c>
      <c r="Q60" s="832">
        <v>0</v>
      </c>
      <c r="R60" s="781">
        <v>0</v>
      </c>
      <c r="S60" s="830">
        <v>0</v>
      </c>
      <c r="T60" s="830">
        <v>0</v>
      </c>
      <c r="U60" s="834">
        <v>0</v>
      </c>
      <c r="V60" s="832">
        <v>0</v>
      </c>
      <c r="W60" s="831">
        <v>0</v>
      </c>
      <c r="X60" s="783">
        <v>0</v>
      </c>
      <c r="Y60" s="830">
        <v>0</v>
      </c>
      <c r="Z60" s="833">
        <v>0</v>
      </c>
      <c r="AA60" s="802">
        <v>0</v>
      </c>
      <c r="AB60" s="835">
        <v>0</v>
      </c>
      <c r="AC60" s="1094">
        <v>0</v>
      </c>
      <c r="AD60" s="833">
        <v>0</v>
      </c>
      <c r="AE60" s="836">
        <v>0</v>
      </c>
      <c r="AF60" s="836">
        <v>0</v>
      </c>
      <c r="AG60" s="827">
        <f t="shared" si="1"/>
        <v>0</v>
      </c>
      <c r="AH60" s="827">
        <f t="shared" si="2"/>
        <v>0</v>
      </c>
      <c r="AI60" s="466">
        <f t="shared" si="3"/>
        <v>0</v>
      </c>
      <c r="AJ60" s="467" t="str">
        <f t="shared" si="4"/>
        <v xml:space="preserve"> </v>
      </c>
      <c r="AS60" s="139" t="s">
        <v>527</v>
      </c>
      <c r="AT60" s="139" t="s">
        <v>528</v>
      </c>
      <c r="DS60" s="648"/>
      <c r="DT60" s="648"/>
      <c r="DU60" s="667" t="s">
        <v>415</v>
      </c>
      <c r="DV60" s="667" t="s">
        <v>1188</v>
      </c>
      <c r="DW60" s="667" t="s">
        <v>1134</v>
      </c>
      <c r="DX60" s="667" t="s">
        <v>1134</v>
      </c>
      <c r="DY60" s="669" t="s">
        <v>1190</v>
      </c>
      <c r="DZ60" s="667" t="s">
        <v>1134</v>
      </c>
      <c r="EA60" s="670" t="s">
        <v>527</v>
      </c>
      <c r="EB60" s="667" t="s">
        <v>1135</v>
      </c>
      <c r="EC60" s="667" t="s">
        <v>1134</v>
      </c>
      <c r="ED60" s="667" t="s">
        <v>1136</v>
      </c>
    </row>
    <row r="61" spans="1:134" x14ac:dyDescent="0.2">
      <c r="A61" s="427" t="s">
        <v>67</v>
      </c>
      <c r="B61" s="632">
        <v>54</v>
      </c>
      <c r="C61" s="770">
        <v>0</v>
      </c>
      <c r="D61" s="830">
        <v>0</v>
      </c>
      <c r="E61" s="830">
        <v>0</v>
      </c>
      <c r="F61" s="866">
        <v>0</v>
      </c>
      <c r="G61" s="830">
        <v>0</v>
      </c>
      <c r="H61" s="830">
        <v>0</v>
      </c>
      <c r="I61" s="828">
        <f t="shared" si="0"/>
        <v>0</v>
      </c>
      <c r="J61" s="832">
        <v>0</v>
      </c>
      <c r="K61" s="832">
        <v>0</v>
      </c>
      <c r="L61" s="830">
        <v>0</v>
      </c>
      <c r="M61" s="802">
        <v>0</v>
      </c>
      <c r="N61" s="832">
        <v>0</v>
      </c>
      <c r="O61" s="833">
        <v>0</v>
      </c>
      <c r="P61" s="832">
        <v>0</v>
      </c>
      <c r="Q61" s="832">
        <v>0</v>
      </c>
      <c r="R61" s="781">
        <v>0</v>
      </c>
      <c r="S61" s="830">
        <v>0</v>
      </c>
      <c r="T61" s="830">
        <v>0</v>
      </c>
      <c r="U61" s="834">
        <v>0</v>
      </c>
      <c r="V61" s="832">
        <v>0</v>
      </c>
      <c r="W61" s="831">
        <v>0</v>
      </c>
      <c r="X61" s="783">
        <v>0</v>
      </c>
      <c r="Y61" s="830">
        <v>0</v>
      </c>
      <c r="Z61" s="833">
        <v>0</v>
      </c>
      <c r="AA61" s="802">
        <v>0</v>
      </c>
      <c r="AB61" s="835">
        <v>0</v>
      </c>
      <c r="AC61" s="1094">
        <v>0</v>
      </c>
      <c r="AD61" s="833">
        <v>0</v>
      </c>
      <c r="AE61" s="836">
        <v>0</v>
      </c>
      <c r="AF61" s="836">
        <v>0</v>
      </c>
      <c r="AG61" s="827">
        <f t="shared" si="1"/>
        <v>0</v>
      </c>
      <c r="AH61" s="827">
        <f t="shared" si="2"/>
        <v>0</v>
      </c>
      <c r="AI61" s="466">
        <f t="shared" si="3"/>
        <v>0</v>
      </c>
      <c r="AJ61" s="467" t="str">
        <f t="shared" si="4"/>
        <v xml:space="preserve"> </v>
      </c>
      <c r="AS61" s="139" t="s">
        <v>287</v>
      </c>
      <c r="AT61" s="139" t="s">
        <v>286</v>
      </c>
      <c r="DS61" s="648"/>
      <c r="DT61" s="648"/>
      <c r="DU61" s="667" t="s">
        <v>415</v>
      </c>
      <c r="DV61" s="667" t="s">
        <v>1188</v>
      </c>
      <c r="DW61" s="667" t="s">
        <v>1134</v>
      </c>
      <c r="DX61" s="667" t="s">
        <v>1134</v>
      </c>
      <c r="DY61" s="669" t="s">
        <v>1190</v>
      </c>
      <c r="DZ61" s="667" t="s">
        <v>1134</v>
      </c>
      <c r="EA61" s="670" t="s">
        <v>287</v>
      </c>
      <c r="EB61" s="667" t="s">
        <v>1135</v>
      </c>
      <c r="EC61" s="667" t="s">
        <v>1134</v>
      </c>
      <c r="ED61" s="667" t="s">
        <v>1136</v>
      </c>
    </row>
    <row r="62" spans="1:134" x14ac:dyDescent="0.2">
      <c r="A62" s="427" t="s">
        <v>139</v>
      </c>
      <c r="B62" s="632">
        <v>55</v>
      </c>
      <c r="C62" s="770">
        <v>0</v>
      </c>
      <c r="D62" s="830">
        <v>0</v>
      </c>
      <c r="E62" s="830">
        <v>0</v>
      </c>
      <c r="F62" s="866">
        <v>0</v>
      </c>
      <c r="G62" s="830">
        <v>0</v>
      </c>
      <c r="H62" s="830">
        <v>0</v>
      </c>
      <c r="I62" s="828">
        <f t="shared" si="0"/>
        <v>0</v>
      </c>
      <c r="J62" s="832">
        <v>0</v>
      </c>
      <c r="K62" s="832">
        <v>0</v>
      </c>
      <c r="L62" s="830">
        <v>0</v>
      </c>
      <c r="M62" s="802">
        <v>0</v>
      </c>
      <c r="N62" s="832">
        <v>0</v>
      </c>
      <c r="O62" s="833">
        <v>0</v>
      </c>
      <c r="P62" s="832">
        <v>0</v>
      </c>
      <c r="Q62" s="832">
        <v>0</v>
      </c>
      <c r="R62" s="781">
        <v>0</v>
      </c>
      <c r="S62" s="830">
        <v>0</v>
      </c>
      <c r="T62" s="830">
        <v>0</v>
      </c>
      <c r="U62" s="834">
        <v>0</v>
      </c>
      <c r="V62" s="832">
        <v>0</v>
      </c>
      <c r="W62" s="831">
        <v>0</v>
      </c>
      <c r="X62" s="783">
        <v>0</v>
      </c>
      <c r="Y62" s="830">
        <v>0</v>
      </c>
      <c r="Z62" s="833">
        <v>0</v>
      </c>
      <c r="AA62" s="802">
        <v>0</v>
      </c>
      <c r="AB62" s="835">
        <v>0</v>
      </c>
      <c r="AC62" s="1094">
        <v>0</v>
      </c>
      <c r="AD62" s="833">
        <v>0</v>
      </c>
      <c r="AE62" s="836">
        <v>0</v>
      </c>
      <c r="AF62" s="836">
        <v>0</v>
      </c>
      <c r="AG62" s="827">
        <f t="shared" si="1"/>
        <v>0</v>
      </c>
      <c r="AH62" s="827">
        <f t="shared" si="2"/>
        <v>0</v>
      </c>
      <c r="AI62" s="466">
        <f t="shared" si="3"/>
        <v>0</v>
      </c>
      <c r="AJ62" s="467" t="str">
        <f t="shared" si="4"/>
        <v xml:space="preserve"> </v>
      </c>
      <c r="AS62" s="139" t="s">
        <v>289</v>
      </c>
      <c r="AT62" s="139" t="s">
        <v>288</v>
      </c>
      <c r="DS62" s="648"/>
      <c r="DT62" s="648"/>
      <c r="DU62" s="667" t="s">
        <v>415</v>
      </c>
      <c r="DV62" s="667" t="s">
        <v>1188</v>
      </c>
      <c r="DW62" s="667" t="s">
        <v>1134</v>
      </c>
      <c r="DX62" s="667" t="s">
        <v>1134</v>
      </c>
      <c r="DY62" s="669" t="s">
        <v>1190</v>
      </c>
      <c r="DZ62" s="667" t="s">
        <v>1134</v>
      </c>
      <c r="EA62" s="670" t="s">
        <v>289</v>
      </c>
      <c r="EB62" s="667" t="s">
        <v>1135</v>
      </c>
      <c r="EC62" s="667" t="s">
        <v>1134</v>
      </c>
      <c r="ED62" s="667" t="s">
        <v>1136</v>
      </c>
    </row>
    <row r="63" spans="1:134" ht="13.5" thickBot="1" x14ac:dyDescent="0.25">
      <c r="A63" s="207" t="s">
        <v>95</v>
      </c>
      <c r="B63" s="632">
        <v>56</v>
      </c>
      <c r="C63" s="830">
        <v>0</v>
      </c>
      <c r="D63" s="830">
        <v>0</v>
      </c>
      <c r="E63" s="830">
        <v>0</v>
      </c>
      <c r="F63" s="866">
        <v>0</v>
      </c>
      <c r="G63" s="830">
        <v>0</v>
      </c>
      <c r="H63" s="830">
        <v>0</v>
      </c>
      <c r="I63" s="828">
        <f t="shared" si="0"/>
        <v>0</v>
      </c>
      <c r="J63" s="832">
        <v>0</v>
      </c>
      <c r="K63" s="832">
        <v>0</v>
      </c>
      <c r="L63" s="837">
        <v>0</v>
      </c>
      <c r="M63" s="867">
        <v>0</v>
      </c>
      <c r="N63" s="838">
        <v>0</v>
      </c>
      <c r="O63" s="833">
        <v>0</v>
      </c>
      <c r="P63" s="832">
        <v>0</v>
      </c>
      <c r="Q63" s="832">
        <v>0</v>
      </c>
      <c r="R63" s="868">
        <v>0</v>
      </c>
      <c r="S63" s="830">
        <v>0</v>
      </c>
      <c r="T63" s="830">
        <v>0</v>
      </c>
      <c r="U63" s="834">
        <v>0</v>
      </c>
      <c r="V63" s="832">
        <v>0</v>
      </c>
      <c r="W63" s="831">
        <v>0</v>
      </c>
      <c r="X63" s="869">
        <v>0</v>
      </c>
      <c r="Y63" s="830">
        <v>0</v>
      </c>
      <c r="Z63" s="833">
        <v>0</v>
      </c>
      <c r="AA63" s="867">
        <v>0</v>
      </c>
      <c r="AB63" s="835">
        <v>0</v>
      </c>
      <c r="AC63" s="1094">
        <v>0</v>
      </c>
      <c r="AD63" s="833">
        <v>0</v>
      </c>
      <c r="AE63" s="836">
        <v>0</v>
      </c>
      <c r="AF63" s="836">
        <v>0</v>
      </c>
      <c r="AG63" s="827">
        <f t="shared" si="1"/>
        <v>0</v>
      </c>
      <c r="AH63" s="827">
        <f t="shared" si="2"/>
        <v>0</v>
      </c>
      <c r="AI63" s="466">
        <f t="shared" si="3"/>
        <v>0</v>
      </c>
      <c r="AJ63" s="467" t="str">
        <f t="shared" si="4"/>
        <v xml:space="preserve"> </v>
      </c>
      <c r="AS63" s="143" t="s">
        <v>609</v>
      </c>
      <c r="AT63" s="143" t="s">
        <v>588</v>
      </c>
      <c r="DS63" s="648"/>
      <c r="DT63" s="648"/>
      <c r="DU63" s="667" t="s">
        <v>415</v>
      </c>
      <c r="DV63" s="667" t="s">
        <v>1188</v>
      </c>
      <c r="DW63" s="667" t="s">
        <v>1134</v>
      </c>
      <c r="DX63" s="667" t="s">
        <v>1134</v>
      </c>
      <c r="DY63" s="669" t="s">
        <v>1190</v>
      </c>
      <c r="DZ63" s="667" t="s">
        <v>1134</v>
      </c>
      <c r="EA63" s="670" t="s">
        <v>1186</v>
      </c>
      <c r="EB63" s="667" t="s">
        <v>1135</v>
      </c>
      <c r="EC63" s="667" t="s">
        <v>1134</v>
      </c>
      <c r="ED63" s="667" t="s">
        <v>1136</v>
      </c>
    </row>
    <row r="64" spans="1:134" ht="14.25" thickBot="1" x14ac:dyDescent="0.25">
      <c r="A64" s="73" t="s">
        <v>142</v>
      </c>
      <c r="B64" s="158">
        <v>57</v>
      </c>
      <c r="C64" s="811">
        <f t="shared" ref="C64:H64" si="5">ROUND(SUM(C8:C63),3)</f>
        <v>0</v>
      </c>
      <c r="D64" s="811">
        <f t="shared" si="5"/>
        <v>0</v>
      </c>
      <c r="E64" s="811">
        <f t="shared" si="5"/>
        <v>0</v>
      </c>
      <c r="F64" s="811">
        <f t="shared" si="5"/>
        <v>0</v>
      </c>
      <c r="G64" s="811">
        <f t="shared" si="5"/>
        <v>0</v>
      </c>
      <c r="H64" s="811">
        <f t="shared" si="5"/>
        <v>0</v>
      </c>
      <c r="I64" s="812">
        <f t="shared" si="0"/>
        <v>0</v>
      </c>
      <c r="J64" s="813">
        <f t="shared" ref="J64:AF64" si="6">ROUND(SUM(J8:J63),3)</f>
        <v>0</v>
      </c>
      <c r="K64" s="811">
        <f t="shared" si="6"/>
        <v>0</v>
      </c>
      <c r="L64" s="812">
        <f t="shared" si="6"/>
        <v>0</v>
      </c>
      <c r="M64" s="870">
        <f t="shared" si="6"/>
        <v>0</v>
      </c>
      <c r="N64" s="811">
        <f t="shared" si="6"/>
        <v>0</v>
      </c>
      <c r="O64" s="812">
        <f t="shared" si="6"/>
        <v>0</v>
      </c>
      <c r="P64" s="814">
        <f t="shared" si="6"/>
        <v>0</v>
      </c>
      <c r="Q64" s="811">
        <f t="shared" si="6"/>
        <v>0</v>
      </c>
      <c r="R64" s="871">
        <f t="shared" si="6"/>
        <v>0</v>
      </c>
      <c r="S64" s="811">
        <f t="shared" si="6"/>
        <v>0</v>
      </c>
      <c r="T64" s="811">
        <f t="shared" si="6"/>
        <v>0</v>
      </c>
      <c r="U64" s="812">
        <f t="shared" si="6"/>
        <v>0</v>
      </c>
      <c r="V64" s="814">
        <f t="shared" si="6"/>
        <v>0</v>
      </c>
      <c r="W64" s="811">
        <f t="shared" si="6"/>
        <v>0</v>
      </c>
      <c r="X64" s="872">
        <f t="shared" si="6"/>
        <v>0</v>
      </c>
      <c r="Y64" s="811">
        <f t="shared" si="6"/>
        <v>0</v>
      </c>
      <c r="Z64" s="812">
        <f t="shared" si="6"/>
        <v>0</v>
      </c>
      <c r="AA64" s="870">
        <f t="shared" si="6"/>
        <v>0</v>
      </c>
      <c r="AB64" s="811">
        <f t="shared" si="6"/>
        <v>0</v>
      </c>
      <c r="AC64" s="811">
        <f t="shared" si="6"/>
        <v>0</v>
      </c>
      <c r="AD64" s="812">
        <f t="shared" si="6"/>
        <v>0</v>
      </c>
      <c r="AE64" s="811">
        <f t="shared" si="6"/>
        <v>0</v>
      </c>
      <c r="AF64" s="814">
        <f t="shared" si="6"/>
        <v>0</v>
      </c>
      <c r="AG64" s="811">
        <f t="shared" si="1"/>
        <v>0</v>
      </c>
      <c r="AH64" s="816">
        <f t="shared" si="2"/>
        <v>0</v>
      </c>
      <c r="AI64" s="466">
        <f t="shared" ref="AI64:AI66" si="7">IF(ROUND(I64-SUM(C64:F64,H64),3)=0,0,1)+IF(ROUND(AG64-SUM(J64:M64,P64:R64,U64,X64,AA64,AE64:AF64),3)=0,0,1)+IF(ROUND(AH64-SUM(AG64,I64),3)=0,0,1)</f>
        <v>0</v>
      </c>
      <c r="AJ64" s="467" t="str">
        <f t="shared" ref="AJ64" si="8">IF(AI64=0," ",IF(AI64=1,"A total is not equal to the sum of its components: ",AI64&amp;" totals are not equal to the sum of their components: "))&amp;IF(AI64=0,"",IF(I64-SUM(C64:F64,H64)=0,"","Total crude. ")&amp;IF(AG64-SUM(J64:M64,P64:R64,U64,X64,AA64,AE64:AF64)=0,"","Total products. ")&amp;IF(AH64-SUM(AG64,I64)=0,"","Total oil."))</f>
        <v xml:space="preserve"> </v>
      </c>
      <c r="AS64" s="143" t="s">
        <v>589</v>
      </c>
      <c r="AT64" s="144" t="s">
        <v>615</v>
      </c>
      <c r="DS64" s="648"/>
      <c r="DT64" s="648"/>
      <c r="DU64" s="667" t="s">
        <v>415</v>
      </c>
      <c r="DV64" s="667" t="s">
        <v>1188</v>
      </c>
      <c r="DW64" s="667" t="s">
        <v>1134</v>
      </c>
      <c r="DX64" s="667" t="s">
        <v>1134</v>
      </c>
      <c r="DY64" s="667" t="s">
        <v>1190</v>
      </c>
      <c r="DZ64" s="667" t="s">
        <v>1134</v>
      </c>
      <c r="EA64" s="667" t="s">
        <v>1177</v>
      </c>
      <c r="EB64" s="667" t="s">
        <v>1135</v>
      </c>
      <c r="EC64" s="667" t="s">
        <v>1134</v>
      </c>
      <c r="ED64" s="667" t="s">
        <v>1136</v>
      </c>
    </row>
    <row r="65" spans="1:46" s="211" customFormat="1" ht="13.5" thickBot="1" x14ac:dyDescent="0.25">
      <c r="A65" s="205"/>
      <c r="B65" s="204"/>
      <c r="C65" s="873"/>
      <c r="D65" s="873"/>
      <c r="E65" s="873"/>
      <c r="F65" s="873"/>
      <c r="G65" s="873"/>
      <c r="H65" s="873"/>
      <c r="I65" s="873"/>
      <c r="J65" s="873"/>
      <c r="K65" s="873"/>
      <c r="L65" s="873"/>
      <c r="M65" s="873"/>
      <c r="N65" s="873"/>
      <c r="O65" s="873"/>
      <c r="P65" s="873"/>
      <c r="Q65" s="873"/>
      <c r="R65" s="873"/>
      <c r="S65" s="873"/>
      <c r="T65" s="873"/>
      <c r="U65" s="873"/>
      <c r="V65" s="873"/>
      <c r="W65" s="873"/>
      <c r="X65" s="873"/>
      <c r="Y65" s="873"/>
      <c r="Z65" s="873"/>
      <c r="AA65" s="873"/>
      <c r="AB65" s="873"/>
      <c r="AC65" s="873"/>
      <c r="AD65" s="873"/>
      <c r="AE65" s="873"/>
      <c r="AF65" s="873"/>
      <c r="AG65" s="873"/>
      <c r="AH65" s="873"/>
      <c r="AI65" s="209"/>
      <c r="AJ65" s="210"/>
      <c r="AS65" s="212"/>
      <c r="AT65" s="213"/>
    </row>
    <row r="66" spans="1:46" ht="13.5" thickBot="1" x14ac:dyDescent="0.25">
      <c r="A66" s="73" t="str">
        <f>IF(EnCMember=1,"Total EnC Contracting Parties","Total EU MS")</f>
        <v>Total EU MS</v>
      </c>
      <c r="B66" s="158">
        <v>58</v>
      </c>
      <c r="C66" s="811">
        <f>ROUND(IF('Table 1'!$G$3&gt;1,IF(EnCMember=1,C8+C14+C47+C27+C37+C43+C44+C53+C60+C11+C13+C15+C20+C21+C22+C23+C24+C25+C26+C28+C29+C30+C32+C34+C38+C39+C40+C41+C45+C49+C50+C51+C54+C55+C56+C57+C61,C11+C13+C15+C20+C21+C22+C23+C24+C25+C26+C28+C29+C30+C32+C34+C38+C39+C40+C41+C45+C49+C50+C51+C54+C55+C56+C57+C61),IF(EnCMember=1,C8+C14+C47+C27+C37+C43+C44+C53+C60+C11+C13+C15+C20+C21+C22+C23+C24+C25+C26+C28+C29+C30+C32+C34+C38+C39+C40+C41+C45+C49+C50+C51+C54+C55+C56+C57,C11+C13+C15+C20+C21+C22+C23+C24+C25+C26+C28+C29+C30+C32+C34+C38+C39+C40+C41+C45+C49+C50+C51+C54+C55+C56+C57)),3)</f>
        <v>0</v>
      </c>
      <c r="D66" s="811">
        <f>ROUND(IF('Table 1'!$G$3&gt;1,IF(EnCMember=1,D8+D14+D47+D27+D37+D43+D44+D53+D60+D11+D13+D15+D20+D21+D22+D23+D24+D25+D26+D28+D29+D30+D32+D34+D38+D39+D40+D41+D45+D49+D50+D51+D54+D55+D56+D57+D61,D11+D13+D15+D20+D21+D22+D23+D24+D25+D26+D28+D29+D30+D32+D34+D38+D39+D40+D41+D45+D49+D50+D51+D54+D55+D56+D57+D61),IF(EnCMember=1,D8+D14+D47+D27+D37+D43+D44+D53+D60+D11+D13+D15+D20+D21+D22+D23+D24+D25+D26+D28+D29+D30+D32+D34+D38+D39+D40+D41+D45+D49+D50+D51+D54+D55+D56+D57,D11+D13+D15+D20+D21+D22+D23+D24+D25+D26+D28+D29+D30+D32+D34+D38+D39+D40+D41+D45+D49+D50+D51+D54+D55+D56+D57)),3)</f>
        <v>0</v>
      </c>
      <c r="E66" s="811">
        <f>ROUND(IF('Table 1'!$G$3&gt;1,IF(EnCMember=1,E8+E14+E47+E27+E37+E43+E44+E53+E60+E11+E13+E15+E20+E21+E22+E23+E24+E25+E26+E28+E29+E30+E32+E34+E38+E39+E40+E41+E45+E49+E50+E51+E54+E55+E56+E57+E61,E11+E13+E15+E20+E21+E22+E23+E24+E25+E26+E28+E29+E30+E32+E34+E38+E39+E40+E41+E45+E49+E50+E51+E54+E55+E56+E57+E61),IF(EnCMember=1,E8+E14+E47+E27+E37+E43+E44+E53+E60+E11+E13+E15+E20+E21+E22+E23+E24+E25+E26+E28+E29+E30+E32+E34+E38+E39+E40+E41+E45+E49+E50+E51+E54+E55+E56+E57,E11+E13+E15+E20+E21+E22+E23+E24+E25+E26+E28+E29+E30+E32+E34+E38+E39+E40+E41+E45+E49+E50+E51+E54+E55+E56+E57)),3)</f>
        <v>0</v>
      </c>
      <c r="F66" s="811">
        <f>ROUND(IF('Table 1'!$G$3&gt;1,IF(EnCMember=1,F8+F14+F47+F27+F37+F43+F44+F53+F60+F11+F13+F15+F20+F21+F22+F23+F24+F25+F26+F28+F29+F30+F32+F34+F38+F39+F40+F41+F45+F49+F50+F51+F54+F55+F56+F57+F61,F11+F13+F15+F20+F21+F22+F23+F24+F25+F26+F28+F29+F30+F32+F34+F38+F39+F40+F41+F45+F49+F50+F51+F54+F55+F56+F57+F61),IF(EnCMember=1,F8+F14+F47+F27+F37+F43+F44+F53+F60+F11+F13+F15+F20+F21+F22+F23+F24+F25+F26+F28+F29+F30+F32+F34+F38+F39+F40+F41+F45+F49+F50+F51+F54+F55+F56+F57,F11+F13+F15+F20+F21+F22+F23+F24+F25+F26+F28+F29+F30+F32+F34+F38+F39+F40+F41+F45+F49+F50+F51+F54+F55+F56+F57)),3)</f>
        <v>0</v>
      </c>
      <c r="G66" s="811">
        <f>ROUND(IF('Table 1'!$G$3&gt;1,IF(EnCMember=1,G8+G14+G47+G27+G37+G43+G44+G53+G60+G11+G13+G15+G20+G21+G22+G23+G24+G25+G26+G28+G29+G30+G32+G34+G38+G39+G40+G41+G45+G49+G50+G51+G54+G55+G56+G57+G61,G11+G13+G15+G20+G21+G22+G23+G24+G25+G26+G28+G29+G30+G32+G34+G38+G39+G40+G41+G45+G49+G50+G51+G54+G55+G56+G57+G61),IF(EnCMember=1,G8+G14+G47+G27+G37+G43+G44+G53+G60+G11+G13+G15+G20+G21+G22+G23+G24+G25+G26+G28+G29+G30+G32+G34+G38+G39+G40+G41+G45+G49+G50+G51+G54+G55+G56+G57,G11+G13+G15+G20+G21+G22+G23+G24+G25+G26+G28+G29+G30+G32+G34+G38+G39+G40+G41+G45+G49+G50+G51+G54+G55+G56+G57)),3)</f>
        <v>0</v>
      </c>
      <c r="H66" s="811">
        <f>ROUND(IF('Table 1'!$G$3&gt;1,IF(EnCMember=1,H8+H14+H47+H27+H37+H43+H44+H53+H60+H11+H13+H15+H20+H21+H22+H23+H24+H25+H26+H28+H29+H30+H32+H34+H38+H39+H40+H41+H45+H49+H50+H51+H54+H55+H56+H57+H61,H11+H13+H15+H20+H21+H22+H23+H24+H25+H26+H28+H29+H30+H32+H34+H38+H39+H40+H41+H45+H49+H50+H51+H54+H55+H56+H57+H61),IF(EnCMember=1,H8+H14+H47+H27+H37+H43+H44+H53+H60+H11+H13+H15+H20+H21+H22+H23+H24+H25+H26+H28+H29+H30+H32+H34+H38+H39+H40+H41+H45+H49+H50+H51+H54+H55+H56+H57,H11+H13+H15+H20+H21+H22+H23+H24+H25+H26+H28+H29+H30+H32+H34+H38+H39+H40+H41+H45+H49+H50+H51+H54+H55+H56+H57)),3)</f>
        <v>0</v>
      </c>
      <c r="I66" s="812">
        <f>ROUND(IF('Table 1'!$G$3&gt;1,IF(EnCMember=1,I8+I14+I47+I27+I37+I43+I44+I53+I60+I11+I13+I15+I20+I21+I22+I23+I24+I25+I26+I28+I29+I30+I32+I34+I38+I39+I40+I41+I45+I49+I50+I51+I54+I55+I56+I57+I61,I11+I13+I15+I20+I21+I22+I23+I24+I25+I26+I28+I29+I30+I32+I34+I38+I39+I40+I41+I45+I49+I50+I51+I54+I55+I56+I57+I61),IF(EnCMember=1,I8+I14+I47+I27+I37+I43+I44+I53+I60+I11+I13+I15+I20+I21+I22+I23+I24+I25+I26+I28+I29+I30+I32+I34+I38+I39+I40+I41+I45+I49+I50+I51+I54+I55+I56+I57,I11+I13+I15+I20+I21+I22+I23+I24+I25+I26+I28+I29+I30+I32+I34+I38+I39+I40+I41+I45+I49+I50+I51+I54+I55+I56+I57)),3)</f>
        <v>0</v>
      </c>
      <c r="J66" s="813">
        <f>ROUND(IF('Table 1'!$G$3&gt;1,IF(EnCMember=1,J8+J14+J47+J27+J37+J43+J44+J53+J60+J11+J13+J15+J20+J21+J22+J23+J24+J25+J26+J28+J29+J30+J32+J34+J38+J39+J40+J41+J45+J49+J50+J51+J54+J55+J56+J57+J61,J11+J13+J15+J20+J21+J22+J23+J24+J25+J26+J28+J29+J30+J32+J34+J38+J39+J40+J41+J45+J49+J50+J51+J54+J55+J56+J57+J61),IF(EnCMember=1,J8+J14+J47+J27+J37+J43+J44+J53+J60+J11+J13+J15+J20+J21+J22+J23+J24+J25+J26+J28+J29+J30+J32+J34+J38+J39+J40+J41+J45+J49+J50+J51+J54+J55+J56+J57,J11+J13+J15+J20+J21+J22+J23+J24+J25+J26+J28+J29+J30+J32+J34+J38+J39+J40+J41+J45+J49+J50+J51+J54+J55+J56+J57)),3)</f>
        <v>0</v>
      </c>
      <c r="K66" s="811">
        <f>ROUND(IF('Table 1'!$G$3&gt;1,IF(EnCMember=1,K8+K14+K47+K27+K37+K43+K44+K53+K60+K11+K13+K15+K20+K21+K22+K23+K24+K25+K26+K28+K29+K30+K32+K34+K38+K39+K40+K41+K45+K49+K50+K51+K54+K55+K56+K57+K61,K11+K13+K15+K20+K21+K22+K23+K24+K25+K26+K28+K29+K30+K32+K34+K38+K39+K40+K41+K45+K49+K50+K51+K54+K55+K56+K57+K61),IF(EnCMember=1,K8+K14+K47+K27+K37+K43+K44+K53+K60+K11+K13+K15+K20+K21+K22+K23+K24+K25+K26+K28+K29+K30+K32+K34+K38+K39+K40+K41+K45+K49+K50+K51+K54+K55+K56+K57,K11+K13+K15+K20+K21+K22+K23+K24+K25+K26+K28+K29+K30+K32+K34+K38+K39+K40+K41+K45+K49+K50+K51+K54+K55+K56+K57)),3)</f>
        <v>0</v>
      </c>
      <c r="L66" s="812">
        <f>ROUND(IF('Table 1'!$G$3&gt;1,IF(EnCMember=1,L8+L14+L47+L27+L37+L43+L44+L53+L60+L11+L13+L15+L20+L21+L22+L23+L24+L25+L26+L28+L29+L30+L32+L34+L38+L39+L40+L41+L45+L49+L50+L51+L54+L55+L56+L57+L61,L11+L13+L15+L20+L21+L22+L23+L24+L25+L26+L28+L29+L30+L32+L34+L38+L39+L40+L41+L45+L49+L50+L51+L54+L55+L56+L57+L61),IF(EnCMember=1,L8+L14+L47+L27+L37+L43+L44+L53+L60+L11+L13+L15+L20+L21+L22+L23+L24+L25+L26+L28+L29+L30+L32+L34+L38+L39+L40+L41+L45+L49+L50+L51+L54+L55+L56+L57,L11+L13+L15+L20+L21+L22+L23+L24+L25+L26+L28+L29+L30+L32+L34+L38+L39+L40+L41+L45+L49+L50+L51+L54+L55+L56+L57)),3)</f>
        <v>0</v>
      </c>
      <c r="M66" s="813">
        <f>ROUND(IF('Table 1'!$G$3&gt;1,IF(EnCMember=1,M8+M14+M47+M27+M37+M43+M44+M53+M60+M11+M13+M15+M20+M21+M22+M23+M24+M25+M26+M28+M29+M30+M32+M34+M38+M39+M40+M41+M45+M49+M50+M51+M54+M55+M56+M57+M61,M11+M13+M15+M20+M21+M22+M23+M24+M25+M26+M28+M29+M30+M32+M34+M38+M39+M40+M41+M45+M49+M50+M51+M54+M55+M56+M57+M61),IF(EnCMember=1,M8+M14+M47+M27+M37+M43+M44+M53+M60+M11+M13+M15+M20+M21+M22+M23+M24+M25+M26+M28+M29+M30+M32+M34+M38+M39+M40+M41+M45+M49+M50+M51+M54+M55+M56+M57,M11+M13+M15+M20+M21+M22+M23+M24+M25+M26+M28+M29+M30+M32+M34+M38+M39+M40+M41+M45+M49+M50+M51+M54+M55+M56+M57)),3)</f>
        <v>0</v>
      </c>
      <c r="N66" s="811">
        <f>ROUND(IF('Table 1'!$G$3&gt;1,IF(EnCMember=1,N8+N14+N47+N27+N37+N43+N44+N53+N60+N11+N13+N15+N20+N21+N22+N23+N24+N25+N26+N28+N29+N30+N32+N34+N38+N39+N40+N41+N45+N49+N50+N51+N54+N55+N56+N57+N61,N11+N13+N15+N20+N21+N22+N23+N24+N25+N26+N28+N29+N30+N32+N34+N38+N39+N40+N41+N45+N49+N50+N51+N54+N55+N56+N57+N61),IF(EnCMember=1,N8+N14+N47+N27+N37+N43+N44+N53+N60+N11+N13+N15+N20+N21+N22+N23+N24+N25+N26+N28+N29+N30+N32+N34+N38+N39+N40+N41+N45+N49+N50+N51+N54+N55+N56+N57,N11+N13+N15+N20+N21+N22+N23+N24+N25+N26+N28+N29+N30+N32+N34+N38+N39+N40+N41+N45+N49+N50+N51+N54+N55+N56+N57)),3)</f>
        <v>0</v>
      </c>
      <c r="O66" s="812">
        <f>ROUND(IF('Table 1'!$G$3&gt;1,IF(EnCMember=1,O8+O14+O47+O27+O37+O43+O44+O53+O60+O11+O13+O15+O20+O21+O22+O23+O24+O25+O26+O28+O29+O30+O32+O34+O38+O39+O40+O41+O45+O49+O50+O51+O54+O55+O56+O57+O61,O11+O13+O15+O20+O21+O22+O23+O24+O25+O26+O28+O29+O30+O32+O34+O38+O39+O40+O41+O45+O49+O50+O51+O54+O55+O56+O57+O61),IF(EnCMember=1,O8+O14+O47+O27+O37+O43+O44+O53+O60+O11+O13+O15+O20+O21+O22+O23+O24+O25+O26+O28+O29+O30+O32+O34+O38+O39+O40+O41+O45+O49+O50+O51+O54+O55+O56+O57,O11+O13+O15+O20+O21+O22+O23+O24+O25+O26+O28+O29+O30+O32+O34+O38+O39+O40+O41+O45+O49+O50+O51+O54+O55+O56+O57)),3)</f>
        <v>0</v>
      </c>
      <c r="P66" s="813">
        <f>ROUND(IF('Table 1'!$G$3&gt;1,IF(EnCMember=1,P8+P14+P47+P27+P37+P43+P44+P53+P60+P11+P13+P15+P20+P21+P22+P23+P24+P25+P26+P28+P29+P30+P32+P34+P38+P39+P40+P41+P45+P49+P50+P51+P54+P55+P56+P57+P61,P11+P13+P15+P20+P21+P22+P23+P24+P25+P26+P28+P29+P30+P32+P34+P38+P39+P40+P41+P45+P49+P50+P51+P54+P55+P56+P57+P61),IF(EnCMember=1,P8+P14+P47+P27+P37+P43+P44+P53+P60+P11+P13+P15+P20+P21+P22+P23+P24+P25+P26+P28+P29+P30+P32+P34+P38+P39+P40+P41+P45+P49+P50+P51+P54+P55+P56+P57,P11+P13+P15+P20+P21+P22+P23+P24+P25+P26+P28+P29+P30+P32+P34+P38+P39+P40+P41+P45+P49+P50+P51+P54+P55+P56+P57)),3)</f>
        <v>0</v>
      </c>
      <c r="Q66" s="811">
        <f>ROUND(IF('Table 1'!$G$3&gt;1,IF(EnCMember=1,Q8+Q14+Q47+Q27+Q37+Q43+Q44+Q53+Q60+Q11+Q13+Q15+Q20+Q21+Q22+Q23+Q24+Q25+Q26+Q28+Q29+Q30+Q32+Q34+Q38+Q39+Q40+Q41+Q45+Q49+Q50+Q51+Q54+Q55+Q56+Q57+Q61,Q11+Q13+Q15+Q20+Q21+Q22+Q23+Q24+Q25+Q26+Q28+Q29+Q30+Q32+Q34+Q38+Q39+Q40+Q41+Q45+Q49+Q50+Q51+Q54+Q55+Q56+Q57+Q61),IF(EnCMember=1,Q8+Q14+Q47+Q27+Q37+Q43+Q44+Q53+Q60+Q11+Q13+Q15+Q20+Q21+Q22+Q23+Q24+Q25+Q26+Q28+Q29+Q30+Q32+Q34+Q38+Q39+Q40+Q41+Q45+Q49+Q50+Q51+Q54+Q55+Q56+Q57,Q11+Q13+Q15+Q20+Q21+Q22+Q23+Q24+Q25+Q26+Q28+Q29+Q30+Q32+Q34+Q38+Q39+Q40+Q41+Q45+Q49+Q50+Q51+Q54+Q55+Q56+Q57)),3)</f>
        <v>0</v>
      </c>
      <c r="R66" s="811">
        <f>ROUND(IF('Table 1'!$G$3&gt;1,IF(EnCMember=1,R8+R14+R47+R27+R37+R43+R44+R53+R60+R11+R13+R15+R20+R21+R22+R23+R24+R25+R26+R28+R29+R30+R32+R34+R38+R39+R40+R41+R45+R49+R50+R51+R54+R55+R56+R57+R61,R11+R13+R15+R20+R21+R22+R23+R24+R25+R26+R28+R29+R30+R32+R34+R38+R39+R40+R41+R45+R49+R50+R51+R54+R55+R56+R57+R61),IF(EnCMember=1,R8+R14+R47+R27+R37+R43+R44+R53+R60+R11+R13+R15+R20+R21+R22+R23+R24+R25+R26+R28+R29+R30+R32+R34+R38+R39+R40+R41+R45+R49+R50+R51+R54+R55+R56+R57,R11+R13+R15+R20+R21+R22+R23+R24+R25+R26+R28+R29+R30+R32+R34+R38+R39+R40+R41+R45+R49+R50+R51+R54+R55+R56+R57)),3)</f>
        <v>0</v>
      </c>
      <c r="S66" s="811">
        <f>ROUND(IF('Table 1'!$G$3&gt;1,IF(EnCMember=1,S8+S14+S47+S27+S37+S43+S44+S53+S60+S11+S13+S15+S20+S21+S22+S23+S24+S25+S26+S28+S29+S30+S32+S34+S38+S39+S40+S41+S45+S49+S50+S51+S54+S55+S56+S57+S61,S11+S13+S15+S20+S21+S22+S23+S24+S25+S26+S28+S29+S30+S32+S34+S38+S39+S40+S41+S45+S49+S50+S51+S54+S55+S56+S57+S61),IF(EnCMember=1,S8+S14+S47+S27+S37+S43+S44+S53+S60+S11+S13+S15+S20+S21+S22+S23+S24+S25+S26+S28+S29+S30+S32+S34+S38+S39+S40+S41+S45+S49+S50+S51+S54+S55+S56+S57,S11+S13+S15+S20+S21+S22+S23+S24+S25+S26+S28+S29+S30+S32+S34+S38+S39+S40+S41+S45+S49+S50+S51+S54+S55+S56+S57)),3)</f>
        <v>0</v>
      </c>
      <c r="T66" s="811">
        <f>ROUND(IF('Table 1'!$G$3&gt;1,IF(EnCMember=1,T8+T14+T47+T27+T37+T43+T44+T53+T60+T11+T13+T15+T20+T21+T22+T23+T24+T25+T26+T28+T29+T30+T32+T34+T38+T39+T40+T41+T45+T49+T50+T51+T54+T55+T56+T57+T61,T11+T13+T15+T20+T21+T22+T23+T24+T25+T26+T28+T29+T30+T32+T34+T38+T39+T40+T41+T45+T49+T50+T51+T54+T55+T56+T57+T61),IF(EnCMember=1,T8+T14+T47+T27+T37+T43+T44+T53+T60+T11+T13+T15+T20+T21+T22+T23+T24+T25+T26+T28+T29+T30+T32+T34+T38+T39+T40+T41+T45+T49+T50+T51+T54+T55+T56+T57,T11+T13+T15+T20+T21+T22+T23+T24+T25+T26+T28+T29+T30+T32+T34+T38+T39+T40+T41+T45+T49+T50+T51+T54+T55+T56+T57)),3)</f>
        <v>0</v>
      </c>
      <c r="U66" s="812">
        <f>ROUND(IF('Table 1'!$G$3&gt;1,IF(EnCMember=1,U8+U14+U47+U27+U37+U43+U44+U53+U60+U11+U13+U15+U20+U21+U22+U23+U24+U25+U26+U28+U29+U30+U32+U34+U38+U39+U40+U41+U45+U49+U50+U51+U54+U55+U56+U57+U61,U11+U13+U15+U20+U21+U22+U23+U24+U25+U26+U28+U29+U30+U32+U34+U38+U39+U40+U41+U45+U49+U50+U51+U54+U55+U56+U57+U61),IF(EnCMember=1,U8+U14+U47+U27+U37+U43+U44+U53+U60+U11+U13+U15+U20+U21+U22+U23+U24+U25+U26+U28+U29+U30+U32+U34+U38+U39+U40+U41+U45+U49+U50+U51+U54+U55+U56+U57,U11+U13+U15+U20+U21+U22+U23+U24+U25+U26+U28+U29+U30+U32+U34+U38+U39+U40+U41+U45+U49+U50+U51+U54+U55+U56+U57)),3)</f>
        <v>0</v>
      </c>
      <c r="V66" s="813">
        <f>ROUND(IF('Table 1'!$G$3&gt;1,IF(EnCMember=1,V8+V14+V47+V27+V37+V43+V44+V53+V60+V11+V13+V15+V20+V21+V22+V23+V24+V25+V26+V28+V29+V30+V32+V34+V38+V39+V40+V41+V45+V49+V50+V51+V54+V55+V56+V57+V61,V11+V13+V15+V20+V21+V22+V23+V24+V25+V26+V28+V29+V30+V32+V34+V38+V39+V40+V41+V45+V49+V50+V51+V54+V55+V56+V57+V61),IF(EnCMember=1,V8+V14+V47+V27+V37+V43+V44+V53+V60+V11+V13+V15+V20+V21+V22+V23+V24+V25+V26+V28+V29+V30+V32+V34+V38+V39+V40+V41+V45+V49+V50+V51+V54+V55+V56+V57,V11+V13+V15+V20+V21+V22+V23+V24+V25+V26+V28+V29+V30+V32+V34+V38+V39+V40+V41+V45+V49+V50+V51+V54+V55+V56+V57)),3)</f>
        <v>0</v>
      </c>
      <c r="W66" s="811">
        <f>ROUND(IF('Table 1'!$G$3&gt;1,IF(EnCMember=1,W8+W14+W47+W27+W37+W43+W44+W53+W60+W11+W13+W15+W20+W21+W22+W23+W24+W25+W26+W28+W29+W30+W32+W34+W38+W39+W40+W41+W45+W49+W50+W51+W54+W55+W56+W57+W61,W11+W13+W15+W20+W21+W22+W23+W24+W25+W26+W28+W29+W30+W32+W34+W38+W39+W40+W41+W45+W49+W50+W51+W54+W55+W56+W57+W61),IF(EnCMember=1,W8+W14+W47+W27+W37+W43+W44+W53+W60+W11+W13+W15+W20+W21+W22+W23+W24+W25+W26+W28+W29+W30+W32+W34+W38+W39+W40+W41+W45+W49+W50+W51+W54+W55+W56+W57,W11+W13+W15+W20+W21+W22+W23+W24+W25+W26+W28+W29+W30+W32+W34+W38+W39+W40+W41+W45+W49+W50+W51+W54+W55+W56+W57)),3)</f>
        <v>0</v>
      </c>
      <c r="X66" s="811">
        <f>ROUND(IF('Table 1'!$G$3&gt;1,IF(EnCMember=1,X8+X14+X47+X27+X37+X43+X44+X53+X60+X11+X13+X15+X20+X21+X22+X23+X24+X25+X26+X28+X29+X30+X32+X34+X38+X39+X40+X41+X45+X49+X50+X51+X54+X55+X56+X57+X61,X11+X13+X15+X20+X21+X22+X23+X24+X25+X26+X28+X29+X30+X32+X34+X38+X39+X40+X41+X45+X49+X50+X51+X54+X55+X56+X57+X61),IF(EnCMember=1,X8+X14+X47+X27+X37+X43+X44+X53+X60+X11+X13+X15+X20+X21+X22+X23+X24+X25+X26+X28+X29+X30+X32+X34+X38+X39+X40+X41+X45+X49+X50+X51+X54+X55+X56+X57,X11+X13+X15+X20+X21+X22+X23+X24+X25+X26+X28+X29+X30+X32+X34+X38+X39+X40+X41+X45+X49+X50+X51+X54+X55+X56+X57)),3)</f>
        <v>0</v>
      </c>
      <c r="Y66" s="811">
        <f>ROUND(IF('Table 1'!$G$3&gt;1,IF(EnCMember=1,Y8+Y14+Y47+Y27+Y37+Y43+Y44+Y53+Y60+Y11+Y13+Y15+Y20+Y21+Y22+Y23+Y24+Y25+Y26+Y28+Y29+Y30+Y32+Y34+Y38+Y39+Y40+Y41+Y45+Y49+Y50+Y51+Y54+Y55+Y56+Y57+Y61,Y11+Y13+Y15+Y20+Y21+Y22+Y23+Y24+Y25+Y26+Y28+Y29+Y30+Y32+Y34+Y38+Y39+Y40+Y41+Y45+Y49+Y50+Y51+Y54+Y55+Y56+Y57+Y61),IF(EnCMember=1,Y8+Y14+Y47+Y27+Y37+Y43+Y44+Y53+Y60+Y11+Y13+Y15+Y20+Y21+Y22+Y23+Y24+Y25+Y26+Y28+Y29+Y30+Y32+Y34+Y38+Y39+Y40+Y41+Y45+Y49+Y50+Y51+Y54+Y55+Y56+Y57,Y11+Y13+Y15+Y20+Y21+Y22+Y23+Y24+Y25+Y26+Y28+Y29+Y30+Y32+Y34+Y38+Y39+Y40+Y41+Y45+Y49+Y50+Y51+Y54+Y55+Y56+Y57)),3)</f>
        <v>0</v>
      </c>
      <c r="Z66" s="812">
        <f>ROUND(IF('Table 1'!$G$3&gt;1,IF(EnCMember=1,Z8+Z14+Z47+Z27+Z37+Z43+Z44+Z53+Z60+Z11+Z13+Z15+Z20+Z21+Z22+Z23+Z24+Z25+Z26+Z28+Z29+Z30+Z32+Z34+Z38+Z39+Z40+Z41+Z45+Z49+Z50+Z51+Z54+Z55+Z56+Z57+Z61,Z11+Z13+Z15+Z20+Z21+Z22+Z23+Z24+Z25+Z26+Z28+Z29+Z30+Z32+Z34+Z38+Z39+Z40+Z41+Z45+Z49+Z50+Z51+Z54+Z55+Z56+Z57+Z61),IF(EnCMember=1,Z8+Z14+Z47+Z27+Z37+Z43+Z44+Z53+Z60+Z11+Z13+Z15+Z20+Z21+Z22+Z23+Z24+Z25+Z26+Z28+Z29+Z30+Z32+Z34+Z38+Z39+Z40+Z41+Z45+Z49+Z50+Z51+Z54+Z55+Z56+Z57,Z11+Z13+Z15+Z20+Z21+Z22+Z23+Z24+Z25+Z26+Z28+Z29+Z30+Z32+Z34+Z38+Z39+Z40+Z41+Z45+Z49+Z50+Z51+Z54+Z55+Z56+Z57)),3)</f>
        <v>0</v>
      </c>
      <c r="AA66" s="813">
        <f>ROUND(IF('Table 1'!$G$3&gt;1,IF(EnCMember=1,AA8+AA14+AA47+AA27+AA37+AA43+AA44+AA53+AA60+AA11+AA13+AA15+AA20+AA21+AA22+AA23+AA24+AA25+AA26+AA28+AA29+AA30+AA32+AA34+AA38+AA39+AA40+AA41+AA45+AA49+AA50+AA51+AA54+AA55+AA56+AA57+AA61,AA11+AA13+AA15+AA20+AA21+AA22+AA23+AA24+AA25+AA26+AA28+AA29+AA30+AA32+AA34+AA38+AA39+AA40+AA41+AA45+AA49+AA50+AA51+AA54+AA55+AA56+AA57+AA61),IF(EnCMember=1,AA8+AA14+AA47+AA27+AA37+AA43+AA44+AA53+AA60+AA11+AA13+AA15+AA20+AA21+AA22+AA23+AA24+AA25+AA26+AA28+AA29+AA30+AA32+AA34+AA38+AA39+AA40+AA41+AA45+AA49+AA50+AA51+AA54+AA55+AA56+AA57,AA11+AA13+AA15+AA20+AA21+AA22+AA23+AA24+AA25+AA26+AA28+AA29+AA30+AA32+AA34+AA38+AA39+AA40+AA41+AA45+AA49+AA50+AA51+AA54+AA55+AA56+AA57)),3)</f>
        <v>0</v>
      </c>
      <c r="AB66" s="811">
        <f>ROUND(IF('Table 1'!$G$3&gt;1,IF(EnCMember=1,AB8+AB14+AB47+AB27+AB37+AB43+AB44+AB53+AB60+AB11+AB13+AB15+AB20+AB21+AB22+AB23+AB24+AB25+AB26+AB28+AB29+AB30+AB32+AB34+AB38+AB39+AB40+AB41+AB45+AB49+AB50+AB51+AB54+AB55+AB56+AB57+AB61,AB11+AB13+AB15+AB20+AB21+AB22+AB23+AB24+AB25+AB26+AB28+AB29+AB30+AB32+AB34+AB38+AB39+AB40+AB41+AB45+AB49+AB50+AB51+AB54+AB55+AB56+AB57+AB61),IF(EnCMember=1,AB8+AB14+AB47+AB27+AB37+AB43+AB44+AB53+AB60+AB11+AB13+AB15+AB20+AB21+AB22+AB23+AB24+AB25+AB26+AB28+AB29+AB30+AB32+AB34+AB38+AB39+AB40+AB41+AB45+AB49+AB50+AB51+AB54+AB55+AB56+AB57,AB11+AB13+AB15+AB20+AB21+AB22+AB23+AB24+AB25+AB26+AB28+AB29+AB30+AB32+AB34+AB38+AB39+AB40+AB41+AB45+AB49+AB50+AB51+AB54+AB55+AB56+AB57)),3)</f>
        <v>0</v>
      </c>
      <c r="AC66" s="811">
        <f>ROUND(IF('Table 1'!$G$3&gt;1,IF(EnCMember=1,AC8+AC14+AC47+AC27+AC37+AC43+AC44+AC53+AC60+AC11+AC13+AC15+AC20+AC21+AC22+AC23+AC24+AC25+AC26+AC28+AC29+AC30+AC32+AC34+AC38+AC39+AC40+AC41+AC45+AC49+AC50+AC51+AC54+AC55+AC56+AC57+AC61,AC11+AC13+AC15+AC20+AC21+AC22+AC23+AC24+AC25+AC26+AC28+AC29+AC30+AC32+AC34+AC38+AC39+AC40+AC41+AC45+AC49+AC50+AC51+AC54+AC55+AC56+AC57+AC61),IF(EnCMember=1,AC8+AC14+AC47+AC27+AC37+AC43+AC44+AC53+AC60+AC11+AC13+AC15+AC20+AC21+AC22+AC23+AC24+AC25+AC26+AC28+AC29+AC30+AC32+AC34+AC38+AC39+AC40+AC41+AC45+AC49+AC50+AC51+AC54+AC55+AC56+AC57,AC11+AC13+AC15+AC20+AC21+AC22+AC23+AC24+AC25+AC26+AC28+AC29+AC30+AC32+AC34+AC38+AC39+AC40+AC41+AC45+AC49+AC50+AC51+AC54+AC55+AC56+AC57)),3)</f>
        <v>0</v>
      </c>
      <c r="AD66" s="812">
        <f>ROUND(IF('Table 1'!$G$3&gt;1,IF(EnCMember=1,AD8+AD14+AD47+AD27+AD37+AD43+AD44+AD53+AD60+AD11+AD13+AD15+AD20+AD21+AD22+AD23+AD24+AD25+AD26+AD28+AD29+AD30+AD32+AD34+AD38+AD39+AD40+AD41+AD45+AD49+AD50+AD51+AD54+AD55+AD56+AD57+AD61,AD11+AD13+AD15+AD20+AD21+AD22+AD23+AD24+AD25+AD26+AD28+AD29+AD30+AD32+AD34+AD38+AD39+AD40+AD41+AD45+AD49+AD50+AD51+AD54+AD55+AD56+AD57+AD61),IF(EnCMember=1,AD8+AD14+AD47+AD27+AD37+AD43+AD44+AD53+AD60+AD11+AD13+AD15+AD20+AD21+AD22+AD23+AD24+AD25+AD26+AD28+AD29+AD30+AD32+AD34+AD38+AD39+AD40+AD41+AD45+AD49+AD50+AD51+AD54+AD55+AD56+AD57,AD11+AD13+AD15+AD20+AD21+AD22+AD23+AD24+AD25+AD26+AD28+AD29+AD30+AD32+AD34+AD38+AD39+AD40+AD41+AD45+AD49+AD50+AD51+AD54+AD55+AD56+AD57)),3)</f>
        <v>0</v>
      </c>
      <c r="AE66" s="813">
        <f>ROUND(IF('Table 1'!$G$3&gt;1,IF(EnCMember=1,AE8+AE14+AE47+AE27+AE37+AE43+AE44+AE53+AE60+AE11+AE13+AE15+AE20+AE21+AE22+AE23+AE24+AE25+AE26+AE28+AE29+AE30+AE32+AE34+AE38+AE39+AE40+AE41+AE45+AE49+AE50+AE51+AE54+AE55+AE56+AE57+AE61,AE11+AE13+AE15+AE20+AE21+AE22+AE23+AE24+AE25+AE26+AE28+AE29+AE30+AE32+AE34+AE38+AE39+AE40+AE41+AE45+AE49+AE50+AE51+AE54+AE55+AE56+AE57+AE61),IF(EnCMember=1,AE8+AE14+AE47+AE27+AE37+AE43+AE44+AE53+AE60+AE11+AE13+AE15+AE20+AE21+AE22+AE23+AE24+AE25+AE26+AE28+AE29+AE30+AE32+AE34+AE38+AE39+AE40+AE41+AE45+AE49+AE50+AE51+AE54+AE55+AE56+AE57,AE11+AE13+AE15+AE20+AE21+AE22+AE23+AE24+AE25+AE26+AE28+AE29+AE30+AE32+AE34+AE38+AE39+AE40+AE41+AE45+AE49+AE50+AE51+AE54+AE55+AE56+AE57)),3)</f>
        <v>0</v>
      </c>
      <c r="AF66" s="811">
        <f>ROUND(IF('Table 1'!$G$3&gt;1,IF(EnCMember=1,AF8+AF14+AF47+AF27+AF37+AF43+AF44+AF53+AF60+AF11+AF13+AF15+AF20+AF21+AF22+AF23+AF24+AF25+AF26+AF28+AF29+AF30+AF32+AF34+AF38+AF39+AF40+AF41+AF45+AF49+AF50+AF51+AF54+AF55+AF56+AF57+AF61,AF11+AF13+AF15+AF20+AF21+AF22+AF23+AF24+AF25+AF26+AF28+AF29+AF30+AF32+AF34+AF38+AF39+AF40+AF41+AF45+AF49+AF50+AF51+AF54+AF55+AF56+AF57+AF61),IF(EnCMember=1,AF8+AF14+AF47+AF27+AF37+AF43+AF44+AF53+AF60+AF11+AF13+AF15+AF20+AF21+AF22+AF23+AF24+AF25+AF26+AF28+AF29+AF30+AF32+AF34+AF38+AF39+AF40+AF41+AF45+AF49+AF50+AF51+AF54+AF55+AF56+AF57,AF11+AF13+AF15+AF20+AF21+AF22+AF23+AF24+AF25+AF26+AF28+AF29+AF30+AF32+AF34+AF38+AF39+AF40+AF41+AF45+AF49+AF50+AF51+AF54+AF55+AF56+AF57)),3)</f>
        <v>0</v>
      </c>
      <c r="AG66" s="811">
        <f>ROUND(IF('Table 1'!$G$3&gt;1,IF(EnCMember=1,AG8+AG14+AG47+AG27+AG37+AG43+AG44+AG53+AG60+AG11+AG13+AG15+AG20+AG21+AG22+AG23+AG24+AG25+AG26+AG28+AG29+AG30+AG32+AG34+AG38+AG39+AG40+AG41+AG45+AG49+AG50+AG51+AG54+AG55+AG56+AG57+AG61,AG11+AG13+AG15+AG20+AG21+AG22+AG23+AG24+AG25+AG26+AG28+AG29+AG30+AG32+AG34+AG38+AG39+AG40+AG41+AG45+AG49+AG50+AG51+AG54+AG55+AG56+AG57+AG61),IF(EnCMember=1,AG8+AG14+AG47+AG27+AG37+AG43+AG44+AG53+AG60+AG11+AG13+AG15+AG20+AG21+AG22+AG23+AG24+AG25+AG26+AG28+AG29+AG30+AG32+AG34+AG38+AG39+AG40+AG41+AG45+AG49+AG50+AG51+AG54+AG55+AG56+AG57,AG11+AG13+AG15+AG20+AG21+AG22+AG23+AG24+AG25+AG26+AG28+AG29+AG30+AG32+AG34+AG38+AG39+AG40+AG41+AG45+AG49+AG50+AG51+AG54+AG55+AG56+AG57)),3)</f>
        <v>0</v>
      </c>
      <c r="AH66" s="816">
        <f>ROUND(IF('Table 1'!$G$3&gt;1,IF(EnCMember=1,AH8+AH14+AH47+AH27+AH37+AH43+AH44+AH53+AH60+AH11+AH13+AH15+AH20+AH21+AH22+AH23+AH24+AH25+AH26+AH28+AH29+AH30+AH32+AH34+AH38+AH39+AH40+AH41+AH45+AH49+AH50+AH51+AH54+AH55+AH56+AH57+AH61,AH11+AH13+AH15+AH20+AH21+AH22+AH23+AH24+AH25+AH26+AH28+AH29+AH30+AH32+AH34+AH38+AH39+AH40+AH41+AH45+AH49+AH50+AH51+AH54+AH55+AH56+AH57+AH61),IF(EnCMember=1,AH8+AH14+AH47+AH27+AH37+AH43+AH44+AH53+AH60+AH11+AH13+AH15+AH20+AH21+AH22+AH23+AH24+AH25+AH26+AH28+AH29+AH30+AH32+AH34+AH38+AH39+AH40+AH41+AH45+AH49+AH50+AH51+AH54+AH55+AH56+AH57,AH11+AH13+AH15+AH20+AH21+AH22+AH23+AH24+AH25+AH26+AH28+AH29+AH30+AH32+AH34+AH38+AH39+AH40+AH41+AH45+AH49+AH50+AH51+AH54+AH55+AH56+AH57)),3)</f>
        <v>0</v>
      </c>
      <c r="AI66" s="466">
        <f t="shared" si="7"/>
        <v>0</v>
      </c>
      <c r="AJ66" s="467" t="str">
        <f>IF(AI66=0," ",IF(AI66=1,"A total is not equal to the sum of its components: ",AI66&amp;" totals are not equal to the sum of their components: "))&amp;IF(AI66=0,"",IF(I66-SUM(C66:F66,H66)=0,"","Total crude. ")&amp;IF(AG66-SUM(J66:M66,P66:R66,U66,X66,AA66,AE66:AF66)=0,"","Total products. ")&amp;IF(AH66-SUM(AG66,I66)=0,"","Total oil."))</f>
        <v xml:space="preserve"> </v>
      </c>
      <c r="AS66" s="143" t="s">
        <v>898</v>
      </c>
      <c r="AT66" s="144" t="s">
        <v>681</v>
      </c>
    </row>
    <row r="67" spans="1:46" s="32" customFormat="1" ht="24" customHeight="1" x14ac:dyDescent="0.2">
      <c r="C67" s="1050" t="str">
        <f>IF(ROUND(SUM(C8:C63),3)&lt;&gt;C64,"Total not correct","")</f>
        <v/>
      </c>
      <c r="D67" s="1050" t="str">
        <f>IF(ROUND(SUM(D8:D63),3)&lt;&gt;D64,"Total not correct","")</f>
        <v/>
      </c>
      <c r="E67" s="1050" t="str">
        <f t="shared" ref="E67:AH67" si="9">IF(ROUND(SUM(E8:E63),3)&lt;&gt;E64,"Total not correct","")</f>
        <v/>
      </c>
      <c r="F67" s="1050" t="str">
        <f t="shared" si="9"/>
        <v/>
      </c>
      <c r="G67" s="1050" t="str">
        <f t="shared" si="9"/>
        <v/>
      </c>
      <c r="H67" s="1050" t="str">
        <f t="shared" si="9"/>
        <v/>
      </c>
      <c r="I67" s="1050" t="str">
        <f t="shared" si="9"/>
        <v/>
      </c>
      <c r="J67" s="1050" t="str">
        <f t="shared" si="9"/>
        <v/>
      </c>
      <c r="K67" s="1050" t="str">
        <f t="shared" si="9"/>
        <v/>
      </c>
      <c r="L67" s="1050" t="str">
        <f t="shared" si="9"/>
        <v/>
      </c>
      <c r="M67" s="1050" t="str">
        <f t="shared" si="9"/>
        <v/>
      </c>
      <c r="N67" s="1050" t="str">
        <f t="shared" si="9"/>
        <v/>
      </c>
      <c r="O67" s="1050" t="str">
        <f t="shared" si="9"/>
        <v/>
      </c>
      <c r="P67" s="1050" t="str">
        <f t="shared" si="9"/>
        <v/>
      </c>
      <c r="Q67" s="1050" t="str">
        <f t="shared" si="9"/>
        <v/>
      </c>
      <c r="R67" s="1050" t="str">
        <f t="shared" si="9"/>
        <v/>
      </c>
      <c r="S67" s="1050" t="str">
        <f t="shared" si="9"/>
        <v/>
      </c>
      <c r="T67" s="1050" t="str">
        <f t="shared" si="9"/>
        <v/>
      </c>
      <c r="U67" s="1050" t="str">
        <f t="shared" si="9"/>
        <v/>
      </c>
      <c r="V67" s="1050" t="str">
        <f t="shared" si="9"/>
        <v/>
      </c>
      <c r="W67" s="1050" t="str">
        <f t="shared" si="9"/>
        <v/>
      </c>
      <c r="X67" s="1050" t="str">
        <f t="shared" si="9"/>
        <v/>
      </c>
      <c r="Y67" s="1050" t="str">
        <f t="shared" si="9"/>
        <v/>
      </c>
      <c r="Z67" s="1050" t="str">
        <f t="shared" si="9"/>
        <v/>
      </c>
      <c r="AA67" s="1050" t="str">
        <f t="shared" si="9"/>
        <v/>
      </c>
      <c r="AB67" s="1050" t="str">
        <f t="shared" si="9"/>
        <v/>
      </c>
      <c r="AC67" s="1050"/>
      <c r="AD67" s="1050" t="str">
        <f t="shared" si="9"/>
        <v/>
      </c>
      <c r="AE67" s="1050" t="str">
        <f t="shared" si="9"/>
        <v/>
      </c>
      <c r="AF67" s="1050" t="str">
        <f t="shared" si="9"/>
        <v/>
      </c>
      <c r="AG67" s="1050" t="str">
        <f t="shared" si="9"/>
        <v/>
      </c>
      <c r="AH67" s="1050" t="str">
        <f t="shared" si="9"/>
        <v/>
      </c>
      <c r="AI67" s="157"/>
      <c r="AJ67" s="157"/>
    </row>
    <row r="68" spans="1:46" s="32" customFormat="1" x14ac:dyDescent="0.2">
      <c r="C68" s="1050" t="str">
        <f t="shared" ref="C68:AH68" si="10">IF(MIN(C8:C64,C66)&lt;0,"Negative number","")</f>
        <v/>
      </c>
      <c r="D68" s="1050" t="str">
        <f t="shared" si="10"/>
        <v/>
      </c>
      <c r="E68" s="1050" t="str">
        <f t="shared" si="10"/>
        <v/>
      </c>
      <c r="F68" s="1050" t="str">
        <f t="shared" si="10"/>
        <v/>
      </c>
      <c r="G68" s="1050" t="str">
        <f t="shared" si="10"/>
        <v/>
      </c>
      <c r="H68" s="1050" t="str">
        <f t="shared" si="10"/>
        <v/>
      </c>
      <c r="I68" s="1050" t="str">
        <f t="shared" si="10"/>
        <v/>
      </c>
      <c r="J68" s="1050" t="str">
        <f t="shared" si="10"/>
        <v/>
      </c>
      <c r="K68" s="1050" t="str">
        <f t="shared" si="10"/>
        <v/>
      </c>
      <c r="L68" s="1050" t="str">
        <f t="shared" si="10"/>
        <v/>
      </c>
      <c r="M68" s="1050" t="str">
        <f t="shared" si="10"/>
        <v/>
      </c>
      <c r="N68" s="1050" t="str">
        <f t="shared" si="10"/>
        <v/>
      </c>
      <c r="O68" s="1050" t="str">
        <f t="shared" si="10"/>
        <v/>
      </c>
      <c r="P68" s="1050" t="str">
        <f t="shared" si="10"/>
        <v/>
      </c>
      <c r="Q68" s="1050" t="str">
        <f t="shared" si="10"/>
        <v/>
      </c>
      <c r="R68" s="1050" t="str">
        <f t="shared" si="10"/>
        <v/>
      </c>
      <c r="S68" s="1050" t="str">
        <f t="shared" si="10"/>
        <v/>
      </c>
      <c r="T68" s="1050" t="str">
        <f t="shared" si="10"/>
        <v/>
      </c>
      <c r="U68" s="1050" t="str">
        <f t="shared" si="10"/>
        <v/>
      </c>
      <c r="V68" s="1050" t="str">
        <f t="shared" si="10"/>
        <v/>
      </c>
      <c r="W68" s="1050" t="str">
        <f t="shared" si="10"/>
        <v/>
      </c>
      <c r="X68" s="1050" t="str">
        <f t="shared" si="10"/>
        <v/>
      </c>
      <c r="Y68" s="1050" t="str">
        <f t="shared" si="10"/>
        <v/>
      </c>
      <c r="Z68" s="1050" t="str">
        <f t="shared" si="10"/>
        <v/>
      </c>
      <c r="AA68" s="1050" t="str">
        <f t="shared" si="10"/>
        <v/>
      </c>
      <c r="AB68" s="1050" t="str">
        <f t="shared" si="10"/>
        <v/>
      </c>
      <c r="AC68" s="1050"/>
      <c r="AD68" s="1050" t="str">
        <f t="shared" si="10"/>
        <v/>
      </c>
      <c r="AE68" s="1050" t="str">
        <f t="shared" si="10"/>
        <v/>
      </c>
      <c r="AF68" s="1050" t="str">
        <f t="shared" si="10"/>
        <v/>
      </c>
      <c r="AG68" s="1050" t="str">
        <f t="shared" si="10"/>
        <v/>
      </c>
      <c r="AH68" s="1050" t="str">
        <f t="shared" si="10"/>
        <v/>
      </c>
      <c r="AI68" s="157"/>
      <c r="AJ68" s="157"/>
    </row>
    <row r="69" spans="1:46" s="32" customFormat="1" ht="24" customHeight="1" x14ac:dyDescent="0.2">
      <c r="C69" s="1050" t="str">
        <f>IF(ROUND(IF('Table 1'!$G$3&gt;1,IF(EnCMember=1,C8+C9+C12+C14+C47+C27+C37+C43+C44+C53+C60,C11+C13+C15+C20+C21+C22+C23+C24+C25+C26+C28+C29+C30+C32+C34+C38+C39+C40+C41+C45+C49+C50+C51+C54+C55+C56+C57+C61),IF(EnCMember=1,C8+C9+C12+C14+C47+C27+C37+C43+C44+C53+C60,C11+C13+C15+C20+C21+C22+C23+C24+C25+C26+C28+C29+C30+C32+C34+C38+C39+C40+C41+C45+C49+C50+C51+C54+C55+C56+C57)),3)&lt;&gt;C66,"Total EU MS not correct","")</f>
        <v/>
      </c>
      <c r="D69" s="1050" t="str">
        <f>IF(ROUND(IF('Table 1'!$G$3&gt;1,IF(EnCMember=1,D8+D9+D12+D14+D47+D27+D37+D43+D44+D53+D60,D11+D13+D15+D20+D21+D22+D23+D24+D25+D26+D28+D29+D30+D32+D34+D38+D39+D40+D41+D45+D49+D50+D51+D54+D55+D56+D57+D61),IF(EnCMember=1,D8+D9+D12+D14+D47+D27+D37+D43+D44+D53+D60,D11+D13+D15+D20+D21+D22+D23+D24+D25+D26+D28+D29+D30+D32+D34+D38+D39+D40+D41+D45+D49+D50+D51+D54+D55+D56+D57)),3)&lt;&gt;D66,"Total EU MS not correct","")</f>
        <v/>
      </c>
      <c r="E69" s="1050" t="str">
        <f>IF(ROUND(IF('Table 1'!$G$3&gt;1,IF(EnCMember=1,E8+E9+E12+E14+E47+E27+E37+E43+E44+E53+E60,E11+E13+E15+E20+E21+E22+E23+E24+E25+E26+E28+E29+E30+E32+E34+E38+E39+E40+E41+E45+E49+E50+E51+E54+E55+E56+E57+E61),IF(EnCMember=1,E8+E9+E12+E14+E47+E27+E37+E43+E44+E53+E60,E11+E13+E15+E20+E21+E22+E23+E24+E25+E26+E28+E29+E30+E32+E34+E38+E39+E40+E41+E45+E49+E50+E51+E54+E55+E56+E57)),3)&lt;&gt;E66,"Total EU MS not correct","")</f>
        <v/>
      </c>
      <c r="F69" s="1050" t="str">
        <f>IF(ROUND(IF('Table 1'!$G$3&gt;1,IF(EnCMember=1,F8+F9+F12+F14+F47+F27+F37+F43+F44+F53+F60,F11+F13+F15+F20+F21+F22+F23+F24+F25+F26+F28+F29+F30+F32+F34+F38+F39+F40+F41+F45+F49+F50+F51+F54+F55+F56+F57+F61),IF(EnCMember=1,F8+F9+F12+F14+F47+F27+F37+F43+F44+F53+F60,F11+F13+F15+F20+F21+F22+F23+F24+F25+F26+F28+F29+F30+F32+F34+F38+F39+F40+F41+F45+F49+F50+F51+F54+F55+F56+F57)),3)&lt;&gt;F66,"Total EU MS not correct","")</f>
        <v/>
      </c>
      <c r="G69" s="1050" t="str">
        <f>IF(ROUND(IF('Table 1'!$G$3&gt;1,IF(EnCMember=1,G8+G9+G12+G14+G47+G27+G37+G43+G44+G53+G60,G11+G13+G15+G20+G21+G22+G23+G24+G25+G26+G28+G29+G30+G32+G34+G38+G39+G40+G41+G45+G49+G50+G51+G54+G55+G56+G57+G61),IF(EnCMember=1,G8+G9+G12+G14+G47+G27+G37+G43+G44+G53+G60,G11+G13+G15+G20+G21+G22+G23+G24+G25+G26+G28+G29+G30+G32+G34+G38+G39+G40+G41+G45+G49+G50+G51+G54+G55+G56+G57)),3)&lt;&gt;G66,"Total EU MS not correct","")</f>
        <v/>
      </c>
      <c r="H69" s="1050" t="str">
        <f>IF(ROUND(IF('Table 1'!$G$3&gt;1,IF(EnCMember=1,H8+H9+H12+H14+H47+H27+H37+H43+H44+H53+H60,H11+H13+H15+H20+H21+H22+H23+H24+H25+H26+H28+H29+H30+H32+H34+H38+H39+H40+H41+H45+H49+H50+H51+H54+H55+H56+H57+H61),IF(EnCMember=1,H8+H9+H12+H14+H47+H27+H37+H43+H44+H53+H60,H11+H13+H15+H20+H21+H22+H23+H24+H25+H26+H28+H29+H30+H32+H34+H38+H39+H40+H41+H45+H49+H50+H51+H54+H55+H56+H57)),3)&lt;&gt;H66,"Total EU MS not correct","")</f>
        <v/>
      </c>
      <c r="I69" s="1050" t="str">
        <f>IF(ROUND(IF('Table 1'!$G$3&gt;1,IF(EnCMember=1,I8+I9+I12+I14+I47+I27+I37+I43+I44+I53+I60,I11+I13+I15+I20+I21+I22+I23+I24+I25+I26+I28+I29+I30+I32+I34+I38+I39+I40+I41+I45+I49+I50+I51+I54+I55+I56+I57+I61),IF(EnCMember=1,I8+I9+I12+I14+I47+I27+I37+I43+I44+I53+I60,I11+I13+I15+I20+I21+I22+I23+I24+I25+I26+I28+I29+I30+I32+I34+I38+I39+I40+I41+I45+I49+I50+I51+I54+I55+I56+I57)),3)&lt;&gt;I66,"Total EU MS not correct","")</f>
        <v/>
      </c>
      <c r="J69" s="1050" t="str">
        <f>IF(ROUND(IF('Table 1'!$G$3&gt;1,IF(EnCMember=1,J8+J9+J12+J14+J47+J27+J37+J43+J44+J53+J60,J11+J13+J15+J20+J21+J22+J23+J24+J25+J26+J28+J29+J30+J32+J34+J38+J39+J40+J41+J45+J49+J50+J51+J54+J55+J56+J57+J61),IF(EnCMember=1,J8+J9+J12+J14+J47+J27+J37+J43+J44+J53+J60,J11+J13+J15+J20+J21+J22+J23+J24+J25+J26+J28+J29+J30+J32+J34+J38+J39+J40+J41+J45+J49+J50+J51+J54+J55+J56+J57)),3)&lt;&gt;J66,"Total EU MS not correct","")</f>
        <v/>
      </c>
      <c r="K69" s="1050" t="str">
        <f>IF(ROUND(IF('Table 1'!$G$3&gt;1,IF(EnCMember=1,K8+K9+K12+K14+K47+K27+K37+K43+K44+K53+K60,K11+K13+K15+K20+K21+K22+K23+K24+K25+K26+K28+K29+K30+K32+K34+K38+K39+K40+K41+K45+K49+K50+K51+K54+K55+K56+K57+K61),IF(EnCMember=1,K8+K9+K12+K14+K47+K27+K37+K43+K44+K53+K60,K11+K13+K15+K20+K21+K22+K23+K24+K25+K26+K28+K29+K30+K32+K34+K38+K39+K40+K41+K45+K49+K50+K51+K54+K55+K56+K57)),3)&lt;&gt;K66,"Total EU MS not correct","")</f>
        <v/>
      </c>
      <c r="L69" s="1050" t="str">
        <f>IF(ROUND(IF('Table 1'!$G$3&gt;1,IF(EnCMember=1,L8+L9+L12+L14+L47+L27+L37+L43+L44+L53+L60,L11+L13+L15+L20+L21+L22+L23+L24+L25+L26+L28+L29+L30+L32+L34+L38+L39+L40+L41+L45+L49+L50+L51+L54+L55+L56+L57+L61),IF(EnCMember=1,L8+L9+L12+L14+L47+L27+L37+L43+L44+L53+L60,L11+L13+L15+L20+L21+L22+L23+L24+L25+L26+L28+L29+L30+L32+L34+L38+L39+L40+L41+L45+L49+L50+L51+L54+L55+L56+L57)),3)&lt;&gt;L66,"Total EU MS not correct","")</f>
        <v/>
      </c>
      <c r="M69" s="1050" t="str">
        <f>IF(ROUND(IF('Table 1'!$G$3&gt;1,IF(EnCMember=1,M8+M9+M12+M14+M47+M27+M37+M43+M44+M53+M60,M11+M13+M15+M20+M21+M22+M23+M24+M25+M26+M28+M29+M30+M32+M34+M38+M39+M40+M41+M45+M49+M50+M51+M54+M55+M56+M57+M61),IF(EnCMember=1,M8+M9+M12+M14+M47+M27+M37+M43+M44+M53+M60,M11+M13+M15+M20+M21+M22+M23+M24+M25+M26+M28+M29+M30+M32+M34+M38+M39+M40+M41+M45+M49+M50+M51+M54+M55+M56+M57)),3)&lt;&gt;M66,"Total EU MS not correct","")</f>
        <v/>
      </c>
      <c r="N69" s="1050" t="str">
        <f>IF(ROUND(IF('Table 1'!$G$3&gt;1,IF(EnCMember=1,N8+N9+N12+N14+N47+N27+N37+N43+N44+N53+N60,N11+N13+N15+N20+N21+N22+N23+N24+N25+N26+N28+N29+N30+N32+N34+N38+N39+N40+N41+N45+N49+N50+N51+N54+N55+N56+N57+N61),IF(EnCMember=1,N8+N9+N12+N14+N47+N27+N37+N43+N44+N53+N60,N11+N13+N15+N20+N21+N22+N23+N24+N25+N26+N28+N29+N30+N32+N34+N38+N39+N40+N41+N45+N49+N50+N51+N54+N55+N56+N57)),3)&lt;&gt;N66,"Total EU MS not correct","")</f>
        <v/>
      </c>
      <c r="O69" s="1050" t="str">
        <f>IF(ROUND(IF('Table 1'!$G$3&gt;1,IF(EnCMember=1,O8+O9+O12+O14+O47+O27+O37+O43+O44+O53+O60,O11+O13+O15+O20+O21+O22+O23+O24+O25+O26+O28+O29+O30+O32+O34+O38+O39+O40+O41+O45+O49+O50+O51+O54+O55+O56+O57+O61),IF(EnCMember=1,O8+O9+O12+O14+O47+O27+O37+O43+O44+O53+O60,O11+O13+O15+O20+O21+O22+O23+O24+O25+O26+O28+O29+O30+O32+O34+O38+O39+O40+O41+O45+O49+O50+O51+O54+O55+O56+O57)),3)&lt;&gt;O66,"Total EU MS not correct","")</f>
        <v/>
      </c>
      <c r="P69" s="1050" t="str">
        <f>IF(ROUND(IF('Table 1'!$G$3&gt;1,IF(EnCMember=1,P8+P9+P12+P14+P47+P27+P37+P43+P44+P53+P60,P11+P13+P15+P20+P21+P22+P23+P24+P25+P26+P28+P29+P30+P32+P34+P38+P39+P40+P41+P45+P49+P50+P51+P54+P55+P56+P57+P61),IF(EnCMember=1,P8+P9+P12+P14+P47+P27+P37+P43+P44+P53+P60,P11+P13+P15+P20+P21+P22+P23+P24+P25+P26+P28+P29+P30+P32+P34+P38+P39+P40+P41+P45+P49+P50+P51+P54+P55+P56+P57)),3)&lt;&gt;P66,"Total EU MS not correct","")</f>
        <v/>
      </c>
      <c r="Q69" s="1050" t="str">
        <f>IF(ROUND(IF('Table 1'!$G$3&gt;1,IF(EnCMember=1,Q8+Q9+Q12+Q14+Q47+Q27+Q37+Q43+Q44+Q53+Q60,Q11+Q13+Q15+Q20+Q21+Q22+Q23+Q24+Q25+Q26+Q28+Q29+Q30+Q32+Q34+Q38+Q39+Q40+Q41+Q45+Q49+Q50+Q51+Q54+Q55+Q56+Q57+Q61),IF(EnCMember=1,Q8+Q9+Q12+Q14+Q47+Q27+Q37+Q43+Q44+Q53+Q60,Q11+Q13+Q15+Q20+Q21+Q22+Q23+Q24+Q25+Q26+Q28+Q29+Q30+Q32+Q34+Q38+Q39+Q40+Q41+Q45+Q49+Q50+Q51+Q54+Q55+Q56+Q57)),3)&lt;&gt;Q66,"Total EU MS not correct","")</f>
        <v/>
      </c>
      <c r="R69" s="1050" t="str">
        <f>IF(ROUND(IF('Table 1'!$G$3&gt;1,IF(EnCMember=1,R8+R9+R12+R14+R47+R27+R37+R43+R44+R53+R60,R11+R13+R15+R20+R21+R22+R23+R24+R25+R26+R28+R29+R30+R32+R34+R38+R39+R40+R41+R45+R49+R50+R51+R54+R55+R56+R57+R61),IF(EnCMember=1,R8+R9+R12+R14+R47+R27+R37+R43+R44+R53+R60,R11+R13+R15+R20+R21+R22+R23+R24+R25+R26+R28+R29+R30+R32+R34+R38+R39+R40+R41+R45+R49+R50+R51+R54+R55+R56+R57)),3)&lt;&gt;R66,"Total EU MS not correct","")</f>
        <v/>
      </c>
      <c r="S69" s="1050" t="str">
        <f>IF(ROUND(IF('Table 1'!$G$3&gt;1,IF(EnCMember=1,S8+S9+S12+S14+S47+S27+S37+S43+S44+S53+S60,S11+S13+S15+S20+S21+S22+S23+S24+S25+S26+S28+S29+S30+S32+S34+S38+S39+S40+S41+S45+S49+S50+S51+S54+S55+S56+S57+S61),IF(EnCMember=1,S8+S9+S12+S14+S47+S27+S37+S43+S44+S53+S60,S11+S13+S15+S20+S21+S22+S23+S24+S25+S26+S28+S29+S30+S32+S34+S38+S39+S40+S41+S45+S49+S50+S51+S54+S55+S56+S57)),3)&lt;&gt;S66,"Total EU MS not correct","")</f>
        <v/>
      </c>
      <c r="T69" s="1050" t="str">
        <f>IF(ROUND(IF('Table 1'!$G$3&gt;1,IF(EnCMember=1,T8+T9+T12+T14+T47+T27+T37+T43+T44+T53+T60,T11+T13+T15+T20+T21+T22+T23+T24+T25+T26+T28+T29+T30+T32+T34+T38+T39+T40+T41+T45+T49+T50+T51+T54+T55+T56+T57+T61),IF(EnCMember=1,T8+T9+T12+T14+T47+T27+T37+T43+T44+T53+T60,T11+T13+T15+T20+T21+T22+T23+T24+T25+T26+T28+T29+T30+T32+T34+T38+T39+T40+T41+T45+T49+T50+T51+T54+T55+T56+T57)),3)&lt;&gt;T66,"Total EU MS not correct","")</f>
        <v/>
      </c>
      <c r="U69" s="1050" t="str">
        <f>IF(ROUND(IF('Table 1'!$G$3&gt;1,IF(EnCMember=1,U8+U9+U12+U14+U47+U27+U37+U43+U44+U53+U60,U11+U13+U15+U20+U21+U22+U23+U24+U25+U26+U28+U29+U30+U32+U34+U38+U39+U40+U41+U45+U49+U50+U51+U54+U55+U56+U57+U61),IF(EnCMember=1,U8+U9+U12+U14+U47+U27+U37+U43+U44+U53+U60,U11+U13+U15+U20+U21+U22+U23+U24+U25+U26+U28+U29+U30+U32+U34+U38+U39+U40+U41+U45+U49+U50+U51+U54+U55+U56+U57)),3)&lt;&gt;U66,"Total EU MS not correct","")</f>
        <v/>
      </c>
      <c r="V69" s="1050" t="str">
        <f>IF(ROUND(IF('Table 1'!$G$3&gt;1,IF(EnCMember=1,V8+V9+V12+V14+V47+V27+V37+V43+V44+V53+V60,V11+V13+V15+V20+V21+V22+V23+V24+V25+V26+V28+V29+V30+V32+V34+V38+V39+V40+V41+V45+V49+V50+V51+V54+V55+V56+V57+V61),IF(EnCMember=1,V8+V9+V12+V14+V47+V27+V37+V43+V44+V53+V60,V11+V13+V15+V20+V21+V22+V23+V24+V25+V26+V28+V29+V30+V32+V34+V38+V39+V40+V41+V45+V49+V50+V51+V54+V55+V56+V57)),3)&lt;&gt;V66,"Total EU MS not correct","")</f>
        <v/>
      </c>
      <c r="W69" s="1050" t="str">
        <f>IF(ROUND(IF('Table 1'!$G$3&gt;1,IF(EnCMember=1,W8+W9+W12+W14+W47+W27+W37+W43+W44+W53+W60,W11+W13+W15+W20+W21+W22+W23+W24+W25+W26+W28+W29+W30+W32+W34+W38+W39+W40+W41+W45+W49+W50+W51+W54+W55+W56+W57+W61),IF(EnCMember=1,W8+W9+W12+W14+W47+W27+W37+W43+W44+W53+W60,W11+W13+W15+W20+W21+W22+W23+W24+W25+W26+W28+W29+W30+W32+W34+W38+W39+W40+W41+W45+W49+W50+W51+W54+W55+W56+W57)),3)&lt;&gt;W66,"Total EU MS not correct","")</f>
        <v/>
      </c>
      <c r="X69" s="1050" t="str">
        <f>IF(ROUND(IF('Table 1'!$G$3&gt;1,IF(EnCMember=1,X8+X9+X12+X14+X47+X27+X37+X43+X44+X53+X60,X11+X13+X15+X20+X21+X22+X23+X24+X25+X26+X28+X29+X30+X32+X34+X38+X39+X40+X41+X45+X49+X50+X51+X54+X55+X56+X57+X61),IF(EnCMember=1,X8+X9+X12+X14+X47+X27+X37+X43+X44+X53+X60,X11+X13+X15+X20+X21+X22+X23+X24+X25+X26+X28+X29+X30+X32+X34+X38+X39+X40+X41+X45+X49+X50+X51+X54+X55+X56+X57)),3)&lt;&gt;X66,"Total EU MS not correct","")</f>
        <v/>
      </c>
      <c r="Y69" s="1050" t="str">
        <f>IF(ROUND(IF('Table 1'!$G$3&gt;1,IF(EnCMember=1,Y8+Y9+Y12+Y14+Y47+Y27+Y37+Y43+Y44+Y53+Y60,Y11+Y13+Y15+Y20+Y21+Y22+Y23+Y24+Y25+Y26+Y28+Y29+Y30+Y32+Y34+Y38+Y39+Y40+Y41+Y45+Y49+Y50+Y51+Y54+Y55+Y56+Y57+Y61),IF(EnCMember=1,Y8+Y9+Y12+Y14+Y47+Y27+Y37+Y43+Y44+Y53+Y60,Y11+Y13+Y15+Y20+Y21+Y22+Y23+Y24+Y25+Y26+Y28+Y29+Y30+Y32+Y34+Y38+Y39+Y40+Y41+Y45+Y49+Y50+Y51+Y54+Y55+Y56+Y57)),3)&lt;&gt;Y66,"Total EU MS not correct","")</f>
        <v/>
      </c>
      <c r="Z69" s="1050" t="str">
        <f>IF(ROUND(IF('Table 1'!$G$3&gt;1,IF(EnCMember=1,Z8+Z9+Z12+Z14+Z47+Z27+Z37+Z43+Z44+Z53+Z60,Z11+Z13+Z15+Z20+Z21+Z22+Z23+Z24+Z25+Z26+Z28+Z29+Z30+Z32+Z34+Z38+Z39+Z40+Z41+Z45+Z49+Z50+Z51+Z54+Z55+Z56+Z57+Z61),IF(EnCMember=1,Z8+Z9+Z12+Z14+Z47+Z27+Z37+Z43+Z44+Z53+Z60,Z11+Z13+Z15+Z20+Z21+Z22+Z23+Z24+Z25+Z26+Z28+Z29+Z30+Z32+Z34+Z38+Z39+Z40+Z41+Z45+Z49+Z50+Z51+Z54+Z55+Z56+Z57)),3)&lt;&gt;Z66,"Total EU MS not correct","")</f>
        <v/>
      </c>
      <c r="AA69" s="1050" t="str">
        <f>IF(ROUND(IF('Table 1'!$G$3&gt;1,IF(EnCMember=1,AA8+AA9+AA12+AA14+AA47+AA27+AA37+AA43+AA44+AA53+AA60,AA11+AA13+AA15+AA20+AA21+AA22+AA23+AA24+AA25+AA26+AA28+AA29+AA30+AA32+AA34+AA38+AA39+AA40+AA41+AA45+AA49+AA50+AA51+AA54+AA55+AA56+AA57+AA61),IF(EnCMember=1,AA8+AA9+AA12+AA14+AA47+AA27+AA37+AA43+AA44+AA53+AA60,AA11+AA13+AA15+AA20+AA21+AA22+AA23+AA24+AA25+AA26+AA28+AA29+AA30+AA32+AA34+AA38+AA39+AA40+AA41+AA45+AA49+AA50+AA51+AA54+AA55+AA56+AA57)),3)&lt;&gt;AA66,"Total EU MS not correct","")</f>
        <v/>
      </c>
      <c r="AB69" s="1050" t="str">
        <f>IF(ROUND(IF('Table 1'!$G$3&gt;1,IF(EnCMember=1,AB8+AB9+AB12+AB14+AB47+AB27+AB37+AB43+AB44+AB53+AB60,AB11+AB13+AB15+AB20+AB21+AB22+AB23+AB24+AB25+AB26+AB28+AB29+AB30+AB32+AB34+AB38+AB39+AB40+AB41+AB45+AB49+AB50+AB51+AB54+AB55+AB56+AB57+AB61),IF(EnCMember=1,AB8+AB9+AB12+AB14+AB47+AB27+AB37+AB43+AB44+AB53+AB60,AB11+AB13+AB15+AB20+AB21+AB22+AB23+AB24+AB25+AB26+AB28+AB29+AB30+AB32+AB34+AB38+AB39+AB40+AB41+AB45+AB49+AB50+AB51+AB54+AB55+AB56+AB57)),3)&lt;&gt;AB66,"Total EU MS not correct","")</f>
        <v/>
      </c>
      <c r="AC69" s="1050"/>
      <c r="AD69" s="1050" t="str">
        <f>IF(ROUND(IF('Table 1'!$G$3&gt;1,IF(EnCMember=1,AD8+AD9+AD12+AD14+AD47+AD27+AD37+AD43+AD44+AD53+AD60,AD11+AD13+AD15+AD20+AD21+AD22+AD23+AD24+AD25+AD26+AD28+AD29+AD30+AD32+AD34+AD38+AD39+AD40+AD41+AD45+AD49+AD50+AD51+AD54+AD55+AD56+AD57+AD61),IF(EnCMember=1,AD8+AD9+AD12+AD14+AD47+AD27+AD37+AD43+AD44+AD53+AD60,AD11+AD13+AD15+AD20+AD21+AD22+AD23+AD24+AD25+AD26+AD28+AD29+AD30+AD32+AD34+AD38+AD39+AD40+AD41+AD45+AD49+AD50+AD51+AD54+AD55+AD56+AD57)),3)&lt;&gt;AD66,"Total EU MS not correct","")</f>
        <v/>
      </c>
      <c r="AE69" s="1050" t="str">
        <f>IF(ROUND(IF('Table 1'!$G$3&gt;1,IF(EnCMember=1,AE8+AE9+AE12+AE14+AE47+AE27+AE37+AE43+AE44+AE53+AE60,AE11+AE13+AE15+AE20+AE21+AE22+AE23+AE24+AE25+AE26+AE28+AE29+AE30+AE32+AE34+AE38+AE39+AE40+AE41+AE45+AE49+AE50+AE51+AE54+AE55+AE56+AE57+AE61),IF(EnCMember=1,AE8+AE9+AE12+AE14+AE47+AE27+AE37+AE43+AE44+AE53+AE60,AE11+AE13+AE15+AE20+AE21+AE22+AE23+AE24+AE25+AE26+AE28+AE29+AE30+AE32+AE34+AE38+AE39+AE40+AE41+AE45+AE49+AE50+AE51+AE54+AE55+AE56+AE57)),3)&lt;&gt;AE66,"Total EU MS not correct","")</f>
        <v/>
      </c>
      <c r="AF69" s="1050" t="str">
        <f>IF(ROUND(IF('Table 1'!$G$3&gt;1,IF(EnCMember=1,AF8+AF9+AF12+AF14+AF47+AF27+AF37+AF43+AF44+AF53+AF60,AF11+AF13+AF15+AF20+AF21+AF22+AF23+AF24+AF25+AF26+AF28+AF29+AF30+AF32+AF34+AF38+AF39+AF40+AF41+AF45+AF49+AF50+AF51+AF54+AF55+AF56+AF57+AF61),IF(EnCMember=1,AF8+AF9+AF12+AF14+AF47+AF27+AF37+AF43+AF44+AF53+AF60,AF11+AF13+AF15+AF20+AF21+AF22+AF23+AF24+AF25+AF26+AF28+AF29+AF30+AF32+AF34+AF38+AF39+AF40+AF41+AF45+AF49+AF50+AF51+AF54+AF55+AF56+AF57)),3)&lt;&gt;AF66,"Total EU MS not correct","")</f>
        <v/>
      </c>
      <c r="AG69" s="1050" t="str">
        <f>IF(ROUND(IF('Table 1'!$G$3&gt;1,IF(EnCMember=1,AG8+AG9+AG12+AG14+AG47+AG27+AG37+AG43+AG44+AG53+AG60,AG11+AG13+AG15+AG20+AG21+AG22+AG23+AG24+AG25+AG26+AG28+AG29+AG30+AG32+AG34+AG38+AG39+AG40+AG41+AG45+AG49+AG50+AG51+AG54+AG55+AG56+AG57+AG61),IF(EnCMember=1,AG8+AG9+AG12+AG14+AG47+AG27+AG37+AG43+AG44+AG53+AG60,AG11+AG13+AG15+AG20+AG21+AG22+AG23+AG24+AG25+AG26+AG28+AG29+AG30+AG32+AG34+AG38+AG39+AG40+AG41+AG45+AG49+AG50+AG51+AG54+AG55+AG56+AG57)),3)&lt;&gt;AG66,"Total EU MS not correct","")</f>
        <v/>
      </c>
      <c r="AH69" s="1050" t="str">
        <f>IF(ROUND(IF('Table 1'!$G$3&gt;1,IF(EnCMember=1,AH8+AH9+AH12+AH14+AH47+AH27+AH37+AH43+AH44+AH53+AH60,AH11+AH13+AH15+AH20+AH21+AH22+AH23+AH24+AH25+AH26+AH28+AH29+AH30+AH32+AH34+AH38+AH39+AH40+AH41+AH45+AH49+AH50+AH51+AH54+AH55+AH56+AH57+AH61),IF(EnCMember=1,AH8+AH9+AH12+AH14+AH47+AH27+AH37+AH43+AH44+AH53+AH60,AH11+AH13+AH15+AH20+AH21+AH22+AH23+AH24+AH25+AH26+AH28+AH29+AH30+AH32+AH34+AH38+AH39+AH40+AH41+AH45+AH49+AH50+AH51+AH54+AH55+AH56+AH57)),3)&lt;&gt;AH66,"Total EU MS not correct","")</f>
        <v/>
      </c>
      <c r="AI69" s="31"/>
      <c r="AJ69" s="157"/>
    </row>
    <row r="70" spans="1:46" s="220" customFormat="1" ht="28.5" customHeight="1" x14ac:dyDescent="0.2">
      <c r="C70" s="1050" t="str">
        <f>IF(NOT(ROUND(C64-'Table 5'!D13,3)=0),"Total not equal to Table 5","")</f>
        <v/>
      </c>
      <c r="D70" s="1050" t="str">
        <f>IF(NOT(ROUND(D64-'Table 5'!E13,3)=0),"Total not equal to Table 5","")</f>
        <v/>
      </c>
      <c r="E70" s="1050" t="str">
        <f>IF(NOT(ROUND(E64-'Table 5'!F13,3)=0),"Total not equal to Table 5","")</f>
        <v/>
      </c>
      <c r="F70" s="1050" t="str">
        <f>IF(NOT(ROUND(F64-'Table 5'!G13,3)=0),"Total not equal to Table 5","")</f>
        <v/>
      </c>
      <c r="G70" s="1050" t="str">
        <f>IF(NOT(ROUND(G64-'Table 5'!H13,3)=0),"Total not equal to Table 5","")</f>
        <v/>
      </c>
      <c r="H70" s="1050" t="str">
        <f>IF(NOT(ROUND(H64-'Table 5'!I13,3)=0),"Total not equal to Table 5","")</f>
        <v/>
      </c>
      <c r="I70" s="1050" t="str">
        <f>IF(NOT(ROUND(I64-'Table 5'!J13,3)=0),"Total not equal to Table 5","")</f>
        <v/>
      </c>
      <c r="J70" s="1050" t="str">
        <f>IF(NOT(ROUND(J64-'Table 5'!K13,3)=0),"Total not equal to Table 5","")</f>
        <v/>
      </c>
      <c r="K70" s="1050" t="str">
        <f>IF(NOT(ROUND(K64-'Table 5'!L13,3)=0),"Total not equal to Table 5","")</f>
        <v/>
      </c>
      <c r="L70" s="1050" t="str">
        <f>IF(NOT(ROUND(L64-'Table 5'!M13,3)=0),"Total not equal to Table 5","")</f>
        <v/>
      </c>
      <c r="M70" s="1050" t="str">
        <f>IF(NOT(ROUND(M64-'Table 5'!N13,3)=0),"Total not equal to Table 5","")</f>
        <v/>
      </c>
      <c r="N70" s="1050" t="str">
        <f>IF(NOT(ROUND(N64-'Table 5'!O13,3)=0),"Total not equal to Table 5","")</f>
        <v/>
      </c>
      <c r="O70" s="1050" t="str">
        <f>IF(NOT(ROUND(O64-'Table 5'!P13,3)=0),"Total not equal to Table 5","")</f>
        <v/>
      </c>
      <c r="P70" s="1050" t="str">
        <f>IF(NOT(ROUND(P64-'Table 5'!Q13,3)=0),"Total not equal to Table 5","")</f>
        <v/>
      </c>
      <c r="Q70" s="1050" t="str">
        <f>IF(NOT(ROUND(Q64-'Table 5'!R13,3)=0),"Total not equal to Table 5","")</f>
        <v/>
      </c>
      <c r="R70" s="1050" t="str">
        <f>IF(NOT(ROUND(R64-'Table 5'!S13,3)=0),"Total not equal to Table 5","")</f>
        <v/>
      </c>
      <c r="S70" s="1050" t="str">
        <f>IF(NOT(ROUND(S64-'Table 5'!T13,3)=0),"Total not equal to Table 5","")</f>
        <v/>
      </c>
      <c r="T70" s="1050" t="str">
        <f>IF(NOT(ROUND(T64-'Table 5'!U13,3)=0),"Total not equal to Table 5","")</f>
        <v/>
      </c>
      <c r="U70" s="1050" t="str">
        <f>IF(NOT(ROUND(U64-'Table 5'!V13,3)=0),"Total not equal to Table 5","")</f>
        <v/>
      </c>
      <c r="V70" s="1050" t="str">
        <f>IF(NOT(ROUND(V64-'Table 5'!W13,3)=0),"Total not equal to Table 5","")</f>
        <v/>
      </c>
      <c r="W70" s="1050" t="str">
        <f>IF(NOT(ROUND(W64-'Table 5'!X13,3)=0),"Total not equal to Table 5","")</f>
        <v/>
      </c>
      <c r="X70" s="1050" t="str">
        <f>IF(NOT(ROUND(X64-'Table 5'!Y13,3)=0),"Total not equal to Table 5","")</f>
        <v/>
      </c>
      <c r="Y70" s="1050" t="str">
        <f>IF(NOT(ROUND(Y64-'Table 5'!Z13,3)=0),"Total not equal to Table 5","")</f>
        <v/>
      </c>
      <c r="Z70" s="1050" t="str">
        <f>IF(NOT(ROUND(Z64-'Table 5'!AA13,3)=0),"Total not equal to Table 5","")</f>
        <v/>
      </c>
      <c r="AA70" s="1050" t="str">
        <f>IF(NOT(ROUND(AA64-'Table 5'!AB13,3)=0),"Total not equal to Table 5","")</f>
        <v/>
      </c>
      <c r="AB70" s="1050" t="str">
        <f>IF(NOT(ROUND(AB64-'Table 5'!AC13,3)=0),"Total not equal to Table 5","")</f>
        <v/>
      </c>
      <c r="AC70" s="1050"/>
      <c r="AD70" s="1050" t="str">
        <f>IF(NOT(ROUND(AD64-'Table 5'!AE13,3)=0),"Total not equal to Table 5","")</f>
        <v/>
      </c>
      <c r="AE70" s="1050" t="str">
        <f>IF(NOT(ROUND(AE64-'Table 5'!AF13,3)=0),"Total not equal to Table 5","")</f>
        <v/>
      </c>
      <c r="AF70" s="1050" t="str">
        <f>IF(NOT(ROUND(AF64-'Table 5'!AG13,3)=0),"Total not equal to Table 5","")</f>
        <v/>
      </c>
      <c r="AG70" s="1050" t="str">
        <f>IF(NOT(ROUND(AG64-'Table 5'!AH13,3)=0),"Total not equal to Table 5","")</f>
        <v/>
      </c>
      <c r="AH70" s="1050" t="str">
        <f>IF(NOT(ROUND(AH64-'Table 5'!AI13,3)=0),"Total not equal to Table 5","")</f>
        <v/>
      </c>
      <c r="AI70" s="157"/>
      <c r="AJ70" s="221"/>
    </row>
    <row r="71" spans="1:46" s="218" customFormat="1" ht="12" x14ac:dyDescent="0.2">
      <c r="A71" s="12" t="s">
        <v>1397</v>
      </c>
      <c r="B71" s="219"/>
      <c r="E71" s="1051">
        <f>COUNTIF(C70:AH70,"")-COUNTA(C66:AH66)</f>
        <v>0</v>
      </c>
      <c r="F71" s="3" t="str">
        <f>IF(E71=0,"OK","Total not equal to Table 5")</f>
        <v>OK</v>
      </c>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157"/>
      <c r="AJ71" s="157"/>
    </row>
    <row r="72" spans="1:46" x14ac:dyDescent="0.2">
      <c r="A72" s="12" t="s">
        <v>1386</v>
      </c>
      <c r="C72" s="218"/>
      <c r="D72" s="218"/>
      <c r="E72" s="1049">
        <f ca="1">IF(MAX(IFERROR(OFFSET(C7,MATCH(CountryCode,$AT$8:$AT$64,0),0,1,30),0))&gt;0,1,0)+IF(CountryCode=Param!$D$67,MAX(C62:AE62),0)</f>
        <v>0</v>
      </c>
      <c r="F72" s="3" t="str">
        <f ca="1">IF(E72=0,"OK","Country is reporting stocks with itself")</f>
        <v>OK</v>
      </c>
    </row>
    <row r="73" spans="1:46" x14ac:dyDescent="0.2">
      <c r="A73" s="7" t="s">
        <v>1112</v>
      </c>
    </row>
    <row r="138" spans="2:34" hidden="1" x14ac:dyDescent="0.2">
      <c r="B138" s="306" t="s">
        <v>329</v>
      </c>
      <c r="C138" s="373" t="s">
        <v>330</v>
      </c>
      <c r="D138" s="373" t="s">
        <v>6</v>
      </c>
      <c r="E138" s="373" t="s">
        <v>331</v>
      </c>
      <c r="F138" s="373" t="s">
        <v>332</v>
      </c>
      <c r="G138" s="373" t="s">
        <v>333</v>
      </c>
      <c r="H138" s="373" t="s">
        <v>334</v>
      </c>
      <c r="I138" s="373" t="s">
        <v>335</v>
      </c>
      <c r="J138" s="373" t="s">
        <v>353</v>
      </c>
      <c r="K138" s="156" t="s">
        <v>9</v>
      </c>
      <c r="L138" s="156" t="s">
        <v>354</v>
      </c>
      <c r="M138" s="156" t="s">
        <v>355</v>
      </c>
      <c r="N138" s="156" t="s">
        <v>356</v>
      </c>
      <c r="O138" s="156" t="s">
        <v>891</v>
      </c>
      <c r="P138" s="156" t="s">
        <v>357</v>
      </c>
      <c r="Q138" s="156" t="s">
        <v>358</v>
      </c>
      <c r="R138" s="156" t="s">
        <v>359</v>
      </c>
      <c r="S138" s="156" t="s">
        <v>878</v>
      </c>
      <c r="T138" s="156" t="s">
        <v>879</v>
      </c>
      <c r="U138" s="156" t="s">
        <v>360</v>
      </c>
      <c r="V138" s="156" t="s">
        <v>361</v>
      </c>
      <c r="W138" s="156" t="s">
        <v>363</v>
      </c>
      <c r="X138" s="156" t="s">
        <v>364</v>
      </c>
      <c r="Y138" s="156" t="s">
        <v>362</v>
      </c>
      <c r="Z138" s="156" t="s">
        <v>880</v>
      </c>
      <c r="AA138" s="156" t="s">
        <v>367</v>
      </c>
      <c r="AB138" s="156" t="s">
        <v>365</v>
      </c>
      <c r="AC138" s="156" t="s">
        <v>1412</v>
      </c>
      <c r="AD138" s="156" t="s">
        <v>366</v>
      </c>
      <c r="AE138" s="156" t="s">
        <v>368</v>
      </c>
      <c r="AF138" s="156" t="s">
        <v>606</v>
      </c>
      <c r="AG138" s="156" t="s">
        <v>369</v>
      </c>
      <c r="AH138" s="156" t="s">
        <v>416</v>
      </c>
    </row>
    <row r="1000" spans="1:59" ht="22.5" hidden="1" x14ac:dyDescent="0.2">
      <c r="A1000" s="641" t="s">
        <v>1113</v>
      </c>
      <c r="C1000" s="642" t="s">
        <v>1114</v>
      </c>
      <c r="D1000" s="642" t="s">
        <v>1115</v>
      </c>
      <c r="E1000" s="642" t="s">
        <v>1116</v>
      </c>
      <c r="F1000" s="642" t="s">
        <v>1117</v>
      </c>
      <c r="G1000" s="642" t="s">
        <v>1118</v>
      </c>
      <c r="H1000" s="642" t="s">
        <v>1119</v>
      </c>
      <c r="I1000" s="642" t="s">
        <v>1120</v>
      </c>
      <c r="J1000" s="642" t="s">
        <v>1143</v>
      </c>
      <c r="K1000" s="642" t="s">
        <v>1144</v>
      </c>
      <c r="L1000" s="642" t="s">
        <v>1145</v>
      </c>
      <c r="M1000" s="642" t="s">
        <v>1146</v>
      </c>
      <c r="N1000" s="642" t="s">
        <v>1147</v>
      </c>
      <c r="O1000" s="642" t="s">
        <v>1148</v>
      </c>
      <c r="P1000" s="642" t="s">
        <v>1149</v>
      </c>
      <c r="Q1000" s="642" t="s">
        <v>1150</v>
      </c>
      <c r="R1000" s="642" t="s">
        <v>1151</v>
      </c>
      <c r="S1000" s="642" t="s">
        <v>1152</v>
      </c>
      <c r="T1000" s="642" t="s">
        <v>1153</v>
      </c>
      <c r="U1000" s="642" t="s">
        <v>1154</v>
      </c>
      <c r="V1000" s="642" t="s">
        <v>1155</v>
      </c>
      <c r="W1000" s="642" t="s">
        <v>1156</v>
      </c>
      <c r="X1000" s="642" t="s">
        <v>1157</v>
      </c>
      <c r="Y1000" s="642" t="s">
        <v>1158</v>
      </c>
      <c r="Z1000" s="642" t="s">
        <v>1159</v>
      </c>
      <c r="AA1000" s="642" t="s">
        <v>1160</v>
      </c>
      <c r="AB1000" s="642" t="s">
        <v>1161</v>
      </c>
      <c r="AC1000" s="642" t="s">
        <v>1414</v>
      </c>
      <c r="AD1000" s="642" t="s">
        <v>1162</v>
      </c>
      <c r="AE1000" s="642" t="s">
        <v>1163</v>
      </c>
      <c r="AF1000" s="642" t="s">
        <v>1406</v>
      </c>
      <c r="AG1000" s="642" t="s">
        <v>1178</v>
      </c>
      <c r="AH1000" s="642" t="s">
        <v>1164</v>
      </c>
      <c r="AL1000" s="3"/>
      <c r="AM1000" s="3"/>
      <c r="AV1000" s="211"/>
      <c r="AW1000" s="211"/>
      <c r="AX1000" s="211"/>
      <c r="AY1000" s="211"/>
      <c r="AZ1000" s="211"/>
      <c r="BA1000" s="211"/>
      <c r="BB1000" s="211"/>
      <c r="BC1000" s="211"/>
      <c r="BD1000" s="211"/>
      <c r="BE1000" s="211"/>
      <c r="BF1000" s="211"/>
      <c r="BG1000" s="211"/>
    </row>
  </sheetData>
  <sheetProtection algorithmName="SHA-512" hashValue="/Opkcdk6cWT6I5DAZaQPMs/x3zwG3sCWMzl0eENppgWzMJAGaugTpzZmCSN78UCd4AFdH3uPdyoyJ+znJfChPQ==" saltValue="Q62NWYHukKszkhJC6qP4ig==" spinCount="100000" sheet="1" objects="1" scenarios="1"/>
  <mergeCells count="21">
    <mergeCell ref="Q5:Q6"/>
    <mergeCell ref="C5:C6"/>
    <mergeCell ref="D5:D6"/>
    <mergeCell ref="E5:E6"/>
    <mergeCell ref="F5:F6"/>
    <mergeCell ref="I5:I6"/>
    <mergeCell ref="H5:H6"/>
    <mergeCell ref="J5:J6"/>
    <mergeCell ref="K5:K6"/>
    <mergeCell ref="L5:L6"/>
    <mergeCell ref="M5:M6"/>
    <mergeCell ref="P5:P6"/>
    <mergeCell ref="AG5:AG6"/>
    <mergeCell ref="AH5:AH6"/>
    <mergeCell ref="AJ5:AJ6"/>
    <mergeCell ref="R5:R6"/>
    <mergeCell ref="U5:U6"/>
    <mergeCell ref="X5:X6"/>
    <mergeCell ref="AA5:AA6"/>
    <mergeCell ref="AE5:AE6"/>
    <mergeCell ref="AF5:AF6"/>
  </mergeCells>
  <phoneticPr fontId="44" type="noConversion"/>
  <conditionalFormatting sqref="I63">
    <cfRule type="cellIs" dxfId="711" priority="305" stopIfTrue="1" operator="notEqual">
      <formula>SUM(C63:F63,H63)</formula>
    </cfRule>
  </conditionalFormatting>
  <conditionalFormatting sqref="AG28:AG36 AG38:AG42 AG61:AG63 AG44:AG57 AG15:AG26">
    <cfRule type="cellIs" dxfId="710" priority="304" stopIfTrue="1" operator="notEqual">
      <formula>SUM(J15:L15,M15,P15:R15,U15,X15,AA15,AE15:AF15)</formula>
    </cfRule>
  </conditionalFormatting>
  <conditionalFormatting sqref="AH28:AH36 AH38:AH42 AH61:AH63 AH44:AH57 AH15:AH26">
    <cfRule type="cellIs" dxfId="709" priority="303" stopIfTrue="1" operator="notEqual">
      <formula>I15+AG15</formula>
    </cfRule>
  </conditionalFormatting>
  <conditionalFormatting sqref="X63">
    <cfRule type="expression" dxfId="708" priority="312" stopIfTrue="1">
      <formula>OR(AND(OR(V63&lt;&gt;0,W63&lt;&gt;0),X63&lt;&gt;V63+W63),AND(OR(Y63&lt;&gt;0,Z63&lt;&gt;0),X63&lt;&gt;Y63+Z63))</formula>
    </cfRule>
    <cfRule type="expression" dxfId="707" priority="315" stopIfTrue="1">
      <formula>OR(AND(V63+W63=0,X63&lt;&gt;0),AND(Y63+Z63=0,X63&lt;&gt;0))</formula>
    </cfRule>
  </conditionalFormatting>
  <conditionalFormatting sqref="AA63">
    <cfRule type="expression" dxfId="706" priority="316" stopIfTrue="1">
      <formula>AND(AB63+AD63=0,AA63&lt;&gt;0)</formula>
    </cfRule>
  </conditionalFormatting>
  <conditionalFormatting sqref="R63">
    <cfRule type="expression" dxfId="705" priority="310" stopIfTrue="1">
      <formula>AND(S63+T63=0,R63&lt;&gt;0)</formula>
    </cfRule>
    <cfRule type="cellIs" dxfId="704" priority="311" stopIfTrue="1" operator="notEqual">
      <formula>S63+T63</formula>
    </cfRule>
  </conditionalFormatting>
  <conditionalFormatting sqref="G63">
    <cfRule type="cellIs" dxfId="703" priority="307" stopIfTrue="1" operator="greaterThan">
      <formula>F63</formula>
    </cfRule>
  </conditionalFormatting>
  <conditionalFormatting sqref="AG28:AH36 AG38:AH42 C63:AH63 AG44:AH57 AG15:AH26 AG61:AH62">
    <cfRule type="cellIs" dxfId="702" priority="306" stopIfTrue="1" operator="lessThan">
      <formula>0</formula>
    </cfRule>
  </conditionalFormatting>
  <conditionalFormatting sqref="M63">
    <cfRule type="cellIs" dxfId="701" priority="308" stopIfTrue="1" operator="notEqual">
      <formula>N63+O63</formula>
    </cfRule>
    <cfRule type="expression" dxfId="700" priority="309" stopIfTrue="1">
      <formula>AND(N63+O63=0,M63&lt;&gt;0)</formula>
    </cfRule>
  </conditionalFormatting>
  <conditionalFormatting sqref="AA63">
    <cfRule type="cellIs" dxfId="699" priority="317" stopIfTrue="1" operator="notEqual">
      <formula>AB63+AD63</formula>
    </cfRule>
  </conditionalFormatting>
  <conditionalFormatting sqref="I8:I62">
    <cfRule type="cellIs" dxfId="698" priority="262" stopIfTrue="1" operator="notEqual">
      <formula>ROUND(SUM(C8:F8,H8),3)</formula>
    </cfRule>
  </conditionalFormatting>
  <conditionalFormatting sqref="AG8:AG14">
    <cfRule type="cellIs" dxfId="697" priority="263" stopIfTrue="1" operator="notEqual">
      <formula>ROUND(SUM(J8:L8,M8,P8:R8,U8,X8,AA8,AE8:AF8),3)</formula>
    </cfRule>
  </conditionalFormatting>
  <conditionalFormatting sqref="AH8:AH14">
    <cfRule type="cellIs" dxfId="696" priority="264" stopIfTrue="1" operator="notEqual">
      <formula>ROUND(I8+AG8,3)</formula>
    </cfRule>
  </conditionalFormatting>
  <conditionalFormatting sqref="X8:X62">
    <cfRule type="expression" dxfId="695" priority="273" stopIfTrue="1">
      <formula>OR(AND(OR(V8&lt;&gt;0,W8&lt;&gt;0),X8&lt;&gt;V8+W8),AND(OR(Y8&lt;&gt;0,Z8&lt;&gt;0),X8&lt;&gt;Y8+Z8))</formula>
    </cfRule>
    <cfRule type="expression" dxfId="694" priority="274" stopIfTrue="1">
      <formula>OR(AND(V8+W8=0,X8&lt;&gt;0),AND(Y8+Z8=0,X8&lt;&gt;0))</formula>
    </cfRule>
  </conditionalFormatting>
  <conditionalFormatting sqref="AA8:AA62">
    <cfRule type="expression" dxfId="693" priority="271" stopIfTrue="1">
      <formula>AND(AB8+AD8=0,AA8&lt;&gt;0)</formula>
    </cfRule>
    <cfRule type="cellIs" dxfId="692" priority="272" stopIfTrue="1" operator="notEqual">
      <formula>AB8+AD8</formula>
    </cfRule>
  </conditionalFormatting>
  <conditionalFormatting sqref="R8:R62">
    <cfRule type="expression" dxfId="691" priority="269" stopIfTrue="1">
      <formula>AND(S8+T8=0,R8&lt;&gt;0)</formula>
    </cfRule>
    <cfRule type="cellIs" dxfId="690" priority="270" stopIfTrue="1" operator="notEqual">
      <formula>S8+T8</formula>
    </cfRule>
  </conditionalFormatting>
  <conditionalFormatting sqref="G8:G62">
    <cfRule type="cellIs" dxfId="689" priority="266" stopIfTrue="1" operator="greaterThan">
      <formula>F8</formula>
    </cfRule>
  </conditionalFormatting>
  <conditionalFormatting sqref="D8:AH8 AG9:AH14 D9:AF62">
    <cfRule type="cellIs" dxfId="688" priority="265" stopIfTrue="1" operator="lessThan">
      <formula>0</formula>
    </cfRule>
  </conditionalFormatting>
  <conditionalFormatting sqref="M8:M62">
    <cfRule type="expression" dxfId="687" priority="267" stopIfTrue="1">
      <formula>AND(N8+O8=0,M8&lt;&gt;0)</formula>
    </cfRule>
    <cfRule type="cellIs" dxfId="686" priority="268" stopIfTrue="1" operator="notEqual">
      <formula>N8+O8</formula>
    </cfRule>
  </conditionalFormatting>
  <conditionalFormatting sqref="AG27:AH27">
    <cfRule type="cellIs" dxfId="685" priority="238" stopIfTrue="1" operator="lessThan">
      <formula>0</formula>
    </cfRule>
  </conditionalFormatting>
  <conditionalFormatting sqref="AG37:AH37">
    <cfRule type="cellIs" dxfId="684" priority="227" stopIfTrue="1" operator="lessThan">
      <formula>0</formula>
    </cfRule>
  </conditionalFormatting>
  <conditionalFormatting sqref="AG43:AH43">
    <cfRule type="cellIs" dxfId="683" priority="216" stopIfTrue="1" operator="lessThan">
      <formula>0</formula>
    </cfRule>
  </conditionalFormatting>
  <conditionalFormatting sqref="AG58">
    <cfRule type="cellIs" dxfId="682" priority="165" stopIfTrue="1" operator="notEqual">
      <formula>SUM(J58:L58,M58,P58:R58,U58,X58,AA58,AE58:AF58)</formula>
    </cfRule>
  </conditionalFormatting>
  <conditionalFormatting sqref="AH58">
    <cfRule type="cellIs" dxfId="681" priority="166" stopIfTrue="1" operator="notEqual">
      <formula>I58+AG58</formula>
    </cfRule>
  </conditionalFormatting>
  <conditionalFormatting sqref="AG58:AH58">
    <cfRule type="cellIs" dxfId="680" priority="167" stopIfTrue="1" operator="lessThan">
      <formula>0</formula>
    </cfRule>
  </conditionalFormatting>
  <conditionalFormatting sqref="AG60">
    <cfRule type="cellIs" dxfId="679" priority="152" stopIfTrue="1" operator="notEqual">
      <formula>SUM(J60:L60,M60,P60:R60,U60,X60,AA60,AE60:AF60)</formula>
    </cfRule>
  </conditionalFormatting>
  <conditionalFormatting sqref="AH60">
    <cfRule type="cellIs" dxfId="678" priority="153" stopIfTrue="1" operator="notEqual">
      <formula>I60+AG60</formula>
    </cfRule>
  </conditionalFormatting>
  <conditionalFormatting sqref="AG60:AH60">
    <cfRule type="cellIs" dxfId="677" priority="154" stopIfTrue="1" operator="lessThan">
      <formula>0</formula>
    </cfRule>
  </conditionalFormatting>
  <conditionalFormatting sqref="AG59">
    <cfRule type="cellIs" dxfId="676" priority="139" stopIfTrue="1" operator="notEqual">
      <formula>SUM(J59:L59,M59,P59:R59,U59,X59,AA59,AE59:AF59)</formula>
    </cfRule>
  </conditionalFormatting>
  <conditionalFormatting sqref="AH59">
    <cfRule type="cellIs" dxfId="675" priority="140" stopIfTrue="1" operator="notEqual">
      <formula>I59+AG59</formula>
    </cfRule>
  </conditionalFormatting>
  <conditionalFormatting sqref="AG59:AH59">
    <cfRule type="cellIs" dxfId="674" priority="141" stopIfTrue="1" operator="lessThan">
      <formula>0</formula>
    </cfRule>
  </conditionalFormatting>
  <conditionalFormatting sqref="I64">
    <cfRule type="cellIs" dxfId="673" priority="24" stopIfTrue="1" operator="notEqual">
      <formula>SUM(C64:F64,H64)</formula>
    </cfRule>
  </conditionalFormatting>
  <conditionalFormatting sqref="AG64">
    <cfRule type="cellIs" dxfId="672" priority="25" stopIfTrue="1" operator="notEqual">
      <formula>SUM(J64:L64,M64,P64:R64,U64,X64,AA64,AE64:AF64)</formula>
    </cfRule>
  </conditionalFormatting>
  <conditionalFormatting sqref="AH64">
    <cfRule type="cellIs" dxfId="671" priority="26" stopIfTrue="1" operator="notEqual">
      <formula>I64+AG64</formula>
    </cfRule>
  </conditionalFormatting>
  <conditionalFormatting sqref="X64">
    <cfRule type="expression" dxfId="670" priority="36" stopIfTrue="1">
      <formula>OR(AND(OR(V64&lt;&gt;0,W64&lt;&gt;0),X64&lt;&gt;V64+W64),AND(OR(Y64&lt;&gt;0,Z64&lt;&gt;0),X64&lt;&gt;Y64+Z64))</formula>
    </cfRule>
    <cfRule type="expression" dxfId="669" priority="37" stopIfTrue="1">
      <formula>OR(AND(V64+W64=0,X64&lt;&gt;0),AND(Y64+Z64=0,X64&lt;&gt;0))</formula>
    </cfRule>
  </conditionalFormatting>
  <conditionalFormatting sqref="AA64">
    <cfRule type="expression" dxfId="668" priority="34" stopIfTrue="1">
      <formula>AND(AB64+AD64=0,AA64&lt;&gt;0)</formula>
    </cfRule>
    <cfRule type="cellIs" dxfId="667" priority="35" stopIfTrue="1" operator="notEqual">
      <formula>AB64+AD64</formula>
    </cfRule>
  </conditionalFormatting>
  <conditionalFormatting sqref="R64">
    <cfRule type="expression" dxfId="666" priority="32" stopIfTrue="1">
      <formula>AND(S64+T64=0,R64&lt;&gt;0)</formula>
    </cfRule>
    <cfRule type="cellIs" dxfId="665" priority="33" stopIfTrue="1" operator="notEqual">
      <formula>S64+T64</formula>
    </cfRule>
  </conditionalFormatting>
  <conditionalFormatting sqref="G64">
    <cfRule type="cellIs" dxfId="664" priority="29" stopIfTrue="1" operator="greaterThan">
      <formula>F64</formula>
    </cfRule>
  </conditionalFormatting>
  <conditionalFormatting sqref="C64:AH64">
    <cfRule type="cellIs" dxfId="663" priority="28" stopIfTrue="1" operator="lessThan">
      <formula>0</formula>
    </cfRule>
  </conditionalFormatting>
  <conditionalFormatting sqref="C64:AH64">
    <cfRule type="cellIs" dxfId="662" priority="27" stopIfTrue="1" operator="notEqual">
      <formula>ROUND(SUM(C8:C63),3)</formula>
    </cfRule>
  </conditionalFormatting>
  <conditionalFormatting sqref="M64">
    <cfRule type="expression" dxfId="661" priority="30" stopIfTrue="1">
      <formula>AND(N64+O64=0,M64&lt;&gt;0)</formula>
    </cfRule>
    <cfRule type="cellIs" dxfId="660" priority="31" stopIfTrue="1" operator="notEqual">
      <formula>N64+O64</formula>
    </cfRule>
  </conditionalFormatting>
  <conditionalFormatting sqref="F72">
    <cfRule type="cellIs" dxfId="659" priority="23" stopIfTrue="1" operator="notEqual">
      <formula>"OK"</formula>
    </cfRule>
  </conditionalFormatting>
  <conditionalFormatting sqref="F71">
    <cfRule type="cellIs" dxfId="658" priority="21" stopIfTrue="1" operator="notEqual">
      <formula>"OK"</formula>
    </cfRule>
  </conditionalFormatting>
  <conditionalFormatting sqref="C8:C62">
    <cfRule type="cellIs" dxfId="657" priority="20" stopIfTrue="1" operator="lessThan">
      <formula>0</formula>
    </cfRule>
  </conditionalFormatting>
  <conditionalFormatting sqref="I66">
    <cfRule type="cellIs" dxfId="656" priority="1" stopIfTrue="1" operator="notEqual">
      <formula>SUM(C66:F66,H66)</formula>
    </cfRule>
  </conditionalFormatting>
  <conditionalFormatting sqref="AG66">
    <cfRule type="cellIs" dxfId="655" priority="2" stopIfTrue="1" operator="notEqual">
      <formula>SUM(J66:L66,M66,P66:R66,U66,X66,AA66,AE66:AF66)</formula>
    </cfRule>
  </conditionalFormatting>
  <conditionalFormatting sqref="AH66">
    <cfRule type="cellIs" dxfId="654" priority="3" stopIfTrue="1" operator="notEqual">
      <formula>I66+AG66</formula>
    </cfRule>
  </conditionalFormatting>
  <conditionalFormatting sqref="X66">
    <cfRule type="expression" dxfId="653" priority="12" stopIfTrue="1">
      <formula>OR(AND(OR(V66&lt;&gt;0,W66&lt;&gt;0),X66&lt;&gt;V66+W66),AND(OR(Y66&lt;&gt;0,Z66&lt;&gt;0),X66&lt;&gt;Y66+Z66))</formula>
    </cfRule>
    <cfRule type="expression" dxfId="652" priority="13" stopIfTrue="1">
      <formula>OR(AND(V66+W66=0,X66&lt;&gt;0),AND(Y66+Z66=0,X66&lt;&gt;0))</formula>
    </cfRule>
  </conditionalFormatting>
  <conditionalFormatting sqref="AA66">
    <cfRule type="expression" dxfId="651" priority="10" stopIfTrue="1">
      <formula>AND(AB66+AD66=0,AA66&lt;&gt;0)</formula>
    </cfRule>
    <cfRule type="cellIs" dxfId="650" priority="11" stopIfTrue="1" operator="notEqual">
      <formula>AB66+AD66</formula>
    </cfRule>
  </conditionalFormatting>
  <conditionalFormatting sqref="R66">
    <cfRule type="expression" dxfId="649" priority="8" stopIfTrue="1">
      <formula>AND(S66+T66=0,R66&lt;&gt;0)</formula>
    </cfRule>
    <cfRule type="cellIs" dxfId="648" priority="9" stopIfTrue="1" operator="notEqual">
      <formula>S66+T66</formula>
    </cfRule>
  </conditionalFormatting>
  <conditionalFormatting sqref="G66">
    <cfRule type="cellIs" dxfId="647" priority="5" stopIfTrue="1" operator="greaterThan">
      <formula>F66</formula>
    </cfRule>
  </conditionalFormatting>
  <conditionalFormatting sqref="C66:AH66">
    <cfRule type="cellIs" dxfId="646" priority="4" stopIfTrue="1" operator="lessThan">
      <formula>0</formula>
    </cfRule>
  </conditionalFormatting>
  <conditionalFormatting sqref="M66">
    <cfRule type="expression" dxfId="645" priority="6" stopIfTrue="1">
      <formula>AND(N66+O66=0,M66&lt;&gt;0)</formula>
    </cfRule>
    <cfRule type="cellIs" dxfId="644" priority="7" stopIfTrue="1" operator="notEqual">
      <formula>N66+O66</formula>
    </cfRule>
  </conditionalFormatting>
  <dataValidations count="1">
    <dataValidation type="decimal" operator="greaterThanOrEqual" allowBlank="1" showErrorMessage="1" errorTitle="Input error" error="Numbers only!" sqref="C8:AH66" xr:uid="{00000000-0002-0000-0900-000000000000}">
      <formula1>-10000000</formula1>
    </dataValidation>
  </dataValidations>
  <pageMargins left="0.39370078740157483" right="0.39370078740157483" top="0.78740157480314965" bottom="0.78740157480314965" header="0.39370078740157483" footer="0.39370078740157483"/>
  <pageSetup paperSize="9" scale="44" orientation="landscape" r:id="rId1"/>
  <headerFooter alignWithMargins="0">
    <oddHeader>&amp;A</oddHeader>
    <oddFooter>Page &amp;P</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EE1000"/>
  <sheetViews>
    <sheetView zoomScaleNormal="100" workbookViewId="0">
      <pane xSplit="2" ySplit="7" topLeftCell="C8" activePane="bottomRight" state="frozen"/>
      <selection activeCell="H62" sqref="H62"/>
      <selection pane="topRight" activeCell="H62" sqref="H62"/>
      <selection pane="bottomLeft" activeCell="H62" sqref="H62"/>
      <selection pane="bottomRight" activeCell="C8" sqref="C8"/>
    </sheetView>
  </sheetViews>
  <sheetFormatPr defaultColWidth="9.140625" defaultRowHeight="12.75" x14ac:dyDescent="0.2"/>
  <cols>
    <col min="1" max="1" width="31.28515625" style="2" customWidth="1"/>
    <col min="2" max="2" width="3.5703125" style="2" customWidth="1"/>
    <col min="3" max="28" width="9.28515625" style="2" customWidth="1"/>
    <col min="29" max="29" width="10.28515625" style="2" customWidth="1"/>
    <col min="30" max="34" width="9.28515625" style="2" customWidth="1"/>
    <col min="35" max="35" width="2" style="2" customWidth="1"/>
    <col min="36" max="36" width="76.140625" style="2" customWidth="1"/>
    <col min="37" max="37" width="9.140625" style="2"/>
    <col min="38" max="38" width="3.5703125" style="141" customWidth="1"/>
    <col min="39" max="39" width="12.140625" style="141" customWidth="1"/>
    <col min="40" max="44" width="9.140625" style="2"/>
    <col min="45" max="45" width="3.7109375" style="2" hidden="1" customWidth="1"/>
    <col min="46" max="46" width="13.42578125" style="2" hidden="1" customWidth="1"/>
    <col min="47" max="122" width="9.140625" style="2"/>
    <col min="123" max="135" width="9.140625" style="2" hidden="1" customWidth="1"/>
    <col min="136" max="16384" width="9.140625" style="2"/>
  </cols>
  <sheetData>
    <row r="1" spans="1:135" x14ac:dyDescent="0.2">
      <c r="A1" s="1" t="s">
        <v>611</v>
      </c>
      <c r="B1" s="1"/>
      <c r="AS1" s="141"/>
      <c r="AT1" s="303" t="s">
        <v>351</v>
      </c>
    </row>
    <row r="2" spans="1:135" x14ac:dyDescent="0.2">
      <c r="A2" s="24" t="str">
        <f>IF('Table 1'!D2=0,"",'Table 1'!D2)</f>
        <v>Netherlands</v>
      </c>
      <c r="B2" s="28"/>
      <c r="AS2" s="141"/>
      <c r="AT2" s="338" t="s">
        <v>415</v>
      </c>
    </row>
    <row r="3" spans="1:135" x14ac:dyDescent="0.2">
      <c r="A3" s="24" t="str">
        <f>IF('Table 1'!D3=0,"",'Table 1'!D3 &amp; " " &amp; QuestYear)</f>
        <v>September 2026</v>
      </c>
      <c r="B3" s="24"/>
      <c r="AS3" s="141"/>
      <c r="AT3" s="303" t="s">
        <v>586</v>
      </c>
    </row>
    <row r="4" spans="1:135" x14ac:dyDescent="0.2">
      <c r="A4" s="5" t="s">
        <v>684</v>
      </c>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H4" s="25" t="s">
        <v>108</v>
      </c>
      <c r="AS4" s="141"/>
      <c r="AT4" s="425" t="s">
        <v>592</v>
      </c>
    </row>
    <row r="5" spans="1:135" ht="12.75" customHeight="1" x14ac:dyDescent="0.2">
      <c r="A5" s="242"/>
      <c r="B5" s="203"/>
      <c r="C5" s="1106" t="s">
        <v>656</v>
      </c>
      <c r="D5" s="1106" t="s">
        <v>657</v>
      </c>
      <c r="E5" s="1106" t="s">
        <v>647</v>
      </c>
      <c r="F5" s="1158" t="s">
        <v>666</v>
      </c>
      <c r="G5" s="281"/>
      <c r="H5" s="1150" t="s">
        <v>885</v>
      </c>
      <c r="I5" s="1110" t="s">
        <v>645</v>
      </c>
      <c r="J5" s="1122" t="s">
        <v>8</v>
      </c>
      <c r="K5" s="1124" t="s">
        <v>9</v>
      </c>
      <c r="L5" s="1126" t="s">
        <v>10</v>
      </c>
      <c r="M5" s="1114" t="s">
        <v>659</v>
      </c>
      <c r="N5" s="329"/>
      <c r="O5" s="190"/>
      <c r="P5" s="1122" t="s">
        <v>660</v>
      </c>
      <c r="Q5" s="1124" t="s">
        <v>661</v>
      </c>
      <c r="R5" s="1116" t="s">
        <v>668</v>
      </c>
      <c r="S5" s="191"/>
      <c r="T5" s="192"/>
      <c r="U5" s="1126" t="s">
        <v>664</v>
      </c>
      <c r="V5" s="193"/>
      <c r="W5" s="190"/>
      <c r="X5" s="1118" t="s">
        <v>670</v>
      </c>
      <c r="Y5" s="190"/>
      <c r="Z5" s="190"/>
      <c r="AA5" s="1114" t="s">
        <v>628</v>
      </c>
      <c r="AB5" s="190"/>
      <c r="AC5" s="190"/>
      <c r="AD5" s="190"/>
      <c r="AE5" s="1122" t="s">
        <v>629</v>
      </c>
      <c r="AF5" s="1150" t="s">
        <v>630</v>
      </c>
      <c r="AG5" s="1120" t="s">
        <v>631</v>
      </c>
      <c r="AH5" s="1120" t="s">
        <v>679</v>
      </c>
      <c r="AJ5" s="1139" t="s">
        <v>350</v>
      </c>
      <c r="AS5" s="141"/>
      <c r="AT5" s="141"/>
    </row>
    <row r="6" spans="1:135" ht="45" customHeight="1" x14ac:dyDescent="0.25">
      <c r="A6" s="201"/>
      <c r="B6" s="202"/>
      <c r="C6" s="1107"/>
      <c r="D6" s="1107"/>
      <c r="E6" s="1107"/>
      <c r="F6" s="1159"/>
      <c r="G6" s="99" t="s">
        <v>667</v>
      </c>
      <c r="H6" s="1138"/>
      <c r="I6" s="1111"/>
      <c r="J6" s="1123"/>
      <c r="K6" s="1125"/>
      <c r="L6" s="1127"/>
      <c r="M6" s="1115"/>
      <c r="N6" s="184" t="s">
        <v>623</v>
      </c>
      <c r="O6" s="185" t="s">
        <v>626</v>
      </c>
      <c r="P6" s="1123"/>
      <c r="Q6" s="1125"/>
      <c r="R6" s="1117"/>
      <c r="S6" s="186" t="s">
        <v>662</v>
      </c>
      <c r="T6" s="187" t="s">
        <v>663</v>
      </c>
      <c r="U6" s="1127"/>
      <c r="V6" s="188" t="s">
        <v>627</v>
      </c>
      <c r="W6" s="189" t="s">
        <v>669</v>
      </c>
      <c r="X6" s="1119"/>
      <c r="Y6" s="184" t="s">
        <v>624</v>
      </c>
      <c r="Z6" s="186" t="s">
        <v>671</v>
      </c>
      <c r="AA6" s="1115"/>
      <c r="AB6" s="187" t="s">
        <v>674</v>
      </c>
      <c r="AC6" s="186" t="s">
        <v>1411</v>
      </c>
      <c r="AD6" s="196" t="s">
        <v>872</v>
      </c>
      <c r="AE6" s="1123"/>
      <c r="AF6" s="1138"/>
      <c r="AG6" s="1121"/>
      <c r="AH6" s="1121"/>
      <c r="AI6" s="27"/>
      <c r="AJ6" s="1140"/>
      <c r="AS6" s="141"/>
      <c r="AT6" s="141"/>
      <c r="DS6" s="643" t="s">
        <v>1121</v>
      </c>
      <c r="DT6" s="666"/>
      <c r="DU6" s="645"/>
      <c r="DV6" s="645"/>
      <c r="DW6" s="645"/>
      <c r="DX6" s="645"/>
      <c r="DY6" s="645"/>
      <c r="DZ6" s="645"/>
      <c r="EA6" s="645"/>
      <c r="EB6" s="645"/>
      <c r="EC6" s="645"/>
      <c r="ED6" s="645"/>
    </row>
    <row r="7" spans="1:135" ht="12.75" customHeight="1" x14ac:dyDescent="0.2">
      <c r="A7" s="97"/>
      <c r="B7" s="98"/>
      <c r="C7" s="87" t="s">
        <v>152</v>
      </c>
      <c r="D7" s="86" t="s">
        <v>153</v>
      </c>
      <c r="E7" s="86" t="s">
        <v>154</v>
      </c>
      <c r="F7" s="180" t="s">
        <v>155</v>
      </c>
      <c r="G7" s="198" t="s">
        <v>156</v>
      </c>
      <c r="H7" s="198" t="s">
        <v>157</v>
      </c>
      <c r="I7" s="199" t="s">
        <v>158</v>
      </c>
      <c r="J7" s="87" t="s">
        <v>159</v>
      </c>
      <c r="K7" s="87" t="s">
        <v>160</v>
      </c>
      <c r="L7" s="96" t="s">
        <v>161</v>
      </c>
      <c r="M7" s="179" t="s">
        <v>162</v>
      </c>
      <c r="N7" s="198" t="s">
        <v>163</v>
      </c>
      <c r="O7" s="89" t="s">
        <v>164</v>
      </c>
      <c r="P7" s="95" t="s">
        <v>165</v>
      </c>
      <c r="Q7" s="177" t="s">
        <v>166</v>
      </c>
      <c r="R7" s="180" t="s">
        <v>167</v>
      </c>
      <c r="S7" s="198" t="s">
        <v>168</v>
      </c>
      <c r="T7" s="86" t="s">
        <v>169</v>
      </c>
      <c r="U7" s="94" t="s">
        <v>170</v>
      </c>
      <c r="V7" s="87" t="s">
        <v>171</v>
      </c>
      <c r="W7" s="101" t="s">
        <v>172</v>
      </c>
      <c r="X7" s="176" t="s">
        <v>173</v>
      </c>
      <c r="Y7" s="200" t="s">
        <v>174</v>
      </c>
      <c r="Z7" s="89" t="s">
        <v>175</v>
      </c>
      <c r="AA7" s="179" t="s">
        <v>176</v>
      </c>
      <c r="AB7" s="200" t="s">
        <v>177</v>
      </c>
      <c r="AC7" s="200" t="s">
        <v>181</v>
      </c>
      <c r="AD7" s="89" t="s">
        <v>417</v>
      </c>
      <c r="AE7" s="178" t="s">
        <v>672</v>
      </c>
      <c r="AF7" s="89" t="s">
        <v>678</v>
      </c>
      <c r="AG7" s="90" t="s">
        <v>499</v>
      </c>
      <c r="AH7" s="90" t="s">
        <v>680</v>
      </c>
      <c r="AI7" s="27"/>
      <c r="AJ7" s="90" t="s">
        <v>1413</v>
      </c>
      <c r="AS7" s="141"/>
      <c r="AT7" s="303" t="s">
        <v>553</v>
      </c>
      <c r="DS7" s="646" t="s">
        <v>1122</v>
      </c>
      <c r="DT7" s="646" t="s">
        <v>1113</v>
      </c>
      <c r="DU7" s="646" t="s">
        <v>1123</v>
      </c>
      <c r="DV7" s="646" t="s">
        <v>1124</v>
      </c>
      <c r="DW7" s="646" t="s">
        <v>1125</v>
      </c>
      <c r="DX7" s="646" t="s">
        <v>1126</v>
      </c>
      <c r="DY7" s="646" t="s">
        <v>415</v>
      </c>
      <c r="DZ7" s="646" t="s">
        <v>1127</v>
      </c>
      <c r="EA7" s="646" t="s">
        <v>1128</v>
      </c>
      <c r="EB7" s="646" t="s">
        <v>1129</v>
      </c>
      <c r="EC7" s="646" t="s">
        <v>1130</v>
      </c>
      <c r="ED7" s="646" t="s">
        <v>1131</v>
      </c>
      <c r="EE7" s="646" t="s">
        <v>1244</v>
      </c>
    </row>
    <row r="8" spans="1:135" x14ac:dyDescent="0.2">
      <c r="A8" s="225" t="s">
        <v>930</v>
      </c>
      <c r="B8" s="632">
        <v>1</v>
      </c>
      <c r="C8" s="770">
        <v>0</v>
      </c>
      <c r="D8" s="830">
        <v>0</v>
      </c>
      <c r="E8" s="830">
        <v>0</v>
      </c>
      <c r="F8" s="866">
        <v>0</v>
      </c>
      <c r="G8" s="830">
        <v>0</v>
      </c>
      <c r="H8" s="830">
        <v>0</v>
      </c>
      <c r="I8" s="828">
        <f t="shared" ref="I8:I64" si="0">ROUND(SUM(C8:F8,H8),3)</f>
        <v>0</v>
      </c>
      <c r="J8" s="832">
        <v>0</v>
      </c>
      <c r="K8" s="832">
        <v>0</v>
      </c>
      <c r="L8" s="830">
        <v>0</v>
      </c>
      <c r="M8" s="802">
        <v>0</v>
      </c>
      <c r="N8" s="832">
        <v>0</v>
      </c>
      <c r="O8" s="833">
        <v>0</v>
      </c>
      <c r="P8" s="832">
        <v>0</v>
      </c>
      <c r="Q8" s="832">
        <v>0</v>
      </c>
      <c r="R8" s="781">
        <v>0</v>
      </c>
      <c r="S8" s="830">
        <v>0</v>
      </c>
      <c r="T8" s="830">
        <v>0</v>
      </c>
      <c r="U8" s="834">
        <v>0</v>
      </c>
      <c r="V8" s="832">
        <v>0</v>
      </c>
      <c r="W8" s="831">
        <v>0</v>
      </c>
      <c r="X8" s="783">
        <v>0</v>
      </c>
      <c r="Y8" s="830">
        <v>0</v>
      </c>
      <c r="Z8" s="833">
        <v>0</v>
      </c>
      <c r="AA8" s="802">
        <v>0</v>
      </c>
      <c r="AB8" s="835">
        <v>0</v>
      </c>
      <c r="AC8" s="1094">
        <v>0</v>
      </c>
      <c r="AD8" s="833">
        <v>0</v>
      </c>
      <c r="AE8" s="836">
        <v>0</v>
      </c>
      <c r="AF8" s="836">
        <v>0</v>
      </c>
      <c r="AG8" s="827">
        <f t="shared" ref="AG8:AG64" si="1">ROUND(SUM(J8:M8,P8:R8,U8,X8,AA8,AE8:AF8),3)</f>
        <v>0</v>
      </c>
      <c r="AH8" s="827">
        <f t="shared" ref="AH8:AH64" si="2">ROUND(SUM(I8,AG8),3)</f>
        <v>0</v>
      </c>
      <c r="AI8" s="466">
        <f>IF(ROUND(I8-SUM(C8:F8,H8),3)=0,0,1)+IF(ROUND(AG8-SUM(J8:M8,P8:R8,U8,X8,AA8,AE8:AF8),3)=0,0,1)+IF(ROUND(AH8-SUM(AG8,I8),3)=0,0,1)</f>
        <v>0</v>
      </c>
      <c r="AJ8" s="467" t="str">
        <f>IF(AI8=0," ",IF(AI8=1,"A total is not equal to the sum of its components: ",AI8&amp;" totals are not equal to the sum of their components: "))&amp;IF(AI8=0,"",IF(I8-SUM(C8:F8,H8)=0,"","Total crude. ")&amp;IF(AG8-SUM(J8:M8,P8:R8,U8,X8,AA8,AE8:AF8)=0,"","Total products. ")&amp;IF(AH8-SUM(AG8,I8)=0,"","Total oil."))</f>
        <v xml:space="preserve"> </v>
      </c>
      <c r="AS8" s="130" t="s">
        <v>932</v>
      </c>
      <c r="AT8" s="130" t="s">
        <v>931</v>
      </c>
      <c r="DS8" s="647" t="str">
        <f>VLOOKUP(CountryUser, Param!$C$9:$E$67, 3, 0)</f>
        <v>NL</v>
      </c>
      <c r="DT8" s="647" t="s">
        <v>1132</v>
      </c>
      <c r="DU8" s="667" t="s">
        <v>415</v>
      </c>
      <c r="DV8" s="667" t="s">
        <v>1188</v>
      </c>
      <c r="DW8" s="667" t="s">
        <v>1134</v>
      </c>
      <c r="DX8" s="667" t="s">
        <v>1134</v>
      </c>
      <c r="DY8" s="669" t="s">
        <v>1197</v>
      </c>
      <c r="DZ8" s="667" t="s">
        <v>1134</v>
      </c>
      <c r="EA8" s="670" t="s">
        <v>932</v>
      </c>
      <c r="EB8" s="667" t="s">
        <v>1135</v>
      </c>
      <c r="EC8" s="667" t="s">
        <v>1134</v>
      </c>
      <c r="ED8" s="667" t="s">
        <v>1136</v>
      </c>
      <c r="EE8" s="667" t="str">
        <f>QuestYear&amp;"-"&amp;TEXT(MATCH(FirstMonth, Param!C71:C82,0), "00")</f>
        <v>2026-09</v>
      </c>
    </row>
    <row r="9" spans="1:135" x14ac:dyDescent="0.2">
      <c r="A9" s="225" t="s">
        <v>554</v>
      </c>
      <c r="B9" s="632">
        <v>2</v>
      </c>
      <c r="C9" s="770">
        <v>0</v>
      </c>
      <c r="D9" s="830">
        <v>0</v>
      </c>
      <c r="E9" s="830">
        <v>0</v>
      </c>
      <c r="F9" s="866">
        <v>0</v>
      </c>
      <c r="G9" s="830">
        <v>0</v>
      </c>
      <c r="H9" s="830">
        <v>0</v>
      </c>
      <c r="I9" s="828">
        <f t="shared" si="0"/>
        <v>0</v>
      </c>
      <c r="J9" s="832">
        <v>0</v>
      </c>
      <c r="K9" s="832">
        <v>0</v>
      </c>
      <c r="L9" s="830">
        <v>0</v>
      </c>
      <c r="M9" s="802">
        <v>0</v>
      </c>
      <c r="N9" s="832">
        <v>0</v>
      </c>
      <c r="O9" s="833">
        <v>0</v>
      </c>
      <c r="P9" s="832">
        <v>0</v>
      </c>
      <c r="Q9" s="832">
        <v>0</v>
      </c>
      <c r="R9" s="781">
        <v>0</v>
      </c>
      <c r="S9" s="830">
        <v>0</v>
      </c>
      <c r="T9" s="830">
        <v>0</v>
      </c>
      <c r="U9" s="834">
        <v>0</v>
      </c>
      <c r="V9" s="832">
        <v>0</v>
      </c>
      <c r="W9" s="831">
        <v>0</v>
      </c>
      <c r="X9" s="783">
        <v>0</v>
      </c>
      <c r="Y9" s="830">
        <v>0</v>
      </c>
      <c r="Z9" s="833">
        <v>0</v>
      </c>
      <c r="AA9" s="802">
        <v>0</v>
      </c>
      <c r="AB9" s="835">
        <v>0</v>
      </c>
      <c r="AC9" s="1094">
        <v>0</v>
      </c>
      <c r="AD9" s="833">
        <v>0</v>
      </c>
      <c r="AE9" s="836">
        <v>0</v>
      </c>
      <c r="AF9" s="836">
        <v>0</v>
      </c>
      <c r="AG9" s="827">
        <f t="shared" si="1"/>
        <v>0</v>
      </c>
      <c r="AH9" s="827">
        <f t="shared" si="2"/>
        <v>0</v>
      </c>
      <c r="AI9" s="466">
        <f t="shared" ref="AI9:AI63" si="3">IF(ROUND(I9-SUM(C9:F9,H9),3)=0,0,1)+IF(ROUND(AG9-SUM(J9:M9,P9:R9,U9,X9,AA9,AE9:AF9),3)=0,0,1)+IF(ROUND(AH9-SUM(AG9,I9),3)=0,0,1)</f>
        <v>0</v>
      </c>
      <c r="AJ9" s="467" t="str">
        <f t="shared" ref="AJ9:AJ63" si="4">IF(AI9=0," ",IF(AI9=1,"A total is not equal to the sum of its components: ",AI9&amp;" totals are not equal to the sum of their components: "))&amp;IF(AI9=0,"",IF(I9-SUM(C9:F9,H9)=0,"","Total crude. ")&amp;IF(AG9-SUM(J9:M9,P9:R9,U9,X9,AA9,AE9:AF9)=0,"","Total products. ")&amp;IF(AH9-SUM(AG9,I9)=0,"","Total oil."))</f>
        <v xml:space="preserve"> </v>
      </c>
      <c r="AS9" s="130" t="s">
        <v>501</v>
      </c>
      <c r="AT9" s="130" t="s">
        <v>502</v>
      </c>
      <c r="DS9" s="647"/>
      <c r="DT9" s="647"/>
      <c r="DU9" s="667" t="s">
        <v>415</v>
      </c>
      <c r="DV9" s="667" t="s">
        <v>1188</v>
      </c>
      <c r="DW9" s="667" t="s">
        <v>1134</v>
      </c>
      <c r="DX9" s="667" t="s">
        <v>1134</v>
      </c>
      <c r="DY9" s="669" t="s">
        <v>1197</v>
      </c>
      <c r="DZ9" s="667" t="s">
        <v>1134</v>
      </c>
      <c r="EA9" s="670" t="s">
        <v>501</v>
      </c>
      <c r="EB9" s="667" t="s">
        <v>1135</v>
      </c>
      <c r="EC9" s="667" t="s">
        <v>1134</v>
      </c>
      <c r="ED9" s="667" t="s">
        <v>1136</v>
      </c>
      <c r="EE9" s="1077"/>
    </row>
    <row r="10" spans="1:135" x14ac:dyDescent="0.2">
      <c r="A10" s="225" t="s">
        <v>115</v>
      </c>
      <c r="B10" s="632">
        <v>3</v>
      </c>
      <c r="C10" s="770">
        <v>0</v>
      </c>
      <c r="D10" s="830">
        <v>0</v>
      </c>
      <c r="E10" s="830">
        <v>0</v>
      </c>
      <c r="F10" s="866">
        <v>0</v>
      </c>
      <c r="G10" s="830">
        <v>0</v>
      </c>
      <c r="H10" s="830">
        <v>0</v>
      </c>
      <c r="I10" s="828">
        <f t="shared" si="0"/>
        <v>0</v>
      </c>
      <c r="J10" s="832">
        <v>0</v>
      </c>
      <c r="K10" s="832">
        <v>0</v>
      </c>
      <c r="L10" s="830">
        <v>0</v>
      </c>
      <c r="M10" s="802">
        <v>0</v>
      </c>
      <c r="N10" s="832">
        <v>0</v>
      </c>
      <c r="O10" s="833">
        <v>0</v>
      </c>
      <c r="P10" s="832">
        <v>0</v>
      </c>
      <c r="Q10" s="832">
        <v>0</v>
      </c>
      <c r="R10" s="781">
        <v>0</v>
      </c>
      <c r="S10" s="830">
        <v>0</v>
      </c>
      <c r="T10" s="830">
        <v>0</v>
      </c>
      <c r="U10" s="834">
        <v>0</v>
      </c>
      <c r="V10" s="832">
        <v>0</v>
      </c>
      <c r="W10" s="831">
        <v>0</v>
      </c>
      <c r="X10" s="783">
        <v>0</v>
      </c>
      <c r="Y10" s="830">
        <v>0</v>
      </c>
      <c r="Z10" s="833">
        <v>0</v>
      </c>
      <c r="AA10" s="802">
        <v>0</v>
      </c>
      <c r="AB10" s="835">
        <v>0</v>
      </c>
      <c r="AC10" s="1094">
        <v>0</v>
      </c>
      <c r="AD10" s="833">
        <v>0</v>
      </c>
      <c r="AE10" s="836">
        <v>0</v>
      </c>
      <c r="AF10" s="836">
        <v>0</v>
      </c>
      <c r="AG10" s="827">
        <f t="shared" si="1"/>
        <v>0</v>
      </c>
      <c r="AH10" s="827">
        <f t="shared" si="2"/>
        <v>0</v>
      </c>
      <c r="AI10" s="466">
        <f t="shared" si="3"/>
        <v>0</v>
      </c>
      <c r="AJ10" s="467" t="str">
        <f t="shared" si="4"/>
        <v xml:space="preserve"> </v>
      </c>
      <c r="AS10" s="139" t="s">
        <v>232</v>
      </c>
      <c r="AT10" s="139" t="s">
        <v>231</v>
      </c>
      <c r="DS10" s="668"/>
      <c r="DT10" s="668"/>
      <c r="DU10" s="667" t="s">
        <v>415</v>
      </c>
      <c r="DV10" s="667" t="s">
        <v>1188</v>
      </c>
      <c r="DW10" s="667" t="s">
        <v>1134</v>
      </c>
      <c r="DX10" s="667" t="s">
        <v>1134</v>
      </c>
      <c r="DY10" s="669" t="s">
        <v>1197</v>
      </c>
      <c r="DZ10" s="667" t="s">
        <v>1134</v>
      </c>
      <c r="EA10" s="670" t="s">
        <v>232</v>
      </c>
      <c r="EB10" s="667" t="s">
        <v>1135</v>
      </c>
      <c r="EC10" s="667" t="s">
        <v>1134</v>
      </c>
      <c r="ED10" s="667" t="s">
        <v>1136</v>
      </c>
    </row>
    <row r="11" spans="1:135" x14ac:dyDescent="0.2">
      <c r="A11" s="225" t="s">
        <v>15</v>
      </c>
      <c r="B11" s="632">
        <v>4</v>
      </c>
      <c r="C11" s="770">
        <v>0</v>
      </c>
      <c r="D11" s="830">
        <v>0</v>
      </c>
      <c r="E11" s="830">
        <v>0</v>
      </c>
      <c r="F11" s="866">
        <v>0</v>
      </c>
      <c r="G11" s="830">
        <v>0</v>
      </c>
      <c r="H11" s="830">
        <v>0</v>
      </c>
      <c r="I11" s="828">
        <f t="shared" si="0"/>
        <v>0</v>
      </c>
      <c r="J11" s="832">
        <v>0</v>
      </c>
      <c r="K11" s="832">
        <v>0</v>
      </c>
      <c r="L11" s="830">
        <v>0</v>
      </c>
      <c r="M11" s="802">
        <v>0</v>
      </c>
      <c r="N11" s="832">
        <v>0</v>
      </c>
      <c r="O11" s="833">
        <v>0</v>
      </c>
      <c r="P11" s="832">
        <v>0</v>
      </c>
      <c r="Q11" s="832">
        <v>0</v>
      </c>
      <c r="R11" s="781">
        <v>0</v>
      </c>
      <c r="S11" s="830">
        <v>0</v>
      </c>
      <c r="T11" s="830">
        <v>0</v>
      </c>
      <c r="U11" s="834">
        <v>0</v>
      </c>
      <c r="V11" s="832">
        <v>0</v>
      </c>
      <c r="W11" s="831">
        <v>0</v>
      </c>
      <c r="X11" s="783">
        <v>0</v>
      </c>
      <c r="Y11" s="830">
        <v>0</v>
      </c>
      <c r="Z11" s="833">
        <v>0</v>
      </c>
      <c r="AA11" s="802">
        <v>0</v>
      </c>
      <c r="AB11" s="835">
        <v>0</v>
      </c>
      <c r="AC11" s="1094">
        <v>0</v>
      </c>
      <c r="AD11" s="833">
        <v>0</v>
      </c>
      <c r="AE11" s="836">
        <v>0</v>
      </c>
      <c r="AF11" s="836">
        <v>0</v>
      </c>
      <c r="AG11" s="827">
        <f t="shared" si="1"/>
        <v>0</v>
      </c>
      <c r="AH11" s="827">
        <f t="shared" si="2"/>
        <v>0</v>
      </c>
      <c r="AI11" s="466">
        <f t="shared" si="3"/>
        <v>0</v>
      </c>
      <c r="AJ11" s="467" t="str">
        <f t="shared" si="4"/>
        <v xml:space="preserve"> </v>
      </c>
      <c r="AS11" s="139" t="s">
        <v>234</v>
      </c>
      <c r="AT11" s="139" t="s">
        <v>233</v>
      </c>
      <c r="DS11" s="648"/>
      <c r="DT11" s="648"/>
      <c r="DU11" s="667" t="s">
        <v>415</v>
      </c>
      <c r="DV11" s="667" t="s">
        <v>1188</v>
      </c>
      <c r="DW11" s="667" t="s">
        <v>1134</v>
      </c>
      <c r="DX11" s="667" t="s">
        <v>1134</v>
      </c>
      <c r="DY11" s="669" t="s">
        <v>1197</v>
      </c>
      <c r="DZ11" s="667" t="s">
        <v>1134</v>
      </c>
      <c r="EA11" s="670" t="s">
        <v>234</v>
      </c>
      <c r="EB11" s="667" t="s">
        <v>1135</v>
      </c>
      <c r="EC11" s="667" t="s">
        <v>1134</v>
      </c>
      <c r="ED11" s="667" t="s">
        <v>1136</v>
      </c>
    </row>
    <row r="12" spans="1:135" x14ac:dyDescent="0.2">
      <c r="A12" s="225" t="s">
        <v>556</v>
      </c>
      <c r="B12" s="632">
        <v>5</v>
      </c>
      <c r="C12" s="770">
        <v>0</v>
      </c>
      <c r="D12" s="830">
        <v>0</v>
      </c>
      <c r="E12" s="830">
        <v>0</v>
      </c>
      <c r="F12" s="866">
        <v>0</v>
      </c>
      <c r="G12" s="830">
        <v>0</v>
      </c>
      <c r="H12" s="830">
        <v>0</v>
      </c>
      <c r="I12" s="828">
        <f t="shared" si="0"/>
        <v>0</v>
      </c>
      <c r="J12" s="832">
        <v>0</v>
      </c>
      <c r="K12" s="832">
        <v>0</v>
      </c>
      <c r="L12" s="830">
        <v>0</v>
      </c>
      <c r="M12" s="802">
        <v>0</v>
      </c>
      <c r="N12" s="832">
        <v>0</v>
      </c>
      <c r="O12" s="833">
        <v>0</v>
      </c>
      <c r="P12" s="832">
        <v>0</v>
      </c>
      <c r="Q12" s="832">
        <v>0</v>
      </c>
      <c r="R12" s="781">
        <v>0</v>
      </c>
      <c r="S12" s="830">
        <v>0</v>
      </c>
      <c r="T12" s="830">
        <v>0</v>
      </c>
      <c r="U12" s="834">
        <v>0</v>
      </c>
      <c r="V12" s="832">
        <v>0</v>
      </c>
      <c r="W12" s="831">
        <v>0</v>
      </c>
      <c r="X12" s="783">
        <v>0</v>
      </c>
      <c r="Y12" s="830">
        <v>0</v>
      </c>
      <c r="Z12" s="833">
        <v>0</v>
      </c>
      <c r="AA12" s="802">
        <v>0</v>
      </c>
      <c r="AB12" s="835">
        <v>0</v>
      </c>
      <c r="AC12" s="1094">
        <v>0</v>
      </c>
      <c r="AD12" s="833">
        <v>0</v>
      </c>
      <c r="AE12" s="836">
        <v>0</v>
      </c>
      <c r="AF12" s="836">
        <v>0</v>
      </c>
      <c r="AG12" s="827">
        <f t="shared" si="1"/>
        <v>0</v>
      </c>
      <c r="AH12" s="827">
        <f t="shared" si="2"/>
        <v>0</v>
      </c>
      <c r="AI12" s="466">
        <f t="shared" si="3"/>
        <v>0</v>
      </c>
      <c r="AJ12" s="467" t="str">
        <f t="shared" si="4"/>
        <v xml:space="preserve"> </v>
      </c>
      <c r="AS12" s="130" t="s">
        <v>505</v>
      </c>
      <c r="AT12" s="130" t="s">
        <v>506</v>
      </c>
      <c r="DS12" s="648"/>
      <c r="DT12" s="648"/>
      <c r="DU12" s="667" t="s">
        <v>415</v>
      </c>
      <c r="DV12" s="667" t="s">
        <v>1188</v>
      </c>
      <c r="DW12" s="667" t="s">
        <v>1134</v>
      </c>
      <c r="DX12" s="667" t="s">
        <v>1134</v>
      </c>
      <c r="DY12" s="669" t="s">
        <v>1197</v>
      </c>
      <c r="DZ12" s="667" t="s">
        <v>1134</v>
      </c>
      <c r="EA12" s="670" t="s">
        <v>505</v>
      </c>
      <c r="EB12" s="667" t="s">
        <v>1135</v>
      </c>
      <c r="EC12" s="667" t="s">
        <v>1134</v>
      </c>
      <c r="ED12" s="667" t="s">
        <v>1136</v>
      </c>
    </row>
    <row r="13" spans="1:135" x14ac:dyDescent="0.2">
      <c r="A13" s="225" t="s">
        <v>116</v>
      </c>
      <c r="B13" s="632">
        <v>6</v>
      </c>
      <c r="C13" s="770">
        <v>30</v>
      </c>
      <c r="D13" s="830">
        <v>0</v>
      </c>
      <c r="E13" s="830">
        <v>0</v>
      </c>
      <c r="F13" s="866">
        <v>0</v>
      </c>
      <c r="G13" s="830">
        <v>0</v>
      </c>
      <c r="H13" s="830">
        <v>0</v>
      </c>
      <c r="I13" s="828">
        <f t="shared" si="0"/>
        <v>30</v>
      </c>
      <c r="J13" s="832">
        <v>0</v>
      </c>
      <c r="K13" s="832">
        <v>0</v>
      </c>
      <c r="L13" s="830">
        <v>0</v>
      </c>
      <c r="M13" s="802">
        <v>26</v>
      </c>
      <c r="N13" s="832">
        <v>0</v>
      </c>
      <c r="O13" s="833">
        <v>26</v>
      </c>
      <c r="P13" s="832">
        <v>0</v>
      </c>
      <c r="Q13" s="832">
        <v>0</v>
      </c>
      <c r="R13" s="781">
        <v>77</v>
      </c>
      <c r="S13" s="830">
        <v>0</v>
      </c>
      <c r="T13" s="830">
        <v>77</v>
      </c>
      <c r="U13" s="834">
        <v>0</v>
      </c>
      <c r="V13" s="832">
        <v>35</v>
      </c>
      <c r="W13" s="831">
        <v>0</v>
      </c>
      <c r="X13" s="783">
        <v>35</v>
      </c>
      <c r="Y13" s="830">
        <v>0</v>
      </c>
      <c r="Z13" s="833">
        <v>35</v>
      </c>
      <c r="AA13" s="802">
        <v>2</v>
      </c>
      <c r="AB13" s="835">
        <v>2</v>
      </c>
      <c r="AC13" s="1094">
        <v>0</v>
      </c>
      <c r="AD13" s="833">
        <v>0</v>
      </c>
      <c r="AE13" s="836">
        <v>0</v>
      </c>
      <c r="AF13" s="836">
        <v>0</v>
      </c>
      <c r="AG13" s="827">
        <f t="shared" si="1"/>
        <v>140</v>
      </c>
      <c r="AH13" s="827">
        <f t="shared" si="2"/>
        <v>170</v>
      </c>
      <c r="AI13" s="466">
        <f t="shared" si="3"/>
        <v>0</v>
      </c>
      <c r="AJ13" s="467" t="str">
        <f t="shared" si="4"/>
        <v xml:space="preserve"> </v>
      </c>
      <c r="AS13" s="139" t="s">
        <v>236</v>
      </c>
      <c r="AT13" s="139" t="s">
        <v>235</v>
      </c>
      <c r="DS13" s="648"/>
      <c r="DT13" s="648"/>
      <c r="DU13" s="667" t="s">
        <v>415</v>
      </c>
      <c r="DV13" s="667" t="s">
        <v>1188</v>
      </c>
      <c r="DW13" s="667" t="s">
        <v>1134</v>
      </c>
      <c r="DX13" s="667" t="s">
        <v>1134</v>
      </c>
      <c r="DY13" s="669" t="s">
        <v>1197</v>
      </c>
      <c r="DZ13" s="667" t="s">
        <v>1134</v>
      </c>
      <c r="EA13" s="670" t="s">
        <v>236</v>
      </c>
      <c r="EB13" s="667" t="s">
        <v>1135</v>
      </c>
      <c r="EC13" s="667" t="s">
        <v>1134</v>
      </c>
      <c r="ED13" s="667" t="s">
        <v>1136</v>
      </c>
    </row>
    <row r="14" spans="1:135" x14ac:dyDescent="0.2">
      <c r="A14" s="225" t="s">
        <v>595</v>
      </c>
      <c r="B14" s="632">
        <v>7</v>
      </c>
      <c r="C14" s="770">
        <v>0</v>
      </c>
      <c r="D14" s="830">
        <v>0</v>
      </c>
      <c r="E14" s="830">
        <v>0</v>
      </c>
      <c r="F14" s="866">
        <v>0</v>
      </c>
      <c r="G14" s="830">
        <v>0</v>
      </c>
      <c r="H14" s="830">
        <v>0</v>
      </c>
      <c r="I14" s="828">
        <f t="shared" si="0"/>
        <v>0</v>
      </c>
      <c r="J14" s="832">
        <v>0</v>
      </c>
      <c r="K14" s="832">
        <v>0</v>
      </c>
      <c r="L14" s="830">
        <v>0</v>
      </c>
      <c r="M14" s="802">
        <v>0</v>
      </c>
      <c r="N14" s="832">
        <v>0</v>
      </c>
      <c r="O14" s="833">
        <v>0</v>
      </c>
      <c r="P14" s="832">
        <v>0</v>
      </c>
      <c r="Q14" s="832">
        <v>0</v>
      </c>
      <c r="R14" s="781">
        <v>0</v>
      </c>
      <c r="S14" s="830">
        <v>0</v>
      </c>
      <c r="T14" s="830">
        <v>0</v>
      </c>
      <c r="U14" s="834">
        <v>0</v>
      </c>
      <c r="V14" s="832">
        <v>0</v>
      </c>
      <c r="W14" s="831">
        <v>0</v>
      </c>
      <c r="X14" s="783">
        <v>0</v>
      </c>
      <c r="Y14" s="830">
        <v>0</v>
      </c>
      <c r="Z14" s="833">
        <v>0</v>
      </c>
      <c r="AA14" s="802">
        <v>0</v>
      </c>
      <c r="AB14" s="835">
        <v>0</v>
      </c>
      <c r="AC14" s="1094">
        <v>0</v>
      </c>
      <c r="AD14" s="833">
        <v>0</v>
      </c>
      <c r="AE14" s="836">
        <v>0</v>
      </c>
      <c r="AF14" s="836">
        <v>0</v>
      </c>
      <c r="AG14" s="827">
        <f t="shared" si="1"/>
        <v>0</v>
      </c>
      <c r="AH14" s="827">
        <f t="shared" si="2"/>
        <v>0</v>
      </c>
      <c r="AI14" s="466">
        <f t="shared" si="3"/>
        <v>0</v>
      </c>
      <c r="AJ14" s="467" t="str">
        <f t="shared" si="4"/>
        <v xml:space="preserve"> </v>
      </c>
      <c r="AS14" s="139" t="s">
        <v>537</v>
      </c>
      <c r="AT14" s="139" t="s">
        <v>538</v>
      </c>
      <c r="DS14" s="648"/>
      <c r="DT14" s="648"/>
      <c r="DU14" s="667" t="s">
        <v>415</v>
      </c>
      <c r="DV14" s="667" t="s">
        <v>1188</v>
      </c>
      <c r="DW14" s="667" t="s">
        <v>1134</v>
      </c>
      <c r="DX14" s="667" t="s">
        <v>1134</v>
      </c>
      <c r="DY14" s="669" t="s">
        <v>1197</v>
      </c>
      <c r="DZ14" s="667" t="s">
        <v>1134</v>
      </c>
      <c r="EA14" s="670" t="s">
        <v>537</v>
      </c>
      <c r="EB14" s="667" t="s">
        <v>1135</v>
      </c>
      <c r="EC14" s="667" t="s">
        <v>1134</v>
      </c>
      <c r="ED14" s="667" t="s">
        <v>1136</v>
      </c>
    </row>
    <row r="15" spans="1:135" x14ac:dyDescent="0.2">
      <c r="A15" s="225" t="s">
        <v>20</v>
      </c>
      <c r="B15" s="632">
        <v>8</v>
      </c>
      <c r="C15" s="770">
        <v>0</v>
      </c>
      <c r="D15" s="830">
        <v>0</v>
      </c>
      <c r="E15" s="830">
        <v>0</v>
      </c>
      <c r="F15" s="866">
        <v>0</v>
      </c>
      <c r="G15" s="830">
        <v>0</v>
      </c>
      <c r="H15" s="830">
        <v>0</v>
      </c>
      <c r="I15" s="828">
        <f t="shared" si="0"/>
        <v>0</v>
      </c>
      <c r="J15" s="832">
        <v>0</v>
      </c>
      <c r="K15" s="832">
        <v>0</v>
      </c>
      <c r="L15" s="830">
        <v>0</v>
      </c>
      <c r="M15" s="802">
        <v>0</v>
      </c>
      <c r="N15" s="832">
        <v>0</v>
      </c>
      <c r="O15" s="833">
        <v>0</v>
      </c>
      <c r="P15" s="832">
        <v>0</v>
      </c>
      <c r="Q15" s="832">
        <v>0</v>
      </c>
      <c r="R15" s="781">
        <v>0</v>
      </c>
      <c r="S15" s="830">
        <v>0</v>
      </c>
      <c r="T15" s="830">
        <v>0</v>
      </c>
      <c r="U15" s="834">
        <v>0</v>
      </c>
      <c r="V15" s="832">
        <v>0</v>
      </c>
      <c r="W15" s="831">
        <v>0</v>
      </c>
      <c r="X15" s="783">
        <v>0</v>
      </c>
      <c r="Y15" s="830">
        <v>0</v>
      </c>
      <c r="Z15" s="833">
        <v>0</v>
      </c>
      <c r="AA15" s="802">
        <v>0</v>
      </c>
      <c r="AB15" s="835">
        <v>0</v>
      </c>
      <c r="AC15" s="1094">
        <v>0</v>
      </c>
      <c r="AD15" s="833">
        <v>0</v>
      </c>
      <c r="AE15" s="836">
        <v>0</v>
      </c>
      <c r="AF15" s="836">
        <v>0</v>
      </c>
      <c r="AG15" s="827">
        <f t="shared" si="1"/>
        <v>0</v>
      </c>
      <c r="AH15" s="827">
        <f t="shared" si="2"/>
        <v>0</v>
      </c>
      <c r="AI15" s="466">
        <f t="shared" si="3"/>
        <v>0</v>
      </c>
      <c r="AJ15" s="467" t="str">
        <f t="shared" si="4"/>
        <v xml:space="preserve"> </v>
      </c>
      <c r="AS15" s="139" t="s">
        <v>433</v>
      </c>
      <c r="AT15" s="139" t="s">
        <v>434</v>
      </c>
      <c r="DS15" s="648"/>
      <c r="DT15" s="648"/>
      <c r="DU15" s="667" t="s">
        <v>415</v>
      </c>
      <c r="DV15" s="667" t="s">
        <v>1188</v>
      </c>
      <c r="DW15" s="667" t="s">
        <v>1134</v>
      </c>
      <c r="DX15" s="667" t="s">
        <v>1134</v>
      </c>
      <c r="DY15" s="669" t="s">
        <v>1197</v>
      </c>
      <c r="DZ15" s="667" t="s">
        <v>1134</v>
      </c>
      <c r="EA15" s="670" t="s">
        <v>433</v>
      </c>
      <c r="EB15" s="667" t="s">
        <v>1135</v>
      </c>
      <c r="EC15" s="667" t="s">
        <v>1134</v>
      </c>
      <c r="ED15" s="667" t="s">
        <v>1136</v>
      </c>
    </row>
    <row r="16" spans="1:135" x14ac:dyDescent="0.2">
      <c r="A16" s="225" t="s">
        <v>117</v>
      </c>
      <c r="B16" s="632">
        <v>9</v>
      </c>
      <c r="C16" s="770">
        <v>0</v>
      </c>
      <c r="D16" s="830">
        <v>0</v>
      </c>
      <c r="E16" s="830">
        <v>0</v>
      </c>
      <c r="F16" s="866">
        <v>0</v>
      </c>
      <c r="G16" s="830">
        <v>0</v>
      </c>
      <c r="H16" s="830">
        <v>0</v>
      </c>
      <c r="I16" s="828">
        <f t="shared" si="0"/>
        <v>0</v>
      </c>
      <c r="J16" s="832">
        <v>0</v>
      </c>
      <c r="K16" s="832">
        <v>0</v>
      </c>
      <c r="L16" s="830">
        <v>0</v>
      </c>
      <c r="M16" s="802">
        <v>0</v>
      </c>
      <c r="N16" s="832">
        <v>0</v>
      </c>
      <c r="O16" s="833">
        <v>0</v>
      </c>
      <c r="P16" s="832">
        <v>0</v>
      </c>
      <c r="Q16" s="832">
        <v>0</v>
      </c>
      <c r="R16" s="781">
        <v>0</v>
      </c>
      <c r="S16" s="830">
        <v>0</v>
      </c>
      <c r="T16" s="830">
        <v>0</v>
      </c>
      <c r="U16" s="834">
        <v>0</v>
      </c>
      <c r="V16" s="832">
        <v>0</v>
      </c>
      <c r="W16" s="831">
        <v>0</v>
      </c>
      <c r="X16" s="783">
        <v>0</v>
      </c>
      <c r="Y16" s="830">
        <v>0</v>
      </c>
      <c r="Z16" s="833">
        <v>0</v>
      </c>
      <c r="AA16" s="802">
        <v>0</v>
      </c>
      <c r="AB16" s="835">
        <v>0</v>
      </c>
      <c r="AC16" s="1094">
        <v>0</v>
      </c>
      <c r="AD16" s="833">
        <v>0</v>
      </c>
      <c r="AE16" s="836">
        <v>0</v>
      </c>
      <c r="AF16" s="836">
        <v>0</v>
      </c>
      <c r="AG16" s="827">
        <f t="shared" si="1"/>
        <v>0</v>
      </c>
      <c r="AH16" s="827">
        <f t="shared" si="2"/>
        <v>0</v>
      </c>
      <c r="AI16" s="466">
        <f t="shared" si="3"/>
        <v>0</v>
      </c>
      <c r="AJ16" s="467" t="str">
        <f t="shared" si="4"/>
        <v xml:space="preserve"> </v>
      </c>
      <c r="AS16" s="139" t="s">
        <v>238</v>
      </c>
      <c r="AT16" s="139" t="s">
        <v>237</v>
      </c>
      <c r="DS16" s="648"/>
      <c r="DT16" s="648"/>
      <c r="DU16" s="667" t="s">
        <v>415</v>
      </c>
      <c r="DV16" s="667" t="s">
        <v>1188</v>
      </c>
      <c r="DW16" s="667" t="s">
        <v>1134</v>
      </c>
      <c r="DX16" s="667" t="s">
        <v>1134</v>
      </c>
      <c r="DY16" s="669" t="s">
        <v>1197</v>
      </c>
      <c r="DZ16" s="667" t="s">
        <v>1134</v>
      </c>
      <c r="EA16" s="670" t="s">
        <v>238</v>
      </c>
      <c r="EB16" s="667" t="s">
        <v>1135</v>
      </c>
      <c r="EC16" s="667" t="s">
        <v>1134</v>
      </c>
      <c r="ED16" s="667" t="s">
        <v>1136</v>
      </c>
    </row>
    <row r="17" spans="1:134" x14ac:dyDescent="0.2">
      <c r="A17" s="225" t="s">
        <v>613</v>
      </c>
      <c r="B17" s="632">
        <v>10</v>
      </c>
      <c r="C17" s="770">
        <v>0</v>
      </c>
      <c r="D17" s="830">
        <v>0</v>
      </c>
      <c r="E17" s="830">
        <v>0</v>
      </c>
      <c r="F17" s="866">
        <v>0</v>
      </c>
      <c r="G17" s="830">
        <v>0</v>
      </c>
      <c r="H17" s="830">
        <v>0</v>
      </c>
      <c r="I17" s="828">
        <f t="shared" si="0"/>
        <v>0</v>
      </c>
      <c r="J17" s="832">
        <v>0</v>
      </c>
      <c r="K17" s="832">
        <v>0</v>
      </c>
      <c r="L17" s="830">
        <v>0</v>
      </c>
      <c r="M17" s="802">
        <v>0</v>
      </c>
      <c r="N17" s="832">
        <v>0</v>
      </c>
      <c r="O17" s="833">
        <v>0</v>
      </c>
      <c r="P17" s="832">
        <v>0</v>
      </c>
      <c r="Q17" s="832">
        <v>0</v>
      </c>
      <c r="R17" s="781">
        <v>0</v>
      </c>
      <c r="S17" s="830">
        <v>0</v>
      </c>
      <c r="T17" s="830">
        <v>0</v>
      </c>
      <c r="U17" s="834">
        <v>0</v>
      </c>
      <c r="V17" s="832">
        <v>0</v>
      </c>
      <c r="W17" s="831">
        <v>0</v>
      </c>
      <c r="X17" s="783">
        <v>0</v>
      </c>
      <c r="Y17" s="830">
        <v>0</v>
      </c>
      <c r="Z17" s="833">
        <v>0</v>
      </c>
      <c r="AA17" s="802">
        <v>0</v>
      </c>
      <c r="AB17" s="835">
        <v>0</v>
      </c>
      <c r="AC17" s="1094">
        <v>0</v>
      </c>
      <c r="AD17" s="833">
        <v>0</v>
      </c>
      <c r="AE17" s="836">
        <v>0</v>
      </c>
      <c r="AF17" s="836">
        <v>0</v>
      </c>
      <c r="AG17" s="827">
        <f t="shared" si="1"/>
        <v>0</v>
      </c>
      <c r="AH17" s="827">
        <f t="shared" si="2"/>
        <v>0</v>
      </c>
      <c r="AI17" s="466">
        <f t="shared" si="3"/>
        <v>0</v>
      </c>
      <c r="AJ17" s="467" t="str">
        <f t="shared" si="4"/>
        <v xml:space="preserve"> </v>
      </c>
      <c r="AS17" s="139" t="s">
        <v>617</v>
      </c>
      <c r="AT17" s="139" t="s">
        <v>618</v>
      </c>
      <c r="DS17" s="648"/>
      <c r="DT17" s="648"/>
      <c r="DU17" s="667" t="s">
        <v>415</v>
      </c>
      <c r="DV17" s="667" t="s">
        <v>1188</v>
      </c>
      <c r="DW17" s="667" t="s">
        <v>1134</v>
      </c>
      <c r="DX17" s="667" t="s">
        <v>1134</v>
      </c>
      <c r="DY17" s="669" t="s">
        <v>1197</v>
      </c>
      <c r="DZ17" s="667" t="s">
        <v>1134</v>
      </c>
      <c r="EA17" s="670" t="s">
        <v>617</v>
      </c>
      <c r="EB17" s="667" t="s">
        <v>1135</v>
      </c>
      <c r="EC17" s="667" t="s">
        <v>1134</v>
      </c>
      <c r="ED17" s="667" t="s">
        <v>1136</v>
      </c>
    </row>
    <row r="18" spans="1:134" x14ac:dyDescent="0.2">
      <c r="A18" s="225" t="s">
        <v>23</v>
      </c>
      <c r="B18" s="632">
        <v>11</v>
      </c>
      <c r="C18" s="770">
        <v>0</v>
      </c>
      <c r="D18" s="830">
        <v>0</v>
      </c>
      <c r="E18" s="830">
        <v>0</v>
      </c>
      <c r="F18" s="866">
        <v>0</v>
      </c>
      <c r="G18" s="830">
        <v>0</v>
      </c>
      <c r="H18" s="830">
        <v>0</v>
      </c>
      <c r="I18" s="828">
        <f t="shared" si="0"/>
        <v>0</v>
      </c>
      <c r="J18" s="832">
        <v>0</v>
      </c>
      <c r="K18" s="832">
        <v>0</v>
      </c>
      <c r="L18" s="830">
        <v>0</v>
      </c>
      <c r="M18" s="802">
        <v>0</v>
      </c>
      <c r="N18" s="832">
        <v>0</v>
      </c>
      <c r="O18" s="833">
        <v>0</v>
      </c>
      <c r="P18" s="832">
        <v>0</v>
      </c>
      <c r="Q18" s="832">
        <v>0</v>
      </c>
      <c r="R18" s="781">
        <v>0</v>
      </c>
      <c r="S18" s="830">
        <v>0</v>
      </c>
      <c r="T18" s="830">
        <v>0</v>
      </c>
      <c r="U18" s="834">
        <v>0</v>
      </c>
      <c r="V18" s="832">
        <v>0</v>
      </c>
      <c r="W18" s="831">
        <v>0</v>
      </c>
      <c r="X18" s="783">
        <v>0</v>
      </c>
      <c r="Y18" s="830">
        <v>0</v>
      </c>
      <c r="Z18" s="833">
        <v>0</v>
      </c>
      <c r="AA18" s="802">
        <v>0</v>
      </c>
      <c r="AB18" s="835">
        <v>0</v>
      </c>
      <c r="AC18" s="1094">
        <v>0</v>
      </c>
      <c r="AD18" s="833">
        <v>0</v>
      </c>
      <c r="AE18" s="836">
        <v>0</v>
      </c>
      <c r="AF18" s="836">
        <v>0</v>
      </c>
      <c r="AG18" s="827">
        <f t="shared" si="1"/>
        <v>0</v>
      </c>
      <c r="AH18" s="827">
        <f t="shared" si="2"/>
        <v>0</v>
      </c>
      <c r="AI18" s="466">
        <f t="shared" si="3"/>
        <v>0</v>
      </c>
      <c r="AJ18" s="467" t="str">
        <f t="shared" si="4"/>
        <v xml:space="preserve"> </v>
      </c>
      <c r="AS18" s="130" t="s">
        <v>439</v>
      </c>
      <c r="AT18" s="130" t="s">
        <v>440</v>
      </c>
      <c r="DS18" s="648"/>
      <c r="DT18" s="648"/>
      <c r="DU18" s="667" t="s">
        <v>415</v>
      </c>
      <c r="DV18" s="667" t="s">
        <v>1188</v>
      </c>
      <c r="DW18" s="667" t="s">
        <v>1134</v>
      </c>
      <c r="DX18" s="667" t="s">
        <v>1134</v>
      </c>
      <c r="DY18" s="669" t="s">
        <v>1197</v>
      </c>
      <c r="DZ18" s="667" t="s">
        <v>1134</v>
      </c>
      <c r="EA18" s="670" t="s">
        <v>439</v>
      </c>
      <c r="EB18" s="667" t="s">
        <v>1135</v>
      </c>
      <c r="EC18" s="667" t="s">
        <v>1134</v>
      </c>
      <c r="ED18" s="667" t="s">
        <v>1136</v>
      </c>
    </row>
    <row r="19" spans="1:134" x14ac:dyDescent="0.2">
      <c r="A19" s="225" t="s">
        <v>964</v>
      </c>
      <c r="B19" s="632">
        <v>12</v>
      </c>
      <c r="C19" s="770">
        <v>0</v>
      </c>
      <c r="D19" s="830">
        <v>0</v>
      </c>
      <c r="E19" s="830">
        <v>0</v>
      </c>
      <c r="F19" s="866">
        <v>0</v>
      </c>
      <c r="G19" s="830">
        <v>0</v>
      </c>
      <c r="H19" s="830">
        <v>0</v>
      </c>
      <c r="I19" s="828">
        <f t="shared" si="0"/>
        <v>0</v>
      </c>
      <c r="J19" s="832">
        <v>0</v>
      </c>
      <c r="K19" s="832">
        <v>0</v>
      </c>
      <c r="L19" s="830">
        <v>0</v>
      </c>
      <c r="M19" s="802">
        <v>0</v>
      </c>
      <c r="N19" s="832">
        <v>0</v>
      </c>
      <c r="O19" s="833">
        <v>0</v>
      </c>
      <c r="P19" s="832">
        <v>0</v>
      </c>
      <c r="Q19" s="832">
        <v>0</v>
      </c>
      <c r="R19" s="781">
        <v>0</v>
      </c>
      <c r="S19" s="830">
        <v>0</v>
      </c>
      <c r="T19" s="830">
        <v>0</v>
      </c>
      <c r="U19" s="834">
        <v>0</v>
      </c>
      <c r="V19" s="832">
        <v>0</v>
      </c>
      <c r="W19" s="831">
        <v>0</v>
      </c>
      <c r="X19" s="783">
        <v>0</v>
      </c>
      <c r="Y19" s="830">
        <v>0</v>
      </c>
      <c r="Z19" s="833">
        <v>0</v>
      </c>
      <c r="AA19" s="802">
        <v>0</v>
      </c>
      <c r="AB19" s="835">
        <v>0</v>
      </c>
      <c r="AC19" s="1094">
        <v>0</v>
      </c>
      <c r="AD19" s="833">
        <v>0</v>
      </c>
      <c r="AE19" s="836">
        <v>0</v>
      </c>
      <c r="AF19" s="836">
        <v>0</v>
      </c>
      <c r="AG19" s="827">
        <f t="shared" si="1"/>
        <v>0</v>
      </c>
      <c r="AH19" s="827">
        <f t="shared" si="2"/>
        <v>0</v>
      </c>
      <c r="AI19" s="466">
        <f t="shared" si="3"/>
        <v>0</v>
      </c>
      <c r="AJ19" s="467" t="str">
        <f t="shared" si="4"/>
        <v xml:space="preserve"> </v>
      </c>
      <c r="AS19" s="130" t="s">
        <v>1034</v>
      </c>
      <c r="AT19" s="130" t="s">
        <v>1035</v>
      </c>
      <c r="DS19" s="648"/>
      <c r="DT19" s="648"/>
      <c r="DU19" s="667" t="s">
        <v>415</v>
      </c>
      <c r="DV19" s="667" t="s">
        <v>1188</v>
      </c>
      <c r="DW19" s="667" t="s">
        <v>1134</v>
      </c>
      <c r="DX19" s="667" t="s">
        <v>1134</v>
      </c>
      <c r="DY19" s="669" t="s">
        <v>1197</v>
      </c>
      <c r="DZ19" s="667" t="s">
        <v>1134</v>
      </c>
      <c r="EA19" s="670" t="s">
        <v>1034</v>
      </c>
      <c r="EB19" s="667" t="s">
        <v>1135</v>
      </c>
      <c r="EC19" s="667" t="s">
        <v>1134</v>
      </c>
      <c r="ED19" s="667" t="s">
        <v>1136</v>
      </c>
    </row>
    <row r="20" spans="1:134" x14ac:dyDescent="0.2">
      <c r="A20" s="225" t="s">
        <v>567</v>
      </c>
      <c r="B20" s="632">
        <v>13</v>
      </c>
      <c r="C20" s="770">
        <v>0</v>
      </c>
      <c r="D20" s="830">
        <v>0</v>
      </c>
      <c r="E20" s="830">
        <v>0</v>
      </c>
      <c r="F20" s="866">
        <v>0</v>
      </c>
      <c r="G20" s="830">
        <v>0</v>
      </c>
      <c r="H20" s="830">
        <v>0</v>
      </c>
      <c r="I20" s="828">
        <f t="shared" si="0"/>
        <v>0</v>
      </c>
      <c r="J20" s="832">
        <v>0</v>
      </c>
      <c r="K20" s="832">
        <v>0</v>
      </c>
      <c r="L20" s="830">
        <v>0</v>
      </c>
      <c r="M20" s="802">
        <v>0</v>
      </c>
      <c r="N20" s="832">
        <v>0</v>
      </c>
      <c r="O20" s="833">
        <v>0</v>
      </c>
      <c r="P20" s="832">
        <v>0</v>
      </c>
      <c r="Q20" s="832">
        <v>0</v>
      </c>
      <c r="R20" s="781">
        <v>0</v>
      </c>
      <c r="S20" s="830">
        <v>0</v>
      </c>
      <c r="T20" s="830">
        <v>0</v>
      </c>
      <c r="U20" s="834">
        <v>0</v>
      </c>
      <c r="V20" s="832">
        <v>0</v>
      </c>
      <c r="W20" s="831">
        <v>0</v>
      </c>
      <c r="X20" s="783">
        <v>0</v>
      </c>
      <c r="Y20" s="830">
        <v>0</v>
      </c>
      <c r="Z20" s="833">
        <v>0</v>
      </c>
      <c r="AA20" s="802">
        <v>0</v>
      </c>
      <c r="AB20" s="835">
        <v>0</v>
      </c>
      <c r="AC20" s="1094">
        <v>0</v>
      </c>
      <c r="AD20" s="833">
        <v>0</v>
      </c>
      <c r="AE20" s="836">
        <v>0</v>
      </c>
      <c r="AF20" s="836">
        <v>0</v>
      </c>
      <c r="AG20" s="827">
        <f t="shared" si="1"/>
        <v>0</v>
      </c>
      <c r="AH20" s="827">
        <f t="shared" si="2"/>
        <v>0</v>
      </c>
      <c r="AI20" s="466">
        <f t="shared" si="3"/>
        <v>0</v>
      </c>
      <c r="AJ20" s="467" t="str">
        <f t="shared" si="4"/>
        <v xml:space="preserve"> </v>
      </c>
      <c r="AS20" s="139" t="s">
        <v>539</v>
      </c>
      <c r="AT20" s="139" t="s">
        <v>540</v>
      </c>
      <c r="DS20" s="648"/>
      <c r="DT20" s="648"/>
      <c r="DU20" s="667" t="s">
        <v>415</v>
      </c>
      <c r="DV20" s="667" t="s">
        <v>1188</v>
      </c>
      <c r="DW20" s="667" t="s">
        <v>1134</v>
      </c>
      <c r="DX20" s="667" t="s">
        <v>1134</v>
      </c>
      <c r="DY20" s="669" t="s">
        <v>1197</v>
      </c>
      <c r="DZ20" s="667" t="s">
        <v>1134</v>
      </c>
      <c r="EA20" s="670" t="s">
        <v>539</v>
      </c>
      <c r="EB20" s="667" t="s">
        <v>1135</v>
      </c>
      <c r="EC20" s="667" t="s">
        <v>1134</v>
      </c>
      <c r="ED20" s="667" t="s">
        <v>1136</v>
      </c>
    </row>
    <row r="21" spans="1:134" x14ac:dyDescent="0.2">
      <c r="A21" s="225" t="s">
        <v>150</v>
      </c>
      <c r="B21" s="632">
        <v>14</v>
      </c>
      <c r="C21" s="770">
        <v>0</v>
      </c>
      <c r="D21" s="830">
        <v>0</v>
      </c>
      <c r="E21" s="830">
        <v>0</v>
      </c>
      <c r="F21" s="866">
        <v>0</v>
      </c>
      <c r="G21" s="830">
        <v>0</v>
      </c>
      <c r="H21" s="830">
        <v>0</v>
      </c>
      <c r="I21" s="828">
        <f t="shared" si="0"/>
        <v>0</v>
      </c>
      <c r="J21" s="832">
        <v>0</v>
      </c>
      <c r="K21" s="832">
        <v>0</v>
      </c>
      <c r="L21" s="830">
        <v>0</v>
      </c>
      <c r="M21" s="802">
        <v>0</v>
      </c>
      <c r="N21" s="832">
        <v>0</v>
      </c>
      <c r="O21" s="833">
        <v>0</v>
      </c>
      <c r="P21" s="832">
        <v>0</v>
      </c>
      <c r="Q21" s="832">
        <v>0</v>
      </c>
      <c r="R21" s="781">
        <v>0</v>
      </c>
      <c r="S21" s="830">
        <v>0</v>
      </c>
      <c r="T21" s="830">
        <v>0</v>
      </c>
      <c r="U21" s="834">
        <v>0</v>
      </c>
      <c r="V21" s="832">
        <v>0</v>
      </c>
      <c r="W21" s="831">
        <v>0</v>
      </c>
      <c r="X21" s="783">
        <v>0</v>
      </c>
      <c r="Y21" s="830">
        <v>0</v>
      </c>
      <c r="Z21" s="833">
        <v>0</v>
      </c>
      <c r="AA21" s="802">
        <v>0</v>
      </c>
      <c r="AB21" s="835">
        <v>0</v>
      </c>
      <c r="AC21" s="1094">
        <v>0</v>
      </c>
      <c r="AD21" s="833">
        <v>0</v>
      </c>
      <c r="AE21" s="836">
        <v>0</v>
      </c>
      <c r="AF21" s="836">
        <v>0</v>
      </c>
      <c r="AG21" s="827">
        <f t="shared" si="1"/>
        <v>0</v>
      </c>
      <c r="AH21" s="827">
        <f t="shared" si="2"/>
        <v>0</v>
      </c>
      <c r="AI21" s="466">
        <f t="shared" si="3"/>
        <v>0</v>
      </c>
      <c r="AJ21" s="467" t="str">
        <f t="shared" si="4"/>
        <v xml:space="preserve"> </v>
      </c>
      <c r="AS21" s="139" t="s">
        <v>445</v>
      </c>
      <c r="AT21" s="139" t="s">
        <v>446</v>
      </c>
      <c r="DS21" s="648"/>
      <c r="DT21" s="648"/>
      <c r="DU21" s="667" t="s">
        <v>415</v>
      </c>
      <c r="DV21" s="667" t="s">
        <v>1188</v>
      </c>
      <c r="DW21" s="667" t="s">
        <v>1134</v>
      </c>
      <c r="DX21" s="667" t="s">
        <v>1134</v>
      </c>
      <c r="DY21" s="669" t="s">
        <v>1197</v>
      </c>
      <c r="DZ21" s="667" t="s">
        <v>1134</v>
      </c>
      <c r="EA21" s="670" t="s">
        <v>445</v>
      </c>
      <c r="EB21" s="667" t="s">
        <v>1135</v>
      </c>
      <c r="EC21" s="667" t="s">
        <v>1134</v>
      </c>
      <c r="ED21" s="667" t="s">
        <v>1136</v>
      </c>
    </row>
    <row r="22" spans="1:134" x14ac:dyDescent="0.2">
      <c r="A22" s="225" t="s">
        <v>25</v>
      </c>
      <c r="B22" s="632">
        <v>15</v>
      </c>
      <c r="C22" s="770">
        <v>0</v>
      </c>
      <c r="D22" s="830">
        <v>0</v>
      </c>
      <c r="E22" s="830">
        <v>0</v>
      </c>
      <c r="F22" s="866">
        <v>0</v>
      </c>
      <c r="G22" s="830">
        <v>0</v>
      </c>
      <c r="H22" s="830">
        <v>0</v>
      </c>
      <c r="I22" s="828">
        <f t="shared" si="0"/>
        <v>0</v>
      </c>
      <c r="J22" s="832">
        <v>0</v>
      </c>
      <c r="K22" s="832">
        <v>0</v>
      </c>
      <c r="L22" s="830">
        <v>0</v>
      </c>
      <c r="M22" s="802">
        <v>0</v>
      </c>
      <c r="N22" s="832">
        <v>0</v>
      </c>
      <c r="O22" s="833">
        <v>0</v>
      </c>
      <c r="P22" s="832">
        <v>0</v>
      </c>
      <c r="Q22" s="832">
        <v>0</v>
      </c>
      <c r="R22" s="781">
        <v>0</v>
      </c>
      <c r="S22" s="830">
        <v>0</v>
      </c>
      <c r="T22" s="830">
        <v>0</v>
      </c>
      <c r="U22" s="834">
        <v>0</v>
      </c>
      <c r="V22" s="832">
        <v>0</v>
      </c>
      <c r="W22" s="831">
        <v>0</v>
      </c>
      <c r="X22" s="783">
        <v>0</v>
      </c>
      <c r="Y22" s="830">
        <v>0</v>
      </c>
      <c r="Z22" s="833">
        <v>0</v>
      </c>
      <c r="AA22" s="802">
        <v>0</v>
      </c>
      <c r="AB22" s="835">
        <v>0</v>
      </c>
      <c r="AC22" s="1094">
        <v>0</v>
      </c>
      <c r="AD22" s="833">
        <v>0</v>
      </c>
      <c r="AE22" s="836">
        <v>0</v>
      </c>
      <c r="AF22" s="836">
        <v>0</v>
      </c>
      <c r="AG22" s="827">
        <f t="shared" si="1"/>
        <v>0</v>
      </c>
      <c r="AH22" s="827">
        <f t="shared" si="2"/>
        <v>0</v>
      </c>
      <c r="AI22" s="466">
        <f t="shared" si="3"/>
        <v>0</v>
      </c>
      <c r="AJ22" s="467" t="str">
        <f t="shared" si="4"/>
        <v xml:space="preserve"> </v>
      </c>
      <c r="AS22" s="139" t="s">
        <v>240</v>
      </c>
      <c r="AT22" s="139" t="s">
        <v>239</v>
      </c>
      <c r="DS22" s="648"/>
      <c r="DT22" s="648"/>
      <c r="DU22" s="667" t="s">
        <v>415</v>
      </c>
      <c r="DV22" s="667" t="s">
        <v>1188</v>
      </c>
      <c r="DW22" s="667" t="s">
        <v>1134</v>
      </c>
      <c r="DX22" s="667" t="s">
        <v>1134</v>
      </c>
      <c r="DY22" s="669" t="s">
        <v>1197</v>
      </c>
      <c r="DZ22" s="667" t="s">
        <v>1134</v>
      </c>
      <c r="EA22" s="670" t="s">
        <v>240</v>
      </c>
      <c r="EB22" s="667" t="s">
        <v>1135</v>
      </c>
      <c r="EC22" s="667" t="s">
        <v>1134</v>
      </c>
      <c r="ED22" s="667" t="s">
        <v>1136</v>
      </c>
    </row>
    <row r="23" spans="1:134" x14ac:dyDescent="0.2">
      <c r="A23" s="225" t="s">
        <v>118</v>
      </c>
      <c r="B23" s="632">
        <v>16</v>
      </c>
      <c r="C23" s="770">
        <v>10</v>
      </c>
      <c r="D23" s="830">
        <v>0</v>
      </c>
      <c r="E23" s="830">
        <v>0</v>
      </c>
      <c r="F23" s="866">
        <v>0</v>
      </c>
      <c r="G23" s="830">
        <v>0</v>
      </c>
      <c r="H23" s="830">
        <v>0</v>
      </c>
      <c r="I23" s="828">
        <f t="shared" si="0"/>
        <v>10</v>
      </c>
      <c r="J23" s="832">
        <v>0</v>
      </c>
      <c r="K23" s="832">
        <v>0</v>
      </c>
      <c r="L23" s="830">
        <v>0</v>
      </c>
      <c r="M23" s="802">
        <v>0</v>
      </c>
      <c r="N23" s="832">
        <v>0</v>
      </c>
      <c r="O23" s="833">
        <v>0</v>
      </c>
      <c r="P23" s="832">
        <v>0</v>
      </c>
      <c r="Q23" s="832">
        <v>0</v>
      </c>
      <c r="R23" s="781">
        <v>0</v>
      </c>
      <c r="S23" s="830">
        <v>0</v>
      </c>
      <c r="T23" s="830">
        <v>0</v>
      </c>
      <c r="U23" s="834">
        <v>0</v>
      </c>
      <c r="V23" s="832">
        <v>0</v>
      </c>
      <c r="W23" s="831">
        <v>0</v>
      </c>
      <c r="X23" s="783">
        <v>0</v>
      </c>
      <c r="Y23" s="830">
        <v>0</v>
      </c>
      <c r="Z23" s="833">
        <v>0</v>
      </c>
      <c r="AA23" s="802">
        <v>0</v>
      </c>
      <c r="AB23" s="835">
        <v>0</v>
      </c>
      <c r="AC23" s="1094">
        <v>0</v>
      </c>
      <c r="AD23" s="833">
        <v>0</v>
      </c>
      <c r="AE23" s="836">
        <v>0</v>
      </c>
      <c r="AF23" s="836">
        <v>0</v>
      </c>
      <c r="AG23" s="827">
        <f t="shared" si="1"/>
        <v>0</v>
      </c>
      <c r="AH23" s="827">
        <f t="shared" si="2"/>
        <v>10</v>
      </c>
      <c r="AI23" s="466">
        <f t="shared" si="3"/>
        <v>0</v>
      </c>
      <c r="AJ23" s="467" t="str">
        <f t="shared" si="4"/>
        <v xml:space="preserve"> </v>
      </c>
      <c r="AS23" s="139" t="s">
        <v>242</v>
      </c>
      <c r="AT23" s="139" t="s">
        <v>241</v>
      </c>
      <c r="DS23" s="648"/>
      <c r="DT23" s="648"/>
      <c r="DU23" s="667" t="s">
        <v>415</v>
      </c>
      <c r="DV23" s="667" t="s">
        <v>1188</v>
      </c>
      <c r="DW23" s="667" t="s">
        <v>1134</v>
      </c>
      <c r="DX23" s="667" t="s">
        <v>1134</v>
      </c>
      <c r="DY23" s="669" t="s">
        <v>1197</v>
      </c>
      <c r="DZ23" s="667" t="s">
        <v>1134</v>
      </c>
      <c r="EA23" s="670" t="s">
        <v>242</v>
      </c>
      <c r="EB23" s="667" t="s">
        <v>1135</v>
      </c>
      <c r="EC23" s="667" t="s">
        <v>1134</v>
      </c>
      <c r="ED23" s="667" t="s">
        <v>1136</v>
      </c>
    </row>
    <row r="24" spans="1:134" x14ac:dyDescent="0.2">
      <c r="A24" s="225" t="s">
        <v>557</v>
      </c>
      <c r="B24" s="632">
        <v>17</v>
      </c>
      <c r="C24" s="770">
        <v>0</v>
      </c>
      <c r="D24" s="830">
        <v>0</v>
      </c>
      <c r="E24" s="830">
        <v>0</v>
      </c>
      <c r="F24" s="866">
        <v>0</v>
      </c>
      <c r="G24" s="830">
        <v>0</v>
      </c>
      <c r="H24" s="830">
        <v>0</v>
      </c>
      <c r="I24" s="828">
        <f t="shared" si="0"/>
        <v>0</v>
      </c>
      <c r="J24" s="832">
        <v>0</v>
      </c>
      <c r="K24" s="832">
        <v>0</v>
      </c>
      <c r="L24" s="830">
        <v>0</v>
      </c>
      <c r="M24" s="802">
        <v>0</v>
      </c>
      <c r="N24" s="832">
        <v>0</v>
      </c>
      <c r="O24" s="833">
        <v>0</v>
      </c>
      <c r="P24" s="832">
        <v>0</v>
      </c>
      <c r="Q24" s="832">
        <v>0</v>
      </c>
      <c r="R24" s="781">
        <v>0</v>
      </c>
      <c r="S24" s="830">
        <v>0</v>
      </c>
      <c r="T24" s="830">
        <v>0</v>
      </c>
      <c r="U24" s="834">
        <v>0</v>
      </c>
      <c r="V24" s="832">
        <v>0</v>
      </c>
      <c r="W24" s="831">
        <v>0</v>
      </c>
      <c r="X24" s="783">
        <v>0</v>
      </c>
      <c r="Y24" s="830">
        <v>0</v>
      </c>
      <c r="Z24" s="833">
        <v>0</v>
      </c>
      <c r="AA24" s="802">
        <v>0</v>
      </c>
      <c r="AB24" s="835">
        <v>0</v>
      </c>
      <c r="AC24" s="1094">
        <v>0</v>
      </c>
      <c r="AD24" s="833">
        <v>0</v>
      </c>
      <c r="AE24" s="836">
        <v>0</v>
      </c>
      <c r="AF24" s="836">
        <v>0</v>
      </c>
      <c r="AG24" s="827">
        <f t="shared" si="1"/>
        <v>0</v>
      </c>
      <c r="AH24" s="827">
        <f t="shared" si="2"/>
        <v>0</v>
      </c>
      <c r="AI24" s="466">
        <f t="shared" si="3"/>
        <v>0</v>
      </c>
      <c r="AJ24" s="467" t="str">
        <f t="shared" si="4"/>
        <v xml:space="preserve"> </v>
      </c>
      <c r="AS24" s="139" t="s">
        <v>507</v>
      </c>
      <c r="AT24" s="139" t="s">
        <v>508</v>
      </c>
      <c r="DS24" s="648"/>
      <c r="DT24" s="648"/>
      <c r="DU24" s="667" t="s">
        <v>415</v>
      </c>
      <c r="DV24" s="667" t="s">
        <v>1188</v>
      </c>
      <c r="DW24" s="667" t="s">
        <v>1134</v>
      </c>
      <c r="DX24" s="667" t="s">
        <v>1134</v>
      </c>
      <c r="DY24" s="669" t="s">
        <v>1197</v>
      </c>
      <c r="DZ24" s="667" t="s">
        <v>1134</v>
      </c>
      <c r="EA24" s="670" t="s">
        <v>507</v>
      </c>
      <c r="EB24" s="667" t="s">
        <v>1135</v>
      </c>
      <c r="EC24" s="667" t="s">
        <v>1134</v>
      </c>
      <c r="ED24" s="667" t="s">
        <v>1136</v>
      </c>
    </row>
    <row r="25" spans="1:134" x14ac:dyDescent="0.2">
      <c r="A25" s="225" t="s">
        <v>119</v>
      </c>
      <c r="B25" s="632">
        <v>18</v>
      </c>
      <c r="C25" s="770">
        <v>0</v>
      </c>
      <c r="D25" s="830">
        <v>0</v>
      </c>
      <c r="E25" s="830">
        <v>0</v>
      </c>
      <c r="F25" s="866">
        <v>0</v>
      </c>
      <c r="G25" s="830">
        <v>0</v>
      </c>
      <c r="H25" s="830">
        <v>0</v>
      </c>
      <c r="I25" s="828">
        <f t="shared" si="0"/>
        <v>0</v>
      </c>
      <c r="J25" s="832">
        <v>0</v>
      </c>
      <c r="K25" s="832">
        <v>0</v>
      </c>
      <c r="L25" s="830">
        <v>0</v>
      </c>
      <c r="M25" s="802">
        <v>0</v>
      </c>
      <c r="N25" s="832">
        <v>0</v>
      </c>
      <c r="O25" s="833">
        <v>0</v>
      </c>
      <c r="P25" s="832">
        <v>0</v>
      </c>
      <c r="Q25" s="832">
        <v>0</v>
      </c>
      <c r="R25" s="781">
        <v>0</v>
      </c>
      <c r="S25" s="830">
        <v>0</v>
      </c>
      <c r="T25" s="830">
        <v>0</v>
      </c>
      <c r="U25" s="834">
        <v>0</v>
      </c>
      <c r="V25" s="832">
        <v>0</v>
      </c>
      <c r="W25" s="831">
        <v>0</v>
      </c>
      <c r="X25" s="783">
        <v>0</v>
      </c>
      <c r="Y25" s="830">
        <v>0</v>
      </c>
      <c r="Z25" s="833">
        <v>0</v>
      </c>
      <c r="AA25" s="802">
        <v>0</v>
      </c>
      <c r="AB25" s="835">
        <v>0</v>
      </c>
      <c r="AC25" s="1094">
        <v>0</v>
      </c>
      <c r="AD25" s="833">
        <v>0</v>
      </c>
      <c r="AE25" s="836">
        <v>0</v>
      </c>
      <c r="AF25" s="836">
        <v>0</v>
      </c>
      <c r="AG25" s="827">
        <f t="shared" si="1"/>
        <v>0</v>
      </c>
      <c r="AH25" s="827">
        <f t="shared" si="2"/>
        <v>0</v>
      </c>
      <c r="AI25" s="466">
        <f t="shared" si="3"/>
        <v>0</v>
      </c>
      <c r="AJ25" s="467" t="str">
        <f t="shared" si="4"/>
        <v xml:space="preserve"> </v>
      </c>
      <c r="AS25" s="139" t="s">
        <v>244</v>
      </c>
      <c r="AT25" s="139" t="s">
        <v>243</v>
      </c>
      <c r="DS25" s="648"/>
      <c r="DT25" s="648"/>
      <c r="DU25" s="667" t="s">
        <v>415</v>
      </c>
      <c r="DV25" s="667" t="s">
        <v>1188</v>
      </c>
      <c r="DW25" s="667" t="s">
        <v>1134</v>
      </c>
      <c r="DX25" s="667" t="s">
        <v>1134</v>
      </c>
      <c r="DY25" s="669" t="s">
        <v>1197</v>
      </c>
      <c r="DZ25" s="667" t="s">
        <v>1134</v>
      </c>
      <c r="EA25" s="670" t="s">
        <v>244</v>
      </c>
      <c r="EB25" s="667" t="s">
        <v>1135</v>
      </c>
      <c r="EC25" s="667" t="s">
        <v>1134</v>
      </c>
      <c r="ED25" s="667" t="s">
        <v>1136</v>
      </c>
    </row>
    <row r="26" spans="1:134" x14ac:dyDescent="0.2">
      <c r="A26" s="225" t="s">
        <v>30</v>
      </c>
      <c r="B26" s="632">
        <v>19</v>
      </c>
      <c r="C26" s="770">
        <v>0</v>
      </c>
      <c r="D26" s="830">
        <v>0</v>
      </c>
      <c r="E26" s="830">
        <v>0</v>
      </c>
      <c r="F26" s="866">
        <v>0</v>
      </c>
      <c r="G26" s="830">
        <v>0</v>
      </c>
      <c r="H26" s="830">
        <v>0</v>
      </c>
      <c r="I26" s="828">
        <f t="shared" si="0"/>
        <v>0</v>
      </c>
      <c r="J26" s="832">
        <v>0</v>
      </c>
      <c r="K26" s="832">
        <v>0</v>
      </c>
      <c r="L26" s="830">
        <v>0</v>
      </c>
      <c r="M26" s="802">
        <v>0</v>
      </c>
      <c r="N26" s="832">
        <v>0</v>
      </c>
      <c r="O26" s="833">
        <v>0</v>
      </c>
      <c r="P26" s="832">
        <v>0</v>
      </c>
      <c r="Q26" s="832">
        <v>0</v>
      </c>
      <c r="R26" s="781">
        <v>0</v>
      </c>
      <c r="S26" s="830">
        <v>0</v>
      </c>
      <c r="T26" s="830">
        <v>0</v>
      </c>
      <c r="U26" s="834">
        <v>0</v>
      </c>
      <c r="V26" s="832">
        <v>0</v>
      </c>
      <c r="W26" s="831">
        <v>0</v>
      </c>
      <c r="X26" s="783">
        <v>0</v>
      </c>
      <c r="Y26" s="830">
        <v>0</v>
      </c>
      <c r="Z26" s="833">
        <v>0</v>
      </c>
      <c r="AA26" s="802">
        <v>0</v>
      </c>
      <c r="AB26" s="835">
        <v>0</v>
      </c>
      <c r="AC26" s="1094">
        <v>0</v>
      </c>
      <c r="AD26" s="833">
        <v>0</v>
      </c>
      <c r="AE26" s="836">
        <v>0</v>
      </c>
      <c r="AF26" s="836">
        <v>0</v>
      </c>
      <c r="AG26" s="827">
        <f t="shared" si="1"/>
        <v>0</v>
      </c>
      <c r="AH26" s="827">
        <f t="shared" si="2"/>
        <v>0</v>
      </c>
      <c r="AI26" s="466">
        <f t="shared" si="3"/>
        <v>0</v>
      </c>
      <c r="AJ26" s="467" t="str">
        <f t="shared" si="4"/>
        <v xml:space="preserve"> </v>
      </c>
      <c r="AS26" s="139" t="s">
        <v>246</v>
      </c>
      <c r="AT26" s="139" t="s">
        <v>245</v>
      </c>
      <c r="DS26" s="648"/>
      <c r="DT26" s="648"/>
      <c r="DU26" s="667" t="s">
        <v>415</v>
      </c>
      <c r="DV26" s="667" t="s">
        <v>1188</v>
      </c>
      <c r="DW26" s="667" t="s">
        <v>1134</v>
      </c>
      <c r="DX26" s="667" t="s">
        <v>1134</v>
      </c>
      <c r="DY26" s="669" t="s">
        <v>1197</v>
      </c>
      <c r="DZ26" s="667" t="s">
        <v>1134</v>
      </c>
      <c r="EA26" s="670" t="s">
        <v>246</v>
      </c>
      <c r="EB26" s="667" t="s">
        <v>1135</v>
      </c>
      <c r="EC26" s="667" t="s">
        <v>1134</v>
      </c>
      <c r="ED26" s="667" t="s">
        <v>1136</v>
      </c>
    </row>
    <row r="27" spans="1:134" x14ac:dyDescent="0.2">
      <c r="A27" s="225" t="s">
        <v>558</v>
      </c>
      <c r="B27" s="632">
        <v>20</v>
      </c>
      <c r="C27" s="770">
        <v>0</v>
      </c>
      <c r="D27" s="830">
        <v>0</v>
      </c>
      <c r="E27" s="830">
        <v>0</v>
      </c>
      <c r="F27" s="866">
        <v>0</v>
      </c>
      <c r="G27" s="830">
        <v>0</v>
      </c>
      <c r="H27" s="830">
        <v>0</v>
      </c>
      <c r="I27" s="828">
        <f t="shared" si="0"/>
        <v>0</v>
      </c>
      <c r="J27" s="832">
        <v>0</v>
      </c>
      <c r="K27" s="832">
        <v>0</v>
      </c>
      <c r="L27" s="830">
        <v>0</v>
      </c>
      <c r="M27" s="802">
        <v>0</v>
      </c>
      <c r="N27" s="832">
        <v>0</v>
      </c>
      <c r="O27" s="833">
        <v>0</v>
      </c>
      <c r="P27" s="832">
        <v>0</v>
      </c>
      <c r="Q27" s="832">
        <v>0</v>
      </c>
      <c r="R27" s="781">
        <v>0</v>
      </c>
      <c r="S27" s="830">
        <v>0</v>
      </c>
      <c r="T27" s="830">
        <v>0</v>
      </c>
      <c r="U27" s="834">
        <v>0</v>
      </c>
      <c r="V27" s="832">
        <v>0</v>
      </c>
      <c r="W27" s="831">
        <v>0</v>
      </c>
      <c r="X27" s="783">
        <v>0</v>
      </c>
      <c r="Y27" s="830">
        <v>0</v>
      </c>
      <c r="Z27" s="833">
        <v>0</v>
      </c>
      <c r="AA27" s="802">
        <v>0</v>
      </c>
      <c r="AB27" s="835">
        <v>0</v>
      </c>
      <c r="AC27" s="1094">
        <v>0</v>
      </c>
      <c r="AD27" s="833">
        <v>0</v>
      </c>
      <c r="AE27" s="836">
        <v>0</v>
      </c>
      <c r="AF27" s="836">
        <v>0</v>
      </c>
      <c r="AG27" s="827">
        <f t="shared" si="1"/>
        <v>0</v>
      </c>
      <c r="AH27" s="827">
        <f t="shared" si="2"/>
        <v>0</v>
      </c>
      <c r="AI27" s="466">
        <f t="shared" si="3"/>
        <v>0</v>
      </c>
      <c r="AJ27" s="467" t="str">
        <f t="shared" si="4"/>
        <v xml:space="preserve"> </v>
      </c>
      <c r="AS27" s="139" t="s">
        <v>509</v>
      </c>
      <c r="AT27" s="139" t="s">
        <v>510</v>
      </c>
      <c r="DS27" s="648"/>
      <c r="DT27" s="648"/>
      <c r="DU27" s="667" t="s">
        <v>415</v>
      </c>
      <c r="DV27" s="667" t="s">
        <v>1188</v>
      </c>
      <c r="DW27" s="667" t="s">
        <v>1134</v>
      </c>
      <c r="DX27" s="667" t="s">
        <v>1134</v>
      </c>
      <c r="DY27" s="669" t="s">
        <v>1197</v>
      </c>
      <c r="DZ27" s="667" t="s">
        <v>1134</v>
      </c>
      <c r="EA27" s="670" t="s">
        <v>509</v>
      </c>
      <c r="EB27" s="667" t="s">
        <v>1135</v>
      </c>
      <c r="EC27" s="667" t="s">
        <v>1134</v>
      </c>
      <c r="ED27" s="667" t="s">
        <v>1136</v>
      </c>
    </row>
    <row r="28" spans="1:134" x14ac:dyDescent="0.2">
      <c r="A28" s="225" t="s">
        <v>120</v>
      </c>
      <c r="B28" s="632">
        <v>21</v>
      </c>
      <c r="C28" s="770">
        <v>0</v>
      </c>
      <c r="D28" s="830">
        <v>0</v>
      </c>
      <c r="E28" s="830">
        <v>0</v>
      </c>
      <c r="F28" s="866">
        <v>0</v>
      </c>
      <c r="G28" s="830">
        <v>0</v>
      </c>
      <c r="H28" s="830">
        <v>0</v>
      </c>
      <c r="I28" s="828">
        <f t="shared" si="0"/>
        <v>0</v>
      </c>
      <c r="J28" s="832">
        <v>0</v>
      </c>
      <c r="K28" s="832">
        <v>0</v>
      </c>
      <c r="L28" s="830">
        <v>0</v>
      </c>
      <c r="M28" s="802">
        <v>162</v>
      </c>
      <c r="N28" s="832">
        <v>0</v>
      </c>
      <c r="O28" s="833">
        <v>162</v>
      </c>
      <c r="P28" s="832">
        <v>0</v>
      </c>
      <c r="Q28" s="832">
        <v>0</v>
      </c>
      <c r="R28" s="781">
        <v>14</v>
      </c>
      <c r="S28" s="830">
        <v>0</v>
      </c>
      <c r="T28" s="830">
        <v>14</v>
      </c>
      <c r="U28" s="834">
        <v>0</v>
      </c>
      <c r="V28" s="832">
        <v>6</v>
      </c>
      <c r="W28" s="831">
        <v>0</v>
      </c>
      <c r="X28" s="783">
        <v>6</v>
      </c>
      <c r="Y28" s="830">
        <v>0</v>
      </c>
      <c r="Z28" s="833">
        <v>6</v>
      </c>
      <c r="AA28" s="802">
        <v>0</v>
      </c>
      <c r="AB28" s="835">
        <v>0</v>
      </c>
      <c r="AC28" s="1094">
        <v>0</v>
      </c>
      <c r="AD28" s="833">
        <v>0</v>
      </c>
      <c r="AE28" s="836">
        <v>0</v>
      </c>
      <c r="AF28" s="836">
        <v>0</v>
      </c>
      <c r="AG28" s="827">
        <f t="shared" si="1"/>
        <v>182</v>
      </c>
      <c r="AH28" s="827">
        <f t="shared" si="2"/>
        <v>182</v>
      </c>
      <c r="AI28" s="466">
        <f t="shared" si="3"/>
        <v>0</v>
      </c>
      <c r="AJ28" s="467" t="str">
        <f t="shared" si="4"/>
        <v xml:space="preserve"> </v>
      </c>
      <c r="AS28" s="139" t="s">
        <v>248</v>
      </c>
      <c r="AT28" s="139" t="s">
        <v>247</v>
      </c>
      <c r="DS28" s="648"/>
      <c r="DT28" s="648"/>
      <c r="DU28" s="667" t="s">
        <v>415</v>
      </c>
      <c r="DV28" s="667" t="s">
        <v>1188</v>
      </c>
      <c r="DW28" s="667" t="s">
        <v>1134</v>
      </c>
      <c r="DX28" s="667" t="s">
        <v>1134</v>
      </c>
      <c r="DY28" s="669" t="s">
        <v>1197</v>
      </c>
      <c r="DZ28" s="667" t="s">
        <v>1134</v>
      </c>
      <c r="EA28" s="670" t="s">
        <v>248</v>
      </c>
      <c r="EB28" s="667" t="s">
        <v>1135</v>
      </c>
      <c r="EC28" s="667" t="s">
        <v>1134</v>
      </c>
      <c r="ED28" s="667" t="s">
        <v>1136</v>
      </c>
    </row>
    <row r="29" spans="1:134" x14ac:dyDescent="0.2">
      <c r="A29" s="225" t="s">
        <v>121</v>
      </c>
      <c r="B29" s="632">
        <v>22</v>
      </c>
      <c r="C29" s="770">
        <v>0</v>
      </c>
      <c r="D29" s="830">
        <v>0</v>
      </c>
      <c r="E29" s="830">
        <v>0</v>
      </c>
      <c r="F29" s="866">
        <v>0</v>
      </c>
      <c r="G29" s="830">
        <v>0</v>
      </c>
      <c r="H29" s="830">
        <v>0</v>
      </c>
      <c r="I29" s="828">
        <f t="shared" si="0"/>
        <v>0</v>
      </c>
      <c r="J29" s="832">
        <v>0</v>
      </c>
      <c r="K29" s="832">
        <v>0</v>
      </c>
      <c r="L29" s="830">
        <v>0</v>
      </c>
      <c r="M29" s="802">
        <v>0</v>
      </c>
      <c r="N29" s="832">
        <v>0</v>
      </c>
      <c r="O29" s="833">
        <v>0</v>
      </c>
      <c r="P29" s="832">
        <v>0</v>
      </c>
      <c r="Q29" s="832">
        <v>0</v>
      </c>
      <c r="R29" s="781">
        <v>7</v>
      </c>
      <c r="S29" s="830">
        <v>0</v>
      </c>
      <c r="T29" s="830">
        <v>7</v>
      </c>
      <c r="U29" s="834">
        <v>0</v>
      </c>
      <c r="V29" s="832">
        <v>0</v>
      </c>
      <c r="W29" s="831">
        <v>0</v>
      </c>
      <c r="X29" s="783">
        <v>0</v>
      </c>
      <c r="Y29" s="830">
        <v>0</v>
      </c>
      <c r="Z29" s="833">
        <v>0</v>
      </c>
      <c r="AA29" s="802">
        <v>0</v>
      </c>
      <c r="AB29" s="835">
        <v>0</v>
      </c>
      <c r="AC29" s="1094">
        <v>0</v>
      </c>
      <c r="AD29" s="833">
        <v>0</v>
      </c>
      <c r="AE29" s="836">
        <v>0</v>
      </c>
      <c r="AF29" s="836">
        <v>0</v>
      </c>
      <c r="AG29" s="827">
        <f t="shared" si="1"/>
        <v>7</v>
      </c>
      <c r="AH29" s="827">
        <f t="shared" si="2"/>
        <v>7</v>
      </c>
      <c r="AI29" s="466">
        <f t="shared" si="3"/>
        <v>0</v>
      </c>
      <c r="AJ29" s="467" t="str">
        <f t="shared" si="4"/>
        <v xml:space="preserve"> </v>
      </c>
      <c r="AS29" s="139" t="s">
        <v>250</v>
      </c>
      <c r="AT29" s="139" t="s">
        <v>249</v>
      </c>
      <c r="DS29" s="648"/>
      <c r="DT29" s="648"/>
      <c r="DU29" s="667" t="s">
        <v>415</v>
      </c>
      <c r="DV29" s="667" t="s">
        <v>1188</v>
      </c>
      <c r="DW29" s="667" t="s">
        <v>1134</v>
      </c>
      <c r="DX29" s="667" t="s">
        <v>1134</v>
      </c>
      <c r="DY29" s="669" t="s">
        <v>1197</v>
      </c>
      <c r="DZ29" s="667" t="s">
        <v>1134</v>
      </c>
      <c r="EA29" s="670" t="s">
        <v>250</v>
      </c>
      <c r="EB29" s="667" t="s">
        <v>1135</v>
      </c>
      <c r="EC29" s="667" t="s">
        <v>1134</v>
      </c>
      <c r="ED29" s="667" t="s">
        <v>1136</v>
      </c>
    </row>
    <row r="30" spans="1:134" x14ac:dyDescent="0.2">
      <c r="A30" s="225" t="s">
        <v>122</v>
      </c>
      <c r="B30" s="632">
        <v>23</v>
      </c>
      <c r="C30" s="770">
        <v>0</v>
      </c>
      <c r="D30" s="830">
        <v>0</v>
      </c>
      <c r="E30" s="830">
        <v>0</v>
      </c>
      <c r="F30" s="866">
        <v>0</v>
      </c>
      <c r="G30" s="830">
        <v>0</v>
      </c>
      <c r="H30" s="830">
        <v>0</v>
      </c>
      <c r="I30" s="828">
        <f t="shared" si="0"/>
        <v>0</v>
      </c>
      <c r="J30" s="832">
        <v>0</v>
      </c>
      <c r="K30" s="832">
        <v>0</v>
      </c>
      <c r="L30" s="830">
        <v>0</v>
      </c>
      <c r="M30" s="802">
        <v>0</v>
      </c>
      <c r="N30" s="832">
        <v>0</v>
      </c>
      <c r="O30" s="833">
        <v>0</v>
      </c>
      <c r="P30" s="832">
        <v>0</v>
      </c>
      <c r="Q30" s="832">
        <v>0</v>
      </c>
      <c r="R30" s="781">
        <v>0</v>
      </c>
      <c r="S30" s="830">
        <v>0</v>
      </c>
      <c r="T30" s="830">
        <v>0</v>
      </c>
      <c r="U30" s="834">
        <v>0</v>
      </c>
      <c r="V30" s="832">
        <v>0</v>
      </c>
      <c r="W30" s="831">
        <v>0</v>
      </c>
      <c r="X30" s="783">
        <v>0</v>
      </c>
      <c r="Y30" s="830">
        <v>0</v>
      </c>
      <c r="Z30" s="833">
        <v>0</v>
      </c>
      <c r="AA30" s="802">
        <v>0</v>
      </c>
      <c r="AB30" s="835">
        <v>0</v>
      </c>
      <c r="AC30" s="1094">
        <v>0</v>
      </c>
      <c r="AD30" s="833">
        <v>0</v>
      </c>
      <c r="AE30" s="836">
        <v>0</v>
      </c>
      <c r="AF30" s="836">
        <v>0</v>
      </c>
      <c r="AG30" s="827">
        <f t="shared" si="1"/>
        <v>0</v>
      </c>
      <c r="AH30" s="827">
        <f t="shared" si="2"/>
        <v>0</v>
      </c>
      <c r="AI30" s="466">
        <f t="shared" si="3"/>
        <v>0</v>
      </c>
      <c r="AJ30" s="467" t="str">
        <f t="shared" si="4"/>
        <v xml:space="preserve"> </v>
      </c>
      <c r="AS30" s="139" t="s">
        <v>252</v>
      </c>
      <c r="AT30" s="139" t="s">
        <v>251</v>
      </c>
      <c r="DS30" s="648"/>
      <c r="DT30" s="648"/>
      <c r="DU30" s="667" t="s">
        <v>415</v>
      </c>
      <c r="DV30" s="667" t="s">
        <v>1188</v>
      </c>
      <c r="DW30" s="667" t="s">
        <v>1134</v>
      </c>
      <c r="DX30" s="667" t="s">
        <v>1134</v>
      </c>
      <c r="DY30" s="669" t="s">
        <v>1197</v>
      </c>
      <c r="DZ30" s="667" t="s">
        <v>1134</v>
      </c>
      <c r="EA30" s="670" t="s">
        <v>252</v>
      </c>
      <c r="EB30" s="667" t="s">
        <v>1135</v>
      </c>
      <c r="EC30" s="667" t="s">
        <v>1134</v>
      </c>
      <c r="ED30" s="667" t="s">
        <v>1136</v>
      </c>
    </row>
    <row r="31" spans="1:134" x14ac:dyDescent="0.2">
      <c r="A31" s="225" t="s">
        <v>123</v>
      </c>
      <c r="B31" s="632">
        <v>24</v>
      </c>
      <c r="C31" s="770">
        <v>0</v>
      </c>
      <c r="D31" s="830">
        <v>0</v>
      </c>
      <c r="E31" s="830">
        <v>0</v>
      </c>
      <c r="F31" s="866">
        <v>0</v>
      </c>
      <c r="G31" s="830">
        <v>0</v>
      </c>
      <c r="H31" s="830">
        <v>0</v>
      </c>
      <c r="I31" s="828">
        <f t="shared" si="0"/>
        <v>0</v>
      </c>
      <c r="J31" s="832">
        <v>0</v>
      </c>
      <c r="K31" s="832">
        <v>0</v>
      </c>
      <c r="L31" s="830">
        <v>0</v>
      </c>
      <c r="M31" s="802">
        <v>0</v>
      </c>
      <c r="N31" s="832">
        <v>0</v>
      </c>
      <c r="O31" s="833">
        <v>0</v>
      </c>
      <c r="P31" s="832">
        <v>0</v>
      </c>
      <c r="Q31" s="832">
        <v>0</v>
      </c>
      <c r="R31" s="781">
        <v>0</v>
      </c>
      <c r="S31" s="830">
        <v>0</v>
      </c>
      <c r="T31" s="830">
        <v>0</v>
      </c>
      <c r="U31" s="834">
        <v>0</v>
      </c>
      <c r="V31" s="832">
        <v>0</v>
      </c>
      <c r="W31" s="831">
        <v>0</v>
      </c>
      <c r="X31" s="783">
        <v>0</v>
      </c>
      <c r="Y31" s="830">
        <v>0</v>
      </c>
      <c r="Z31" s="833">
        <v>0</v>
      </c>
      <c r="AA31" s="802">
        <v>0</v>
      </c>
      <c r="AB31" s="835">
        <v>0</v>
      </c>
      <c r="AC31" s="1094">
        <v>0</v>
      </c>
      <c r="AD31" s="833">
        <v>0</v>
      </c>
      <c r="AE31" s="836">
        <v>0</v>
      </c>
      <c r="AF31" s="836">
        <v>0</v>
      </c>
      <c r="AG31" s="827">
        <f t="shared" si="1"/>
        <v>0</v>
      </c>
      <c r="AH31" s="827">
        <f t="shared" si="2"/>
        <v>0</v>
      </c>
      <c r="AI31" s="466">
        <f t="shared" si="3"/>
        <v>0</v>
      </c>
      <c r="AJ31" s="467" t="str">
        <f t="shared" si="4"/>
        <v xml:space="preserve"> </v>
      </c>
      <c r="AS31" s="139" t="s">
        <v>254</v>
      </c>
      <c r="AT31" s="139" t="s">
        <v>253</v>
      </c>
      <c r="DS31" s="648"/>
      <c r="DT31" s="648"/>
      <c r="DU31" s="667" t="s">
        <v>415</v>
      </c>
      <c r="DV31" s="667" t="s">
        <v>1188</v>
      </c>
      <c r="DW31" s="667" t="s">
        <v>1134</v>
      </c>
      <c r="DX31" s="667" t="s">
        <v>1134</v>
      </c>
      <c r="DY31" s="669" t="s">
        <v>1197</v>
      </c>
      <c r="DZ31" s="667" t="s">
        <v>1134</v>
      </c>
      <c r="EA31" s="670" t="s">
        <v>254</v>
      </c>
      <c r="EB31" s="667" t="s">
        <v>1135</v>
      </c>
      <c r="EC31" s="667" t="s">
        <v>1134</v>
      </c>
      <c r="ED31" s="667" t="s">
        <v>1136</v>
      </c>
    </row>
    <row r="32" spans="1:134" x14ac:dyDescent="0.2">
      <c r="A32" s="225" t="s">
        <v>124</v>
      </c>
      <c r="B32" s="632">
        <v>25</v>
      </c>
      <c r="C32" s="770">
        <v>7</v>
      </c>
      <c r="D32" s="830">
        <v>0</v>
      </c>
      <c r="E32" s="830">
        <v>0</v>
      </c>
      <c r="F32" s="866">
        <v>0</v>
      </c>
      <c r="G32" s="830">
        <v>0</v>
      </c>
      <c r="H32" s="830">
        <v>0</v>
      </c>
      <c r="I32" s="828">
        <f t="shared" si="0"/>
        <v>7</v>
      </c>
      <c r="J32" s="832">
        <v>0</v>
      </c>
      <c r="K32" s="832">
        <v>0</v>
      </c>
      <c r="L32" s="830">
        <v>0</v>
      </c>
      <c r="M32" s="802">
        <v>7</v>
      </c>
      <c r="N32" s="832">
        <v>0</v>
      </c>
      <c r="O32" s="833">
        <v>7</v>
      </c>
      <c r="P32" s="832">
        <v>0</v>
      </c>
      <c r="Q32" s="832">
        <v>0</v>
      </c>
      <c r="R32" s="781">
        <v>0</v>
      </c>
      <c r="S32" s="830">
        <v>0</v>
      </c>
      <c r="T32" s="830">
        <v>0</v>
      </c>
      <c r="U32" s="834">
        <v>0</v>
      </c>
      <c r="V32" s="832">
        <v>0</v>
      </c>
      <c r="W32" s="831">
        <v>0</v>
      </c>
      <c r="X32" s="783">
        <v>0</v>
      </c>
      <c r="Y32" s="830">
        <v>0</v>
      </c>
      <c r="Z32" s="833">
        <v>0</v>
      </c>
      <c r="AA32" s="802">
        <v>0</v>
      </c>
      <c r="AB32" s="835">
        <v>0</v>
      </c>
      <c r="AC32" s="1094">
        <v>0</v>
      </c>
      <c r="AD32" s="833">
        <v>0</v>
      </c>
      <c r="AE32" s="836">
        <v>0</v>
      </c>
      <c r="AF32" s="836">
        <v>0</v>
      </c>
      <c r="AG32" s="827">
        <f t="shared" si="1"/>
        <v>7</v>
      </c>
      <c r="AH32" s="827">
        <f t="shared" si="2"/>
        <v>14</v>
      </c>
      <c r="AI32" s="466">
        <f t="shared" si="3"/>
        <v>0</v>
      </c>
      <c r="AJ32" s="467" t="str">
        <f t="shared" si="4"/>
        <v xml:space="preserve"> </v>
      </c>
      <c r="AS32" s="139" t="s">
        <v>256</v>
      </c>
      <c r="AT32" s="139" t="s">
        <v>255</v>
      </c>
      <c r="DS32" s="648"/>
      <c r="DT32" s="648"/>
      <c r="DU32" s="667" t="s">
        <v>415</v>
      </c>
      <c r="DV32" s="667" t="s">
        <v>1188</v>
      </c>
      <c r="DW32" s="667" t="s">
        <v>1134</v>
      </c>
      <c r="DX32" s="667" t="s">
        <v>1134</v>
      </c>
      <c r="DY32" s="669" t="s">
        <v>1197</v>
      </c>
      <c r="DZ32" s="667" t="s">
        <v>1134</v>
      </c>
      <c r="EA32" s="670" t="s">
        <v>256</v>
      </c>
      <c r="EB32" s="667" t="s">
        <v>1135</v>
      </c>
      <c r="EC32" s="667" t="s">
        <v>1134</v>
      </c>
      <c r="ED32" s="667" t="s">
        <v>1136</v>
      </c>
    </row>
    <row r="33" spans="1:134" x14ac:dyDescent="0.2">
      <c r="A33" s="225" t="s">
        <v>97</v>
      </c>
      <c r="B33" s="632">
        <v>26</v>
      </c>
      <c r="C33" s="770">
        <v>0</v>
      </c>
      <c r="D33" s="830">
        <v>0</v>
      </c>
      <c r="E33" s="830">
        <v>0</v>
      </c>
      <c r="F33" s="866">
        <v>0</v>
      </c>
      <c r="G33" s="830">
        <v>0</v>
      </c>
      <c r="H33" s="830">
        <v>0</v>
      </c>
      <c r="I33" s="828">
        <f t="shared" si="0"/>
        <v>0</v>
      </c>
      <c r="J33" s="832">
        <v>0</v>
      </c>
      <c r="K33" s="832">
        <v>0</v>
      </c>
      <c r="L33" s="830">
        <v>0</v>
      </c>
      <c r="M33" s="802">
        <v>0</v>
      </c>
      <c r="N33" s="832">
        <v>0</v>
      </c>
      <c r="O33" s="833">
        <v>0</v>
      </c>
      <c r="P33" s="832">
        <v>0</v>
      </c>
      <c r="Q33" s="832">
        <v>0</v>
      </c>
      <c r="R33" s="781">
        <v>0</v>
      </c>
      <c r="S33" s="830">
        <v>0</v>
      </c>
      <c r="T33" s="830">
        <v>0</v>
      </c>
      <c r="U33" s="834">
        <v>0</v>
      </c>
      <c r="V33" s="832">
        <v>0</v>
      </c>
      <c r="W33" s="831">
        <v>0</v>
      </c>
      <c r="X33" s="783">
        <v>0</v>
      </c>
      <c r="Y33" s="830">
        <v>0</v>
      </c>
      <c r="Z33" s="833">
        <v>0</v>
      </c>
      <c r="AA33" s="802">
        <v>0</v>
      </c>
      <c r="AB33" s="835">
        <v>0</v>
      </c>
      <c r="AC33" s="1094">
        <v>0</v>
      </c>
      <c r="AD33" s="833">
        <v>0</v>
      </c>
      <c r="AE33" s="836">
        <v>0</v>
      </c>
      <c r="AF33" s="836">
        <v>0</v>
      </c>
      <c r="AG33" s="827">
        <f t="shared" si="1"/>
        <v>0</v>
      </c>
      <c r="AH33" s="827">
        <f t="shared" si="2"/>
        <v>0</v>
      </c>
      <c r="AI33" s="466">
        <f t="shared" si="3"/>
        <v>0</v>
      </c>
      <c r="AJ33" s="467" t="str">
        <f t="shared" si="4"/>
        <v xml:space="preserve"> </v>
      </c>
      <c r="AS33" s="139" t="s">
        <v>572</v>
      </c>
      <c r="AT33" s="139" t="s">
        <v>573</v>
      </c>
      <c r="DS33" s="648"/>
      <c r="DT33" s="648"/>
      <c r="DU33" s="667" t="s">
        <v>415</v>
      </c>
      <c r="DV33" s="667" t="s">
        <v>1188</v>
      </c>
      <c r="DW33" s="667" t="s">
        <v>1134</v>
      </c>
      <c r="DX33" s="667" t="s">
        <v>1134</v>
      </c>
      <c r="DY33" s="669" t="s">
        <v>1197</v>
      </c>
      <c r="DZ33" s="667" t="s">
        <v>1134</v>
      </c>
      <c r="EA33" s="670" t="s">
        <v>572</v>
      </c>
      <c r="EB33" s="667" t="s">
        <v>1135</v>
      </c>
      <c r="EC33" s="667" t="s">
        <v>1134</v>
      </c>
      <c r="ED33" s="667" t="s">
        <v>1136</v>
      </c>
    </row>
    <row r="34" spans="1:134" x14ac:dyDescent="0.2">
      <c r="A34" s="225" t="s">
        <v>125</v>
      </c>
      <c r="B34" s="632">
        <v>27</v>
      </c>
      <c r="C34" s="770">
        <v>38</v>
      </c>
      <c r="D34" s="830">
        <v>0</v>
      </c>
      <c r="E34" s="830">
        <v>0</v>
      </c>
      <c r="F34" s="866">
        <v>0</v>
      </c>
      <c r="G34" s="830">
        <v>0</v>
      </c>
      <c r="H34" s="830">
        <v>0</v>
      </c>
      <c r="I34" s="828">
        <f t="shared" si="0"/>
        <v>38</v>
      </c>
      <c r="J34" s="832">
        <v>0</v>
      </c>
      <c r="K34" s="832">
        <v>0</v>
      </c>
      <c r="L34" s="830">
        <v>0</v>
      </c>
      <c r="M34" s="802">
        <v>4</v>
      </c>
      <c r="N34" s="832">
        <v>0</v>
      </c>
      <c r="O34" s="833">
        <v>4</v>
      </c>
      <c r="P34" s="832">
        <v>0</v>
      </c>
      <c r="Q34" s="832">
        <v>0</v>
      </c>
      <c r="R34" s="781">
        <v>0</v>
      </c>
      <c r="S34" s="830">
        <v>0</v>
      </c>
      <c r="T34" s="830">
        <v>0</v>
      </c>
      <c r="U34" s="834">
        <v>0</v>
      </c>
      <c r="V34" s="832">
        <v>2</v>
      </c>
      <c r="W34" s="831">
        <v>0</v>
      </c>
      <c r="X34" s="783">
        <v>2</v>
      </c>
      <c r="Y34" s="830">
        <v>0</v>
      </c>
      <c r="Z34" s="833">
        <v>2</v>
      </c>
      <c r="AA34" s="802">
        <v>0</v>
      </c>
      <c r="AB34" s="835">
        <v>0</v>
      </c>
      <c r="AC34" s="1094">
        <v>0</v>
      </c>
      <c r="AD34" s="833">
        <v>0</v>
      </c>
      <c r="AE34" s="836">
        <v>0</v>
      </c>
      <c r="AF34" s="836">
        <v>0</v>
      </c>
      <c r="AG34" s="827">
        <f t="shared" si="1"/>
        <v>6</v>
      </c>
      <c r="AH34" s="827">
        <f t="shared" si="2"/>
        <v>44</v>
      </c>
      <c r="AI34" s="466">
        <f t="shared" si="3"/>
        <v>0</v>
      </c>
      <c r="AJ34" s="467" t="str">
        <f t="shared" si="4"/>
        <v xml:space="preserve"> </v>
      </c>
      <c r="AS34" s="139" t="s">
        <v>258</v>
      </c>
      <c r="AT34" s="139" t="s">
        <v>257</v>
      </c>
      <c r="DS34" s="648"/>
      <c r="DT34" s="648"/>
      <c r="DU34" s="667" t="s">
        <v>415</v>
      </c>
      <c r="DV34" s="667" t="s">
        <v>1188</v>
      </c>
      <c r="DW34" s="667" t="s">
        <v>1134</v>
      </c>
      <c r="DX34" s="667" t="s">
        <v>1134</v>
      </c>
      <c r="DY34" s="669" t="s">
        <v>1197</v>
      </c>
      <c r="DZ34" s="667" t="s">
        <v>1134</v>
      </c>
      <c r="EA34" s="670" t="s">
        <v>258</v>
      </c>
      <c r="EB34" s="667" t="s">
        <v>1135</v>
      </c>
      <c r="EC34" s="667" t="s">
        <v>1134</v>
      </c>
      <c r="ED34" s="667" t="s">
        <v>1136</v>
      </c>
    </row>
    <row r="35" spans="1:134" x14ac:dyDescent="0.2">
      <c r="A35" s="225" t="s">
        <v>126</v>
      </c>
      <c r="B35" s="632">
        <v>28</v>
      </c>
      <c r="C35" s="770">
        <v>0</v>
      </c>
      <c r="D35" s="830">
        <v>0</v>
      </c>
      <c r="E35" s="830">
        <v>0</v>
      </c>
      <c r="F35" s="866">
        <v>0</v>
      </c>
      <c r="G35" s="830">
        <v>0</v>
      </c>
      <c r="H35" s="830">
        <v>0</v>
      </c>
      <c r="I35" s="828">
        <f t="shared" si="0"/>
        <v>0</v>
      </c>
      <c r="J35" s="832">
        <v>0</v>
      </c>
      <c r="K35" s="832">
        <v>0</v>
      </c>
      <c r="L35" s="830">
        <v>0</v>
      </c>
      <c r="M35" s="802">
        <v>0</v>
      </c>
      <c r="N35" s="832">
        <v>0</v>
      </c>
      <c r="O35" s="833">
        <v>0</v>
      </c>
      <c r="P35" s="832">
        <v>0</v>
      </c>
      <c r="Q35" s="832">
        <v>0</v>
      </c>
      <c r="R35" s="781">
        <v>0</v>
      </c>
      <c r="S35" s="830">
        <v>0</v>
      </c>
      <c r="T35" s="830">
        <v>0</v>
      </c>
      <c r="U35" s="834">
        <v>0</v>
      </c>
      <c r="V35" s="832">
        <v>0</v>
      </c>
      <c r="W35" s="831">
        <v>0</v>
      </c>
      <c r="X35" s="783">
        <v>0</v>
      </c>
      <c r="Y35" s="830">
        <v>0</v>
      </c>
      <c r="Z35" s="833">
        <v>0</v>
      </c>
      <c r="AA35" s="802">
        <v>0</v>
      </c>
      <c r="AB35" s="835">
        <v>0</v>
      </c>
      <c r="AC35" s="1094">
        <v>0</v>
      </c>
      <c r="AD35" s="833">
        <v>0</v>
      </c>
      <c r="AE35" s="836">
        <v>0</v>
      </c>
      <c r="AF35" s="836">
        <v>0</v>
      </c>
      <c r="AG35" s="827">
        <f t="shared" si="1"/>
        <v>0</v>
      </c>
      <c r="AH35" s="827">
        <f t="shared" si="2"/>
        <v>0</v>
      </c>
      <c r="AI35" s="466">
        <f t="shared" si="3"/>
        <v>0</v>
      </c>
      <c r="AJ35" s="467" t="str">
        <f t="shared" si="4"/>
        <v xml:space="preserve"> </v>
      </c>
      <c r="AS35" s="139" t="s">
        <v>260</v>
      </c>
      <c r="AT35" s="139" t="s">
        <v>259</v>
      </c>
      <c r="DS35" s="648"/>
      <c r="DT35" s="648"/>
      <c r="DU35" s="667" t="s">
        <v>415</v>
      </c>
      <c r="DV35" s="667" t="s">
        <v>1188</v>
      </c>
      <c r="DW35" s="667" t="s">
        <v>1134</v>
      </c>
      <c r="DX35" s="667" t="s">
        <v>1134</v>
      </c>
      <c r="DY35" s="669" t="s">
        <v>1197</v>
      </c>
      <c r="DZ35" s="667" t="s">
        <v>1134</v>
      </c>
      <c r="EA35" s="670" t="s">
        <v>260</v>
      </c>
      <c r="EB35" s="667" t="s">
        <v>1135</v>
      </c>
      <c r="EC35" s="667" t="s">
        <v>1134</v>
      </c>
      <c r="ED35" s="667" t="s">
        <v>1136</v>
      </c>
    </row>
    <row r="36" spans="1:134" x14ac:dyDescent="0.2">
      <c r="A36" s="225" t="s">
        <v>127</v>
      </c>
      <c r="B36" s="632">
        <v>29</v>
      </c>
      <c r="C36" s="770">
        <v>0</v>
      </c>
      <c r="D36" s="830">
        <v>0</v>
      </c>
      <c r="E36" s="830">
        <v>0</v>
      </c>
      <c r="F36" s="866">
        <v>0</v>
      </c>
      <c r="G36" s="830">
        <v>0</v>
      </c>
      <c r="H36" s="830">
        <v>0</v>
      </c>
      <c r="I36" s="828">
        <f t="shared" si="0"/>
        <v>0</v>
      </c>
      <c r="J36" s="832">
        <v>0</v>
      </c>
      <c r="K36" s="832">
        <v>0</v>
      </c>
      <c r="L36" s="830">
        <v>0</v>
      </c>
      <c r="M36" s="802">
        <v>0</v>
      </c>
      <c r="N36" s="832">
        <v>0</v>
      </c>
      <c r="O36" s="833">
        <v>0</v>
      </c>
      <c r="P36" s="832">
        <v>0</v>
      </c>
      <c r="Q36" s="832">
        <v>0</v>
      </c>
      <c r="R36" s="781">
        <v>0</v>
      </c>
      <c r="S36" s="830">
        <v>0</v>
      </c>
      <c r="T36" s="830">
        <v>0</v>
      </c>
      <c r="U36" s="834">
        <v>0</v>
      </c>
      <c r="V36" s="832">
        <v>0</v>
      </c>
      <c r="W36" s="831">
        <v>0</v>
      </c>
      <c r="X36" s="783">
        <v>0</v>
      </c>
      <c r="Y36" s="830">
        <v>0</v>
      </c>
      <c r="Z36" s="833">
        <v>0</v>
      </c>
      <c r="AA36" s="802">
        <v>0</v>
      </c>
      <c r="AB36" s="835">
        <v>0</v>
      </c>
      <c r="AC36" s="1094">
        <v>0</v>
      </c>
      <c r="AD36" s="833">
        <v>0</v>
      </c>
      <c r="AE36" s="836">
        <v>0</v>
      </c>
      <c r="AF36" s="836">
        <v>0</v>
      </c>
      <c r="AG36" s="827">
        <f t="shared" si="1"/>
        <v>0</v>
      </c>
      <c r="AH36" s="827">
        <f t="shared" si="2"/>
        <v>0</v>
      </c>
      <c r="AI36" s="466">
        <f t="shared" si="3"/>
        <v>0</v>
      </c>
      <c r="AJ36" s="467" t="str">
        <f t="shared" si="4"/>
        <v xml:space="preserve"> </v>
      </c>
      <c r="AS36" s="139" t="s">
        <v>262</v>
      </c>
      <c r="AT36" s="139" t="s">
        <v>261</v>
      </c>
      <c r="DS36" s="648"/>
      <c r="DT36" s="648"/>
      <c r="DU36" s="667" t="s">
        <v>415</v>
      </c>
      <c r="DV36" s="667" t="s">
        <v>1188</v>
      </c>
      <c r="DW36" s="667" t="s">
        <v>1134</v>
      </c>
      <c r="DX36" s="667" t="s">
        <v>1134</v>
      </c>
      <c r="DY36" s="669" t="s">
        <v>1197</v>
      </c>
      <c r="DZ36" s="667" t="s">
        <v>1134</v>
      </c>
      <c r="EA36" s="670" t="s">
        <v>262</v>
      </c>
      <c r="EB36" s="667" t="s">
        <v>1135</v>
      </c>
      <c r="EC36" s="667" t="s">
        <v>1134</v>
      </c>
      <c r="ED36" s="667" t="s">
        <v>1136</v>
      </c>
    </row>
    <row r="37" spans="1:134" x14ac:dyDescent="0.2">
      <c r="A37" s="225" t="s">
        <v>983</v>
      </c>
      <c r="B37" s="632">
        <v>30</v>
      </c>
      <c r="C37" s="770">
        <v>0</v>
      </c>
      <c r="D37" s="830">
        <v>0</v>
      </c>
      <c r="E37" s="830">
        <v>0</v>
      </c>
      <c r="F37" s="866">
        <v>0</v>
      </c>
      <c r="G37" s="830">
        <v>0</v>
      </c>
      <c r="H37" s="830">
        <v>0</v>
      </c>
      <c r="I37" s="828">
        <f t="shared" si="0"/>
        <v>0</v>
      </c>
      <c r="J37" s="832">
        <v>0</v>
      </c>
      <c r="K37" s="832">
        <v>0</v>
      </c>
      <c r="L37" s="830">
        <v>0</v>
      </c>
      <c r="M37" s="802">
        <v>0</v>
      </c>
      <c r="N37" s="832">
        <v>0</v>
      </c>
      <c r="O37" s="833">
        <v>0</v>
      </c>
      <c r="P37" s="832">
        <v>0</v>
      </c>
      <c r="Q37" s="832">
        <v>0</v>
      </c>
      <c r="R37" s="781">
        <v>0</v>
      </c>
      <c r="S37" s="830">
        <v>0</v>
      </c>
      <c r="T37" s="830">
        <v>0</v>
      </c>
      <c r="U37" s="834">
        <v>0</v>
      </c>
      <c r="V37" s="832">
        <v>0</v>
      </c>
      <c r="W37" s="831">
        <v>0</v>
      </c>
      <c r="X37" s="783">
        <v>0</v>
      </c>
      <c r="Y37" s="830">
        <v>0</v>
      </c>
      <c r="Z37" s="833">
        <v>0</v>
      </c>
      <c r="AA37" s="802">
        <v>0</v>
      </c>
      <c r="AB37" s="835">
        <v>0</v>
      </c>
      <c r="AC37" s="1094">
        <v>0</v>
      </c>
      <c r="AD37" s="833">
        <v>0</v>
      </c>
      <c r="AE37" s="836">
        <v>0</v>
      </c>
      <c r="AF37" s="836">
        <v>0</v>
      </c>
      <c r="AG37" s="827">
        <f t="shared" si="1"/>
        <v>0</v>
      </c>
      <c r="AH37" s="827">
        <f t="shared" si="2"/>
        <v>0</v>
      </c>
      <c r="AI37" s="466">
        <f t="shared" si="3"/>
        <v>0</v>
      </c>
      <c r="AJ37" s="467" t="str">
        <f t="shared" si="4"/>
        <v xml:space="preserve"> </v>
      </c>
      <c r="AS37" s="139" t="s">
        <v>929</v>
      </c>
      <c r="AT37" s="139" t="s">
        <v>928</v>
      </c>
      <c r="DS37" s="648"/>
      <c r="DT37" s="648"/>
      <c r="DU37" s="667" t="s">
        <v>415</v>
      </c>
      <c r="DV37" s="667" t="s">
        <v>1188</v>
      </c>
      <c r="DW37" s="667" t="s">
        <v>1134</v>
      </c>
      <c r="DX37" s="667" t="s">
        <v>1134</v>
      </c>
      <c r="DY37" s="669" t="s">
        <v>1197</v>
      </c>
      <c r="DZ37" s="667" t="s">
        <v>1134</v>
      </c>
      <c r="EA37" s="670" t="s">
        <v>929</v>
      </c>
      <c r="EB37" s="667" t="s">
        <v>1135</v>
      </c>
      <c r="EC37" s="667" t="s">
        <v>1134</v>
      </c>
      <c r="ED37" s="667" t="s">
        <v>1136</v>
      </c>
    </row>
    <row r="38" spans="1:134" x14ac:dyDescent="0.2">
      <c r="A38" s="225" t="s">
        <v>561</v>
      </c>
      <c r="B38" s="632">
        <v>31</v>
      </c>
      <c r="C38" s="770">
        <v>0</v>
      </c>
      <c r="D38" s="830">
        <v>0</v>
      </c>
      <c r="E38" s="830">
        <v>0</v>
      </c>
      <c r="F38" s="866">
        <v>0</v>
      </c>
      <c r="G38" s="830">
        <v>0</v>
      </c>
      <c r="H38" s="830">
        <v>0</v>
      </c>
      <c r="I38" s="828">
        <f t="shared" si="0"/>
        <v>0</v>
      </c>
      <c r="J38" s="832">
        <v>0</v>
      </c>
      <c r="K38" s="832">
        <v>0</v>
      </c>
      <c r="L38" s="830">
        <v>0</v>
      </c>
      <c r="M38" s="802">
        <v>0</v>
      </c>
      <c r="N38" s="832">
        <v>0</v>
      </c>
      <c r="O38" s="833">
        <v>0</v>
      </c>
      <c r="P38" s="832">
        <v>0</v>
      </c>
      <c r="Q38" s="832">
        <v>0</v>
      </c>
      <c r="R38" s="781">
        <v>0</v>
      </c>
      <c r="S38" s="830">
        <v>0</v>
      </c>
      <c r="T38" s="830">
        <v>0</v>
      </c>
      <c r="U38" s="834">
        <v>0</v>
      </c>
      <c r="V38" s="832">
        <v>0</v>
      </c>
      <c r="W38" s="831">
        <v>0</v>
      </c>
      <c r="X38" s="783">
        <v>0</v>
      </c>
      <c r="Y38" s="830">
        <v>0</v>
      </c>
      <c r="Z38" s="833">
        <v>0</v>
      </c>
      <c r="AA38" s="802">
        <v>0</v>
      </c>
      <c r="AB38" s="835">
        <v>0</v>
      </c>
      <c r="AC38" s="1094">
        <v>0</v>
      </c>
      <c r="AD38" s="833">
        <v>0</v>
      </c>
      <c r="AE38" s="836">
        <v>0</v>
      </c>
      <c r="AF38" s="836">
        <v>0</v>
      </c>
      <c r="AG38" s="827">
        <f t="shared" si="1"/>
        <v>0</v>
      </c>
      <c r="AH38" s="827">
        <f t="shared" si="2"/>
        <v>0</v>
      </c>
      <c r="AI38" s="466">
        <f t="shared" si="3"/>
        <v>0</v>
      </c>
      <c r="AJ38" s="467" t="str">
        <f t="shared" si="4"/>
        <v xml:space="preserve"> </v>
      </c>
      <c r="AS38" s="139" t="s">
        <v>515</v>
      </c>
      <c r="AT38" s="139" t="s">
        <v>516</v>
      </c>
      <c r="DS38" s="648"/>
      <c r="DT38" s="648"/>
      <c r="DU38" s="667" t="s">
        <v>415</v>
      </c>
      <c r="DV38" s="667" t="s">
        <v>1188</v>
      </c>
      <c r="DW38" s="667" t="s">
        <v>1134</v>
      </c>
      <c r="DX38" s="667" t="s">
        <v>1134</v>
      </c>
      <c r="DY38" s="669" t="s">
        <v>1197</v>
      </c>
      <c r="DZ38" s="667" t="s">
        <v>1134</v>
      </c>
      <c r="EA38" s="670" t="s">
        <v>515</v>
      </c>
      <c r="EB38" s="667" t="s">
        <v>1135</v>
      </c>
      <c r="EC38" s="667" t="s">
        <v>1134</v>
      </c>
      <c r="ED38" s="667" t="s">
        <v>1136</v>
      </c>
    </row>
    <row r="39" spans="1:134" x14ac:dyDescent="0.2">
      <c r="A39" s="225" t="s">
        <v>562</v>
      </c>
      <c r="B39" s="632">
        <v>32</v>
      </c>
      <c r="C39" s="770">
        <v>0</v>
      </c>
      <c r="D39" s="830">
        <v>0</v>
      </c>
      <c r="E39" s="830">
        <v>0</v>
      </c>
      <c r="F39" s="866">
        <v>0</v>
      </c>
      <c r="G39" s="830">
        <v>0</v>
      </c>
      <c r="H39" s="830">
        <v>0</v>
      </c>
      <c r="I39" s="828">
        <f t="shared" si="0"/>
        <v>0</v>
      </c>
      <c r="J39" s="832">
        <v>0</v>
      </c>
      <c r="K39" s="832">
        <v>0</v>
      </c>
      <c r="L39" s="830">
        <v>0</v>
      </c>
      <c r="M39" s="802">
        <v>0</v>
      </c>
      <c r="N39" s="832">
        <v>0</v>
      </c>
      <c r="O39" s="833">
        <v>0</v>
      </c>
      <c r="P39" s="832">
        <v>0</v>
      </c>
      <c r="Q39" s="832">
        <v>0</v>
      </c>
      <c r="R39" s="781">
        <v>0</v>
      </c>
      <c r="S39" s="830">
        <v>0</v>
      </c>
      <c r="T39" s="830">
        <v>0</v>
      </c>
      <c r="U39" s="834">
        <v>0</v>
      </c>
      <c r="V39" s="832">
        <v>0</v>
      </c>
      <c r="W39" s="831">
        <v>0</v>
      </c>
      <c r="X39" s="783">
        <v>0</v>
      </c>
      <c r="Y39" s="830">
        <v>0</v>
      </c>
      <c r="Z39" s="833">
        <v>0</v>
      </c>
      <c r="AA39" s="802">
        <v>0</v>
      </c>
      <c r="AB39" s="835">
        <v>0</v>
      </c>
      <c r="AC39" s="1094">
        <v>0</v>
      </c>
      <c r="AD39" s="833">
        <v>0</v>
      </c>
      <c r="AE39" s="836">
        <v>0</v>
      </c>
      <c r="AF39" s="836">
        <v>0</v>
      </c>
      <c r="AG39" s="827">
        <f t="shared" si="1"/>
        <v>0</v>
      </c>
      <c r="AH39" s="827">
        <f t="shared" si="2"/>
        <v>0</v>
      </c>
      <c r="AI39" s="466">
        <f t="shared" si="3"/>
        <v>0</v>
      </c>
      <c r="AJ39" s="467" t="str">
        <f t="shared" si="4"/>
        <v xml:space="preserve"> </v>
      </c>
      <c r="AS39" s="139" t="s">
        <v>517</v>
      </c>
      <c r="AT39" s="139" t="s">
        <v>518</v>
      </c>
      <c r="DS39" s="648"/>
      <c r="DT39" s="648"/>
      <c r="DU39" s="667" t="s">
        <v>415</v>
      </c>
      <c r="DV39" s="667" t="s">
        <v>1188</v>
      </c>
      <c r="DW39" s="667" t="s">
        <v>1134</v>
      </c>
      <c r="DX39" s="667" t="s">
        <v>1134</v>
      </c>
      <c r="DY39" s="669" t="s">
        <v>1197</v>
      </c>
      <c r="DZ39" s="667" t="s">
        <v>1134</v>
      </c>
      <c r="EA39" s="670" t="s">
        <v>517</v>
      </c>
      <c r="EB39" s="667" t="s">
        <v>1135</v>
      </c>
      <c r="EC39" s="667" t="s">
        <v>1134</v>
      </c>
      <c r="ED39" s="667" t="s">
        <v>1136</v>
      </c>
    </row>
    <row r="40" spans="1:134" x14ac:dyDescent="0.2">
      <c r="A40" s="225" t="s">
        <v>128</v>
      </c>
      <c r="B40" s="632">
        <v>33</v>
      </c>
      <c r="C40" s="770">
        <v>0</v>
      </c>
      <c r="D40" s="830">
        <v>0</v>
      </c>
      <c r="E40" s="830">
        <v>0</v>
      </c>
      <c r="F40" s="866">
        <v>0</v>
      </c>
      <c r="G40" s="830">
        <v>0</v>
      </c>
      <c r="H40" s="830">
        <v>0</v>
      </c>
      <c r="I40" s="828">
        <f t="shared" si="0"/>
        <v>0</v>
      </c>
      <c r="J40" s="832">
        <v>0</v>
      </c>
      <c r="K40" s="832">
        <v>0</v>
      </c>
      <c r="L40" s="830">
        <v>0</v>
      </c>
      <c r="M40" s="802">
        <v>0</v>
      </c>
      <c r="N40" s="832">
        <v>0</v>
      </c>
      <c r="O40" s="833">
        <v>0</v>
      </c>
      <c r="P40" s="832">
        <v>0</v>
      </c>
      <c r="Q40" s="832">
        <v>0</v>
      </c>
      <c r="R40" s="781">
        <v>0</v>
      </c>
      <c r="S40" s="830">
        <v>0</v>
      </c>
      <c r="T40" s="830">
        <v>0</v>
      </c>
      <c r="U40" s="834">
        <v>0</v>
      </c>
      <c r="V40" s="832">
        <v>0</v>
      </c>
      <c r="W40" s="831">
        <v>0</v>
      </c>
      <c r="X40" s="783">
        <v>0</v>
      </c>
      <c r="Y40" s="830">
        <v>0</v>
      </c>
      <c r="Z40" s="833">
        <v>0</v>
      </c>
      <c r="AA40" s="802">
        <v>0</v>
      </c>
      <c r="AB40" s="835">
        <v>0</v>
      </c>
      <c r="AC40" s="1094">
        <v>0</v>
      </c>
      <c r="AD40" s="833">
        <v>0</v>
      </c>
      <c r="AE40" s="836">
        <v>0</v>
      </c>
      <c r="AF40" s="836">
        <v>0</v>
      </c>
      <c r="AG40" s="827">
        <f t="shared" si="1"/>
        <v>0</v>
      </c>
      <c r="AH40" s="827">
        <f t="shared" si="2"/>
        <v>0</v>
      </c>
      <c r="AI40" s="466">
        <f t="shared" si="3"/>
        <v>0</v>
      </c>
      <c r="AJ40" s="467" t="str">
        <f t="shared" si="4"/>
        <v xml:space="preserve"> </v>
      </c>
      <c r="AS40" s="139" t="s">
        <v>264</v>
      </c>
      <c r="AT40" s="139" t="s">
        <v>263</v>
      </c>
      <c r="DS40" s="648"/>
      <c r="DT40" s="648"/>
      <c r="DU40" s="667" t="s">
        <v>415</v>
      </c>
      <c r="DV40" s="667" t="s">
        <v>1188</v>
      </c>
      <c r="DW40" s="667" t="s">
        <v>1134</v>
      </c>
      <c r="DX40" s="667" t="s">
        <v>1134</v>
      </c>
      <c r="DY40" s="669" t="s">
        <v>1197</v>
      </c>
      <c r="DZ40" s="667" t="s">
        <v>1134</v>
      </c>
      <c r="EA40" s="670" t="s">
        <v>264</v>
      </c>
      <c r="EB40" s="667" t="s">
        <v>1135</v>
      </c>
      <c r="EC40" s="667" t="s">
        <v>1134</v>
      </c>
      <c r="ED40" s="667" t="s">
        <v>1136</v>
      </c>
    </row>
    <row r="41" spans="1:134" x14ac:dyDescent="0.2">
      <c r="A41" s="225" t="s">
        <v>151</v>
      </c>
      <c r="B41" s="632">
        <v>34</v>
      </c>
      <c r="C41" s="770">
        <v>0</v>
      </c>
      <c r="D41" s="830">
        <v>0</v>
      </c>
      <c r="E41" s="830">
        <v>0</v>
      </c>
      <c r="F41" s="866">
        <v>0</v>
      </c>
      <c r="G41" s="830">
        <v>0</v>
      </c>
      <c r="H41" s="830">
        <v>0</v>
      </c>
      <c r="I41" s="828">
        <f t="shared" si="0"/>
        <v>0</v>
      </c>
      <c r="J41" s="832">
        <v>0</v>
      </c>
      <c r="K41" s="832">
        <v>0</v>
      </c>
      <c r="L41" s="830">
        <v>0</v>
      </c>
      <c r="M41" s="802">
        <v>0</v>
      </c>
      <c r="N41" s="832">
        <v>0</v>
      </c>
      <c r="O41" s="833">
        <v>0</v>
      </c>
      <c r="P41" s="832">
        <v>0</v>
      </c>
      <c r="Q41" s="832">
        <v>0</v>
      </c>
      <c r="R41" s="781">
        <v>0</v>
      </c>
      <c r="S41" s="830">
        <v>0</v>
      </c>
      <c r="T41" s="830">
        <v>0</v>
      </c>
      <c r="U41" s="834">
        <v>0</v>
      </c>
      <c r="V41" s="832">
        <v>0</v>
      </c>
      <c r="W41" s="831">
        <v>0</v>
      </c>
      <c r="X41" s="783">
        <v>0</v>
      </c>
      <c r="Y41" s="830">
        <v>0</v>
      </c>
      <c r="Z41" s="833">
        <v>0</v>
      </c>
      <c r="AA41" s="802">
        <v>0</v>
      </c>
      <c r="AB41" s="835">
        <v>0</v>
      </c>
      <c r="AC41" s="1094">
        <v>0</v>
      </c>
      <c r="AD41" s="833">
        <v>0</v>
      </c>
      <c r="AE41" s="836">
        <v>0</v>
      </c>
      <c r="AF41" s="836">
        <v>0</v>
      </c>
      <c r="AG41" s="827">
        <f t="shared" si="1"/>
        <v>0</v>
      </c>
      <c r="AH41" s="827">
        <f t="shared" si="2"/>
        <v>0</v>
      </c>
      <c r="AI41" s="466">
        <f t="shared" si="3"/>
        <v>0</v>
      </c>
      <c r="AJ41" s="467" t="str">
        <f t="shared" si="4"/>
        <v xml:space="preserve"> </v>
      </c>
      <c r="AS41" s="139" t="s">
        <v>469</v>
      </c>
      <c r="AT41" s="139" t="s">
        <v>470</v>
      </c>
      <c r="DS41" s="648"/>
      <c r="DT41" s="648"/>
      <c r="DU41" s="667" t="s">
        <v>415</v>
      </c>
      <c r="DV41" s="667" t="s">
        <v>1188</v>
      </c>
      <c r="DW41" s="667" t="s">
        <v>1134</v>
      </c>
      <c r="DX41" s="667" t="s">
        <v>1134</v>
      </c>
      <c r="DY41" s="669" t="s">
        <v>1197</v>
      </c>
      <c r="DZ41" s="667" t="s">
        <v>1134</v>
      </c>
      <c r="EA41" s="670" t="s">
        <v>469</v>
      </c>
      <c r="EB41" s="667" t="s">
        <v>1135</v>
      </c>
      <c r="EC41" s="667" t="s">
        <v>1134</v>
      </c>
      <c r="ED41" s="667" t="s">
        <v>1136</v>
      </c>
    </row>
    <row r="42" spans="1:134" x14ac:dyDescent="0.2">
      <c r="A42" s="225" t="s">
        <v>129</v>
      </c>
      <c r="B42" s="632">
        <v>35</v>
      </c>
      <c r="C42" s="770">
        <v>0</v>
      </c>
      <c r="D42" s="830">
        <v>0</v>
      </c>
      <c r="E42" s="830">
        <v>0</v>
      </c>
      <c r="F42" s="866">
        <v>0</v>
      </c>
      <c r="G42" s="830">
        <v>0</v>
      </c>
      <c r="H42" s="830">
        <v>0</v>
      </c>
      <c r="I42" s="828">
        <f t="shared" si="0"/>
        <v>0</v>
      </c>
      <c r="J42" s="832">
        <v>0</v>
      </c>
      <c r="K42" s="832">
        <v>0</v>
      </c>
      <c r="L42" s="830">
        <v>0</v>
      </c>
      <c r="M42" s="802">
        <v>0</v>
      </c>
      <c r="N42" s="832">
        <v>0</v>
      </c>
      <c r="O42" s="833">
        <v>0</v>
      </c>
      <c r="P42" s="832">
        <v>0</v>
      </c>
      <c r="Q42" s="832">
        <v>0</v>
      </c>
      <c r="R42" s="781">
        <v>0</v>
      </c>
      <c r="S42" s="830">
        <v>0</v>
      </c>
      <c r="T42" s="830">
        <v>0</v>
      </c>
      <c r="U42" s="834">
        <v>0</v>
      </c>
      <c r="V42" s="832">
        <v>0</v>
      </c>
      <c r="W42" s="831">
        <v>0</v>
      </c>
      <c r="X42" s="783">
        <v>0</v>
      </c>
      <c r="Y42" s="830">
        <v>0</v>
      </c>
      <c r="Z42" s="833">
        <v>0</v>
      </c>
      <c r="AA42" s="802">
        <v>0</v>
      </c>
      <c r="AB42" s="835">
        <v>0</v>
      </c>
      <c r="AC42" s="1094">
        <v>0</v>
      </c>
      <c r="AD42" s="833">
        <v>0</v>
      </c>
      <c r="AE42" s="836">
        <v>0</v>
      </c>
      <c r="AF42" s="836">
        <v>0</v>
      </c>
      <c r="AG42" s="827">
        <f t="shared" si="1"/>
        <v>0</v>
      </c>
      <c r="AH42" s="827">
        <f t="shared" si="2"/>
        <v>0</v>
      </c>
      <c r="AI42" s="466">
        <f t="shared" si="3"/>
        <v>0</v>
      </c>
      <c r="AJ42" s="467" t="str">
        <f t="shared" si="4"/>
        <v xml:space="preserve"> </v>
      </c>
      <c r="AS42" s="139" t="s">
        <v>266</v>
      </c>
      <c r="AT42" s="139" t="s">
        <v>265</v>
      </c>
      <c r="DS42" s="648"/>
      <c r="DT42" s="648"/>
      <c r="DU42" s="667" t="s">
        <v>415</v>
      </c>
      <c r="DV42" s="667" t="s">
        <v>1188</v>
      </c>
      <c r="DW42" s="667" t="s">
        <v>1134</v>
      </c>
      <c r="DX42" s="667" t="s">
        <v>1134</v>
      </c>
      <c r="DY42" s="669" t="s">
        <v>1197</v>
      </c>
      <c r="DZ42" s="667" t="s">
        <v>1134</v>
      </c>
      <c r="EA42" s="670" t="s">
        <v>266</v>
      </c>
      <c r="EB42" s="667" t="s">
        <v>1135</v>
      </c>
      <c r="EC42" s="667" t="s">
        <v>1134</v>
      </c>
      <c r="ED42" s="667" t="s">
        <v>1136</v>
      </c>
    </row>
    <row r="43" spans="1:134" x14ac:dyDescent="0.2">
      <c r="A43" s="225" t="s">
        <v>939</v>
      </c>
      <c r="B43" s="632">
        <v>36</v>
      </c>
      <c r="C43" s="770">
        <v>0</v>
      </c>
      <c r="D43" s="830">
        <v>0</v>
      </c>
      <c r="E43" s="830">
        <v>0</v>
      </c>
      <c r="F43" s="866">
        <v>0</v>
      </c>
      <c r="G43" s="830">
        <v>0</v>
      </c>
      <c r="H43" s="830">
        <v>0</v>
      </c>
      <c r="I43" s="828">
        <f t="shared" si="0"/>
        <v>0</v>
      </c>
      <c r="J43" s="832">
        <v>0</v>
      </c>
      <c r="K43" s="832">
        <v>0</v>
      </c>
      <c r="L43" s="830">
        <v>0</v>
      </c>
      <c r="M43" s="802">
        <v>0</v>
      </c>
      <c r="N43" s="832">
        <v>0</v>
      </c>
      <c r="O43" s="833">
        <v>0</v>
      </c>
      <c r="P43" s="832">
        <v>0</v>
      </c>
      <c r="Q43" s="832">
        <v>0</v>
      </c>
      <c r="R43" s="781">
        <v>0</v>
      </c>
      <c r="S43" s="830">
        <v>0</v>
      </c>
      <c r="T43" s="830">
        <v>0</v>
      </c>
      <c r="U43" s="834">
        <v>0</v>
      </c>
      <c r="V43" s="832">
        <v>0</v>
      </c>
      <c r="W43" s="831">
        <v>0</v>
      </c>
      <c r="X43" s="783">
        <v>0</v>
      </c>
      <c r="Y43" s="830">
        <v>0</v>
      </c>
      <c r="Z43" s="833">
        <v>0</v>
      </c>
      <c r="AA43" s="802">
        <v>0</v>
      </c>
      <c r="AB43" s="835">
        <v>0</v>
      </c>
      <c r="AC43" s="1094">
        <v>0</v>
      </c>
      <c r="AD43" s="833">
        <v>0</v>
      </c>
      <c r="AE43" s="836">
        <v>0</v>
      </c>
      <c r="AF43" s="836">
        <v>0</v>
      </c>
      <c r="AG43" s="827">
        <f t="shared" si="1"/>
        <v>0</v>
      </c>
      <c r="AH43" s="827">
        <f t="shared" si="2"/>
        <v>0</v>
      </c>
      <c r="AI43" s="466">
        <f t="shared" si="3"/>
        <v>0</v>
      </c>
      <c r="AJ43" s="467" t="str">
        <f t="shared" si="4"/>
        <v xml:space="preserve"> </v>
      </c>
      <c r="AS43" s="139" t="s">
        <v>519</v>
      </c>
      <c r="AT43" s="139" t="s">
        <v>520</v>
      </c>
      <c r="DS43" s="648"/>
      <c r="DT43" s="648"/>
      <c r="DU43" s="667" t="s">
        <v>415</v>
      </c>
      <c r="DV43" s="667" t="s">
        <v>1188</v>
      </c>
      <c r="DW43" s="667" t="s">
        <v>1134</v>
      </c>
      <c r="DX43" s="667" t="s">
        <v>1134</v>
      </c>
      <c r="DY43" s="669" t="s">
        <v>1197</v>
      </c>
      <c r="DZ43" s="667" t="s">
        <v>1134</v>
      </c>
      <c r="EA43" s="670" t="s">
        <v>519</v>
      </c>
      <c r="EB43" s="667" t="s">
        <v>1135</v>
      </c>
      <c r="EC43" s="667" t="s">
        <v>1134</v>
      </c>
      <c r="ED43" s="667" t="s">
        <v>1136</v>
      </c>
    </row>
    <row r="44" spans="1:134" x14ac:dyDescent="0.2">
      <c r="A44" s="225" t="s">
        <v>568</v>
      </c>
      <c r="B44" s="632">
        <v>37</v>
      </c>
      <c r="C44" s="770">
        <v>0</v>
      </c>
      <c r="D44" s="830">
        <v>0</v>
      </c>
      <c r="E44" s="830">
        <v>0</v>
      </c>
      <c r="F44" s="866">
        <v>0</v>
      </c>
      <c r="G44" s="830">
        <v>0</v>
      </c>
      <c r="H44" s="830">
        <v>0</v>
      </c>
      <c r="I44" s="828">
        <f t="shared" si="0"/>
        <v>0</v>
      </c>
      <c r="J44" s="832">
        <v>0</v>
      </c>
      <c r="K44" s="832">
        <v>0</v>
      </c>
      <c r="L44" s="830">
        <v>0</v>
      </c>
      <c r="M44" s="802">
        <v>0</v>
      </c>
      <c r="N44" s="832">
        <v>0</v>
      </c>
      <c r="O44" s="833">
        <v>0</v>
      </c>
      <c r="P44" s="832">
        <v>0</v>
      </c>
      <c r="Q44" s="832">
        <v>0</v>
      </c>
      <c r="R44" s="781">
        <v>0</v>
      </c>
      <c r="S44" s="830">
        <v>0</v>
      </c>
      <c r="T44" s="830">
        <v>0</v>
      </c>
      <c r="U44" s="834">
        <v>0</v>
      </c>
      <c r="V44" s="832">
        <v>0</v>
      </c>
      <c r="W44" s="831">
        <v>0</v>
      </c>
      <c r="X44" s="783">
        <v>0</v>
      </c>
      <c r="Y44" s="830">
        <v>0</v>
      </c>
      <c r="Z44" s="833">
        <v>0</v>
      </c>
      <c r="AA44" s="802">
        <v>0</v>
      </c>
      <c r="AB44" s="835">
        <v>0</v>
      </c>
      <c r="AC44" s="1094">
        <v>0</v>
      </c>
      <c r="AD44" s="833">
        <v>0</v>
      </c>
      <c r="AE44" s="836">
        <v>0</v>
      </c>
      <c r="AF44" s="836">
        <v>0</v>
      </c>
      <c r="AG44" s="827">
        <f t="shared" si="1"/>
        <v>0</v>
      </c>
      <c r="AH44" s="827">
        <f t="shared" si="2"/>
        <v>0</v>
      </c>
      <c r="AI44" s="466">
        <f t="shared" si="3"/>
        <v>0</v>
      </c>
      <c r="AJ44" s="467" t="str">
        <f t="shared" si="4"/>
        <v xml:space="preserve"> </v>
      </c>
      <c r="AS44" s="139" t="s">
        <v>542</v>
      </c>
      <c r="AT44" s="139" t="s">
        <v>543</v>
      </c>
      <c r="DS44" s="648"/>
      <c r="DT44" s="648"/>
      <c r="DU44" s="667" t="s">
        <v>415</v>
      </c>
      <c r="DV44" s="667" t="s">
        <v>1188</v>
      </c>
      <c r="DW44" s="667" t="s">
        <v>1134</v>
      </c>
      <c r="DX44" s="667" t="s">
        <v>1134</v>
      </c>
      <c r="DY44" s="669" t="s">
        <v>1197</v>
      </c>
      <c r="DZ44" s="667" t="s">
        <v>1134</v>
      </c>
      <c r="EA44" s="670" t="s">
        <v>542</v>
      </c>
      <c r="EB44" s="667" t="s">
        <v>1135</v>
      </c>
      <c r="EC44" s="667" t="s">
        <v>1134</v>
      </c>
      <c r="ED44" s="667" t="s">
        <v>1136</v>
      </c>
    </row>
    <row r="45" spans="1:134" x14ac:dyDescent="0.2">
      <c r="A45" s="225" t="s">
        <v>130</v>
      </c>
      <c r="B45" s="632">
        <v>38</v>
      </c>
      <c r="C45" s="770">
        <v>0</v>
      </c>
      <c r="D45" s="830">
        <v>0</v>
      </c>
      <c r="E45" s="830">
        <v>0</v>
      </c>
      <c r="F45" s="866">
        <v>0</v>
      </c>
      <c r="G45" s="830">
        <v>0</v>
      </c>
      <c r="H45" s="830">
        <v>0</v>
      </c>
      <c r="I45" s="828">
        <f t="shared" si="0"/>
        <v>0</v>
      </c>
      <c r="J45" s="832">
        <v>0</v>
      </c>
      <c r="K45" s="832">
        <v>0</v>
      </c>
      <c r="L45" s="830">
        <v>0</v>
      </c>
      <c r="M45" s="802">
        <v>0</v>
      </c>
      <c r="N45" s="832">
        <v>0</v>
      </c>
      <c r="O45" s="833">
        <v>0</v>
      </c>
      <c r="P45" s="832">
        <v>0</v>
      </c>
      <c r="Q45" s="832">
        <v>0</v>
      </c>
      <c r="R45" s="781">
        <v>0</v>
      </c>
      <c r="S45" s="830">
        <v>0</v>
      </c>
      <c r="T45" s="830">
        <v>0</v>
      </c>
      <c r="U45" s="834">
        <v>0</v>
      </c>
      <c r="V45" s="832">
        <v>0</v>
      </c>
      <c r="W45" s="831">
        <v>0</v>
      </c>
      <c r="X45" s="783">
        <v>0</v>
      </c>
      <c r="Y45" s="830">
        <v>0</v>
      </c>
      <c r="Z45" s="833">
        <v>0</v>
      </c>
      <c r="AA45" s="802">
        <v>0</v>
      </c>
      <c r="AB45" s="835">
        <v>0</v>
      </c>
      <c r="AC45" s="1094">
        <v>0</v>
      </c>
      <c r="AD45" s="833">
        <v>0</v>
      </c>
      <c r="AE45" s="836">
        <v>0</v>
      </c>
      <c r="AF45" s="836">
        <v>0</v>
      </c>
      <c r="AG45" s="827">
        <f t="shared" si="1"/>
        <v>0</v>
      </c>
      <c r="AH45" s="827">
        <f t="shared" si="2"/>
        <v>0</v>
      </c>
      <c r="AI45" s="466">
        <f t="shared" si="3"/>
        <v>0</v>
      </c>
      <c r="AJ45" s="467" t="str">
        <f t="shared" si="4"/>
        <v xml:space="preserve"> </v>
      </c>
      <c r="AS45" s="139" t="s">
        <v>268</v>
      </c>
      <c r="AT45" s="139" t="s">
        <v>267</v>
      </c>
      <c r="DS45" s="648"/>
      <c r="DT45" s="648"/>
      <c r="DU45" s="667" t="s">
        <v>415</v>
      </c>
      <c r="DV45" s="667" t="s">
        <v>1188</v>
      </c>
      <c r="DW45" s="667" t="s">
        <v>1134</v>
      </c>
      <c r="DX45" s="667" t="s">
        <v>1134</v>
      </c>
      <c r="DY45" s="669" t="s">
        <v>1197</v>
      </c>
      <c r="DZ45" s="667" t="s">
        <v>1134</v>
      </c>
      <c r="EA45" s="670" t="s">
        <v>268</v>
      </c>
      <c r="EB45" s="667" t="s">
        <v>1135</v>
      </c>
      <c r="EC45" s="667" t="s">
        <v>1134</v>
      </c>
      <c r="ED45" s="667" t="s">
        <v>1136</v>
      </c>
    </row>
    <row r="46" spans="1:134" x14ac:dyDescent="0.2">
      <c r="A46" s="427" t="s">
        <v>131</v>
      </c>
      <c r="B46" s="632">
        <v>39</v>
      </c>
      <c r="C46" s="770">
        <v>0</v>
      </c>
      <c r="D46" s="830">
        <v>0</v>
      </c>
      <c r="E46" s="830">
        <v>0</v>
      </c>
      <c r="F46" s="866">
        <v>0</v>
      </c>
      <c r="G46" s="830">
        <v>0</v>
      </c>
      <c r="H46" s="830">
        <v>0</v>
      </c>
      <c r="I46" s="828">
        <f t="shared" si="0"/>
        <v>0</v>
      </c>
      <c r="J46" s="832">
        <v>0</v>
      </c>
      <c r="K46" s="832">
        <v>0</v>
      </c>
      <c r="L46" s="830">
        <v>0</v>
      </c>
      <c r="M46" s="802">
        <v>0</v>
      </c>
      <c r="N46" s="832">
        <v>0</v>
      </c>
      <c r="O46" s="833">
        <v>0</v>
      </c>
      <c r="P46" s="832">
        <v>0</v>
      </c>
      <c r="Q46" s="832">
        <v>0</v>
      </c>
      <c r="R46" s="781">
        <v>0</v>
      </c>
      <c r="S46" s="830">
        <v>0</v>
      </c>
      <c r="T46" s="830">
        <v>0</v>
      </c>
      <c r="U46" s="834">
        <v>0</v>
      </c>
      <c r="V46" s="832">
        <v>0</v>
      </c>
      <c r="W46" s="831">
        <v>0</v>
      </c>
      <c r="X46" s="783">
        <v>0</v>
      </c>
      <c r="Y46" s="830">
        <v>0</v>
      </c>
      <c r="Z46" s="833">
        <v>0</v>
      </c>
      <c r="AA46" s="802">
        <v>0</v>
      </c>
      <c r="AB46" s="835">
        <v>0</v>
      </c>
      <c r="AC46" s="1094">
        <v>0</v>
      </c>
      <c r="AD46" s="833">
        <v>0</v>
      </c>
      <c r="AE46" s="836">
        <v>0</v>
      </c>
      <c r="AF46" s="836">
        <v>0</v>
      </c>
      <c r="AG46" s="827">
        <f t="shared" si="1"/>
        <v>0</v>
      </c>
      <c r="AH46" s="827">
        <f t="shared" si="2"/>
        <v>0</v>
      </c>
      <c r="AI46" s="466">
        <f t="shared" si="3"/>
        <v>0</v>
      </c>
      <c r="AJ46" s="467" t="str">
        <f t="shared" si="4"/>
        <v xml:space="preserve"> </v>
      </c>
      <c r="AS46" s="139" t="s">
        <v>269</v>
      </c>
      <c r="AT46" s="139" t="s">
        <v>269</v>
      </c>
      <c r="DS46" s="648"/>
      <c r="DT46" s="648"/>
      <c r="DU46" s="667" t="s">
        <v>415</v>
      </c>
      <c r="DV46" s="667" t="s">
        <v>1188</v>
      </c>
      <c r="DW46" s="667" t="s">
        <v>1134</v>
      </c>
      <c r="DX46" s="667" t="s">
        <v>1134</v>
      </c>
      <c r="DY46" s="669" t="s">
        <v>1197</v>
      </c>
      <c r="DZ46" s="667" t="s">
        <v>1134</v>
      </c>
      <c r="EA46" s="670" t="s">
        <v>269</v>
      </c>
      <c r="EB46" s="667" t="s">
        <v>1135</v>
      </c>
      <c r="EC46" s="667" t="s">
        <v>1134</v>
      </c>
      <c r="ED46" s="667" t="s">
        <v>1136</v>
      </c>
    </row>
    <row r="47" spans="1:134" x14ac:dyDescent="0.2">
      <c r="A47" s="74" t="s">
        <v>1365</v>
      </c>
      <c r="B47" s="632">
        <v>40</v>
      </c>
      <c r="C47" s="770">
        <v>0</v>
      </c>
      <c r="D47" s="830">
        <v>0</v>
      </c>
      <c r="E47" s="830">
        <v>0</v>
      </c>
      <c r="F47" s="866">
        <v>0</v>
      </c>
      <c r="G47" s="830">
        <v>0</v>
      </c>
      <c r="H47" s="830">
        <v>0</v>
      </c>
      <c r="I47" s="828">
        <f t="shared" si="0"/>
        <v>0</v>
      </c>
      <c r="J47" s="832">
        <v>0</v>
      </c>
      <c r="K47" s="832">
        <v>0</v>
      </c>
      <c r="L47" s="830">
        <v>0</v>
      </c>
      <c r="M47" s="802">
        <v>0</v>
      </c>
      <c r="N47" s="832">
        <v>0</v>
      </c>
      <c r="O47" s="833">
        <v>0</v>
      </c>
      <c r="P47" s="832">
        <v>0</v>
      </c>
      <c r="Q47" s="832">
        <v>0</v>
      </c>
      <c r="R47" s="781">
        <v>0</v>
      </c>
      <c r="S47" s="830">
        <v>0</v>
      </c>
      <c r="T47" s="830">
        <v>0</v>
      </c>
      <c r="U47" s="834">
        <v>0</v>
      </c>
      <c r="V47" s="832">
        <v>0</v>
      </c>
      <c r="W47" s="831">
        <v>0</v>
      </c>
      <c r="X47" s="783">
        <v>0</v>
      </c>
      <c r="Y47" s="830">
        <v>0</v>
      </c>
      <c r="Z47" s="833">
        <v>0</v>
      </c>
      <c r="AA47" s="802">
        <v>0</v>
      </c>
      <c r="AB47" s="835">
        <v>0</v>
      </c>
      <c r="AC47" s="1094">
        <v>0</v>
      </c>
      <c r="AD47" s="833">
        <v>0</v>
      </c>
      <c r="AE47" s="836">
        <v>0</v>
      </c>
      <c r="AF47" s="836">
        <v>0</v>
      </c>
      <c r="AG47" s="827">
        <f t="shared" si="1"/>
        <v>0</v>
      </c>
      <c r="AH47" s="827">
        <f t="shared" si="2"/>
        <v>0</v>
      </c>
      <c r="AI47" s="466">
        <f t="shared" si="3"/>
        <v>0</v>
      </c>
      <c r="AJ47" s="467" t="str">
        <f t="shared" si="4"/>
        <v xml:space="preserve"> </v>
      </c>
      <c r="AS47" s="139" t="s">
        <v>541</v>
      </c>
      <c r="AT47" s="1085" t="s">
        <v>1402</v>
      </c>
      <c r="DS47" s="648"/>
      <c r="DT47" s="648"/>
      <c r="DU47" s="667" t="s">
        <v>415</v>
      </c>
      <c r="DV47" s="667" t="s">
        <v>1188</v>
      </c>
      <c r="DW47" s="667" t="s">
        <v>1134</v>
      </c>
      <c r="DX47" s="667" t="s">
        <v>1134</v>
      </c>
      <c r="DY47" s="669" t="s">
        <v>1197</v>
      </c>
      <c r="DZ47" s="667" t="s">
        <v>1134</v>
      </c>
      <c r="EA47" s="670" t="s">
        <v>541</v>
      </c>
      <c r="EB47" s="667" t="s">
        <v>1135</v>
      </c>
      <c r="EC47" s="667" t="s">
        <v>1134</v>
      </c>
      <c r="ED47" s="667" t="s">
        <v>1136</v>
      </c>
    </row>
    <row r="48" spans="1:134" x14ac:dyDescent="0.2">
      <c r="A48" s="427" t="s">
        <v>132</v>
      </c>
      <c r="B48" s="632">
        <v>41</v>
      </c>
      <c r="C48" s="770">
        <v>0</v>
      </c>
      <c r="D48" s="830">
        <v>0</v>
      </c>
      <c r="E48" s="830">
        <v>0</v>
      </c>
      <c r="F48" s="866">
        <v>0</v>
      </c>
      <c r="G48" s="830">
        <v>0</v>
      </c>
      <c r="H48" s="830">
        <v>0</v>
      </c>
      <c r="I48" s="828">
        <f t="shared" si="0"/>
        <v>0</v>
      </c>
      <c r="J48" s="832">
        <v>0</v>
      </c>
      <c r="K48" s="832">
        <v>0</v>
      </c>
      <c r="L48" s="830">
        <v>0</v>
      </c>
      <c r="M48" s="802">
        <v>0</v>
      </c>
      <c r="N48" s="832">
        <v>0</v>
      </c>
      <c r="O48" s="833">
        <v>0</v>
      </c>
      <c r="P48" s="832">
        <v>0</v>
      </c>
      <c r="Q48" s="832">
        <v>0</v>
      </c>
      <c r="R48" s="781">
        <v>0</v>
      </c>
      <c r="S48" s="830">
        <v>0</v>
      </c>
      <c r="T48" s="830">
        <v>0</v>
      </c>
      <c r="U48" s="834">
        <v>0</v>
      </c>
      <c r="V48" s="832">
        <v>0</v>
      </c>
      <c r="W48" s="831">
        <v>0</v>
      </c>
      <c r="X48" s="783">
        <v>0</v>
      </c>
      <c r="Y48" s="830">
        <v>0</v>
      </c>
      <c r="Z48" s="833">
        <v>0</v>
      </c>
      <c r="AA48" s="802">
        <v>0</v>
      </c>
      <c r="AB48" s="835">
        <v>0</v>
      </c>
      <c r="AC48" s="1094">
        <v>0</v>
      </c>
      <c r="AD48" s="833">
        <v>0</v>
      </c>
      <c r="AE48" s="836">
        <v>0</v>
      </c>
      <c r="AF48" s="836">
        <v>0</v>
      </c>
      <c r="AG48" s="827">
        <f t="shared" si="1"/>
        <v>0</v>
      </c>
      <c r="AH48" s="827">
        <f t="shared" si="2"/>
        <v>0</v>
      </c>
      <c r="AI48" s="466">
        <f t="shared" si="3"/>
        <v>0</v>
      </c>
      <c r="AJ48" s="467" t="str">
        <f t="shared" si="4"/>
        <v xml:space="preserve"> </v>
      </c>
      <c r="AS48" s="139" t="s">
        <v>271</v>
      </c>
      <c r="AT48" s="139" t="s">
        <v>270</v>
      </c>
      <c r="DS48" s="648"/>
      <c r="DT48" s="648"/>
      <c r="DU48" s="667" t="s">
        <v>415</v>
      </c>
      <c r="DV48" s="667" t="s">
        <v>1188</v>
      </c>
      <c r="DW48" s="667" t="s">
        <v>1134</v>
      </c>
      <c r="DX48" s="667" t="s">
        <v>1134</v>
      </c>
      <c r="DY48" s="669" t="s">
        <v>1197</v>
      </c>
      <c r="DZ48" s="667" t="s">
        <v>1134</v>
      </c>
      <c r="EA48" s="670" t="s">
        <v>271</v>
      </c>
      <c r="EB48" s="667" t="s">
        <v>1135</v>
      </c>
      <c r="EC48" s="667" t="s">
        <v>1134</v>
      </c>
      <c r="ED48" s="667" t="s">
        <v>1136</v>
      </c>
    </row>
    <row r="49" spans="1:134" x14ac:dyDescent="0.2">
      <c r="A49" s="427" t="s">
        <v>133</v>
      </c>
      <c r="B49" s="632">
        <v>42</v>
      </c>
      <c r="C49" s="770">
        <v>0</v>
      </c>
      <c r="D49" s="830">
        <v>0</v>
      </c>
      <c r="E49" s="830">
        <v>0</v>
      </c>
      <c r="F49" s="866">
        <v>0</v>
      </c>
      <c r="G49" s="830">
        <v>0</v>
      </c>
      <c r="H49" s="830">
        <v>0</v>
      </c>
      <c r="I49" s="828">
        <f t="shared" si="0"/>
        <v>0</v>
      </c>
      <c r="J49" s="832">
        <v>0</v>
      </c>
      <c r="K49" s="832">
        <v>0</v>
      </c>
      <c r="L49" s="830">
        <v>0</v>
      </c>
      <c r="M49" s="802">
        <v>0</v>
      </c>
      <c r="N49" s="832">
        <v>0</v>
      </c>
      <c r="O49" s="833">
        <v>0</v>
      </c>
      <c r="P49" s="832">
        <v>0</v>
      </c>
      <c r="Q49" s="832">
        <v>0</v>
      </c>
      <c r="R49" s="781">
        <v>0</v>
      </c>
      <c r="S49" s="830">
        <v>0</v>
      </c>
      <c r="T49" s="830">
        <v>0</v>
      </c>
      <c r="U49" s="834">
        <v>0</v>
      </c>
      <c r="V49" s="832">
        <v>0</v>
      </c>
      <c r="W49" s="831">
        <v>0</v>
      </c>
      <c r="X49" s="783">
        <v>0</v>
      </c>
      <c r="Y49" s="830">
        <v>0</v>
      </c>
      <c r="Z49" s="833">
        <v>0</v>
      </c>
      <c r="AA49" s="802">
        <v>0</v>
      </c>
      <c r="AB49" s="835">
        <v>0</v>
      </c>
      <c r="AC49" s="1094">
        <v>0</v>
      </c>
      <c r="AD49" s="833">
        <v>0</v>
      </c>
      <c r="AE49" s="836">
        <v>0</v>
      </c>
      <c r="AF49" s="836">
        <v>0</v>
      </c>
      <c r="AG49" s="827">
        <f t="shared" si="1"/>
        <v>0</v>
      </c>
      <c r="AH49" s="827">
        <f t="shared" si="2"/>
        <v>0</v>
      </c>
      <c r="AI49" s="466">
        <f t="shared" si="3"/>
        <v>0</v>
      </c>
      <c r="AJ49" s="467" t="str">
        <f t="shared" si="4"/>
        <v xml:space="preserve"> </v>
      </c>
      <c r="AS49" s="139" t="s">
        <v>273</v>
      </c>
      <c r="AT49" s="139" t="s">
        <v>272</v>
      </c>
      <c r="DS49" s="648"/>
      <c r="DT49" s="648"/>
      <c r="DU49" s="667" t="s">
        <v>415</v>
      </c>
      <c r="DV49" s="667" t="s">
        <v>1188</v>
      </c>
      <c r="DW49" s="667" t="s">
        <v>1134</v>
      </c>
      <c r="DX49" s="667" t="s">
        <v>1134</v>
      </c>
      <c r="DY49" s="669" t="s">
        <v>1197</v>
      </c>
      <c r="DZ49" s="667" t="s">
        <v>1134</v>
      </c>
      <c r="EA49" s="670" t="s">
        <v>273</v>
      </c>
      <c r="EB49" s="667" t="s">
        <v>1135</v>
      </c>
      <c r="EC49" s="667" t="s">
        <v>1134</v>
      </c>
      <c r="ED49" s="667" t="s">
        <v>1136</v>
      </c>
    </row>
    <row r="50" spans="1:134" x14ac:dyDescent="0.2">
      <c r="A50" s="427" t="s">
        <v>134</v>
      </c>
      <c r="B50" s="632">
        <v>43</v>
      </c>
      <c r="C50" s="770">
        <v>0</v>
      </c>
      <c r="D50" s="830">
        <v>0</v>
      </c>
      <c r="E50" s="830">
        <v>0</v>
      </c>
      <c r="F50" s="866">
        <v>0</v>
      </c>
      <c r="G50" s="830">
        <v>0</v>
      </c>
      <c r="H50" s="830">
        <v>0</v>
      </c>
      <c r="I50" s="828">
        <f t="shared" si="0"/>
        <v>0</v>
      </c>
      <c r="J50" s="832">
        <v>0</v>
      </c>
      <c r="K50" s="832">
        <v>0</v>
      </c>
      <c r="L50" s="830">
        <v>0</v>
      </c>
      <c r="M50" s="802">
        <v>0</v>
      </c>
      <c r="N50" s="832">
        <v>0</v>
      </c>
      <c r="O50" s="833">
        <v>0</v>
      </c>
      <c r="P50" s="832">
        <v>0</v>
      </c>
      <c r="Q50" s="832">
        <v>0</v>
      </c>
      <c r="R50" s="781">
        <v>0</v>
      </c>
      <c r="S50" s="830">
        <v>0</v>
      </c>
      <c r="T50" s="830">
        <v>0</v>
      </c>
      <c r="U50" s="834">
        <v>0</v>
      </c>
      <c r="V50" s="832">
        <v>0</v>
      </c>
      <c r="W50" s="831">
        <v>0</v>
      </c>
      <c r="X50" s="783">
        <v>0</v>
      </c>
      <c r="Y50" s="830">
        <v>0</v>
      </c>
      <c r="Z50" s="833">
        <v>0</v>
      </c>
      <c r="AA50" s="802">
        <v>0</v>
      </c>
      <c r="AB50" s="835">
        <v>0</v>
      </c>
      <c r="AC50" s="1094">
        <v>0</v>
      </c>
      <c r="AD50" s="833">
        <v>0</v>
      </c>
      <c r="AE50" s="836">
        <v>0</v>
      </c>
      <c r="AF50" s="836">
        <v>0</v>
      </c>
      <c r="AG50" s="827">
        <f t="shared" si="1"/>
        <v>0</v>
      </c>
      <c r="AH50" s="827">
        <f t="shared" si="2"/>
        <v>0</v>
      </c>
      <c r="AI50" s="466">
        <f t="shared" si="3"/>
        <v>0</v>
      </c>
      <c r="AJ50" s="467" t="str">
        <f t="shared" si="4"/>
        <v xml:space="preserve"> </v>
      </c>
      <c r="AS50" s="139" t="s">
        <v>275</v>
      </c>
      <c r="AT50" s="139" t="s">
        <v>274</v>
      </c>
      <c r="DS50" s="648"/>
      <c r="DT50" s="648"/>
      <c r="DU50" s="667" t="s">
        <v>415</v>
      </c>
      <c r="DV50" s="667" t="s">
        <v>1188</v>
      </c>
      <c r="DW50" s="667" t="s">
        <v>1134</v>
      </c>
      <c r="DX50" s="667" t="s">
        <v>1134</v>
      </c>
      <c r="DY50" s="669" t="s">
        <v>1197</v>
      </c>
      <c r="DZ50" s="667" t="s">
        <v>1134</v>
      </c>
      <c r="EA50" s="670" t="s">
        <v>275</v>
      </c>
      <c r="EB50" s="667" t="s">
        <v>1135</v>
      </c>
      <c r="EC50" s="667" t="s">
        <v>1134</v>
      </c>
      <c r="ED50" s="667" t="s">
        <v>1136</v>
      </c>
    </row>
    <row r="51" spans="1:134" x14ac:dyDescent="0.2">
      <c r="A51" s="427" t="s">
        <v>59</v>
      </c>
      <c r="B51" s="632">
        <v>44</v>
      </c>
      <c r="C51" s="770">
        <v>0</v>
      </c>
      <c r="D51" s="830">
        <v>0</v>
      </c>
      <c r="E51" s="830">
        <v>0</v>
      </c>
      <c r="F51" s="866">
        <v>0</v>
      </c>
      <c r="G51" s="830">
        <v>0</v>
      </c>
      <c r="H51" s="830">
        <v>0</v>
      </c>
      <c r="I51" s="828">
        <f t="shared" si="0"/>
        <v>0</v>
      </c>
      <c r="J51" s="832">
        <v>0</v>
      </c>
      <c r="K51" s="832">
        <v>0</v>
      </c>
      <c r="L51" s="830">
        <v>0</v>
      </c>
      <c r="M51" s="802">
        <v>0</v>
      </c>
      <c r="N51" s="832">
        <v>0</v>
      </c>
      <c r="O51" s="833">
        <v>0</v>
      </c>
      <c r="P51" s="832">
        <v>0</v>
      </c>
      <c r="Q51" s="832">
        <v>0</v>
      </c>
      <c r="R51" s="781">
        <v>0</v>
      </c>
      <c r="S51" s="830">
        <v>0</v>
      </c>
      <c r="T51" s="830">
        <v>0</v>
      </c>
      <c r="U51" s="834">
        <v>0</v>
      </c>
      <c r="V51" s="832">
        <v>0</v>
      </c>
      <c r="W51" s="831">
        <v>0</v>
      </c>
      <c r="X51" s="783">
        <v>0</v>
      </c>
      <c r="Y51" s="830">
        <v>0</v>
      </c>
      <c r="Z51" s="833">
        <v>0</v>
      </c>
      <c r="AA51" s="802">
        <v>0</v>
      </c>
      <c r="AB51" s="835">
        <v>0</v>
      </c>
      <c r="AC51" s="1094">
        <v>0</v>
      </c>
      <c r="AD51" s="833">
        <v>0</v>
      </c>
      <c r="AE51" s="836">
        <v>0</v>
      </c>
      <c r="AF51" s="836">
        <v>0</v>
      </c>
      <c r="AG51" s="827">
        <f t="shared" si="1"/>
        <v>0</v>
      </c>
      <c r="AH51" s="827">
        <f t="shared" si="2"/>
        <v>0</v>
      </c>
      <c r="AI51" s="466">
        <f t="shared" si="3"/>
        <v>0</v>
      </c>
      <c r="AJ51" s="467" t="str">
        <f t="shared" si="4"/>
        <v xml:space="preserve"> </v>
      </c>
      <c r="AS51" s="139" t="s">
        <v>487</v>
      </c>
      <c r="AT51" s="139" t="s">
        <v>488</v>
      </c>
      <c r="DS51" s="648"/>
      <c r="DT51" s="648"/>
      <c r="DU51" s="667" t="s">
        <v>415</v>
      </c>
      <c r="DV51" s="667" t="s">
        <v>1188</v>
      </c>
      <c r="DW51" s="667" t="s">
        <v>1134</v>
      </c>
      <c r="DX51" s="667" t="s">
        <v>1134</v>
      </c>
      <c r="DY51" s="669" t="s">
        <v>1197</v>
      </c>
      <c r="DZ51" s="667" t="s">
        <v>1134</v>
      </c>
      <c r="EA51" s="670" t="s">
        <v>487</v>
      </c>
      <c r="EB51" s="667" t="s">
        <v>1135</v>
      </c>
      <c r="EC51" s="667" t="s">
        <v>1134</v>
      </c>
      <c r="ED51" s="667" t="s">
        <v>1136</v>
      </c>
    </row>
    <row r="52" spans="1:134" x14ac:dyDescent="0.2">
      <c r="A52" s="427" t="s">
        <v>621</v>
      </c>
      <c r="B52" s="632">
        <v>45</v>
      </c>
      <c r="C52" s="770">
        <v>0</v>
      </c>
      <c r="D52" s="830">
        <v>0</v>
      </c>
      <c r="E52" s="830">
        <v>0</v>
      </c>
      <c r="F52" s="866">
        <v>0</v>
      </c>
      <c r="G52" s="830">
        <v>0</v>
      </c>
      <c r="H52" s="830">
        <v>0</v>
      </c>
      <c r="I52" s="828">
        <f t="shared" si="0"/>
        <v>0</v>
      </c>
      <c r="J52" s="832">
        <v>0</v>
      </c>
      <c r="K52" s="832">
        <v>0</v>
      </c>
      <c r="L52" s="830">
        <v>0</v>
      </c>
      <c r="M52" s="802">
        <v>0</v>
      </c>
      <c r="N52" s="832">
        <v>0</v>
      </c>
      <c r="O52" s="833">
        <v>0</v>
      </c>
      <c r="P52" s="832">
        <v>0</v>
      </c>
      <c r="Q52" s="832">
        <v>0</v>
      </c>
      <c r="R52" s="781">
        <v>0</v>
      </c>
      <c r="S52" s="830">
        <v>0</v>
      </c>
      <c r="T52" s="830">
        <v>0</v>
      </c>
      <c r="U52" s="834">
        <v>0</v>
      </c>
      <c r="V52" s="832">
        <v>0</v>
      </c>
      <c r="W52" s="831">
        <v>0</v>
      </c>
      <c r="X52" s="783">
        <v>0</v>
      </c>
      <c r="Y52" s="830">
        <v>0</v>
      </c>
      <c r="Z52" s="833">
        <v>0</v>
      </c>
      <c r="AA52" s="802">
        <v>0</v>
      </c>
      <c r="AB52" s="835">
        <v>0</v>
      </c>
      <c r="AC52" s="1094">
        <v>0</v>
      </c>
      <c r="AD52" s="833">
        <v>0</v>
      </c>
      <c r="AE52" s="836">
        <v>0</v>
      </c>
      <c r="AF52" s="836">
        <v>0</v>
      </c>
      <c r="AG52" s="827">
        <f t="shared" si="1"/>
        <v>0</v>
      </c>
      <c r="AH52" s="827">
        <f t="shared" si="2"/>
        <v>0</v>
      </c>
      <c r="AI52" s="466">
        <f t="shared" si="3"/>
        <v>0</v>
      </c>
      <c r="AJ52" s="467" t="str">
        <f t="shared" si="4"/>
        <v xml:space="preserve"> </v>
      </c>
      <c r="AS52" s="139" t="s">
        <v>521</v>
      </c>
      <c r="AT52" s="139" t="s">
        <v>522</v>
      </c>
      <c r="DS52" s="648"/>
      <c r="DT52" s="648"/>
      <c r="DU52" s="667" t="s">
        <v>415</v>
      </c>
      <c r="DV52" s="667" t="s">
        <v>1188</v>
      </c>
      <c r="DW52" s="667" t="s">
        <v>1134</v>
      </c>
      <c r="DX52" s="667" t="s">
        <v>1134</v>
      </c>
      <c r="DY52" s="669" t="s">
        <v>1197</v>
      </c>
      <c r="DZ52" s="667" t="s">
        <v>1134</v>
      </c>
      <c r="EA52" s="670" t="s">
        <v>521</v>
      </c>
      <c r="EB52" s="667" t="s">
        <v>1135</v>
      </c>
      <c r="EC52" s="667" t="s">
        <v>1134</v>
      </c>
      <c r="ED52" s="667" t="s">
        <v>1136</v>
      </c>
    </row>
    <row r="53" spans="1:134" x14ac:dyDescent="0.2">
      <c r="A53" s="427" t="s">
        <v>569</v>
      </c>
      <c r="B53" s="632">
        <v>46</v>
      </c>
      <c r="C53" s="770">
        <v>0</v>
      </c>
      <c r="D53" s="830">
        <v>0</v>
      </c>
      <c r="E53" s="830">
        <v>0</v>
      </c>
      <c r="F53" s="866">
        <v>0</v>
      </c>
      <c r="G53" s="830">
        <v>0</v>
      </c>
      <c r="H53" s="830">
        <v>0</v>
      </c>
      <c r="I53" s="828">
        <f t="shared" si="0"/>
        <v>0</v>
      </c>
      <c r="J53" s="832">
        <v>0</v>
      </c>
      <c r="K53" s="832">
        <v>0</v>
      </c>
      <c r="L53" s="830">
        <v>0</v>
      </c>
      <c r="M53" s="802">
        <v>0</v>
      </c>
      <c r="N53" s="832">
        <v>0</v>
      </c>
      <c r="O53" s="833">
        <v>0</v>
      </c>
      <c r="P53" s="832">
        <v>0</v>
      </c>
      <c r="Q53" s="832">
        <v>0</v>
      </c>
      <c r="R53" s="781">
        <v>0</v>
      </c>
      <c r="S53" s="830">
        <v>0</v>
      </c>
      <c r="T53" s="830">
        <v>0</v>
      </c>
      <c r="U53" s="834">
        <v>0</v>
      </c>
      <c r="V53" s="832">
        <v>0</v>
      </c>
      <c r="W53" s="831">
        <v>0</v>
      </c>
      <c r="X53" s="783">
        <v>0</v>
      </c>
      <c r="Y53" s="830">
        <v>0</v>
      </c>
      <c r="Z53" s="833">
        <v>0</v>
      </c>
      <c r="AA53" s="802">
        <v>0</v>
      </c>
      <c r="AB53" s="835">
        <v>0</v>
      </c>
      <c r="AC53" s="1094">
        <v>0</v>
      </c>
      <c r="AD53" s="833">
        <v>0</v>
      </c>
      <c r="AE53" s="836">
        <v>0</v>
      </c>
      <c r="AF53" s="836">
        <v>0</v>
      </c>
      <c r="AG53" s="827">
        <f t="shared" si="1"/>
        <v>0</v>
      </c>
      <c r="AH53" s="827">
        <f t="shared" si="2"/>
        <v>0</v>
      </c>
      <c r="AI53" s="466">
        <f t="shared" si="3"/>
        <v>0</v>
      </c>
      <c r="AJ53" s="467" t="str">
        <f t="shared" si="4"/>
        <v xml:space="preserve"> </v>
      </c>
      <c r="AS53" s="139" t="s">
        <v>544</v>
      </c>
      <c r="AT53" s="139" t="s">
        <v>545</v>
      </c>
      <c r="DS53" s="648"/>
      <c r="DT53" s="648"/>
      <c r="DU53" s="667" t="s">
        <v>415</v>
      </c>
      <c r="DV53" s="667" t="s">
        <v>1188</v>
      </c>
      <c r="DW53" s="667" t="s">
        <v>1134</v>
      </c>
      <c r="DX53" s="667" t="s">
        <v>1134</v>
      </c>
      <c r="DY53" s="669" t="s">
        <v>1197</v>
      </c>
      <c r="DZ53" s="667" t="s">
        <v>1134</v>
      </c>
      <c r="EA53" s="670" t="s">
        <v>544</v>
      </c>
      <c r="EB53" s="667" t="s">
        <v>1135</v>
      </c>
      <c r="EC53" s="667" t="s">
        <v>1134</v>
      </c>
      <c r="ED53" s="667" t="s">
        <v>1136</v>
      </c>
    </row>
    <row r="54" spans="1:134" x14ac:dyDescent="0.2">
      <c r="A54" s="427" t="s">
        <v>99</v>
      </c>
      <c r="B54" s="632">
        <v>47</v>
      </c>
      <c r="C54" s="770">
        <v>0</v>
      </c>
      <c r="D54" s="830">
        <v>0</v>
      </c>
      <c r="E54" s="830">
        <v>0</v>
      </c>
      <c r="F54" s="866">
        <v>0</v>
      </c>
      <c r="G54" s="830">
        <v>0</v>
      </c>
      <c r="H54" s="830">
        <v>0</v>
      </c>
      <c r="I54" s="828">
        <f t="shared" si="0"/>
        <v>0</v>
      </c>
      <c r="J54" s="832">
        <v>0</v>
      </c>
      <c r="K54" s="832">
        <v>0</v>
      </c>
      <c r="L54" s="830">
        <v>0</v>
      </c>
      <c r="M54" s="802">
        <v>0</v>
      </c>
      <c r="N54" s="832">
        <v>0</v>
      </c>
      <c r="O54" s="833">
        <v>0</v>
      </c>
      <c r="P54" s="832">
        <v>0</v>
      </c>
      <c r="Q54" s="832">
        <v>0</v>
      </c>
      <c r="R54" s="781">
        <v>0</v>
      </c>
      <c r="S54" s="830">
        <v>0</v>
      </c>
      <c r="T54" s="830">
        <v>0</v>
      </c>
      <c r="U54" s="834">
        <v>0</v>
      </c>
      <c r="V54" s="832">
        <v>0</v>
      </c>
      <c r="W54" s="831">
        <v>0</v>
      </c>
      <c r="X54" s="783">
        <v>0</v>
      </c>
      <c r="Y54" s="830">
        <v>0</v>
      </c>
      <c r="Z54" s="833">
        <v>0</v>
      </c>
      <c r="AA54" s="802">
        <v>0</v>
      </c>
      <c r="AB54" s="835">
        <v>0</v>
      </c>
      <c r="AC54" s="1094">
        <v>0</v>
      </c>
      <c r="AD54" s="833">
        <v>0</v>
      </c>
      <c r="AE54" s="836">
        <v>0</v>
      </c>
      <c r="AF54" s="836">
        <v>0</v>
      </c>
      <c r="AG54" s="827">
        <f t="shared" si="1"/>
        <v>0</v>
      </c>
      <c r="AH54" s="827">
        <f t="shared" si="2"/>
        <v>0</v>
      </c>
      <c r="AI54" s="466">
        <f t="shared" si="3"/>
        <v>0</v>
      </c>
      <c r="AJ54" s="467" t="str">
        <f t="shared" si="4"/>
        <v xml:space="preserve"> </v>
      </c>
      <c r="AS54" s="139" t="s">
        <v>277</v>
      </c>
      <c r="AT54" s="139" t="s">
        <v>276</v>
      </c>
      <c r="DS54" s="648"/>
      <c r="DT54" s="648"/>
      <c r="DU54" s="667" t="s">
        <v>415</v>
      </c>
      <c r="DV54" s="667" t="s">
        <v>1188</v>
      </c>
      <c r="DW54" s="667" t="s">
        <v>1134</v>
      </c>
      <c r="DX54" s="667" t="s">
        <v>1134</v>
      </c>
      <c r="DY54" s="669" t="s">
        <v>1197</v>
      </c>
      <c r="DZ54" s="667" t="s">
        <v>1134</v>
      </c>
      <c r="EA54" s="670" t="s">
        <v>277</v>
      </c>
      <c r="EB54" s="667" t="s">
        <v>1135</v>
      </c>
      <c r="EC54" s="667" t="s">
        <v>1134</v>
      </c>
      <c r="ED54" s="667" t="s">
        <v>1136</v>
      </c>
    </row>
    <row r="55" spans="1:134" x14ac:dyDescent="0.2">
      <c r="A55" s="427" t="s">
        <v>570</v>
      </c>
      <c r="B55" s="632">
        <v>48</v>
      </c>
      <c r="C55" s="770">
        <v>0</v>
      </c>
      <c r="D55" s="830">
        <v>0</v>
      </c>
      <c r="E55" s="830">
        <v>0</v>
      </c>
      <c r="F55" s="866">
        <v>0</v>
      </c>
      <c r="G55" s="830">
        <v>0</v>
      </c>
      <c r="H55" s="830">
        <v>0</v>
      </c>
      <c r="I55" s="828">
        <f t="shared" si="0"/>
        <v>0</v>
      </c>
      <c r="J55" s="832">
        <v>0</v>
      </c>
      <c r="K55" s="832">
        <v>0</v>
      </c>
      <c r="L55" s="830">
        <v>0</v>
      </c>
      <c r="M55" s="802">
        <v>0</v>
      </c>
      <c r="N55" s="832">
        <v>0</v>
      </c>
      <c r="O55" s="833">
        <v>0</v>
      </c>
      <c r="P55" s="832">
        <v>0</v>
      </c>
      <c r="Q55" s="832">
        <v>0</v>
      </c>
      <c r="R55" s="781">
        <v>2</v>
      </c>
      <c r="S55" s="830">
        <v>0</v>
      </c>
      <c r="T55" s="830">
        <v>2</v>
      </c>
      <c r="U55" s="834">
        <v>0</v>
      </c>
      <c r="V55" s="832">
        <v>0</v>
      </c>
      <c r="W55" s="831">
        <v>0</v>
      </c>
      <c r="X55" s="783">
        <v>0</v>
      </c>
      <c r="Y55" s="830">
        <v>0</v>
      </c>
      <c r="Z55" s="833">
        <v>0</v>
      </c>
      <c r="AA55" s="802">
        <v>0</v>
      </c>
      <c r="AB55" s="835">
        <v>0</v>
      </c>
      <c r="AC55" s="1094">
        <v>0</v>
      </c>
      <c r="AD55" s="833">
        <v>0</v>
      </c>
      <c r="AE55" s="836">
        <v>0</v>
      </c>
      <c r="AF55" s="836">
        <v>0</v>
      </c>
      <c r="AG55" s="827">
        <f t="shared" si="1"/>
        <v>2</v>
      </c>
      <c r="AH55" s="827">
        <f t="shared" si="2"/>
        <v>2</v>
      </c>
      <c r="AI55" s="466">
        <f t="shared" si="3"/>
        <v>0</v>
      </c>
      <c r="AJ55" s="467" t="str">
        <f t="shared" si="4"/>
        <v xml:space="preserve"> </v>
      </c>
      <c r="AS55" s="139" t="s">
        <v>546</v>
      </c>
      <c r="AT55" s="139" t="s">
        <v>547</v>
      </c>
      <c r="DS55" s="648"/>
      <c r="DT55" s="648"/>
      <c r="DU55" s="667" t="s">
        <v>415</v>
      </c>
      <c r="DV55" s="667" t="s">
        <v>1188</v>
      </c>
      <c r="DW55" s="667" t="s">
        <v>1134</v>
      </c>
      <c r="DX55" s="667" t="s">
        <v>1134</v>
      </c>
      <c r="DY55" s="669" t="s">
        <v>1197</v>
      </c>
      <c r="DZ55" s="667" t="s">
        <v>1134</v>
      </c>
      <c r="EA55" s="670" t="s">
        <v>546</v>
      </c>
      <c r="EB55" s="667" t="s">
        <v>1135</v>
      </c>
      <c r="EC55" s="667" t="s">
        <v>1134</v>
      </c>
      <c r="ED55" s="667" t="s">
        <v>1136</v>
      </c>
    </row>
    <row r="56" spans="1:134" x14ac:dyDescent="0.2">
      <c r="A56" s="427" t="s">
        <v>135</v>
      </c>
      <c r="B56" s="632">
        <v>49</v>
      </c>
      <c r="C56" s="770">
        <v>0</v>
      </c>
      <c r="D56" s="830">
        <v>0</v>
      </c>
      <c r="E56" s="830">
        <v>0</v>
      </c>
      <c r="F56" s="866">
        <v>0</v>
      </c>
      <c r="G56" s="830">
        <v>0</v>
      </c>
      <c r="H56" s="830">
        <v>0</v>
      </c>
      <c r="I56" s="828">
        <f t="shared" si="0"/>
        <v>0</v>
      </c>
      <c r="J56" s="832">
        <v>0</v>
      </c>
      <c r="K56" s="832">
        <v>0</v>
      </c>
      <c r="L56" s="830">
        <v>0</v>
      </c>
      <c r="M56" s="802">
        <v>0</v>
      </c>
      <c r="N56" s="832">
        <v>0</v>
      </c>
      <c r="O56" s="833">
        <v>0</v>
      </c>
      <c r="P56" s="832">
        <v>0</v>
      </c>
      <c r="Q56" s="832">
        <v>0</v>
      </c>
      <c r="R56" s="781">
        <v>0</v>
      </c>
      <c r="S56" s="830">
        <v>0</v>
      </c>
      <c r="T56" s="830">
        <v>0</v>
      </c>
      <c r="U56" s="834">
        <v>0</v>
      </c>
      <c r="V56" s="832">
        <v>0</v>
      </c>
      <c r="W56" s="831">
        <v>0</v>
      </c>
      <c r="X56" s="783">
        <v>0</v>
      </c>
      <c r="Y56" s="830">
        <v>0</v>
      </c>
      <c r="Z56" s="833">
        <v>0</v>
      </c>
      <c r="AA56" s="802">
        <v>0</v>
      </c>
      <c r="AB56" s="835">
        <v>0</v>
      </c>
      <c r="AC56" s="1094">
        <v>0</v>
      </c>
      <c r="AD56" s="833">
        <v>0</v>
      </c>
      <c r="AE56" s="836">
        <v>0</v>
      </c>
      <c r="AF56" s="836">
        <v>0</v>
      </c>
      <c r="AG56" s="827">
        <f t="shared" si="1"/>
        <v>0</v>
      </c>
      <c r="AH56" s="827">
        <f t="shared" si="2"/>
        <v>0</v>
      </c>
      <c r="AI56" s="466">
        <f t="shared" si="3"/>
        <v>0</v>
      </c>
      <c r="AJ56" s="467" t="str">
        <f t="shared" si="4"/>
        <v xml:space="preserve"> </v>
      </c>
      <c r="AS56" s="139" t="s">
        <v>279</v>
      </c>
      <c r="AT56" s="139" t="s">
        <v>278</v>
      </c>
      <c r="DS56" s="648"/>
      <c r="DT56" s="648"/>
      <c r="DU56" s="667" t="s">
        <v>415</v>
      </c>
      <c r="DV56" s="667" t="s">
        <v>1188</v>
      </c>
      <c r="DW56" s="667" t="s">
        <v>1134</v>
      </c>
      <c r="DX56" s="667" t="s">
        <v>1134</v>
      </c>
      <c r="DY56" s="669" t="s">
        <v>1197</v>
      </c>
      <c r="DZ56" s="667" t="s">
        <v>1134</v>
      </c>
      <c r="EA56" s="670" t="s">
        <v>279</v>
      </c>
      <c r="EB56" s="667" t="s">
        <v>1135</v>
      </c>
      <c r="EC56" s="667" t="s">
        <v>1134</v>
      </c>
      <c r="ED56" s="667" t="s">
        <v>1136</v>
      </c>
    </row>
    <row r="57" spans="1:134" x14ac:dyDescent="0.2">
      <c r="A57" s="427" t="s">
        <v>136</v>
      </c>
      <c r="B57" s="632">
        <v>50</v>
      </c>
      <c r="C57" s="770">
        <v>0</v>
      </c>
      <c r="D57" s="830">
        <v>0</v>
      </c>
      <c r="E57" s="830">
        <v>0</v>
      </c>
      <c r="F57" s="866">
        <v>0</v>
      </c>
      <c r="G57" s="830">
        <v>0</v>
      </c>
      <c r="H57" s="830">
        <v>0</v>
      </c>
      <c r="I57" s="828">
        <f t="shared" si="0"/>
        <v>0</v>
      </c>
      <c r="J57" s="832">
        <v>0</v>
      </c>
      <c r="K57" s="832">
        <v>0</v>
      </c>
      <c r="L57" s="830">
        <v>0</v>
      </c>
      <c r="M57" s="802">
        <v>3</v>
      </c>
      <c r="N57" s="832">
        <v>0</v>
      </c>
      <c r="O57" s="833">
        <v>3</v>
      </c>
      <c r="P57" s="832">
        <v>0</v>
      </c>
      <c r="Q57" s="832">
        <v>0</v>
      </c>
      <c r="R57" s="781">
        <v>0</v>
      </c>
      <c r="S57" s="830">
        <v>0</v>
      </c>
      <c r="T57" s="830">
        <v>0</v>
      </c>
      <c r="U57" s="834">
        <v>0</v>
      </c>
      <c r="V57" s="832">
        <v>2</v>
      </c>
      <c r="W57" s="831">
        <v>0</v>
      </c>
      <c r="X57" s="783">
        <v>2</v>
      </c>
      <c r="Y57" s="830">
        <v>0</v>
      </c>
      <c r="Z57" s="833">
        <v>2</v>
      </c>
      <c r="AA57" s="802">
        <v>0</v>
      </c>
      <c r="AB57" s="835">
        <v>0</v>
      </c>
      <c r="AC57" s="1094">
        <v>0</v>
      </c>
      <c r="AD57" s="833">
        <v>0</v>
      </c>
      <c r="AE57" s="836">
        <v>0</v>
      </c>
      <c r="AF57" s="836">
        <v>0</v>
      </c>
      <c r="AG57" s="827">
        <f t="shared" si="1"/>
        <v>5</v>
      </c>
      <c r="AH57" s="827">
        <f t="shared" si="2"/>
        <v>5</v>
      </c>
      <c r="AI57" s="466">
        <f t="shared" si="3"/>
        <v>0</v>
      </c>
      <c r="AJ57" s="467" t="str">
        <f t="shared" si="4"/>
        <v xml:space="preserve"> </v>
      </c>
      <c r="AS57" s="139" t="s">
        <v>281</v>
      </c>
      <c r="AT57" s="139" t="s">
        <v>280</v>
      </c>
      <c r="DS57" s="648"/>
      <c r="DT57" s="648"/>
      <c r="DU57" s="667" t="s">
        <v>415</v>
      </c>
      <c r="DV57" s="667" t="s">
        <v>1188</v>
      </c>
      <c r="DW57" s="667" t="s">
        <v>1134</v>
      </c>
      <c r="DX57" s="667" t="s">
        <v>1134</v>
      </c>
      <c r="DY57" s="669" t="s">
        <v>1197</v>
      </c>
      <c r="DZ57" s="667" t="s">
        <v>1134</v>
      </c>
      <c r="EA57" s="670" t="s">
        <v>281</v>
      </c>
      <c r="EB57" s="667" t="s">
        <v>1135</v>
      </c>
      <c r="EC57" s="667" t="s">
        <v>1134</v>
      </c>
      <c r="ED57" s="667" t="s">
        <v>1136</v>
      </c>
    </row>
    <row r="58" spans="1:134" x14ac:dyDescent="0.2">
      <c r="A58" s="427" t="s">
        <v>137</v>
      </c>
      <c r="B58" s="632">
        <v>51</v>
      </c>
      <c r="C58" s="770">
        <v>0</v>
      </c>
      <c r="D58" s="830">
        <v>0</v>
      </c>
      <c r="E58" s="830">
        <v>0</v>
      </c>
      <c r="F58" s="866">
        <v>0</v>
      </c>
      <c r="G58" s="830">
        <v>0</v>
      </c>
      <c r="H58" s="830">
        <v>0</v>
      </c>
      <c r="I58" s="828">
        <f t="shared" si="0"/>
        <v>0</v>
      </c>
      <c r="J58" s="832">
        <v>0</v>
      </c>
      <c r="K58" s="832">
        <v>0</v>
      </c>
      <c r="L58" s="830">
        <v>0</v>
      </c>
      <c r="M58" s="802">
        <v>0</v>
      </c>
      <c r="N58" s="832">
        <v>0</v>
      </c>
      <c r="O58" s="833">
        <v>0</v>
      </c>
      <c r="P58" s="832">
        <v>0</v>
      </c>
      <c r="Q58" s="832">
        <v>0</v>
      </c>
      <c r="R58" s="781">
        <v>0</v>
      </c>
      <c r="S58" s="830">
        <v>0</v>
      </c>
      <c r="T58" s="830">
        <v>0</v>
      </c>
      <c r="U58" s="834">
        <v>0</v>
      </c>
      <c r="V58" s="832">
        <v>0</v>
      </c>
      <c r="W58" s="831">
        <v>0</v>
      </c>
      <c r="X58" s="783">
        <v>0</v>
      </c>
      <c r="Y58" s="830">
        <v>0</v>
      </c>
      <c r="Z58" s="833">
        <v>0</v>
      </c>
      <c r="AA58" s="802">
        <v>0</v>
      </c>
      <c r="AB58" s="835">
        <v>0</v>
      </c>
      <c r="AC58" s="1094">
        <v>0</v>
      </c>
      <c r="AD58" s="833">
        <v>0</v>
      </c>
      <c r="AE58" s="836">
        <v>0</v>
      </c>
      <c r="AF58" s="836">
        <v>0</v>
      </c>
      <c r="AG58" s="827">
        <f t="shared" si="1"/>
        <v>0</v>
      </c>
      <c r="AH58" s="827">
        <f t="shared" si="2"/>
        <v>0</v>
      </c>
      <c r="AI58" s="466">
        <f t="shared" si="3"/>
        <v>0</v>
      </c>
      <c r="AJ58" s="467" t="str">
        <f t="shared" si="4"/>
        <v xml:space="preserve"> </v>
      </c>
      <c r="AS58" s="139" t="s">
        <v>283</v>
      </c>
      <c r="AT58" s="139" t="s">
        <v>282</v>
      </c>
      <c r="DS58" s="648"/>
      <c r="DT58" s="648"/>
      <c r="DU58" s="667" t="s">
        <v>415</v>
      </c>
      <c r="DV58" s="667" t="s">
        <v>1188</v>
      </c>
      <c r="DW58" s="667" t="s">
        <v>1134</v>
      </c>
      <c r="DX58" s="667" t="s">
        <v>1134</v>
      </c>
      <c r="DY58" s="669" t="s">
        <v>1197</v>
      </c>
      <c r="DZ58" s="667" t="s">
        <v>1134</v>
      </c>
      <c r="EA58" s="670" t="s">
        <v>283</v>
      </c>
      <c r="EB58" s="667" t="s">
        <v>1135</v>
      </c>
      <c r="EC58" s="667" t="s">
        <v>1134</v>
      </c>
      <c r="ED58" s="667" t="s">
        <v>1136</v>
      </c>
    </row>
    <row r="59" spans="1:134" x14ac:dyDescent="0.2">
      <c r="A59" s="427" t="s">
        <v>138</v>
      </c>
      <c r="B59" s="632">
        <v>52</v>
      </c>
      <c r="C59" s="770">
        <v>0</v>
      </c>
      <c r="D59" s="830">
        <v>0</v>
      </c>
      <c r="E59" s="830">
        <v>0</v>
      </c>
      <c r="F59" s="866">
        <v>0</v>
      </c>
      <c r="G59" s="830">
        <v>0</v>
      </c>
      <c r="H59" s="830">
        <v>0</v>
      </c>
      <c r="I59" s="828">
        <f t="shared" si="0"/>
        <v>0</v>
      </c>
      <c r="J59" s="832">
        <v>0</v>
      </c>
      <c r="K59" s="832">
        <v>0</v>
      </c>
      <c r="L59" s="830">
        <v>0</v>
      </c>
      <c r="M59" s="802">
        <v>0</v>
      </c>
      <c r="N59" s="832">
        <v>0</v>
      </c>
      <c r="O59" s="833">
        <v>0</v>
      </c>
      <c r="P59" s="832">
        <v>0</v>
      </c>
      <c r="Q59" s="832">
        <v>0</v>
      </c>
      <c r="R59" s="781">
        <v>0</v>
      </c>
      <c r="S59" s="830">
        <v>0</v>
      </c>
      <c r="T59" s="830">
        <v>0</v>
      </c>
      <c r="U59" s="834">
        <v>0</v>
      </c>
      <c r="V59" s="832">
        <v>0</v>
      </c>
      <c r="W59" s="831">
        <v>0</v>
      </c>
      <c r="X59" s="783">
        <v>0</v>
      </c>
      <c r="Y59" s="830">
        <v>0</v>
      </c>
      <c r="Z59" s="833">
        <v>0</v>
      </c>
      <c r="AA59" s="802">
        <v>0</v>
      </c>
      <c r="AB59" s="835">
        <v>0</v>
      </c>
      <c r="AC59" s="1094">
        <v>0</v>
      </c>
      <c r="AD59" s="833">
        <v>0</v>
      </c>
      <c r="AE59" s="836">
        <v>0</v>
      </c>
      <c r="AF59" s="836">
        <v>0</v>
      </c>
      <c r="AG59" s="827">
        <f t="shared" si="1"/>
        <v>0</v>
      </c>
      <c r="AH59" s="827">
        <f t="shared" si="2"/>
        <v>0</v>
      </c>
      <c r="AI59" s="466">
        <f t="shared" si="3"/>
        <v>0</v>
      </c>
      <c r="AJ59" s="467" t="str">
        <f t="shared" si="4"/>
        <v xml:space="preserve"> </v>
      </c>
      <c r="AS59" s="139" t="s">
        <v>285</v>
      </c>
      <c r="AT59" s="139" t="s">
        <v>284</v>
      </c>
      <c r="DS59" s="648"/>
      <c r="DT59" s="648"/>
      <c r="DU59" s="667" t="s">
        <v>415</v>
      </c>
      <c r="DV59" s="667" t="s">
        <v>1188</v>
      </c>
      <c r="DW59" s="667" t="s">
        <v>1134</v>
      </c>
      <c r="DX59" s="667" t="s">
        <v>1134</v>
      </c>
      <c r="DY59" s="669" t="s">
        <v>1197</v>
      </c>
      <c r="DZ59" s="667" t="s">
        <v>1134</v>
      </c>
      <c r="EA59" s="670" t="s">
        <v>285</v>
      </c>
      <c r="EB59" s="667" t="s">
        <v>1135</v>
      </c>
      <c r="EC59" s="667" t="s">
        <v>1134</v>
      </c>
      <c r="ED59" s="667" t="s">
        <v>1136</v>
      </c>
    </row>
    <row r="60" spans="1:134" x14ac:dyDescent="0.2">
      <c r="A60" s="427" t="s">
        <v>565</v>
      </c>
      <c r="B60" s="632">
        <v>53</v>
      </c>
      <c r="C60" s="770">
        <v>0</v>
      </c>
      <c r="D60" s="830">
        <v>0</v>
      </c>
      <c r="E60" s="830">
        <v>0</v>
      </c>
      <c r="F60" s="866">
        <v>0</v>
      </c>
      <c r="G60" s="830">
        <v>0</v>
      </c>
      <c r="H60" s="830">
        <v>0</v>
      </c>
      <c r="I60" s="828">
        <f t="shared" si="0"/>
        <v>0</v>
      </c>
      <c r="J60" s="832">
        <v>0</v>
      </c>
      <c r="K60" s="832">
        <v>0</v>
      </c>
      <c r="L60" s="830">
        <v>0</v>
      </c>
      <c r="M60" s="802">
        <v>0</v>
      </c>
      <c r="N60" s="832">
        <v>0</v>
      </c>
      <c r="O60" s="833">
        <v>0</v>
      </c>
      <c r="P60" s="832">
        <v>0</v>
      </c>
      <c r="Q60" s="832">
        <v>0</v>
      </c>
      <c r="R60" s="781">
        <v>0</v>
      </c>
      <c r="S60" s="830">
        <v>0</v>
      </c>
      <c r="T60" s="830">
        <v>0</v>
      </c>
      <c r="U60" s="834">
        <v>0</v>
      </c>
      <c r="V60" s="832">
        <v>0</v>
      </c>
      <c r="W60" s="831">
        <v>0</v>
      </c>
      <c r="X60" s="783">
        <v>0</v>
      </c>
      <c r="Y60" s="830">
        <v>0</v>
      </c>
      <c r="Z60" s="833">
        <v>0</v>
      </c>
      <c r="AA60" s="802">
        <v>0</v>
      </c>
      <c r="AB60" s="835">
        <v>0</v>
      </c>
      <c r="AC60" s="1094">
        <v>0</v>
      </c>
      <c r="AD60" s="833">
        <v>0</v>
      </c>
      <c r="AE60" s="836">
        <v>0</v>
      </c>
      <c r="AF60" s="836">
        <v>0</v>
      </c>
      <c r="AG60" s="827">
        <f t="shared" si="1"/>
        <v>0</v>
      </c>
      <c r="AH60" s="827">
        <f t="shared" si="2"/>
        <v>0</v>
      </c>
      <c r="AI60" s="466">
        <f t="shared" si="3"/>
        <v>0</v>
      </c>
      <c r="AJ60" s="467" t="str">
        <f t="shared" si="4"/>
        <v xml:space="preserve"> </v>
      </c>
      <c r="AS60" s="139" t="s">
        <v>527</v>
      </c>
      <c r="AT60" s="139" t="s">
        <v>528</v>
      </c>
      <c r="DS60" s="648"/>
      <c r="DT60" s="648"/>
      <c r="DU60" s="667" t="s">
        <v>415</v>
      </c>
      <c r="DV60" s="667" t="s">
        <v>1188</v>
      </c>
      <c r="DW60" s="667" t="s">
        <v>1134</v>
      </c>
      <c r="DX60" s="667" t="s">
        <v>1134</v>
      </c>
      <c r="DY60" s="669" t="s">
        <v>1197</v>
      </c>
      <c r="DZ60" s="667" t="s">
        <v>1134</v>
      </c>
      <c r="EA60" s="670" t="s">
        <v>527</v>
      </c>
      <c r="EB60" s="667" t="s">
        <v>1135</v>
      </c>
      <c r="EC60" s="667" t="s">
        <v>1134</v>
      </c>
      <c r="ED60" s="667" t="s">
        <v>1136</v>
      </c>
    </row>
    <row r="61" spans="1:134" x14ac:dyDescent="0.2">
      <c r="A61" s="427" t="s">
        <v>67</v>
      </c>
      <c r="B61" s="632">
        <v>54</v>
      </c>
      <c r="C61" s="770">
        <v>32</v>
      </c>
      <c r="D61" s="830">
        <v>0</v>
      </c>
      <c r="E61" s="830">
        <v>0</v>
      </c>
      <c r="F61" s="866">
        <v>0</v>
      </c>
      <c r="G61" s="830">
        <v>0</v>
      </c>
      <c r="H61" s="830">
        <v>0</v>
      </c>
      <c r="I61" s="828">
        <f t="shared" si="0"/>
        <v>32</v>
      </c>
      <c r="J61" s="832">
        <v>0</v>
      </c>
      <c r="K61" s="832">
        <v>0</v>
      </c>
      <c r="L61" s="830">
        <v>0</v>
      </c>
      <c r="M61" s="802">
        <v>0</v>
      </c>
      <c r="N61" s="832">
        <v>0</v>
      </c>
      <c r="O61" s="833">
        <v>0</v>
      </c>
      <c r="P61" s="832">
        <v>0</v>
      </c>
      <c r="Q61" s="832">
        <v>0</v>
      </c>
      <c r="R61" s="781">
        <v>0</v>
      </c>
      <c r="S61" s="830">
        <v>0</v>
      </c>
      <c r="T61" s="830">
        <v>0</v>
      </c>
      <c r="U61" s="834">
        <v>0</v>
      </c>
      <c r="V61" s="832">
        <v>0</v>
      </c>
      <c r="W61" s="831">
        <v>0</v>
      </c>
      <c r="X61" s="783">
        <v>0</v>
      </c>
      <c r="Y61" s="830">
        <v>0</v>
      </c>
      <c r="Z61" s="833">
        <v>0</v>
      </c>
      <c r="AA61" s="802">
        <v>0</v>
      </c>
      <c r="AB61" s="835">
        <v>0</v>
      </c>
      <c r="AC61" s="1094">
        <v>0</v>
      </c>
      <c r="AD61" s="833">
        <v>0</v>
      </c>
      <c r="AE61" s="836">
        <v>0</v>
      </c>
      <c r="AF61" s="836">
        <v>0</v>
      </c>
      <c r="AG61" s="827">
        <f t="shared" si="1"/>
        <v>0</v>
      </c>
      <c r="AH61" s="827">
        <f t="shared" si="2"/>
        <v>32</v>
      </c>
      <c r="AI61" s="466">
        <f t="shared" si="3"/>
        <v>0</v>
      </c>
      <c r="AJ61" s="467" t="str">
        <f t="shared" si="4"/>
        <v xml:space="preserve"> </v>
      </c>
      <c r="AS61" s="139" t="s">
        <v>287</v>
      </c>
      <c r="AT61" s="139" t="s">
        <v>286</v>
      </c>
      <c r="DS61" s="648"/>
      <c r="DT61" s="648"/>
      <c r="DU61" s="667" t="s">
        <v>415</v>
      </c>
      <c r="DV61" s="667" t="s">
        <v>1188</v>
      </c>
      <c r="DW61" s="667" t="s">
        <v>1134</v>
      </c>
      <c r="DX61" s="667" t="s">
        <v>1134</v>
      </c>
      <c r="DY61" s="669" t="s">
        <v>1197</v>
      </c>
      <c r="DZ61" s="667" t="s">
        <v>1134</v>
      </c>
      <c r="EA61" s="670" t="s">
        <v>287</v>
      </c>
      <c r="EB61" s="667" t="s">
        <v>1135</v>
      </c>
      <c r="EC61" s="667" t="s">
        <v>1134</v>
      </c>
      <c r="ED61" s="667" t="s">
        <v>1136</v>
      </c>
    </row>
    <row r="62" spans="1:134" x14ac:dyDescent="0.2">
      <c r="A62" s="427" t="s">
        <v>139</v>
      </c>
      <c r="B62" s="632">
        <v>55</v>
      </c>
      <c r="C62" s="770">
        <v>0</v>
      </c>
      <c r="D62" s="830">
        <v>0</v>
      </c>
      <c r="E62" s="830">
        <v>0</v>
      </c>
      <c r="F62" s="866">
        <v>0</v>
      </c>
      <c r="G62" s="830">
        <v>0</v>
      </c>
      <c r="H62" s="830">
        <v>0</v>
      </c>
      <c r="I62" s="828">
        <f t="shared" si="0"/>
        <v>0</v>
      </c>
      <c r="J62" s="832">
        <v>0</v>
      </c>
      <c r="K62" s="832">
        <v>0</v>
      </c>
      <c r="L62" s="830">
        <v>0</v>
      </c>
      <c r="M62" s="802">
        <v>0</v>
      </c>
      <c r="N62" s="832">
        <v>0</v>
      </c>
      <c r="O62" s="833">
        <v>0</v>
      </c>
      <c r="P62" s="832">
        <v>0</v>
      </c>
      <c r="Q62" s="832">
        <v>0</v>
      </c>
      <c r="R62" s="781">
        <v>0</v>
      </c>
      <c r="S62" s="830">
        <v>0</v>
      </c>
      <c r="T62" s="830">
        <v>0</v>
      </c>
      <c r="U62" s="834">
        <v>0</v>
      </c>
      <c r="V62" s="832">
        <v>0</v>
      </c>
      <c r="W62" s="831">
        <v>0</v>
      </c>
      <c r="X62" s="783">
        <v>0</v>
      </c>
      <c r="Y62" s="830">
        <v>0</v>
      </c>
      <c r="Z62" s="833">
        <v>0</v>
      </c>
      <c r="AA62" s="802">
        <v>0</v>
      </c>
      <c r="AB62" s="835">
        <v>0</v>
      </c>
      <c r="AC62" s="1094">
        <v>0</v>
      </c>
      <c r="AD62" s="833">
        <v>0</v>
      </c>
      <c r="AE62" s="836">
        <v>0</v>
      </c>
      <c r="AF62" s="836">
        <v>0</v>
      </c>
      <c r="AG62" s="827">
        <f t="shared" si="1"/>
        <v>0</v>
      </c>
      <c r="AH62" s="827">
        <f t="shared" si="2"/>
        <v>0</v>
      </c>
      <c r="AI62" s="466">
        <f t="shared" si="3"/>
        <v>0</v>
      </c>
      <c r="AJ62" s="467" t="str">
        <f t="shared" si="4"/>
        <v xml:space="preserve"> </v>
      </c>
      <c r="AS62" s="139" t="s">
        <v>289</v>
      </c>
      <c r="AT62" s="139" t="s">
        <v>288</v>
      </c>
      <c r="DS62" s="648"/>
      <c r="DT62" s="648"/>
      <c r="DU62" s="667" t="s">
        <v>415</v>
      </c>
      <c r="DV62" s="667" t="s">
        <v>1188</v>
      </c>
      <c r="DW62" s="667" t="s">
        <v>1134</v>
      </c>
      <c r="DX62" s="667" t="s">
        <v>1134</v>
      </c>
      <c r="DY62" s="669" t="s">
        <v>1197</v>
      </c>
      <c r="DZ62" s="667" t="s">
        <v>1134</v>
      </c>
      <c r="EA62" s="670" t="s">
        <v>289</v>
      </c>
      <c r="EB62" s="667" t="s">
        <v>1135</v>
      </c>
      <c r="EC62" s="667" t="s">
        <v>1134</v>
      </c>
      <c r="ED62" s="667" t="s">
        <v>1136</v>
      </c>
    </row>
    <row r="63" spans="1:134" ht="13.5" thickBot="1" x14ac:dyDescent="0.25">
      <c r="A63" s="207" t="s">
        <v>95</v>
      </c>
      <c r="B63" s="632">
        <v>56</v>
      </c>
      <c r="C63" s="830">
        <v>0</v>
      </c>
      <c r="D63" s="830">
        <v>0</v>
      </c>
      <c r="E63" s="830">
        <v>0</v>
      </c>
      <c r="F63" s="866">
        <v>0</v>
      </c>
      <c r="G63" s="830">
        <v>0</v>
      </c>
      <c r="H63" s="830">
        <v>0</v>
      </c>
      <c r="I63" s="828">
        <f t="shared" si="0"/>
        <v>0</v>
      </c>
      <c r="J63" s="832">
        <v>0</v>
      </c>
      <c r="K63" s="832">
        <v>0</v>
      </c>
      <c r="L63" s="837">
        <v>0</v>
      </c>
      <c r="M63" s="867">
        <v>0</v>
      </c>
      <c r="N63" s="838">
        <v>0</v>
      </c>
      <c r="O63" s="833">
        <v>0</v>
      </c>
      <c r="P63" s="832">
        <v>0</v>
      </c>
      <c r="Q63" s="832">
        <v>0</v>
      </c>
      <c r="R63" s="781">
        <v>0</v>
      </c>
      <c r="S63" s="830">
        <v>0</v>
      </c>
      <c r="T63" s="830">
        <v>0</v>
      </c>
      <c r="U63" s="834">
        <v>0</v>
      </c>
      <c r="V63" s="832">
        <v>0</v>
      </c>
      <c r="W63" s="831">
        <v>0</v>
      </c>
      <c r="X63" s="783">
        <v>0</v>
      </c>
      <c r="Y63" s="830">
        <v>0</v>
      </c>
      <c r="Z63" s="833">
        <v>0</v>
      </c>
      <c r="AA63" s="802">
        <v>0</v>
      </c>
      <c r="AB63" s="835">
        <v>0</v>
      </c>
      <c r="AC63" s="1094">
        <v>0</v>
      </c>
      <c r="AD63" s="833">
        <v>0</v>
      </c>
      <c r="AE63" s="836">
        <v>0</v>
      </c>
      <c r="AF63" s="836">
        <v>0</v>
      </c>
      <c r="AG63" s="827">
        <f t="shared" si="1"/>
        <v>0</v>
      </c>
      <c r="AH63" s="827">
        <f t="shared" si="2"/>
        <v>0</v>
      </c>
      <c r="AI63" s="466">
        <f t="shared" si="3"/>
        <v>0</v>
      </c>
      <c r="AJ63" s="467" t="str">
        <f t="shared" si="4"/>
        <v xml:space="preserve"> </v>
      </c>
      <c r="AS63" s="143" t="s">
        <v>609</v>
      </c>
      <c r="AT63" s="143" t="s">
        <v>588</v>
      </c>
      <c r="DS63" s="648"/>
      <c r="DT63" s="648"/>
      <c r="DU63" s="667" t="s">
        <v>415</v>
      </c>
      <c r="DV63" s="667" t="s">
        <v>1188</v>
      </c>
      <c r="DW63" s="667" t="s">
        <v>1134</v>
      </c>
      <c r="DX63" s="667" t="s">
        <v>1134</v>
      </c>
      <c r="DY63" s="669" t="s">
        <v>1197</v>
      </c>
      <c r="DZ63" s="667" t="s">
        <v>1134</v>
      </c>
      <c r="EA63" s="670" t="s">
        <v>1186</v>
      </c>
      <c r="EB63" s="667" t="s">
        <v>1135</v>
      </c>
      <c r="EC63" s="667" t="s">
        <v>1134</v>
      </c>
      <c r="ED63" s="667" t="s">
        <v>1136</v>
      </c>
    </row>
    <row r="64" spans="1:134" ht="14.25" thickBot="1" x14ac:dyDescent="0.25">
      <c r="A64" s="73" t="s">
        <v>142</v>
      </c>
      <c r="B64" s="158">
        <v>57</v>
      </c>
      <c r="C64" s="811">
        <f t="shared" ref="C64:H64" si="5">ROUND(SUM(C8:C63),3)</f>
        <v>117</v>
      </c>
      <c r="D64" s="811">
        <f t="shared" si="5"/>
        <v>0</v>
      </c>
      <c r="E64" s="811">
        <f t="shared" si="5"/>
        <v>0</v>
      </c>
      <c r="F64" s="811">
        <f t="shared" si="5"/>
        <v>0</v>
      </c>
      <c r="G64" s="811">
        <f t="shared" si="5"/>
        <v>0</v>
      </c>
      <c r="H64" s="811">
        <f t="shared" si="5"/>
        <v>0</v>
      </c>
      <c r="I64" s="812">
        <f t="shared" si="0"/>
        <v>117</v>
      </c>
      <c r="J64" s="813">
        <f t="shared" ref="J64:AF64" si="6">ROUND(SUM(J8:J63),3)</f>
        <v>0</v>
      </c>
      <c r="K64" s="811">
        <f t="shared" si="6"/>
        <v>0</v>
      </c>
      <c r="L64" s="812">
        <f t="shared" si="6"/>
        <v>0</v>
      </c>
      <c r="M64" s="870">
        <f t="shared" si="6"/>
        <v>202</v>
      </c>
      <c r="N64" s="811">
        <f t="shared" si="6"/>
        <v>0</v>
      </c>
      <c r="O64" s="812">
        <f t="shared" si="6"/>
        <v>202</v>
      </c>
      <c r="P64" s="814">
        <f t="shared" si="6"/>
        <v>0</v>
      </c>
      <c r="Q64" s="811">
        <f t="shared" si="6"/>
        <v>0</v>
      </c>
      <c r="R64" s="871">
        <f t="shared" si="6"/>
        <v>100</v>
      </c>
      <c r="S64" s="811">
        <f t="shared" si="6"/>
        <v>0</v>
      </c>
      <c r="T64" s="811">
        <f t="shared" si="6"/>
        <v>100</v>
      </c>
      <c r="U64" s="812">
        <f t="shared" si="6"/>
        <v>0</v>
      </c>
      <c r="V64" s="814">
        <f t="shared" si="6"/>
        <v>45</v>
      </c>
      <c r="W64" s="811">
        <f t="shared" si="6"/>
        <v>0</v>
      </c>
      <c r="X64" s="872">
        <f t="shared" si="6"/>
        <v>45</v>
      </c>
      <c r="Y64" s="811">
        <f t="shared" si="6"/>
        <v>0</v>
      </c>
      <c r="Z64" s="812">
        <f t="shared" si="6"/>
        <v>45</v>
      </c>
      <c r="AA64" s="870">
        <f t="shared" si="6"/>
        <v>2</v>
      </c>
      <c r="AB64" s="811">
        <f t="shared" si="6"/>
        <v>2</v>
      </c>
      <c r="AC64" s="811">
        <f t="shared" si="6"/>
        <v>0</v>
      </c>
      <c r="AD64" s="812">
        <f t="shared" si="6"/>
        <v>0</v>
      </c>
      <c r="AE64" s="811">
        <f t="shared" si="6"/>
        <v>0</v>
      </c>
      <c r="AF64" s="814">
        <f t="shared" si="6"/>
        <v>0</v>
      </c>
      <c r="AG64" s="811">
        <f t="shared" si="1"/>
        <v>349</v>
      </c>
      <c r="AH64" s="816">
        <f t="shared" si="2"/>
        <v>466</v>
      </c>
      <c r="AI64" s="466">
        <f t="shared" ref="AI64:AI66" si="7">IF(ROUND(I64-SUM(C64:F64,H64),3)=0,0,1)+IF(ROUND(AG64-SUM(J64:M64,P64:R64,U64,X64,AA64,AE64:AF64),3)=0,0,1)+IF(ROUND(AH64-SUM(AG64,I64),3)=0,0,1)</f>
        <v>0</v>
      </c>
      <c r="AJ64" s="467" t="str">
        <f t="shared" ref="AJ64" si="8">IF(AI64=0," ",IF(AI64=1,"A total is not equal to the sum of its components: ",AI64&amp;" totals are not equal to the sum of their components: "))&amp;IF(AI64=0,"",IF(I64-SUM(C64:F64,H64)=0,"","Total crude. ")&amp;IF(AG64-SUM(J64:M64,P64:R64,U64,X64,AA64,AE64:AF64)=0,"","Total products. ")&amp;IF(AH64-SUM(AG64,I64)=0,"","Total oil."))</f>
        <v xml:space="preserve"> </v>
      </c>
      <c r="AS64" s="143" t="s">
        <v>589</v>
      </c>
      <c r="AT64" s="144" t="s">
        <v>615</v>
      </c>
      <c r="DS64" s="648"/>
      <c r="DT64" s="648"/>
      <c r="DU64" s="667" t="s">
        <v>415</v>
      </c>
      <c r="DV64" s="667" t="s">
        <v>1188</v>
      </c>
      <c r="DW64" s="667" t="s">
        <v>1134</v>
      </c>
      <c r="DX64" s="667" t="s">
        <v>1134</v>
      </c>
      <c r="DY64" s="667" t="s">
        <v>1197</v>
      </c>
      <c r="DZ64" s="667" t="s">
        <v>1134</v>
      </c>
      <c r="EA64" s="667" t="s">
        <v>1177</v>
      </c>
      <c r="EB64" s="667" t="s">
        <v>1135</v>
      </c>
      <c r="EC64" s="667" t="s">
        <v>1134</v>
      </c>
      <c r="ED64" s="667" t="s">
        <v>1136</v>
      </c>
    </row>
    <row r="65" spans="1:46" s="211" customFormat="1" ht="13.5" thickBot="1" x14ac:dyDescent="0.25">
      <c r="A65" s="205"/>
      <c r="B65" s="204"/>
      <c r="C65" s="873"/>
      <c r="D65" s="873"/>
      <c r="E65" s="873"/>
      <c r="F65" s="873"/>
      <c r="G65" s="873"/>
      <c r="H65" s="873"/>
      <c r="I65" s="873"/>
      <c r="J65" s="873"/>
      <c r="K65" s="873"/>
      <c r="L65" s="873"/>
      <c r="M65" s="873"/>
      <c r="N65" s="873"/>
      <c r="O65" s="873"/>
      <c r="P65" s="873"/>
      <c r="Q65" s="873"/>
      <c r="R65" s="873"/>
      <c r="S65" s="873"/>
      <c r="T65" s="873"/>
      <c r="U65" s="873"/>
      <c r="V65" s="873"/>
      <c r="W65" s="873"/>
      <c r="X65" s="873"/>
      <c r="Y65" s="873"/>
      <c r="Z65" s="873"/>
      <c r="AA65" s="873"/>
      <c r="AB65" s="873"/>
      <c r="AC65" s="873"/>
      <c r="AD65" s="873"/>
      <c r="AE65" s="873"/>
      <c r="AF65" s="873"/>
      <c r="AG65" s="873"/>
      <c r="AH65" s="873"/>
      <c r="AI65" s="209"/>
      <c r="AJ65" s="210"/>
      <c r="AS65" s="212"/>
      <c r="AT65" s="213"/>
    </row>
    <row r="66" spans="1:46" ht="13.5" thickBot="1" x14ac:dyDescent="0.25">
      <c r="A66" s="73" t="str">
        <f>IF(EnCMember=1,"Total EnC Contracting Parties","Total EU MS")</f>
        <v>Total EU MS</v>
      </c>
      <c r="B66" s="158">
        <v>58</v>
      </c>
      <c r="C66" s="811">
        <f>ROUND(IF('Table 1'!$G$3&gt;1,IF(EnCMember=1,C8+C14+C47+C27+C37+C43+C44+C53+C60+C11+C13+C15+C20+C21+C22+C23+C24+C25+C26+C28+C29+C30+C32+C34+C38+C39+C40+C41+C45+C49+C50+C51+C54+C55+C56+C57+C61,C11+C13+C15+C20+C21+C22+C23+C24+C25+C26+C28+C29+C30+C32+C34+C38+C39+C40+C41+C45+C49+C50+C51+C54+C55+C56+C57+C61),IF(EnCMember=1,C8+C14+C47+C27+C37+C43+C44+C53+C60+C11+C13+C15+C20+C21+C22+C23+C24+C25+C26+C28+C29+C30+C32+C34+C38+C39+C40+C41+C45+C49+C50+C51+C54+C55+C56+C57,C11+C13+C15+C20+C21+C22+C23+C24+C25+C26+C28+C29+C30+C32+C34+C38+C39+C40+C41+C45+C49+C50+C51+C54+C55+C56+C57)),3)</f>
        <v>85</v>
      </c>
      <c r="D66" s="811">
        <f>ROUND(IF('Table 1'!$G$3&gt;1,IF(EnCMember=1,D8+D14+D47+D27+D37+D43+D44+D53+D60+D11+D13+D15+D20+D21+D22+D23+D24+D25+D26+D28+D29+D30+D32+D34+D38+D39+D40+D41+D45+D49+D50+D51+D54+D55+D56+D57+D61,D11+D13+D15+D20+D21+D22+D23+D24+D25+D26+D28+D29+D30+D32+D34+D38+D39+D40+D41+D45+D49+D50+D51+D54+D55+D56+D57+D61),IF(EnCMember=1,D8+D14+D47+D27+D37+D43+D44+D53+D60+D11+D13+D15+D20+D21+D22+D23+D24+D25+D26+D28+D29+D30+D32+D34+D38+D39+D40+D41+D45+D49+D50+D51+D54+D55+D56+D57,D11+D13+D15+D20+D21+D22+D23+D24+D25+D26+D28+D29+D30+D32+D34+D38+D39+D40+D41+D45+D49+D50+D51+D54+D55+D56+D57)),3)</f>
        <v>0</v>
      </c>
      <c r="E66" s="811">
        <f>ROUND(IF('Table 1'!$G$3&gt;1,IF(EnCMember=1,E8+E14+E47+E27+E37+E43+E44+E53+E60+E11+E13+E15+E20+E21+E22+E23+E24+E25+E26+E28+E29+E30+E32+E34+E38+E39+E40+E41+E45+E49+E50+E51+E54+E55+E56+E57+E61,E11+E13+E15+E20+E21+E22+E23+E24+E25+E26+E28+E29+E30+E32+E34+E38+E39+E40+E41+E45+E49+E50+E51+E54+E55+E56+E57+E61),IF(EnCMember=1,E8+E14+E47+E27+E37+E43+E44+E53+E60+E11+E13+E15+E20+E21+E22+E23+E24+E25+E26+E28+E29+E30+E32+E34+E38+E39+E40+E41+E45+E49+E50+E51+E54+E55+E56+E57,E11+E13+E15+E20+E21+E22+E23+E24+E25+E26+E28+E29+E30+E32+E34+E38+E39+E40+E41+E45+E49+E50+E51+E54+E55+E56+E57)),3)</f>
        <v>0</v>
      </c>
      <c r="F66" s="811">
        <f>ROUND(IF('Table 1'!$G$3&gt;1,IF(EnCMember=1,F8+F14+F47+F27+F37+F43+F44+F53+F60+F11+F13+F15+F20+F21+F22+F23+F24+F25+F26+F28+F29+F30+F32+F34+F38+F39+F40+F41+F45+F49+F50+F51+F54+F55+F56+F57+F61,F11+F13+F15+F20+F21+F22+F23+F24+F25+F26+F28+F29+F30+F32+F34+F38+F39+F40+F41+F45+F49+F50+F51+F54+F55+F56+F57+F61),IF(EnCMember=1,F8+F14+F47+F27+F37+F43+F44+F53+F60+F11+F13+F15+F20+F21+F22+F23+F24+F25+F26+F28+F29+F30+F32+F34+F38+F39+F40+F41+F45+F49+F50+F51+F54+F55+F56+F57,F11+F13+F15+F20+F21+F22+F23+F24+F25+F26+F28+F29+F30+F32+F34+F38+F39+F40+F41+F45+F49+F50+F51+F54+F55+F56+F57)),3)</f>
        <v>0</v>
      </c>
      <c r="G66" s="811">
        <f>ROUND(IF('Table 1'!$G$3&gt;1,IF(EnCMember=1,G8+G14+G47+G27+G37+G43+G44+G53+G60+G11+G13+G15+G20+G21+G22+G23+G24+G25+G26+G28+G29+G30+G32+G34+G38+G39+G40+G41+G45+G49+G50+G51+G54+G55+G56+G57+G61,G11+G13+G15+G20+G21+G22+G23+G24+G25+G26+G28+G29+G30+G32+G34+G38+G39+G40+G41+G45+G49+G50+G51+G54+G55+G56+G57+G61),IF(EnCMember=1,G8+G14+G47+G27+G37+G43+G44+G53+G60+G11+G13+G15+G20+G21+G22+G23+G24+G25+G26+G28+G29+G30+G32+G34+G38+G39+G40+G41+G45+G49+G50+G51+G54+G55+G56+G57,G11+G13+G15+G20+G21+G22+G23+G24+G25+G26+G28+G29+G30+G32+G34+G38+G39+G40+G41+G45+G49+G50+G51+G54+G55+G56+G57)),3)</f>
        <v>0</v>
      </c>
      <c r="H66" s="811">
        <f>ROUND(IF('Table 1'!$G$3&gt;1,IF(EnCMember=1,H8+H14+H47+H27+H37+H43+H44+H53+H60+H11+H13+H15+H20+H21+H22+H23+H24+H25+H26+H28+H29+H30+H32+H34+H38+H39+H40+H41+H45+H49+H50+H51+H54+H55+H56+H57+H61,H11+H13+H15+H20+H21+H22+H23+H24+H25+H26+H28+H29+H30+H32+H34+H38+H39+H40+H41+H45+H49+H50+H51+H54+H55+H56+H57+H61),IF(EnCMember=1,H8+H14+H47+H27+H37+H43+H44+H53+H60+H11+H13+H15+H20+H21+H22+H23+H24+H25+H26+H28+H29+H30+H32+H34+H38+H39+H40+H41+H45+H49+H50+H51+H54+H55+H56+H57,H11+H13+H15+H20+H21+H22+H23+H24+H25+H26+H28+H29+H30+H32+H34+H38+H39+H40+H41+H45+H49+H50+H51+H54+H55+H56+H57)),3)</f>
        <v>0</v>
      </c>
      <c r="I66" s="812">
        <f>ROUND(IF('Table 1'!$G$3&gt;1,IF(EnCMember=1,I8+I14+I47+I27+I37+I43+I44+I53+I60+I11+I13+I15+I20+I21+I22+I23+I24+I25+I26+I28+I29+I30+I32+I34+I38+I39+I40+I41+I45+I49+I50+I51+I54+I55+I56+I57+I61,I11+I13+I15+I20+I21+I22+I23+I24+I25+I26+I28+I29+I30+I32+I34+I38+I39+I40+I41+I45+I49+I50+I51+I54+I55+I56+I57+I61),IF(EnCMember=1,I8+I14+I47+I27+I37+I43+I44+I53+I60+I11+I13+I15+I20+I21+I22+I23+I24+I25+I26+I28+I29+I30+I32+I34+I38+I39+I40+I41+I45+I49+I50+I51+I54+I55+I56+I57,I11+I13+I15+I20+I21+I22+I23+I24+I25+I26+I28+I29+I30+I32+I34+I38+I39+I40+I41+I45+I49+I50+I51+I54+I55+I56+I57)),3)</f>
        <v>85</v>
      </c>
      <c r="J66" s="813">
        <f>ROUND(IF('Table 1'!$G$3&gt;1,IF(EnCMember=1,J8+J14+J47+J27+J37+J43+J44+J53+J60+J11+J13+J15+J20+J21+J22+J23+J24+J25+J26+J28+J29+J30+J32+J34+J38+J39+J40+J41+J45+J49+J50+J51+J54+J55+J56+J57+J61,J11+J13+J15+J20+J21+J22+J23+J24+J25+J26+J28+J29+J30+J32+J34+J38+J39+J40+J41+J45+J49+J50+J51+J54+J55+J56+J57+J61),IF(EnCMember=1,J8+J14+J47+J27+J37+J43+J44+J53+J60+J11+J13+J15+J20+J21+J22+J23+J24+J25+J26+J28+J29+J30+J32+J34+J38+J39+J40+J41+J45+J49+J50+J51+J54+J55+J56+J57,J11+J13+J15+J20+J21+J22+J23+J24+J25+J26+J28+J29+J30+J32+J34+J38+J39+J40+J41+J45+J49+J50+J51+J54+J55+J56+J57)),3)</f>
        <v>0</v>
      </c>
      <c r="K66" s="811">
        <f>ROUND(IF('Table 1'!$G$3&gt;1,IF(EnCMember=1,K8+K14+K47+K27+K37+K43+K44+K53+K60+K11+K13+K15+K20+K21+K22+K23+K24+K25+K26+K28+K29+K30+K32+K34+K38+K39+K40+K41+K45+K49+K50+K51+K54+K55+K56+K57+K61,K11+K13+K15+K20+K21+K22+K23+K24+K25+K26+K28+K29+K30+K32+K34+K38+K39+K40+K41+K45+K49+K50+K51+K54+K55+K56+K57+K61),IF(EnCMember=1,K8+K14+K47+K27+K37+K43+K44+K53+K60+K11+K13+K15+K20+K21+K22+K23+K24+K25+K26+K28+K29+K30+K32+K34+K38+K39+K40+K41+K45+K49+K50+K51+K54+K55+K56+K57,K11+K13+K15+K20+K21+K22+K23+K24+K25+K26+K28+K29+K30+K32+K34+K38+K39+K40+K41+K45+K49+K50+K51+K54+K55+K56+K57)),3)</f>
        <v>0</v>
      </c>
      <c r="L66" s="812">
        <f>ROUND(IF('Table 1'!$G$3&gt;1,IF(EnCMember=1,L8+L14+L47+L27+L37+L43+L44+L53+L60+L11+L13+L15+L20+L21+L22+L23+L24+L25+L26+L28+L29+L30+L32+L34+L38+L39+L40+L41+L45+L49+L50+L51+L54+L55+L56+L57+L61,L11+L13+L15+L20+L21+L22+L23+L24+L25+L26+L28+L29+L30+L32+L34+L38+L39+L40+L41+L45+L49+L50+L51+L54+L55+L56+L57+L61),IF(EnCMember=1,L8+L14+L47+L27+L37+L43+L44+L53+L60+L11+L13+L15+L20+L21+L22+L23+L24+L25+L26+L28+L29+L30+L32+L34+L38+L39+L40+L41+L45+L49+L50+L51+L54+L55+L56+L57,L11+L13+L15+L20+L21+L22+L23+L24+L25+L26+L28+L29+L30+L32+L34+L38+L39+L40+L41+L45+L49+L50+L51+L54+L55+L56+L57)),3)</f>
        <v>0</v>
      </c>
      <c r="M66" s="813">
        <f>ROUND(IF('Table 1'!$G$3&gt;1,IF(EnCMember=1,M8+M14+M47+M27+M37+M43+M44+M53+M60+M11+M13+M15+M20+M21+M22+M23+M24+M25+M26+M28+M29+M30+M32+M34+M38+M39+M40+M41+M45+M49+M50+M51+M54+M55+M56+M57+M61,M11+M13+M15+M20+M21+M22+M23+M24+M25+M26+M28+M29+M30+M32+M34+M38+M39+M40+M41+M45+M49+M50+M51+M54+M55+M56+M57+M61),IF(EnCMember=1,M8+M14+M47+M27+M37+M43+M44+M53+M60+M11+M13+M15+M20+M21+M22+M23+M24+M25+M26+M28+M29+M30+M32+M34+M38+M39+M40+M41+M45+M49+M50+M51+M54+M55+M56+M57,M11+M13+M15+M20+M21+M22+M23+M24+M25+M26+M28+M29+M30+M32+M34+M38+M39+M40+M41+M45+M49+M50+M51+M54+M55+M56+M57)),3)</f>
        <v>202</v>
      </c>
      <c r="N66" s="811">
        <f>ROUND(IF('Table 1'!$G$3&gt;1,IF(EnCMember=1,N8+N14+N47+N27+N37+N43+N44+N53+N60+N11+N13+N15+N20+N21+N22+N23+N24+N25+N26+N28+N29+N30+N32+N34+N38+N39+N40+N41+N45+N49+N50+N51+N54+N55+N56+N57+N61,N11+N13+N15+N20+N21+N22+N23+N24+N25+N26+N28+N29+N30+N32+N34+N38+N39+N40+N41+N45+N49+N50+N51+N54+N55+N56+N57+N61),IF(EnCMember=1,N8+N14+N47+N27+N37+N43+N44+N53+N60+N11+N13+N15+N20+N21+N22+N23+N24+N25+N26+N28+N29+N30+N32+N34+N38+N39+N40+N41+N45+N49+N50+N51+N54+N55+N56+N57,N11+N13+N15+N20+N21+N22+N23+N24+N25+N26+N28+N29+N30+N32+N34+N38+N39+N40+N41+N45+N49+N50+N51+N54+N55+N56+N57)),3)</f>
        <v>0</v>
      </c>
      <c r="O66" s="812">
        <f>ROUND(IF('Table 1'!$G$3&gt;1,IF(EnCMember=1,O8+O14+O47+O27+O37+O43+O44+O53+O60+O11+O13+O15+O20+O21+O22+O23+O24+O25+O26+O28+O29+O30+O32+O34+O38+O39+O40+O41+O45+O49+O50+O51+O54+O55+O56+O57+O61,O11+O13+O15+O20+O21+O22+O23+O24+O25+O26+O28+O29+O30+O32+O34+O38+O39+O40+O41+O45+O49+O50+O51+O54+O55+O56+O57+O61),IF(EnCMember=1,O8+O14+O47+O27+O37+O43+O44+O53+O60+O11+O13+O15+O20+O21+O22+O23+O24+O25+O26+O28+O29+O30+O32+O34+O38+O39+O40+O41+O45+O49+O50+O51+O54+O55+O56+O57,O11+O13+O15+O20+O21+O22+O23+O24+O25+O26+O28+O29+O30+O32+O34+O38+O39+O40+O41+O45+O49+O50+O51+O54+O55+O56+O57)),3)</f>
        <v>202</v>
      </c>
      <c r="P66" s="813">
        <f>ROUND(IF('Table 1'!$G$3&gt;1,IF(EnCMember=1,P8+P14+P47+P27+P37+P43+P44+P53+P60+P11+P13+P15+P20+P21+P22+P23+P24+P25+P26+P28+P29+P30+P32+P34+P38+P39+P40+P41+P45+P49+P50+P51+P54+P55+P56+P57+P61,P11+P13+P15+P20+P21+P22+P23+P24+P25+P26+P28+P29+P30+P32+P34+P38+P39+P40+P41+P45+P49+P50+P51+P54+P55+P56+P57+P61),IF(EnCMember=1,P8+P14+P47+P27+P37+P43+P44+P53+P60+P11+P13+P15+P20+P21+P22+P23+P24+P25+P26+P28+P29+P30+P32+P34+P38+P39+P40+P41+P45+P49+P50+P51+P54+P55+P56+P57,P11+P13+P15+P20+P21+P22+P23+P24+P25+P26+P28+P29+P30+P32+P34+P38+P39+P40+P41+P45+P49+P50+P51+P54+P55+P56+P57)),3)</f>
        <v>0</v>
      </c>
      <c r="Q66" s="811">
        <f>ROUND(IF('Table 1'!$G$3&gt;1,IF(EnCMember=1,Q8+Q14+Q47+Q27+Q37+Q43+Q44+Q53+Q60+Q11+Q13+Q15+Q20+Q21+Q22+Q23+Q24+Q25+Q26+Q28+Q29+Q30+Q32+Q34+Q38+Q39+Q40+Q41+Q45+Q49+Q50+Q51+Q54+Q55+Q56+Q57+Q61,Q11+Q13+Q15+Q20+Q21+Q22+Q23+Q24+Q25+Q26+Q28+Q29+Q30+Q32+Q34+Q38+Q39+Q40+Q41+Q45+Q49+Q50+Q51+Q54+Q55+Q56+Q57+Q61),IF(EnCMember=1,Q8+Q14+Q47+Q27+Q37+Q43+Q44+Q53+Q60+Q11+Q13+Q15+Q20+Q21+Q22+Q23+Q24+Q25+Q26+Q28+Q29+Q30+Q32+Q34+Q38+Q39+Q40+Q41+Q45+Q49+Q50+Q51+Q54+Q55+Q56+Q57,Q11+Q13+Q15+Q20+Q21+Q22+Q23+Q24+Q25+Q26+Q28+Q29+Q30+Q32+Q34+Q38+Q39+Q40+Q41+Q45+Q49+Q50+Q51+Q54+Q55+Q56+Q57)),3)</f>
        <v>0</v>
      </c>
      <c r="R66" s="811">
        <f>ROUND(IF('Table 1'!$G$3&gt;1,IF(EnCMember=1,R8+R14+R47+R27+R37+R43+R44+R53+R60+R11+R13+R15+R20+R21+R22+R23+R24+R25+R26+R28+R29+R30+R32+R34+R38+R39+R40+R41+R45+R49+R50+R51+R54+R55+R56+R57+R61,R11+R13+R15+R20+R21+R22+R23+R24+R25+R26+R28+R29+R30+R32+R34+R38+R39+R40+R41+R45+R49+R50+R51+R54+R55+R56+R57+R61),IF(EnCMember=1,R8+R14+R47+R27+R37+R43+R44+R53+R60+R11+R13+R15+R20+R21+R22+R23+R24+R25+R26+R28+R29+R30+R32+R34+R38+R39+R40+R41+R45+R49+R50+R51+R54+R55+R56+R57,R11+R13+R15+R20+R21+R22+R23+R24+R25+R26+R28+R29+R30+R32+R34+R38+R39+R40+R41+R45+R49+R50+R51+R54+R55+R56+R57)),3)</f>
        <v>100</v>
      </c>
      <c r="S66" s="811">
        <f>ROUND(IF('Table 1'!$G$3&gt;1,IF(EnCMember=1,S8+S14+S47+S27+S37+S43+S44+S53+S60+S11+S13+S15+S20+S21+S22+S23+S24+S25+S26+S28+S29+S30+S32+S34+S38+S39+S40+S41+S45+S49+S50+S51+S54+S55+S56+S57+S61,S11+S13+S15+S20+S21+S22+S23+S24+S25+S26+S28+S29+S30+S32+S34+S38+S39+S40+S41+S45+S49+S50+S51+S54+S55+S56+S57+S61),IF(EnCMember=1,S8+S14+S47+S27+S37+S43+S44+S53+S60+S11+S13+S15+S20+S21+S22+S23+S24+S25+S26+S28+S29+S30+S32+S34+S38+S39+S40+S41+S45+S49+S50+S51+S54+S55+S56+S57,S11+S13+S15+S20+S21+S22+S23+S24+S25+S26+S28+S29+S30+S32+S34+S38+S39+S40+S41+S45+S49+S50+S51+S54+S55+S56+S57)),3)</f>
        <v>0</v>
      </c>
      <c r="T66" s="811">
        <f>ROUND(IF('Table 1'!$G$3&gt;1,IF(EnCMember=1,T8+T14+T47+T27+T37+T43+T44+T53+T60+T11+T13+T15+T20+T21+T22+T23+T24+T25+T26+T28+T29+T30+T32+T34+T38+T39+T40+T41+T45+T49+T50+T51+T54+T55+T56+T57+T61,T11+T13+T15+T20+T21+T22+T23+T24+T25+T26+T28+T29+T30+T32+T34+T38+T39+T40+T41+T45+T49+T50+T51+T54+T55+T56+T57+T61),IF(EnCMember=1,T8+T14+T47+T27+T37+T43+T44+T53+T60+T11+T13+T15+T20+T21+T22+T23+T24+T25+T26+T28+T29+T30+T32+T34+T38+T39+T40+T41+T45+T49+T50+T51+T54+T55+T56+T57,T11+T13+T15+T20+T21+T22+T23+T24+T25+T26+T28+T29+T30+T32+T34+T38+T39+T40+T41+T45+T49+T50+T51+T54+T55+T56+T57)),3)</f>
        <v>100</v>
      </c>
      <c r="U66" s="812">
        <f>ROUND(IF('Table 1'!$G$3&gt;1,IF(EnCMember=1,U8+U14+U47+U27+U37+U43+U44+U53+U60+U11+U13+U15+U20+U21+U22+U23+U24+U25+U26+U28+U29+U30+U32+U34+U38+U39+U40+U41+U45+U49+U50+U51+U54+U55+U56+U57+U61,U11+U13+U15+U20+U21+U22+U23+U24+U25+U26+U28+U29+U30+U32+U34+U38+U39+U40+U41+U45+U49+U50+U51+U54+U55+U56+U57+U61),IF(EnCMember=1,U8+U14+U47+U27+U37+U43+U44+U53+U60+U11+U13+U15+U20+U21+U22+U23+U24+U25+U26+U28+U29+U30+U32+U34+U38+U39+U40+U41+U45+U49+U50+U51+U54+U55+U56+U57,U11+U13+U15+U20+U21+U22+U23+U24+U25+U26+U28+U29+U30+U32+U34+U38+U39+U40+U41+U45+U49+U50+U51+U54+U55+U56+U57)),3)</f>
        <v>0</v>
      </c>
      <c r="V66" s="813">
        <f>ROUND(IF('Table 1'!$G$3&gt;1,IF(EnCMember=1,V8+V14+V47+V27+V37+V43+V44+V53+V60+V11+V13+V15+V20+V21+V22+V23+V24+V25+V26+V28+V29+V30+V32+V34+V38+V39+V40+V41+V45+V49+V50+V51+V54+V55+V56+V57+V61,V11+V13+V15+V20+V21+V22+V23+V24+V25+V26+V28+V29+V30+V32+V34+V38+V39+V40+V41+V45+V49+V50+V51+V54+V55+V56+V57+V61),IF(EnCMember=1,V8+V14+V47+V27+V37+V43+V44+V53+V60+V11+V13+V15+V20+V21+V22+V23+V24+V25+V26+V28+V29+V30+V32+V34+V38+V39+V40+V41+V45+V49+V50+V51+V54+V55+V56+V57,V11+V13+V15+V20+V21+V22+V23+V24+V25+V26+V28+V29+V30+V32+V34+V38+V39+V40+V41+V45+V49+V50+V51+V54+V55+V56+V57)),3)</f>
        <v>45</v>
      </c>
      <c r="W66" s="811">
        <f>ROUND(IF('Table 1'!$G$3&gt;1,IF(EnCMember=1,W8+W14+W47+W27+W37+W43+W44+W53+W60+W11+W13+W15+W20+W21+W22+W23+W24+W25+W26+W28+W29+W30+W32+W34+W38+W39+W40+W41+W45+W49+W50+W51+W54+W55+W56+W57+W61,W11+W13+W15+W20+W21+W22+W23+W24+W25+W26+W28+W29+W30+W32+W34+W38+W39+W40+W41+W45+W49+W50+W51+W54+W55+W56+W57+W61),IF(EnCMember=1,W8+W14+W47+W27+W37+W43+W44+W53+W60+W11+W13+W15+W20+W21+W22+W23+W24+W25+W26+W28+W29+W30+W32+W34+W38+W39+W40+W41+W45+W49+W50+W51+W54+W55+W56+W57,W11+W13+W15+W20+W21+W22+W23+W24+W25+W26+W28+W29+W30+W32+W34+W38+W39+W40+W41+W45+W49+W50+W51+W54+W55+W56+W57)),3)</f>
        <v>0</v>
      </c>
      <c r="X66" s="811">
        <f>ROUND(IF('Table 1'!$G$3&gt;1,IF(EnCMember=1,X8+X14+X47+X27+X37+X43+X44+X53+X60+X11+X13+X15+X20+X21+X22+X23+X24+X25+X26+X28+X29+X30+X32+X34+X38+X39+X40+X41+X45+X49+X50+X51+X54+X55+X56+X57+X61,X11+X13+X15+X20+X21+X22+X23+X24+X25+X26+X28+X29+X30+X32+X34+X38+X39+X40+X41+X45+X49+X50+X51+X54+X55+X56+X57+X61),IF(EnCMember=1,X8+X14+X47+X27+X37+X43+X44+X53+X60+X11+X13+X15+X20+X21+X22+X23+X24+X25+X26+X28+X29+X30+X32+X34+X38+X39+X40+X41+X45+X49+X50+X51+X54+X55+X56+X57,X11+X13+X15+X20+X21+X22+X23+X24+X25+X26+X28+X29+X30+X32+X34+X38+X39+X40+X41+X45+X49+X50+X51+X54+X55+X56+X57)),3)</f>
        <v>45</v>
      </c>
      <c r="Y66" s="811">
        <f>ROUND(IF('Table 1'!$G$3&gt;1,IF(EnCMember=1,Y8+Y14+Y47+Y27+Y37+Y43+Y44+Y53+Y60+Y11+Y13+Y15+Y20+Y21+Y22+Y23+Y24+Y25+Y26+Y28+Y29+Y30+Y32+Y34+Y38+Y39+Y40+Y41+Y45+Y49+Y50+Y51+Y54+Y55+Y56+Y57+Y61,Y11+Y13+Y15+Y20+Y21+Y22+Y23+Y24+Y25+Y26+Y28+Y29+Y30+Y32+Y34+Y38+Y39+Y40+Y41+Y45+Y49+Y50+Y51+Y54+Y55+Y56+Y57+Y61),IF(EnCMember=1,Y8+Y14+Y47+Y27+Y37+Y43+Y44+Y53+Y60+Y11+Y13+Y15+Y20+Y21+Y22+Y23+Y24+Y25+Y26+Y28+Y29+Y30+Y32+Y34+Y38+Y39+Y40+Y41+Y45+Y49+Y50+Y51+Y54+Y55+Y56+Y57,Y11+Y13+Y15+Y20+Y21+Y22+Y23+Y24+Y25+Y26+Y28+Y29+Y30+Y32+Y34+Y38+Y39+Y40+Y41+Y45+Y49+Y50+Y51+Y54+Y55+Y56+Y57)),3)</f>
        <v>0</v>
      </c>
      <c r="Z66" s="812">
        <f>ROUND(IF('Table 1'!$G$3&gt;1,IF(EnCMember=1,Z8+Z14+Z47+Z27+Z37+Z43+Z44+Z53+Z60+Z11+Z13+Z15+Z20+Z21+Z22+Z23+Z24+Z25+Z26+Z28+Z29+Z30+Z32+Z34+Z38+Z39+Z40+Z41+Z45+Z49+Z50+Z51+Z54+Z55+Z56+Z57+Z61,Z11+Z13+Z15+Z20+Z21+Z22+Z23+Z24+Z25+Z26+Z28+Z29+Z30+Z32+Z34+Z38+Z39+Z40+Z41+Z45+Z49+Z50+Z51+Z54+Z55+Z56+Z57+Z61),IF(EnCMember=1,Z8+Z14+Z47+Z27+Z37+Z43+Z44+Z53+Z60+Z11+Z13+Z15+Z20+Z21+Z22+Z23+Z24+Z25+Z26+Z28+Z29+Z30+Z32+Z34+Z38+Z39+Z40+Z41+Z45+Z49+Z50+Z51+Z54+Z55+Z56+Z57,Z11+Z13+Z15+Z20+Z21+Z22+Z23+Z24+Z25+Z26+Z28+Z29+Z30+Z32+Z34+Z38+Z39+Z40+Z41+Z45+Z49+Z50+Z51+Z54+Z55+Z56+Z57)),3)</f>
        <v>45</v>
      </c>
      <c r="AA66" s="813">
        <f>ROUND(IF('Table 1'!$G$3&gt;1,IF(EnCMember=1,AA8+AA14+AA47+AA27+AA37+AA43+AA44+AA53+AA60+AA11+AA13+AA15+AA20+AA21+AA22+AA23+AA24+AA25+AA26+AA28+AA29+AA30+AA32+AA34+AA38+AA39+AA40+AA41+AA45+AA49+AA50+AA51+AA54+AA55+AA56+AA57+AA61,AA11+AA13+AA15+AA20+AA21+AA22+AA23+AA24+AA25+AA26+AA28+AA29+AA30+AA32+AA34+AA38+AA39+AA40+AA41+AA45+AA49+AA50+AA51+AA54+AA55+AA56+AA57+AA61),IF(EnCMember=1,AA8+AA14+AA47+AA27+AA37+AA43+AA44+AA53+AA60+AA11+AA13+AA15+AA20+AA21+AA22+AA23+AA24+AA25+AA26+AA28+AA29+AA30+AA32+AA34+AA38+AA39+AA40+AA41+AA45+AA49+AA50+AA51+AA54+AA55+AA56+AA57,AA11+AA13+AA15+AA20+AA21+AA22+AA23+AA24+AA25+AA26+AA28+AA29+AA30+AA32+AA34+AA38+AA39+AA40+AA41+AA45+AA49+AA50+AA51+AA54+AA55+AA56+AA57)),3)</f>
        <v>2</v>
      </c>
      <c r="AB66" s="811">
        <f>ROUND(IF('Table 1'!$G$3&gt;1,IF(EnCMember=1,AB8+AB14+AB47+AB27+AB37+AB43+AB44+AB53+AB60+AB11+AB13+AB15+AB20+AB21+AB22+AB23+AB24+AB25+AB26+AB28+AB29+AB30+AB32+AB34+AB38+AB39+AB40+AB41+AB45+AB49+AB50+AB51+AB54+AB55+AB56+AB57+AB61,AB11+AB13+AB15+AB20+AB21+AB22+AB23+AB24+AB25+AB26+AB28+AB29+AB30+AB32+AB34+AB38+AB39+AB40+AB41+AB45+AB49+AB50+AB51+AB54+AB55+AB56+AB57+AB61),IF(EnCMember=1,AB8+AB14+AB47+AB27+AB37+AB43+AB44+AB53+AB60+AB11+AB13+AB15+AB20+AB21+AB22+AB23+AB24+AB25+AB26+AB28+AB29+AB30+AB32+AB34+AB38+AB39+AB40+AB41+AB45+AB49+AB50+AB51+AB54+AB55+AB56+AB57,AB11+AB13+AB15+AB20+AB21+AB22+AB23+AB24+AB25+AB26+AB28+AB29+AB30+AB32+AB34+AB38+AB39+AB40+AB41+AB45+AB49+AB50+AB51+AB54+AB55+AB56+AB57)),3)</f>
        <v>2</v>
      </c>
      <c r="AC66" s="811">
        <f>ROUND(IF('Table 1'!$G$3&gt;1,IF(EnCMember=1,AC8+AC14+AC47+AC27+AC37+AC43+AC44+AC53+AC60+AC11+AC13+AC15+AC20+AC21+AC22+AC23+AC24+AC25+AC26+AC28+AC29+AC30+AC32+AC34+AC38+AC39+AC40+AC41+AC45+AC49+AC50+AC51+AC54+AC55+AC56+AC57+AC61,AC11+AC13+AC15+AC20+AC21+AC22+AC23+AC24+AC25+AC26+AC28+AC29+AC30+AC32+AC34+AC38+AC39+AC40+AC41+AC45+AC49+AC50+AC51+AC54+AC55+AC56+AC57+AC61),IF(EnCMember=1,AC8+AC14+AC47+AC27+AC37+AC43+AC44+AC53+AC60+AC11+AC13+AC15+AC20+AC21+AC22+AC23+AC24+AC25+AC26+AC28+AC29+AC30+AC32+AC34+AC38+AC39+AC40+AC41+AC45+AC49+AC50+AC51+AC54+AC55+AC56+AC57,AC11+AC13+AC15+AC20+AC21+AC22+AC23+AC24+AC25+AC26+AC28+AC29+AC30+AC32+AC34+AC38+AC39+AC40+AC41+AC45+AC49+AC50+AC51+AC54+AC55+AC56+AC57)),3)</f>
        <v>0</v>
      </c>
      <c r="AD66" s="812">
        <f>ROUND(IF('Table 1'!$G$3&gt;1,IF(EnCMember=1,AD8+AD14+AD47+AD27+AD37+AD43+AD44+AD53+AD60+AD11+AD13+AD15+AD20+AD21+AD22+AD23+AD24+AD25+AD26+AD28+AD29+AD30+AD32+AD34+AD38+AD39+AD40+AD41+AD45+AD49+AD50+AD51+AD54+AD55+AD56+AD57+AD61,AD11+AD13+AD15+AD20+AD21+AD22+AD23+AD24+AD25+AD26+AD28+AD29+AD30+AD32+AD34+AD38+AD39+AD40+AD41+AD45+AD49+AD50+AD51+AD54+AD55+AD56+AD57+AD61),IF(EnCMember=1,AD8+AD14+AD47+AD27+AD37+AD43+AD44+AD53+AD60+AD11+AD13+AD15+AD20+AD21+AD22+AD23+AD24+AD25+AD26+AD28+AD29+AD30+AD32+AD34+AD38+AD39+AD40+AD41+AD45+AD49+AD50+AD51+AD54+AD55+AD56+AD57,AD11+AD13+AD15+AD20+AD21+AD22+AD23+AD24+AD25+AD26+AD28+AD29+AD30+AD32+AD34+AD38+AD39+AD40+AD41+AD45+AD49+AD50+AD51+AD54+AD55+AD56+AD57)),3)</f>
        <v>0</v>
      </c>
      <c r="AE66" s="813">
        <f>ROUND(IF('Table 1'!$G$3&gt;1,IF(EnCMember=1,AE8+AE14+AE47+AE27+AE37+AE43+AE44+AE53+AE60+AE11+AE13+AE15+AE20+AE21+AE22+AE23+AE24+AE25+AE26+AE28+AE29+AE30+AE32+AE34+AE38+AE39+AE40+AE41+AE45+AE49+AE50+AE51+AE54+AE55+AE56+AE57+AE61,AE11+AE13+AE15+AE20+AE21+AE22+AE23+AE24+AE25+AE26+AE28+AE29+AE30+AE32+AE34+AE38+AE39+AE40+AE41+AE45+AE49+AE50+AE51+AE54+AE55+AE56+AE57+AE61),IF(EnCMember=1,AE8+AE14+AE47+AE27+AE37+AE43+AE44+AE53+AE60+AE11+AE13+AE15+AE20+AE21+AE22+AE23+AE24+AE25+AE26+AE28+AE29+AE30+AE32+AE34+AE38+AE39+AE40+AE41+AE45+AE49+AE50+AE51+AE54+AE55+AE56+AE57,AE11+AE13+AE15+AE20+AE21+AE22+AE23+AE24+AE25+AE26+AE28+AE29+AE30+AE32+AE34+AE38+AE39+AE40+AE41+AE45+AE49+AE50+AE51+AE54+AE55+AE56+AE57)),3)</f>
        <v>0</v>
      </c>
      <c r="AF66" s="811">
        <f>ROUND(IF('Table 1'!$G$3&gt;1,IF(EnCMember=1,AF8+AF14+AF47+AF27+AF37+AF43+AF44+AF53+AF60+AF11+AF13+AF15+AF20+AF21+AF22+AF23+AF24+AF25+AF26+AF28+AF29+AF30+AF32+AF34+AF38+AF39+AF40+AF41+AF45+AF49+AF50+AF51+AF54+AF55+AF56+AF57+AF61,AF11+AF13+AF15+AF20+AF21+AF22+AF23+AF24+AF25+AF26+AF28+AF29+AF30+AF32+AF34+AF38+AF39+AF40+AF41+AF45+AF49+AF50+AF51+AF54+AF55+AF56+AF57+AF61),IF(EnCMember=1,AF8+AF14+AF47+AF27+AF37+AF43+AF44+AF53+AF60+AF11+AF13+AF15+AF20+AF21+AF22+AF23+AF24+AF25+AF26+AF28+AF29+AF30+AF32+AF34+AF38+AF39+AF40+AF41+AF45+AF49+AF50+AF51+AF54+AF55+AF56+AF57,AF11+AF13+AF15+AF20+AF21+AF22+AF23+AF24+AF25+AF26+AF28+AF29+AF30+AF32+AF34+AF38+AF39+AF40+AF41+AF45+AF49+AF50+AF51+AF54+AF55+AF56+AF57)),3)</f>
        <v>0</v>
      </c>
      <c r="AG66" s="811">
        <f>ROUND(IF('Table 1'!$G$3&gt;1,IF(EnCMember=1,AG8+AG14+AG47+AG27+AG37+AG43+AG44+AG53+AG60+AG11+AG13+AG15+AG20+AG21+AG22+AG23+AG24+AG25+AG26+AG28+AG29+AG30+AG32+AG34+AG38+AG39+AG40+AG41+AG45+AG49+AG50+AG51+AG54+AG55+AG56+AG57+AG61,AG11+AG13+AG15+AG20+AG21+AG22+AG23+AG24+AG25+AG26+AG28+AG29+AG30+AG32+AG34+AG38+AG39+AG40+AG41+AG45+AG49+AG50+AG51+AG54+AG55+AG56+AG57+AG61),IF(EnCMember=1,AG8+AG14+AG47+AG27+AG37+AG43+AG44+AG53+AG60+AG11+AG13+AG15+AG20+AG21+AG22+AG23+AG24+AG25+AG26+AG28+AG29+AG30+AG32+AG34+AG38+AG39+AG40+AG41+AG45+AG49+AG50+AG51+AG54+AG55+AG56+AG57,AG11+AG13+AG15+AG20+AG21+AG22+AG23+AG24+AG25+AG26+AG28+AG29+AG30+AG32+AG34+AG38+AG39+AG40+AG41+AG45+AG49+AG50+AG51+AG54+AG55+AG56+AG57)),3)</f>
        <v>349</v>
      </c>
      <c r="AH66" s="816">
        <f>ROUND(IF('Table 1'!$G$3&gt;1,IF(EnCMember=1,AH8+AH14+AH47+AH27+AH37+AH43+AH44+AH53+AH60+AH11+AH13+AH15+AH20+AH21+AH22+AH23+AH24+AH25+AH26+AH28+AH29+AH30+AH32+AH34+AH38+AH39+AH40+AH41+AH45+AH49+AH50+AH51+AH54+AH55+AH56+AH57+AH61,AH11+AH13+AH15+AH20+AH21+AH22+AH23+AH24+AH25+AH26+AH28+AH29+AH30+AH32+AH34+AH38+AH39+AH40+AH41+AH45+AH49+AH50+AH51+AH54+AH55+AH56+AH57+AH61),IF(EnCMember=1,AH8+AH14+AH47+AH27+AH37+AH43+AH44+AH53+AH60+AH11+AH13+AH15+AH20+AH21+AH22+AH23+AH24+AH25+AH26+AH28+AH29+AH30+AH32+AH34+AH38+AH39+AH40+AH41+AH45+AH49+AH50+AH51+AH54+AH55+AH56+AH57,AH11+AH13+AH15+AH20+AH21+AH22+AH23+AH24+AH25+AH26+AH28+AH29+AH30+AH32+AH34+AH38+AH39+AH40+AH41+AH45+AH49+AH50+AH51+AH54+AH55+AH56+AH57)),3)</f>
        <v>434</v>
      </c>
      <c r="AI66" s="466">
        <f t="shared" si="7"/>
        <v>0</v>
      </c>
      <c r="AJ66" s="467" t="str">
        <f>IF(AI66=0," ",IF(AI66=1,"A total is not equal to the sum of its components: ",AI66&amp;" totals are not equal to the sum of their components: "))&amp;IF(AI66=0,"",IF(I66-SUM(C66:F66,H66)=0,"","Total crude. ")&amp;IF(AG66-SUM(J66:M66,P66:R66,U66,X66,AA66,AE66:AF66)=0,"","Total products. ")&amp;IF(AH66-SUM(AG66,I66)=0,"","Total oil."))</f>
        <v xml:space="preserve"> </v>
      </c>
      <c r="AS66" s="143" t="s">
        <v>898</v>
      </c>
      <c r="AT66" s="144" t="s">
        <v>681</v>
      </c>
    </row>
    <row r="67" spans="1:46" s="32" customFormat="1" ht="24" customHeight="1" x14ac:dyDescent="0.2">
      <c r="C67" s="1050" t="str">
        <f>IF(ROUND(SUM(C8:C63),3)&lt;&gt;C64,"Total not correct","")</f>
        <v/>
      </c>
      <c r="D67" s="1050" t="str">
        <f>IF(ROUND(SUM(D8:D63),3)&lt;&gt;D64,"Total not correct","")</f>
        <v/>
      </c>
      <c r="E67" s="1050" t="str">
        <f t="shared" ref="E67:AH67" si="9">IF(ROUND(SUM(E8:E63),3)&lt;&gt;E64,"Total not correct","")</f>
        <v/>
      </c>
      <c r="F67" s="1050" t="str">
        <f t="shared" si="9"/>
        <v/>
      </c>
      <c r="G67" s="1050" t="str">
        <f t="shared" si="9"/>
        <v/>
      </c>
      <c r="H67" s="1050" t="str">
        <f t="shared" si="9"/>
        <v/>
      </c>
      <c r="I67" s="1050" t="str">
        <f t="shared" si="9"/>
        <v/>
      </c>
      <c r="J67" s="1050" t="str">
        <f t="shared" si="9"/>
        <v/>
      </c>
      <c r="K67" s="1050" t="str">
        <f t="shared" si="9"/>
        <v/>
      </c>
      <c r="L67" s="1050" t="str">
        <f t="shared" si="9"/>
        <v/>
      </c>
      <c r="M67" s="1050" t="str">
        <f t="shared" si="9"/>
        <v/>
      </c>
      <c r="N67" s="1050" t="str">
        <f t="shared" si="9"/>
        <v/>
      </c>
      <c r="O67" s="1050" t="str">
        <f t="shared" si="9"/>
        <v/>
      </c>
      <c r="P67" s="1050" t="str">
        <f t="shared" si="9"/>
        <v/>
      </c>
      <c r="Q67" s="1050" t="str">
        <f t="shared" si="9"/>
        <v/>
      </c>
      <c r="R67" s="1050" t="str">
        <f t="shared" si="9"/>
        <v/>
      </c>
      <c r="S67" s="1050" t="str">
        <f t="shared" si="9"/>
        <v/>
      </c>
      <c r="T67" s="1050" t="str">
        <f t="shared" si="9"/>
        <v/>
      </c>
      <c r="U67" s="1050" t="str">
        <f t="shared" si="9"/>
        <v/>
      </c>
      <c r="V67" s="1050" t="str">
        <f t="shared" si="9"/>
        <v/>
      </c>
      <c r="W67" s="1050" t="str">
        <f t="shared" si="9"/>
        <v/>
      </c>
      <c r="X67" s="1050" t="str">
        <f t="shared" si="9"/>
        <v/>
      </c>
      <c r="Y67" s="1050" t="str">
        <f t="shared" si="9"/>
        <v/>
      </c>
      <c r="Z67" s="1050" t="str">
        <f t="shared" si="9"/>
        <v/>
      </c>
      <c r="AA67" s="1050" t="str">
        <f t="shared" si="9"/>
        <v/>
      </c>
      <c r="AB67" s="1050" t="str">
        <f t="shared" si="9"/>
        <v/>
      </c>
      <c r="AC67" s="1050"/>
      <c r="AD67" s="1050" t="str">
        <f t="shared" si="9"/>
        <v/>
      </c>
      <c r="AE67" s="1050" t="str">
        <f t="shared" si="9"/>
        <v/>
      </c>
      <c r="AF67" s="1050" t="str">
        <f t="shared" si="9"/>
        <v/>
      </c>
      <c r="AG67" s="1050" t="str">
        <f t="shared" si="9"/>
        <v/>
      </c>
      <c r="AH67" s="1050" t="str">
        <f t="shared" si="9"/>
        <v/>
      </c>
      <c r="AI67" s="157"/>
      <c r="AJ67" s="157"/>
    </row>
    <row r="68" spans="1:46" s="32" customFormat="1" ht="21" customHeight="1" x14ac:dyDescent="0.2">
      <c r="C68" s="1050" t="str">
        <f t="shared" ref="C68:AH68" si="10">IF(MIN(C8:C64,C66)&lt;0,"Negative number","")</f>
        <v/>
      </c>
      <c r="D68" s="1050" t="str">
        <f t="shared" si="10"/>
        <v/>
      </c>
      <c r="E68" s="1050" t="str">
        <f t="shared" si="10"/>
        <v/>
      </c>
      <c r="F68" s="1050" t="str">
        <f t="shared" si="10"/>
        <v/>
      </c>
      <c r="G68" s="1050" t="str">
        <f t="shared" si="10"/>
        <v/>
      </c>
      <c r="H68" s="1050" t="str">
        <f t="shared" si="10"/>
        <v/>
      </c>
      <c r="I68" s="1050" t="str">
        <f t="shared" si="10"/>
        <v/>
      </c>
      <c r="J68" s="1050" t="str">
        <f t="shared" si="10"/>
        <v/>
      </c>
      <c r="K68" s="1050" t="str">
        <f t="shared" si="10"/>
        <v/>
      </c>
      <c r="L68" s="1050" t="str">
        <f t="shared" si="10"/>
        <v/>
      </c>
      <c r="M68" s="1050" t="str">
        <f t="shared" si="10"/>
        <v/>
      </c>
      <c r="N68" s="1050" t="str">
        <f t="shared" si="10"/>
        <v/>
      </c>
      <c r="O68" s="1050" t="str">
        <f t="shared" si="10"/>
        <v/>
      </c>
      <c r="P68" s="1050" t="str">
        <f t="shared" si="10"/>
        <v/>
      </c>
      <c r="Q68" s="1050" t="str">
        <f t="shared" si="10"/>
        <v/>
      </c>
      <c r="R68" s="1050" t="str">
        <f t="shared" si="10"/>
        <v/>
      </c>
      <c r="S68" s="1050" t="str">
        <f t="shared" si="10"/>
        <v/>
      </c>
      <c r="T68" s="1050" t="str">
        <f t="shared" si="10"/>
        <v/>
      </c>
      <c r="U68" s="1050" t="str">
        <f t="shared" si="10"/>
        <v/>
      </c>
      <c r="V68" s="1050" t="str">
        <f t="shared" si="10"/>
        <v/>
      </c>
      <c r="W68" s="1050" t="str">
        <f t="shared" si="10"/>
        <v/>
      </c>
      <c r="X68" s="1050" t="str">
        <f t="shared" si="10"/>
        <v/>
      </c>
      <c r="Y68" s="1050" t="str">
        <f t="shared" si="10"/>
        <v/>
      </c>
      <c r="Z68" s="1050" t="str">
        <f t="shared" si="10"/>
        <v/>
      </c>
      <c r="AA68" s="1050" t="str">
        <f t="shared" si="10"/>
        <v/>
      </c>
      <c r="AB68" s="1050" t="str">
        <f t="shared" si="10"/>
        <v/>
      </c>
      <c r="AC68" s="1050"/>
      <c r="AD68" s="1050" t="str">
        <f t="shared" si="10"/>
        <v/>
      </c>
      <c r="AE68" s="1050" t="str">
        <f t="shared" si="10"/>
        <v/>
      </c>
      <c r="AF68" s="1050" t="str">
        <f t="shared" si="10"/>
        <v/>
      </c>
      <c r="AG68" s="1050" t="str">
        <f t="shared" si="10"/>
        <v/>
      </c>
      <c r="AH68" s="1050" t="str">
        <f t="shared" si="10"/>
        <v/>
      </c>
      <c r="AI68" s="157"/>
      <c r="AJ68" s="157"/>
    </row>
    <row r="69" spans="1:46" s="32" customFormat="1" ht="24" customHeight="1" x14ac:dyDescent="0.2">
      <c r="C69" s="1050" t="str">
        <f>IF(ROUND(IF('Table 1'!$G$3&gt;1,IF(EnCMember=1,C8+C9+C12+C14+C47+C27+C37+C43+C44+C53+C60,C11+C13+C15+C20+C21+C22+C23+C24+C25+C26+C28+C29+C30+C32+C34+C38+C39+C40+C41+C45+C49+C50+C51+C54+C55+C56+C57+C61),IF(EnCMember=1,C8+C9+C12+C14+C47+C27+C37+C43+C44+C53+C60,C11+C13+C15+C20+C21+C22+C23+C24+C25+C26+C28+C29+C30+C32+C34+C38+C39+C40+C41+C45+C49+C50+C51+C54+C55+C56+C57)),3)&lt;&gt;C66,"Total EU MS not correct","")</f>
        <v/>
      </c>
      <c r="D69" s="1050" t="str">
        <f>IF(ROUND(IF('Table 1'!$G$3&gt;1,IF(EnCMember=1,D8+D9+D12+D14+D47+D27+D37+D43+D44+D53+D60,D11+D13+D15+D20+D21+D22+D23+D24+D25+D26+D28+D29+D30+D32+D34+D38+D39+D40+D41+D45+D49+D50+D51+D54+D55+D56+D57+D61),IF(EnCMember=1,D8+D9+D12+D14+D47+D27+D37+D43+D44+D53+D60,D11+D13+D15+D20+D21+D22+D23+D24+D25+D26+D28+D29+D30+D32+D34+D38+D39+D40+D41+D45+D49+D50+D51+D54+D55+D56+D57)),3)&lt;&gt;D66,"Total EU MS not correct","")</f>
        <v/>
      </c>
      <c r="E69" s="1050" t="str">
        <f>IF(ROUND(IF('Table 1'!$G$3&gt;1,IF(EnCMember=1,E8+E9+E12+E14+E47+E27+E37+E43+E44+E53+E60,E11+E13+E15+E20+E21+E22+E23+E24+E25+E26+E28+E29+E30+E32+E34+E38+E39+E40+E41+E45+E49+E50+E51+E54+E55+E56+E57+E61),IF(EnCMember=1,E8+E9+E12+E14+E47+E27+E37+E43+E44+E53+E60,E11+E13+E15+E20+E21+E22+E23+E24+E25+E26+E28+E29+E30+E32+E34+E38+E39+E40+E41+E45+E49+E50+E51+E54+E55+E56+E57)),3)&lt;&gt;E66,"Total EU MS not correct","")</f>
        <v/>
      </c>
      <c r="F69" s="1050" t="str">
        <f>IF(ROUND(IF('Table 1'!$G$3&gt;1,IF(EnCMember=1,F8+F9+F12+F14+F47+F27+F37+F43+F44+F53+F60,F11+F13+F15+F20+F21+F22+F23+F24+F25+F26+F28+F29+F30+F32+F34+F38+F39+F40+F41+F45+F49+F50+F51+F54+F55+F56+F57+F61),IF(EnCMember=1,F8+F9+F12+F14+F47+F27+F37+F43+F44+F53+F60,F11+F13+F15+F20+F21+F22+F23+F24+F25+F26+F28+F29+F30+F32+F34+F38+F39+F40+F41+F45+F49+F50+F51+F54+F55+F56+F57)),3)&lt;&gt;F66,"Total EU MS not correct","")</f>
        <v/>
      </c>
      <c r="G69" s="1050" t="str">
        <f>IF(ROUND(IF('Table 1'!$G$3&gt;1,IF(EnCMember=1,G8+G9+G12+G14+G47+G27+G37+G43+G44+G53+G60,G11+G13+G15+G20+G21+G22+G23+G24+G25+G26+G28+G29+G30+G32+G34+G38+G39+G40+G41+G45+G49+G50+G51+G54+G55+G56+G57+G61),IF(EnCMember=1,G8+G9+G12+G14+G47+G27+G37+G43+G44+G53+G60,G11+G13+G15+G20+G21+G22+G23+G24+G25+G26+G28+G29+G30+G32+G34+G38+G39+G40+G41+G45+G49+G50+G51+G54+G55+G56+G57)),3)&lt;&gt;G66,"Total EU MS not correct","")</f>
        <v/>
      </c>
      <c r="H69" s="1050" t="str">
        <f>IF(ROUND(IF('Table 1'!$G$3&gt;1,IF(EnCMember=1,H8+H9+H12+H14+H47+H27+H37+H43+H44+H53+H60,H11+H13+H15+H20+H21+H22+H23+H24+H25+H26+H28+H29+H30+H32+H34+H38+H39+H40+H41+H45+H49+H50+H51+H54+H55+H56+H57+H61),IF(EnCMember=1,H8+H9+H12+H14+H47+H27+H37+H43+H44+H53+H60,H11+H13+H15+H20+H21+H22+H23+H24+H25+H26+H28+H29+H30+H32+H34+H38+H39+H40+H41+H45+H49+H50+H51+H54+H55+H56+H57)),3)&lt;&gt;H66,"Total EU MS not correct","")</f>
        <v/>
      </c>
      <c r="I69" s="1050" t="str">
        <f>IF(ROUND(IF('Table 1'!$G$3&gt;1,IF(EnCMember=1,I8+I9+I12+I14+I47+I27+I37+I43+I44+I53+I60,I11+I13+I15+I20+I21+I22+I23+I24+I25+I26+I28+I29+I30+I32+I34+I38+I39+I40+I41+I45+I49+I50+I51+I54+I55+I56+I57+I61),IF(EnCMember=1,I8+I9+I12+I14+I47+I27+I37+I43+I44+I53+I60,I11+I13+I15+I20+I21+I22+I23+I24+I25+I26+I28+I29+I30+I32+I34+I38+I39+I40+I41+I45+I49+I50+I51+I54+I55+I56+I57)),3)&lt;&gt;I66,"Total EU MS not correct","")</f>
        <v/>
      </c>
      <c r="J69" s="1050" t="str">
        <f>IF(ROUND(IF('Table 1'!$G$3&gt;1,IF(EnCMember=1,J8+J9+J12+J14+J47+J27+J37+J43+J44+J53+J60,J11+J13+J15+J20+J21+J22+J23+J24+J25+J26+J28+J29+J30+J32+J34+J38+J39+J40+J41+J45+J49+J50+J51+J54+J55+J56+J57+J61),IF(EnCMember=1,J8+J9+J12+J14+J47+J27+J37+J43+J44+J53+J60,J11+J13+J15+J20+J21+J22+J23+J24+J25+J26+J28+J29+J30+J32+J34+J38+J39+J40+J41+J45+J49+J50+J51+J54+J55+J56+J57)),3)&lt;&gt;J66,"Total EU MS not correct","")</f>
        <v/>
      </c>
      <c r="K69" s="1050" t="str">
        <f>IF(ROUND(IF('Table 1'!$G$3&gt;1,IF(EnCMember=1,K8+K9+K12+K14+K47+K27+K37+K43+K44+K53+K60,K11+K13+K15+K20+K21+K22+K23+K24+K25+K26+K28+K29+K30+K32+K34+K38+K39+K40+K41+K45+K49+K50+K51+K54+K55+K56+K57+K61),IF(EnCMember=1,K8+K9+K12+K14+K47+K27+K37+K43+K44+K53+K60,K11+K13+K15+K20+K21+K22+K23+K24+K25+K26+K28+K29+K30+K32+K34+K38+K39+K40+K41+K45+K49+K50+K51+K54+K55+K56+K57)),3)&lt;&gt;K66,"Total EU MS not correct","")</f>
        <v/>
      </c>
      <c r="L69" s="1050" t="str">
        <f>IF(ROUND(IF('Table 1'!$G$3&gt;1,IF(EnCMember=1,L8+L9+L12+L14+L47+L27+L37+L43+L44+L53+L60,L11+L13+L15+L20+L21+L22+L23+L24+L25+L26+L28+L29+L30+L32+L34+L38+L39+L40+L41+L45+L49+L50+L51+L54+L55+L56+L57+L61),IF(EnCMember=1,L8+L9+L12+L14+L47+L27+L37+L43+L44+L53+L60,L11+L13+L15+L20+L21+L22+L23+L24+L25+L26+L28+L29+L30+L32+L34+L38+L39+L40+L41+L45+L49+L50+L51+L54+L55+L56+L57)),3)&lt;&gt;L66,"Total EU MS not correct","")</f>
        <v/>
      </c>
      <c r="M69" s="1050" t="str">
        <f>IF(ROUND(IF('Table 1'!$G$3&gt;1,IF(EnCMember=1,M8+M9+M12+M14+M47+M27+M37+M43+M44+M53+M60,M11+M13+M15+M20+M21+M22+M23+M24+M25+M26+M28+M29+M30+M32+M34+M38+M39+M40+M41+M45+M49+M50+M51+M54+M55+M56+M57+M61),IF(EnCMember=1,M8+M9+M12+M14+M47+M27+M37+M43+M44+M53+M60,M11+M13+M15+M20+M21+M22+M23+M24+M25+M26+M28+M29+M30+M32+M34+M38+M39+M40+M41+M45+M49+M50+M51+M54+M55+M56+M57)),3)&lt;&gt;M66,"Total EU MS not correct","")</f>
        <v/>
      </c>
      <c r="N69" s="1050" t="str">
        <f>IF(ROUND(IF('Table 1'!$G$3&gt;1,IF(EnCMember=1,N8+N9+N12+N14+N47+N27+N37+N43+N44+N53+N60,N11+N13+N15+N20+N21+N22+N23+N24+N25+N26+N28+N29+N30+N32+N34+N38+N39+N40+N41+N45+N49+N50+N51+N54+N55+N56+N57+N61),IF(EnCMember=1,N8+N9+N12+N14+N47+N27+N37+N43+N44+N53+N60,N11+N13+N15+N20+N21+N22+N23+N24+N25+N26+N28+N29+N30+N32+N34+N38+N39+N40+N41+N45+N49+N50+N51+N54+N55+N56+N57)),3)&lt;&gt;N66,"Total EU MS not correct","")</f>
        <v/>
      </c>
      <c r="O69" s="1050" t="str">
        <f>IF(ROUND(IF('Table 1'!$G$3&gt;1,IF(EnCMember=1,O8+O9+O12+O14+O47+O27+O37+O43+O44+O53+O60,O11+O13+O15+O20+O21+O22+O23+O24+O25+O26+O28+O29+O30+O32+O34+O38+O39+O40+O41+O45+O49+O50+O51+O54+O55+O56+O57+O61),IF(EnCMember=1,O8+O9+O12+O14+O47+O27+O37+O43+O44+O53+O60,O11+O13+O15+O20+O21+O22+O23+O24+O25+O26+O28+O29+O30+O32+O34+O38+O39+O40+O41+O45+O49+O50+O51+O54+O55+O56+O57)),3)&lt;&gt;O66,"Total EU MS not correct","")</f>
        <v/>
      </c>
      <c r="P69" s="1050" t="str">
        <f>IF(ROUND(IF('Table 1'!$G$3&gt;1,IF(EnCMember=1,P8+P9+P12+P14+P47+P27+P37+P43+P44+P53+P60,P11+P13+P15+P20+P21+P22+P23+P24+P25+P26+P28+P29+P30+P32+P34+P38+P39+P40+P41+P45+P49+P50+P51+P54+P55+P56+P57+P61),IF(EnCMember=1,P8+P9+P12+P14+P47+P27+P37+P43+P44+P53+P60,P11+P13+P15+P20+P21+P22+P23+P24+P25+P26+P28+P29+P30+P32+P34+P38+P39+P40+P41+P45+P49+P50+P51+P54+P55+P56+P57)),3)&lt;&gt;P66,"Total EU MS not correct","")</f>
        <v/>
      </c>
      <c r="Q69" s="1050" t="str">
        <f>IF(ROUND(IF('Table 1'!$G$3&gt;1,IF(EnCMember=1,Q8+Q9+Q12+Q14+Q47+Q27+Q37+Q43+Q44+Q53+Q60,Q11+Q13+Q15+Q20+Q21+Q22+Q23+Q24+Q25+Q26+Q28+Q29+Q30+Q32+Q34+Q38+Q39+Q40+Q41+Q45+Q49+Q50+Q51+Q54+Q55+Q56+Q57+Q61),IF(EnCMember=1,Q8+Q9+Q12+Q14+Q47+Q27+Q37+Q43+Q44+Q53+Q60,Q11+Q13+Q15+Q20+Q21+Q22+Q23+Q24+Q25+Q26+Q28+Q29+Q30+Q32+Q34+Q38+Q39+Q40+Q41+Q45+Q49+Q50+Q51+Q54+Q55+Q56+Q57)),3)&lt;&gt;Q66,"Total EU MS not correct","")</f>
        <v/>
      </c>
      <c r="R69" s="1050" t="str">
        <f>IF(ROUND(IF('Table 1'!$G$3&gt;1,IF(EnCMember=1,R8+R9+R12+R14+R47+R27+R37+R43+R44+R53+R60,R11+R13+R15+R20+R21+R22+R23+R24+R25+R26+R28+R29+R30+R32+R34+R38+R39+R40+R41+R45+R49+R50+R51+R54+R55+R56+R57+R61),IF(EnCMember=1,R8+R9+R12+R14+R47+R27+R37+R43+R44+R53+R60,R11+R13+R15+R20+R21+R22+R23+R24+R25+R26+R28+R29+R30+R32+R34+R38+R39+R40+R41+R45+R49+R50+R51+R54+R55+R56+R57)),3)&lt;&gt;R66,"Total EU MS not correct","")</f>
        <v/>
      </c>
      <c r="S69" s="1050" t="str">
        <f>IF(ROUND(IF('Table 1'!$G$3&gt;1,IF(EnCMember=1,S8+S9+S12+S14+S47+S27+S37+S43+S44+S53+S60,S11+S13+S15+S20+S21+S22+S23+S24+S25+S26+S28+S29+S30+S32+S34+S38+S39+S40+S41+S45+S49+S50+S51+S54+S55+S56+S57+S61),IF(EnCMember=1,S8+S9+S12+S14+S47+S27+S37+S43+S44+S53+S60,S11+S13+S15+S20+S21+S22+S23+S24+S25+S26+S28+S29+S30+S32+S34+S38+S39+S40+S41+S45+S49+S50+S51+S54+S55+S56+S57)),3)&lt;&gt;S66,"Total EU MS not correct","")</f>
        <v/>
      </c>
      <c r="T69" s="1050" t="str">
        <f>IF(ROUND(IF('Table 1'!$G$3&gt;1,IF(EnCMember=1,T8+T9+T12+T14+T47+T27+T37+T43+T44+T53+T60,T11+T13+T15+T20+T21+T22+T23+T24+T25+T26+T28+T29+T30+T32+T34+T38+T39+T40+T41+T45+T49+T50+T51+T54+T55+T56+T57+T61),IF(EnCMember=1,T8+T9+T12+T14+T47+T27+T37+T43+T44+T53+T60,T11+T13+T15+T20+T21+T22+T23+T24+T25+T26+T28+T29+T30+T32+T34+T38+T39+T40+T41+T45+T49+T50+T51+T54+T55+T56+T57)),3)&lt;&gt;T66,"Total EU MS not correct","")</f>
        <v/>
      </c>
      <c r="U69" s="1050" t="str">
        <f>IF(ROUND(IF('Table 1'!$G$3&gt;1,IF(EnCMember=1,U8+U9+U12+U14+U47+U27+U37+U43+U44+U53+U60,U11+U13+U15+U20+U21+U22+U23+U24+U25+U26+U28+U29+U30+U32+U34+U38+U39+U40+U41+U45+U49+U50+U51+U54+U55+U56+U57+U61),IF(EnCMember=1,U8+U9+U12+U14+U47+U27+U37+U43+U44+U53+U60,U11+U13+U15+U20+U21+U22+U23+U24+U25+U26+U28+U29+U30+U32+U34+U38+U39+U40+U41+U45+U49+U50+U51+U54+U55+U56+U57)),3)&lt;&gt;U66,"Total EU MS not correct","")</f>
        <v/>
      </c>
      <c r="V69" s="1050" t="str">
        <f>IF(ROUND(IF('Table 1'!$G$3&gt;1,IF(EnCMember=1,V8+V9+V12+V14+V47+V27+V37+V43+V44+V53+V60,V11+V13+V15+V20+V21+V22+V23+V24+V25+V26+V28+V29+V30+V32+V34+V38+V39+V40+V41+V45+V49+V50+V51+V54+V55+V56+V57+V61),IF(EnCMember=1,V8+V9+V12+V14+V47+V27+V37+V43+V44+V53+V60,V11+V13+V15+V20+V21+V22+V23+V24+V25+V26+V28+V29+V30+V32+V34+V38+V39+V40+V41+V45+V49+V50+V51+V54+V55+V56+V57)),3)&lt;&gt;V66,"Total EU MS not correct","")</f>
        <v/>
      </c>
      <c r="W69" s="1050" t="str">
        <f>IF(ROUND(IF('Table 1'!$G$3&gt;1,IF(EnCMember=1,W8+W9+W12+W14+W47+W27+W37+W43+W44+W53+W60,W11+W13+W15+W20+W21+W22+W23+W24+W25+W26+W28+W29+W30+W32+W34+W38+W39+W40+W41+W45+W49+W50+W51+W54+W55+W56+W57+W61),IF(EnCMember=1,W8+W9+W12+W14+W47+W27+W37+W43+W44+W53+W60,W11+W13+W15+W20+W21+W22+W23+W24+W25+W26+W28+W29+W30+W32+W34+W38+W39+W40+W41+W45+W49+W50+W51+W54+W55+W56+W57)),3)&lt;&gt;W66,"Total EU MS not correct","")</f>
        <v/>
      </c>
      <c r="X69" s="1050" t="str">
        <f>IF(ROUND(IF('Table 1'!$G$3&gt;1,IF(EnCMember=1,X8+X9+X12+X14+X47+X27+X37+X43+X44+X53+X60,X11+X13+X15+X20+X21+X22+X23+X24+X25+X26+X28+X29+X30+X32+X34+X38+X39+X40+X41+X45+X49+X50+X51+X54+X55+X56+X57+X61),IF(EnCMember=1,X8+X9+X12+X14+X47+X27+X37+X43+X44+X53+X60,X11+X13+X15+X20+X21+X22+X23+X24+X25+X26+X28+X29+X30+X32+X34+X38+X39+X40+X41+X45+X49+X50+X51+X54+X55+X56+X57)),3)&lt;&gt;X66,"Total EU MS not correct","")</f>
        <v/>
      </c>
      <c r="Y69" s="1050" t="str">
        <f>IF(ROUND(IF('Table 1'!$G$3&gt;1,IF(EnCMember=1,Y8+Y9+Y12+Y14+Y47+Y27+Y37+Y43+Y44+Y53+Y60,Y11+Y13+Y15+Y20+Y21+Y22+Y23+Y24+Y25+Y26+Y28+Y29+Y30+Y32+Y34+Y38+Y39+Y40+Y41+Y45+Y49+Y50+Y51+Y54+Y55+Y56+Y57+Y61),IF(EnCMember=1,Y8+Y9+Y12+Y14+Y47+Y27+Y37+Y43+Y44+Y53+Y60,Y11+Y13+Y15+Y20+Y21+Y22+Y23+Y24+Y25+Y26+Y28+Y29+Y30+Y32+Y34+Y38+Y39+Y40+Y41+Y45+Y49+Y50+Y51+Y54+Y55+Y56+Y57)),3)&lt;&gt;Y66,"Total EU MS not correct","")</f>
        <v/>
      </c>
      <c r="Z69" s="1050" t="str">
        <f>IF(ROUND(IF('Table 1'!$G$3&gt;1,IF(EnCMember=1,Z8+Z9+Z12+Z14+Z47+Z27+Z37+Z43+Z44+Z53+Z60,Z11+Z13+Z15+Z20+Z21+Z22+Z23+Z24+Z25+Z26+Z28+Z29+Z30+Z32+Z34+Z38+Z39+Z40+Z41+Z45+Z49+Z50+Z51+Z54+Z55+Z56+Z57+Z61),IF(EnCMember=1,Z8+Z9+Z12+Z14+Z47+Z27+Z37+Z43+Z44+Z53+Z60,Z11+Z13+Z15+Z20+Z21+Z22+Z23+Z24+Z25+Z26+Z28+Z29+Z30+Z32+Z34+Z38+Z39+Z40+Z41+Z45+Z49+Z50+Z51+Z54+Z55+Z56+Z57)),3)&lt;&gt;Z66,"Total EU MS not correct","")</f>
        <v/>
      </c>
      <c r="AA69" s="1050" t="str">
        <f>IF(ROUND(IF('Table 1'!$G$3&gt;1,IF(EnCMember=1,AA8+AA9+AA12+AA14+AA47+AA27+AA37+AA43+AA44+AA53+AA60,AA11+AA13+AA15+AA20+AA21+AA22+AA23+AA24+AA25+AA26+AA28+AA29+AA30+AA32+AA34+AA38+AA39+AA40+AA41+AA45+AA49+AA50+AA51+AA54+AA55+AA56+AA57+AA61),IF(EnCMember=1,AA8+AA9+AA12+AA14+AA47+AA27+AA37+AA43+AA44+AA53+AA60,AA11+AA13+AA15+AA20+AA21+AA22+AA23+AA24+AA25+AA26+AA28+AA29+AA30+AA32+AA34+AA38+AA39+AA40+AA41+AA45+AA49+AA50+AA51+AA54+AA55+AA56+AA57)),3)&lt;&gt;AA66,"Total EU MS not correct","")</f>
        <v/>
      </c>
      <c r="AB69" s="1050" t="str">
        <f>IF(ROUND(IF('Table 1'!$G$3&gt;1,IF(EnCMember=1,AB8+AB9+AB12+AB14+AB47+AB27+AB37+AB43+AB44+AB53+AB60,AB11+AB13+AB15+AB20+AB21+AB22+AB23+AB24+AB25+AB26+AB28+AB29+AB30+AB32+AB34+AB38+AB39+AB40+AB41+AB45+AB49+AB50+AB51+AB54+AB55+AB56+AB57+AB61),IF(EnCMember=1,AB8+AB9+AB12+AB14+AB47+AB27+AB37+AB43+AB44+AB53+AB60,AB11+AB13+AB15+AB20+AB21+AB22+AB23+AB24+AB25+AB26+AB28+AB29+AB30+AB32+AB34+AB38+AB39+AB40+AB41+AB45+AB49+AB50+AB51+AB54+AB55+AB56+AB57)),3)&lt;&gt;AB66,"Total EU MS not correct","")</f>
        <v/>
      </c>
      <c r="AC69" s="1050"/>
      <c r="AD69" s="1050" t="str">
        <f>IF(ROUND(IF('Table 1'!$G$3&gt;1,IF(EnCMember=1,AD8+AD9+AD12+AD14+AD47+AD27+AD37+AD43+AD44+AD53+AD60,AD11+AD13+AD15+AD20+AD21+AD22+AD23+AD24+AD25+AD26+AD28+AD29+AD30+AD32+AD34+AD38+AD39+AD40+AD41+AD45+AD49+AD50+AD51+AD54+AD55+AD56+AD57+AD61),IF(EnCMember=1,AD8+AD9+AD12+AD14+AD47+AD27+AD37+AD43+AD44+AD53+AD60,AD11+AD13+AD15+AD20+AD21+AD22+AD23+AD24+AD25+AD26+AD28+AD29+AD30+AD32+AD34+AD38+AD39+AD40+AD41+AD45+AD49+AD50+AD51+AD54+AD55+AD56+AD57)),3)&lt;&gt;AD66,"Total EU MS not correct","")</f>
        <v/>
      </c>
      <c r="AE69" s="1050" t="str">
        <f>IF(ROUND(IF('Table 1'!$G$3&gt;1,IF(EnCMember=1,AE8+AE9+AE12+AE14+AE47+AE27+AE37+AE43+AE44+AE53+AE60,AE11+AE13+AE15+AE20+AE21+AE22+AE23+AE24+AE25+AE26+AE28+AE29+AE30+AE32+AE34+AE38+AE39+AE40+AE41+AE45+AE49+AE50+AE51+AE54+AE55+AE56+AE57+AE61),IF(EnCMember=1,AE8+AE9+AE12+AE14+AE47+AE27+AE37+AE43+AE44+AE53+AE60,AE11+AE13+AE15+AE20+AE21+AE22+AE23+AE24+AE25+AE26+AE28+AE29+AE30+AE32+AE34+AE38+AE39+AE40+AE41+AE45+AE49+AE50+AE51+AE54+AE55+AE56+AE57)),3)&lt;&gt;AE66,"Total EU MS not correct","")</f>
        <v/>
      </c>
      <c r="AF69" s="1050" t="str">
        <f>IF(ROUND(IF('Table 1'!$G$3&gt;1,IF(EnCMember=1,AF8+AF9+AF12+AF14+AF47+AF27+AF37+AF43+AF44+AF53+AF60,AF11+AF13+AF15+AF20+AF21+AF22+AF23+AF24+AF25+AF26+AF28+AF29+AF30+AF32+AF34+AF38+AF39+AF40+AF41+AF45+AF49+AF50+AF51+AF54+AF55+AF56+AF57+AF61),IF(EnCMember=1,AF8+AF9+AF12+AF14+AF47+AF27+AF37+AF43+AF44+AF53+AF60,AF11+AF13+AF15+AF20+AF21+AF22+AF23+AF24+AF25+AF26+AF28+AF29+AF30+AF32+AF34+AF38+AF39+AF40+AF41+AF45+AF49+AF50+AF51+AF54+AF55+AF56+AF57)),3)&lt;&gt;AF66,"Total EU MS not correct","")</f>
        <v/>
      </c>
      <c r="AG69" s="1050" t="str">
        <f>IF(ROUND(IF('Table 1'!$G$3&gt;1,IF(EnCMember=1,AG8+AG9+AG12+AG14+AG47+AG27+AG37+AG43+AG44+AG53+AG60,AG11+AG13+AG15+AG20+AG21+AG22+AG23+AG24+AG25+AG26+AG28+AG29+AG30+AG32+AG34+AG38+AG39+AG40+AG41+AG45+AG49+AG50+AG51+AG54+AG55+AG56+AG57+AG61),IF(EnCMember=1,AG8+AG9+AG12+AG14+AG47+AG27+AG37+AG43+AG44+AG53+AG60,AG11+AG13+AG15+AG20+AG21+AG22+AG23+AG24+AG25+AG26+AG28+AG29+AG30+AG32+AG34+AG38+AG39+AG40+AG41+AG45+AG49+AG50+AG51+AG54+AG55+AG56+AG57)),3)&lt;&gt;AG66,"Total EU MS not correct","")</f>
        <v/>
      </c>
      <c r="AH69" s="1050" t="str">
        <f>IF(ROUND(IF('Table 1'!$G$3&gt;1,IF(EnCMember=1,AH8+AH9+AH12+AH14+AH47+AH27+AH37+AH43+AH44+AH53+AH60,AH11+AH13+AH15+AH20+AH21+AH22+AH23+AH24+AH25+AH26+AH28+AH29+AH30+AH32+AH34+AH38+AH39+AH40+AH41+AH45+AH49+AH50+AH51+AH54+AH55+AH56+AH57+AH61),IF(EnCMember=1,AH8+AH9+AH12+AH14+AH47+AH27+AH37+AH43+AH44+AH53+AH60,AH11+AH13+AH15+AH20+AH21+AH22+AH23+AH24+AH25+AH26+AH28+AH29+AH30+AH32+AH34+AH38+AH39+AH40+AH41+AH45+AH49+AH50+AH51+AH54+AH55+AH56+AH57)),3)&lt;&gt;AH66,"Total EU MS not correct","")</f>
        <v/>
      </c>
      <c r="AI69" s="31"/>
      <c r="AJ69" s="157"/>
    </row>
    <row r="70" spans="1:46" s="220" customFormat="1" ht="28.5" customHeight="1" x14ac:dyDescent="0.2">
      <c r="C70" s="1050" t="str">
        <f>IF(NOT(ROUND(C64-'Table 5'!D29,3)=0),"Total not equal to Table 5","")</f>
        <v/>
      </c>
      <c r="D70" s="1050" t="str">
        <f>IF(NOT(ROUND(D64-'Table 5'!E29,3)=0),"Total not equal to Table 5","")</f>
        <v/>
      </c>
      <c r="E70" s="1050" t="str">
        <f>IF(NOT(ROUND(E64-'Table 5'!F29,3)=0),"Total not equal to Table 5","")</f>
        <v/>
      </c>
      <c r="F70" s="1050" t="str">
        <f>IF(NOT(ROUND(F64-'Table 5'!G29,3)=0),"Total not equal to Table 5","")</f>
        <v/>
      </c>
      <c r="G70" s="1050" t="str">
        <f>IF(NOT(ROUND(G64-'Table 5'!H29,3)=0),"Total not equal to Table 5","")</f>
        <v/>
      </c>
      <c r="H70" s="1050" t="str">
        <f>IF(NOT(ROUND(H64-'Table 5'!I29,3)=0),"Total not equal to Table 5","")</f>
        <v/>
      </c>
      <c r="I70" s="1050" t="str">
        <f>IF(NOT(ROUND(I64-'Table 5'!J29,3)=0),"Total not equal to Table 5","")</f>
        <v/>
      </c>
      <c r="J70" s="1050" t="str">
        <f>IF(NOT(ROUND(J64-'Table 5'!K29,3)=0),"Total not equal to Table 5","")</f>
        <v/>
      </c>
      <c r="K70" s="1050" t="str">
        <f>IF(NOT(ROUND(K64-'Table 5'!L29,3)=0),"Total not equal to Table 5","")</f>
        <v/>
      </c>
      <c r="L70" s="1050" t="str">
        <f>IF(NOT(ROUND(L64-'Table 5'!M29,3)=0),"Total not equal to Table 5","")</f>
        <v/>
      </c>
      <c r="M70" s="1050" t="str">
        <f>IF(NOT(ROUND(M64-'Table 5'!N29,3)=0),"Total not equal to Table 5","")</f>
        <v/>
      </c>
      <c r="N70" s="1050" t="str">
        <f>IF(NOT(ROUND(N64-'Table 5'!O29,3)=0),"Total not equal to Table 5","")</f>
        <v/>
      </c>
      <c r="O70" s="1050" t="str">
        <f>IF(NOT(ROUND(O64-'Table 5'!P29,3)=0),"Total not equal to Table 5","")</f>
        <v/>
      </c>
      <c r="P70" s="1050" t="str">
        <f>IF(NOT(ROUND(P64-'Table 5'!Q29,3)=0),"Total not equal to Table 5","")</f>
        <v/>
      </c>
      <c r="Q70" s="1050" t="str">
        <f>IF(NOT(ROUND(Q64-'Table 5'!R29,3)=0),"Total not equal to Table 5","")</f>
        <v/>
      </c>
      <c r="R70" s="1050" t="str">
        <f>IF(NOT(ROUND(R64-'Table 5'!S29,3)=0),"Total not equal to Table 5","")</f>
        <v/>
      </c>
      <c r="S70" s="1050" t="str">
        <f>IF(NOT(ROUND(S64-'Table 5'!T29,3)=0),"Total not equal to Table 5","")</f>
        <v/>
      </c>
      <c r="T70" s="1050" t="str">
        <f>IF(NOT(ROUND(T64-'Table 5'!U29,3)=0),"Total not equal to Table 5","")</f>
        <v/>
      </c>
      <c r="U70" s="1050" t="str">
        <f>IF(NOT(ROUND(U64-'Table 5'!V29,3)=0),"Total not equal to Table 5","")</f>
        <v/>
      </c>
      <c r="V70" s="1050" t="str">
        <f>IF(NOT(ROUND(V64-'Table 5'!W29,3)=0),"Total not equal to Table 5","")</f>
        <v/>
      </c>
      <c r="W70" s="1050" t="str">
        <f>IF(NOT(ROUND(W64-'Table 5'!X29,3)=0),"Total not equal to Table 5","")</f>
        <v/>
      </c>
      <c r="X70" s="1050" t="str">
        <f>IF(NOT(ROUND(X64-'Table 5'!Y29,3)=0),"Total not equal to Table 5","")</f>
        <v/>
      </c>
      <c r="Y70" s="1050" t="str">
        <f>IF(NOT(ROUND(Y64-'Table 5'!Z29,3)=0),"Total not equal to Table 5","")</f>
        <v/>
      </c>
      <c r="Z70" s="1050" t="str">
        <f>IF(NOT(ROUND(Z64-'Table 5'!AA29,3)=0),"Total not equal to Table 5","")</f>
        <v/>
      </c>
      <c r="AA70" s="1050" t="str">
        <f>IF(NOT(ROUND(AA64-'Table 5'!AB29,3)=0),"Total not equal to Table 5","")</f>
        <v/>
      </c>
      <c r="AB70" s="1050" t="str">
        <f>IF(NOT(ROUND(AB64-'Table 5'!AC29,3)=0),"Total not equal to Table 5","")</f>
        <v/>
      </c>
      <c r="AC70" s="1050"/>
      <c r="AD70" s="1050" t="str">
        <f>IF(NOT(ROUND(AD64-'Table 5'!AE29,3)=0),"Total not equal to Table 5","")</f>
        <v/>
      </c>
      <c r="AE70" s="1050" t="str">
        <f>IF(NOT(ROUND(AE64-'Table 5'!AF29,3)=0),"Total not equal to Table 5","")</f>
        <v/>
      </c>
      <c r="AF70" s="1050" t="str">
        <f>IF(NOT(ROUND(AF64-'Table 5'!AG29,3)=0),"Total not equal to Table 5","")</f>
        <v/>
      </c>
      <c r="AG70" s="1050" t="str">
        <f>IF(NOT(ROUND(AG64-'Table 5'!AH29,3)=0),"Total not equal to Table 5","")</f>
        <v/>
      </c>
      <c r="AH70" s="1050" t="str">
        <f>IF(NOT(ROUND(AH64-'Table 5'!AI29,3)=0),"Total not equal to Table 5","")</f>
        <v/>
      </c>
      <c r="AI70" s="157"/>
      <c r="AJ70" s="221"/>
    </row>
    <row r="71" spans="1:46" s="218" customFormat="1" ht="12" x14ac:dyDescent="0.2">
      <c r="A71" s="12" t="s">
        <v>1398</v>
      </c>
      <c r="B71" s="219"/>
      <c r="E71" s="1051">
        <f>COUNTIF(C70:AH70,"")-COUNTA(C66:AH66)</f>
        <v>0</v>
      </c>
      <c r="F71" s="3" t="str">
        <f>IF(E71=0,"OK","Total not equal to Table 5")</f>
        <v>OK</v>
      </c>
      <c r="G71" s="31"/>
      <c r="H71" s="31"/>
      <c r="I71" s="31"/>
      <c r="J71" s="31"/>
      <c r="K71" s="31"/>
      <c r="L71" s="31"/>
      <c r="M71" s="31"/>
      <c r="N71" s="31"/>
      <c r="O71" s="31"/>
      <c r="P71" s="31"/>
      <c r="Q71" s="31"/>
      <c r="R71" s="31"/>
      <c r="T71" s="31"/>
      <c r="U71" s="31"/>
      <c r="V71" s="31"/>
      <c r="W71" s="31"/>
      <c r="X71" s="31"/>
      <c r="Y71" s="31"/>
      <c r="Z71" s="31"/>
      <c r="AA71" s="31"/>
      <c r="AB71" s="31"/>
      <c r="AC71" s="31"/>
      <c r="AD71" s="31"/>
      <c r="AE71" s="31"/>
      <c r="AF71" s="31"/>
      <c r="AG71" s="31"/>
      <c r="AH71" s="31"/>
      <c r="AI71" s="157"/>
      <c r="AJ71" s="157"/>
    </row>
    <row r="72" spans="1:46" x14ac:dyDescent="0.2">
      <c r="A72" s="12" t="s">
        <v>1387</v>
      </c>
      <c r="C72" s="218"/>
      <c r="D72" s="218"/>
      <c r="E72" s="1049">
        <f ca="1">IF(MAX(IFERROR(OFFSET(C7,MATCH(CountryCode,$AT$8:$AT$64,0),0,1,30),0))&gt;0,1,0)+IF(CountryCode=Param!$D$67,MAX(C62:AE62),0)</f>
        <v>0</v>
      </c>
      <c r="F72" s="3" t="str">
        <f ca="1">IF(E72=0,"OK","Country is reporting itself")</f>
        <v>OK</v>
      </c>
    </row>
    <row r="73" spans="1:46" x14ac:dyDescent="0.2">
      <c r="A73" s="7" t="s">
        <v>1112</v>
      </c>
    </row>
    <row r="138" spans="2:34" hidden="1" x14ac:dyDescent="0.2">
      <c r="B138" s="306" t="s">
        <v>329</v>
      </c>
      <c r="C138" s="373" t="s">
        <v>330</v>
      </c>
      <c r="D138" s="373" t="s">
        <v>6</v>
      </c>
      <c r="E138" s="373" t="s">
        <v>331</v>
      </c>
      <c r="F138" s="373" t="s">
        <v>332</v>
      </c>
      <c r="G138" s="373" t="s">
        <v>333</v>
      </c>
      <c r="H138" s="373" t="s">
        <v>334</v>
      </c>
      <c r="I138" s="373" t="s">
        <v>335</v>
      </c>
      <c r="J138" s="373" t="s">
        <v>353</v>
      </c>
      <c r="K138" s="156" t="s">
        <v>9</v>
      </c>
      <c r="L138" s="156" t="s">
        <v>354</v>
      </c>
      <c r="M138" s="156" t="s">
        <v>355</v>
      </c>
      <c r="N138" s="156" t="s">
        <v>356</v>
      </c>
      <c r="O138" s="156" t="s">
        <v>891</v>
      </c>
      <c r="P138" s="156" t="s">
        <v>357</v>
      </c>
      <c r="Q138" s="156" t="s">
        <v>358</v>
      </c>
      <c r="R138" s="156" t="s">
        <v>359</v>
      </c>
      <c r="S138" s="156" t="s">
        <v>878</v>
      </c>
      <c r="T138" s="156" t="s">
        <v>879</v>
      </c>
      <c r="U138" s="156" t="s">
        <v>360</v>
      </c>
      <c r="V138" s="156" t="s">
        <v>361</v>
      </c>
      <c r="W138" s="156" t="s">
        <v>363</v>
      </c>
      <c r="X138" s="156" t="s">
        <v>364</v>
      </c>
      <c r="Y138" s="156" t="s">
        <v>362</v>
      </c>
      <c r="Z138" s="156" t="s">
        <v>880</v>
      </c>
      <c r="AA138" s="156" t="s">
        <v>367</v>
      </c>
      <c r="AB138" s="156" t="s">
        <v>365</v>
      </c>
      <c r="AC138" s="156" t="s">
        <v>1412</v>
      </c>
      <c r="AD138" s="156" t="s">
        <v>366</v>
      </c>
      <c r="AE138" s="156" t="s">
        <v>368</v>
      </c>
      <c r="AF138" s="156" t="s">
        <v>606</v>
      </c>
      <c r="AG138" s="156" t="s">
        <v>369</v>
      </c>
      <c r="AH138" s="156" t="s">
        <v>416</v>
      </c>
    </row>
    <row r="1000" spans="1:60" ht="22.5" hidden="1" x14ac:dyDescent="0.2">
      <c r="A1000" s="641" t="s">
        <v>1113</v>
      </c>
      <c r="C1000" s="642" t="s">
        <v>1114</v>
      </c>
      <c r="D1000" s="642" t="s">
        <v>1115</v>
      </c>
      <c r="E1000" s="642" t="s">
        <v>1116</v>
      </c>
      <c r="F1000" s="642" t="s">
        <v>1117</v>
      </c>
      <c r="G1000" s="642" t="s">
        <v>1118</v>
      </c>
      <c r="H1000" s="642" t="s">
        <v>1119</v>
      </c>
      <c r="I1000" s="642" t="s">
        <v>1120</v>
      </c>
      <c r="J1000" s="642" t="s">
        <v>1143</v>
      </c>
      <c r="K1000" s="642" t="s">
        <v>1144</v>
      </c>
      <c r="L1000" s="642" t="s">
        <v>1145</v>
      </c>
      <c r="M1000" s="642" t="s">
        <v>1146</v>
      </c>
      <c r="N1000" s="642" t="s">
        <v>1147</v>
      </c>
      <c r="O1000" s="642" t="s">
        <v>1148</v>
      </c>
      <c r="P1000" s="642" t="s">
        <v>1149</v>
      </c>
      <c r="Q1000" s="642" t="s">
        <v>1150</v>
      </c>
      <c r="R1000" s="642" t="s">
        <v>1151</v>
      </c>
      <c r="S1000" s="642" t="s">
        <v>1152</v>
      </c>
      <c r="T1000" s="642" t="s">
        <v>1153</v>
      </c>
      <c r="U1000" s="642" t="s">
        <v>1154</v>
      </c>
      <c r="V1000" s="642" t="s">
        <v>1155</v>
      </c>
      <c r="W1000" s="642" t="s">
        <v>1156</v>
      </c>
      <c r="X1000" s="642" t="s">
        <v>1157</v>
      </c>
      <c r="Y1000" s="642" t="s">
        <v>1158</v>
      </c>
      <c r="Z1000" s="642" t="s">
        <v>1159</v>
      </c>
      <c r="AA1000" s="642" t="s">
        <v>1160</v>
      </c>
      <c r="AB1000" s="642" t="s">
        <v>1161</v>
      </c>
      <c r="AC1000" s="642" t="s">
        <v>1414</v>
      </c>
      <c r="AD1000" s="642" t="s">
        <v>1162</v>
      </c>
      <c r="AE1000" s="642" t="s">
        <v>1163</v>
      </c>
      <c r="AF1000" s="642" t="s">
        <v>1406</v>
      </c>
      <c r="AG1000" s="642" t="s">
        <v>1178</v>
      </c>
      <c r="AH1000" s="642" t="s">
        <v>1164</v>
      </c>
      <c r="AL1000" s="3"/>
      <c r="AM1000" s="3"/>
      <c r="AW1000" s="211"/>
      <c r="AX1000" s="211"/>
      <c r="AY1000" s="211"/>
      <c r="AZ1000" s="211"/>
      <c r="BA1000" s="211"/>
      <c r="BB1000" s="211"/>
      <c r="BC1000" s="211"/>
      <c r="BD1000" s="211"/>
      <c r="BE1000" s="211"/>
      <c r="BF1000" s="211"/>
      <c r="BG1000" s="211"/>
      <c r="BH1000" s="211"/>
    </row>
  </sheetData>
  <sheetProtection algorithmName="SHA-512" hashValue="g9G2yc/4x/HmaRGPolqEGWDCEX2WG6GZICytt1vUPuFUjzMPiQVxGx/U/IOMgMaQUVa6+JauPLEK+yqiTcFKdA==" saltValue="DF5nlc4Hj8iKN/kSv1QLcg==" spinCount="100000" sheet="1" objects="1" scenarios="1"/>
  <mergeCells count="21">
    <mergeCell ref="Q5:Q6"/>
    <mergeCell ref="C5:C6"/>
    <mergeCell ref="D5:D6"/>
    <mergeCell ref="E5:E6"/>
    <mergeCell ref="F5:F6"/>
    <mergeCell ref="I5:I6"/>
    <mergeCell ref="H5:H6"/>
    <mergeCell ref="J5:J6"/>
    <mergeCell ref="K5:K6"/>
    <mergeCell ref="L5:L6"/>
    <mergeCell ref="M5:M6"/>
    <mergeCell ref="P5:P6"/>
    <mergeCell ref="AG5:AG6"/>
    <mergeCell ref="AH5:AH6"/>
    <mergeCell ref="AJ5:AJ6"/>
    <mergeCell ref="R5:R6"/>
    <mergeCell ref="U5:U6"/>
    <mergeCell ref="X5:X6"/>
    <mergeCell ref="AA5:AA6"/>
    <mergeCell ref="AE5:AE6"/>
    <mergeCell ref="AF5:AF6"/>
  </mergeCells>
  <phoneticPr fontId="44" type="noConversion"/>
  <conditionalFormatting sqref="I63">
    <cfRule type="cellIs" dxfId="643" priority="313" stopIfTrue="1" operator="notEqual">
      <formula>SUM(C63:F63,H63)</formula>
    </cfRule>
  </conditionalFormatting>
  <conditionalFormatting sqref="AG28:AG36 AG38:AG42 AG61:AG63 AG44:AG57 AG15:AG26">
    <cfRule type="cellIs" dxfId="642" priority="312" stopIfTrue="1" operator="notEqual">
      <formula>SUM(J15:L15,M15,P15:R15,U15,X15,AA15,AE15:AF15)</formula>
    </cfRule>
  </conditionalFormatting>
  <conditionalFormatting sqref="AH28:AH36 AH38:AH42 AH61:AH63 AH44:AH57 AH15:AH26">
    <cfRule type="cellIs" dxfId="641" priority="311" stopIfTrue="1" operator="notEqual">
      <formula>I15+AG15</formula>
    </cfRule>
  </conditionalFormatting>
  <conditionalFormatting sqref="X63">
    <cfRule type="expression" dxfId="640" priority="322" stopIfTrue="1">
      <formula>OR(AND(OR(V63&lt;&gt;0,W63&lt;&gt;0),X63&lt;&gt;V63+W63),AND(OR(Y63&lt;&gt;0,Z63&lt;&gt;0),X63&lt;&gt;Y63+Z63))</formula>
    </cfRule>
    <cfRule type="expression" dxfId="639" priority="323" stopIfTrue="1">
      <formula>OR(AND(V63+W63=0,X63&lt;&gt;0),AND(Y63+Z63=0,X63&lt;&gt;0))</formula>
    </cfRule>
  </conditionalFormatting>
  <conditionalFormatting sqref="AA63">
    <cfRule type="expression" dxfId="638" priority="320" stopIfTrue="1">
      <formula>AND(AA63+AB63=0,Z63&lt;&gt;0)</formula>
    </cfRule>
    <cfRule type="cellIs" dxfId="637" priority="321" stopIfTrue="1" operator="notEqual">
      <formula>AB63+AD63</formula>
    </cfRule>
  </conditionalFormatting>
  <conditionalFormatting sqref="M63 R63">
    <cfRule type="expression" dxfId="636" priority="318" stopIfTrue="1">
      <formula>AND(N63+O63=0,M63&lt;&gt;0)</formula>
    </cfRule>
    <cfRule type="cellIs" dxfId="635" priority="319" stopIfTrue="1" operator="notEqual">
      <formula>N63+O63</formula>
    </cfRule>
  </conditionalFormatting>
  <conditionalFormatting sqref="G8:G63">
    <cfRule type="cellIs" dxfId="634" priority="315" stopIfTrue="1" operator="greaterThan">
      <formula>F8</formula>
    </cfRule>
  </conditionalFormatting>
  <conditionalFormatting sqref="AG15:AH26 AG28:AH36 AG44:AH57 AG61:AH62 AG38:AH42 C63:AH63 G8:G62">
    <cfRule type="cellIs" dxfId="633" priority="314" stopIfTrue="1" operator="lessThan">
      <formula>0</formula>
    </cfRule>
  </conditionalFormatting>
  <conditionalFormatting sqref="AA63">
    <cfRule type="expression" dxfId="632" priority="324" stopIfTrue="1">
      <formula>AND(AB63+AD63=0,AA63&lt;&gt;0)</formula>
    </cfRule>
    <cfRule type="cellIs" dxfId="631" priority="325" stopIfTrue="1" operator="notEqual">
      <formula>AB63+AD63</formula>
    </cfRule>
  </conditionalFormatting>
  <conditionalFormatting sqref="I8:I62">
    <cfRule type="cellIs" dxfId="630" priority="270" stopIfTrue="1" operator="notEqual">
      <formula>ROUND(SUM(C8:F8,H8),3)</formula>
    </cfRule>
  </conditionalFormatting>
  <conditionalFormatting sqref="AG8:AG14">
    <cfRule type="cellIs" dxfId="629" priority="271" stopIfTrue="1" operator="notEqual">
      <formula>ROUND(SUM(J8:L8,M8,P8:R8,U8,X8,AA8,AE8:AF8),3)</formula>
    </cfRule>
  </conditionalFormatting>
  <conditionalFormatting sqref="AH8:AH14">
    <cfRule type="cellIs" dxfId="628" priority="272" stopIfTrue="1" operator="notEqual">
      <formula>ROUND(I8+AG8,3)</formula>
    </cfRule>
  </conditionalFormatting>
  <conditionalFormatting sqref="X8:X63">
    <cfRule type="expression" dxfId="627" priority="281" stopIfTrue="1">
      <formula>OR(AND(OR(V8&lt;&gt;0,W8&lt;&gt;0),X8&lt;&gt;V8+W8),AND(OR(Y8&lt;&gt;0,Z8&lt;&gt;0),X8&lt;&gt;Y8+Z8))</formula>
    </cfRule>
    <cfRule type="expression" dxfId="626" priority="282" stopIfTrue="1">
      <formula>OR(AND(V8+W8=0,X8&lt;&gt;0),AND(Y8+Z8=0,X8&lt;&gt;0))</formula>
    </cfRule>
  </conditionalFormatting>
  <conditionalFormatting sqref="AA8:AA63">
    <cfRule type="expression" dxfId="625" priority="279" stopIfTrue="1">
      <formula>AND(AB8+AD8=0,AA8&lt;&gt;0)</formula>
    </cfRule>
    <cfRule type="cellIs" dxfId="624" priority="280" stopIfTrue="1" operator="notEqual">
      <formula>AB8+AD8</formula>
    </cfRule>
  </conditionalFormatting>
  <conditionalFormatting sqref="R8:R63">
    <cfRule type="expression" dxfId="623" priority="277" stopIfTrue="1">
      <formula>AND(S8+T8=0,R8&lt;&gt;0)</formula>
    </cfRule>
    <cfRule type="cellIs" dxfId="622" priority="278" stopIfTrue="1" operator="notEqual">
      <formula>S8+T8</formula>
    </cfRule>
  </conditionalFormatting>
  <conditionalFormatting sqref="G8:G62">
    <cfRule type="cellIs" dxfId="621" priority="274" stopIfTrue="1" operator="greaterThan">
      <formula>F8</formula>
    </cfRule>
  </conditionalFormatting>
  <conditionalFormatting sqref="D8:AH8 AG9:AH14 D9:AF62 R8:R63 X8:X63 AA8:AA63">
    <cfRule type="cellIs" dxfId="620" priority="273" stopIfTrue="1" operator="lessThan">
      <formula>0</formula>
    </cfRule>
  </conditionalFormatting>
  <conditionalFormatting sqref="M8:M62">
    <cfRule type="expression" dxfId="619" priority="275" stopIfTrue="1">
      <formula>AND(N8+O8=0,M8&lt;&gt;0)</formula>
    </cfRule>
    <cfRule type="cellIs" dxfId="618" priority="276" stopIfTrue="1" operator="notEqual">
      <formula>N8+O8</formula>
    </cfRule>
  </conditionalFormatting>
  <conditionalFormatting sqref="AG27:AH27">
    <cfRule type="cellIs" dxfId="617" priority="248" stopIfTrue="1" operator="lessThan">
      <formula>0</formula>
    </cfRule>
  </conditionalFormatting>
  <conditionalFormatting sqref="AG37:AH37">
    <cfRule type="cellIs" dxfId="616" priority="237" stopIfTrue="1" operator="lessThan">
      <formula>0</formula>
    </cfRule>
  </conditionalFormatting>
  <conditionalFormatting sqref="AG43:AH43">
    <cfRule type="cellIs" dxfId="615" priority="226" stopIfTrue="1" operator="lessThan">
      <formula>0</formula>
    </cfRule>
  </conditionalFormatting>
  <conditionalFormatting sqref="AG58">
    <cfRule type="cellIs" dxfId="614" priority="175" stopIfTrue="1" operator="notEqual">
      <formula>SUM(J58:L58,M58,P58:R58,U58,X58,AA58,AE58:AF58)</formula>
    </cfRule>
  </conditionalFormatting>
  <conditionalFormatting sqref="AH58">
    <cfRule type="cellIs" dxfId="613" priority="176" stopIfTrue="1" operator="notEqual">
      <formula>I58+AG58</formula>
    </cfRule>
  </conditionalFormatting>
  <conditionalFormatting sqref="AG58:AH58">
    <cfRule type="cellIs" dxfId="612" priority="177" stopIfTrue="1" operator="lessThan">
      <formula>0</formula>
    </cfRule>
  </conditionalFormatting>
  <conditionalFormatting sqref="AG60">
    <cfRule type="cellIs" dxfId="611" priority="162" stopIfTrue="1" operator="notEqual">
      <formula>SUM(J60:L60,M60,P60:R60,U60,X60,AA60,AE60:AF60)</formula>
    </cfRule>
  </conditionalFormatting>
  <conditionalFormatting sqref="AH60">
    <cfRule type="cellIs" dxfId="610" priority="163" stopIfTrue="1" operator="notEqual">
      <formula>I60+AG60</formula>
    </cfRule>
  </conditionalFormatting>
  <conditionalFormatting sqref="AG60:AH60">
    <cfRule type="cellIs" dxfId="609" priority="164" stopIfTrue="1" operator="lessThan">
      <formula>0</formula>
    </cfRule>
  </conditionalFormatting>
  <conditionalFormatting sqref="AG59">
    <cfRule type="cellIs" dxfId="608" priority="149" stopIfTrue="1" operator="notEqual">
      <formula>SUM(J59:L59,M59,P59:R59,U59,X59,AA59,AE59:AF59)</formula>
    </cfRule>
  </conditionalFormatting>
  <conditionalFormatting sqref="AH59">
    <cfRule type="cellIs" dxfId="607" priority="150" stopIfTrue="1" operator="notEqual">
      <formula>I59+AG59</formula>
    </cfRule>
  </conditionalFormatting>
  <conditionalFormatting sqref="AG59:AH59">
    <cfRule type="cellIs" dxfId="606" priority="151" stopIfTrue="1" operator="lessThan">
      <formula>0</formula>
    </cfRule>
  </conditionalFormatting>
  <conditionalFormatting sqref="I64">
    <cfRule type="cellIs" dxfId="605" priority="34" stopIfTrue="1" operator="notEqual">
      <formula>SUM(C64:F64,H64)</formula>
    </cfRule>
  </conditionalFormatting>
  <conditionalFormatting sqref="AG64">
    <cfRule type="cellIs" dxfId="604" priority="35" stopIfTrue="1" operator="notEqual">
      <formula>SUM(J64:L64,M64,P64:R64,U64,X64,AA64,AE64:AF64)</formula>
    </cfRule>
  </conditionalFormatting>
  <conditionalFormatting sqref="AH64">
    <cfRule type="cellIs" dxfId="603" priority="36" stopIfTrue="1" operator="notEqual">
      <formula>I64+AG64</formula>
    </cfRule>
  </conditionalFormatting>
  <conditionalFormatting sqref="X64">
    <cfRule type="expression" dxfId="602" priority="46" stopIfTrue="1">
      <formula>OR(AND(OR(V64&lt;&gt;0,W64&lt;&gt;0),X64&lt;&gt;V64+W64),AND(OR(Y64&lt;&gt;0,Z64&lt;&gt;0),X64&lt;&gt;Y64+Z64))</formula>
    </cfRule>
    <cfRule type="expression" dxfId="601" priority="47" stopIfTrue="1">
      <formula>OR(AND(V64+W64=0,X64&lt;&gt;0),AND(Y64+Z64=0,X64&lt;&gt;0))</formula>
    </cfRule>
  </conditionalFormatting>
  <conditionalFormatting sqref="AA64">
    <cfRule type="expression" dxfId="600" priority="44" stopIfTrue="1">
      <formula>AND(AB64+AD64=0,AA64&lt;&gt;0)</formula>
    </cfRule>
    <cfRule type="cellIs" dxfId="599" priority="45" stopIfTrue="1" operator="notEqual">
      <formula>AB64+AD64</formula>
    </cfRule>
  </conditionalFormatting>
  <conditionalFormatting sqref="R64">
    <cfRule type="expression" dxfId="598" priority="42" stopIfTrue="1">
      <formula>AND(S64+T64=0,R64&lt;&gt;0)</formula>
    </cfRule>
    <cfRule type="cellIs" dxfId="597" priority="43" stopIfTrue="1" operator="notEqual">
      <formula>S64+T64</formula>
    </cfRule>
  </conditionalFormatting>
  <conditionalFormatting sqref="G64">
    <cfRule type="cellIs" dxfId="596" priority="39" stopIfTrue="1" operator="greaterThan">
      <formula>F64</formula>
    </cfRule>
  </conditionalFormatting>
  <conditionalFormatting sqref="C64:AH64">
    <cfRule type="cellIs" dxfId="595" priority="38" stopIfTrue="1" operator="lessThan">
      <formula>0</formula>
    </cfRule>
  </conditionalFormatting>
  <conditionalFormatting sqref="C64:AH64">
    <cfRule type="cellIs" dxfId="594" priority="37" stopIfTrue="1" operator="notEqual">
      <formula>ROUND(SUM(C8:C63),3)</formula>
    </cfRule>
  </conditionalFormatting>
  <conditionalFormatting sqref="M64">
    <cfRule type="expression" dxfId="593" priority="40" stopIfTrue="1">
      <formula>AND(N64+O64=0,M64&lt;&gt;0)</formula>
    </cfRule>
    <cfRule type="cellIs" dxfId="592" priority="41" stopIfTrue="1" operator="notEqual">
      <formula>N64+O64</formula>
    </cfRule>
  </conditionalFormatting>
  <conditionalFormatting sqref="F72">
    <cfRule type="cellIs" dxfId="591" priority="33" stopIfTrue="1" operator="notEqual">
      <formula>"OK"</formula>
    </cfRule>
  </conditionalFormatting>
  <conditionalFormatting sqref="F71">
    <cfRule type="cellIs" dxfId="590" priority="32" stopIfTrue="1" operator="notEqual">
      <formula>"OK"</formula>
    </cfRule>
  </conditionalFormatting>
  <conditionalFormatting sqref="C8:C62">
    <cfRule type="cellIs" dxfId="589" priority="31" stopIfTrue="1" operator="lessThan">
      <formula>0</formula>
    </cfRule>
  </conditionalFormatting>
  <conditionalFormatting sqref="I66">
    <cfRule type="cellIs" dxfId="588" priority="12" stopIfTrue="1" operator="notEqual">
      <formula>SUM(C66:F66,H66)</formula>
    </cfRule>
  </conditionalFormatting>
  <conditionalFormatting sqref="AG66">
    <cfRule type="cellIs" dxfId="587" priority="13" stopIfTrue="1" operator="notEqual">
      <formula>SUM(J66:L66,M66,P66:R66,U66,X66,AA66,AE66:AF66)</formula>
    </cfRule>
  </conditionalFormatting>
  <conditionalFormatting sqref="AH66">
    <cfRule type="cellIs" dxfId="586" priority="14" stopIfTrue="1" operator="notEqual">
      <formula>I66+AG66</formula>
    </cfRule>
  </conditionalFormatting>
  <conditionalFormatting sqref="X66">
    <cfRule type="expression" dxfId="585" priority="23" stopIfTrue="1">
      <formula>OR(AND(OR(V66&lt;&gt;0,W66&lt;&gt;0),X66&lt;&gt;V66+W66),AND(OR(Y66&lt;&gt;0,Z66&lt;&gt;0),X66&lt;&gt;Y66+Z66))</formula>
    </cfRule>
    <cfRule type="expression" dxfId="584" priority="24" stopIfTrue="1">
      <formula>OR(AND(V66+W66=0,X66&lt;&gt;0),AND(Y66+Z66=0,X66&lt;&gt;0))</formula>
    </cfRule>
  </conditionalFormatting>
  <conditionalFormatting sqref="AA66">
    <cfRule type="expression" dxfId="583" priority="21" stopIfTrue="1">
      <formula>AND(AB66+AD66=0,AA66&lt;&gt;0)</formula>
    </cfRule>
    <cfRule type="cellIs" dxfId="582" priority="22" stopIfTrue="1" operator="notEqual">
      <formula>AB66+AD66</formula>
    </cfRule>
  </conditionalFormatting>
  <conditionalFormatting sqref="R66">
    <cfRule type="expression" dxfId="581" priority="19" stopIfTrue="1">
      <formula>AND(S66+T66=0,R66&lt;&gt;0)</formula>
    </cfRule>
    <cfRule type="cellIs" dxfId="580" priority="20" stopIfTrue="1" operator="notEqual">
      <formula>S66+T66</formula>
    </cfRule>
  </conditionalFormatting>
  <conditionalFormatting sqref="G66">
    <cfRule type="cellIs" dxfId="579" priority="16" stopIfTrue="1" operator="greaterThan">
      <formula>F66</formula>
    </cfRule>
  </conditionalFormatting>
  <conditionalFormatting sqref="C66:AH66">
    <cfRule type="cellIs" dxfId="578" priority="15" stopIfTrue="1" operator="lessThan">
      <formula>0</formula>
    </cfRule>
  </conditionalFormatting>
  <conditionalFormatting sqref="M66">
    <cfRule type="expression" dxfId="577" priority="17" stopIfTrue="1">
      <formula>AND(N66+O66=0,M66&lt;&gt;0)</formula>
    </cfRule>
    <cfRule type="cellIs" dxfId="576" priority="18" stopIfTrue="1" operator="notEqual">
      <formula>N66+O66</formula>
    </cfRule>
  </conditionalFormatting>
  <dataValidations count="1">
    <dataValidation type="decimal" operator="greaterThanOrEqual" allowBlank="1" showErrorMessage="1" errorTitle="Input error" error="Numbers only!" sqref="C8:AH66" xr:uid="{00000000-0002-0000-0A00-000000000000}">
      <formula1>-10000000</formula1>
    </dataValidation>
  </dataValidations>
  <pageMargins left="0.39370078740157483" right="0.39370078740157483" top="0.78740157480314965" bottom="0.78740157480314965" header="0.39370078740157483" footer="0.39370078740157483"/>
  <pageSetup paperSize="9" scale="44" orientation="landscape" r:id="rId1"/>
  <headerFooter alignWithMargins="0">
    <oddHeader>&amp;A</oddHeader>
    <oddFooter>Page &amp;P</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EE1000"/>
  <sheetViews>
    <sheetView zoomScaleNormal="100" workbookViewId="0">
      <pane xSplit="2" ySplit="7" topLeftCell="C8" activePane="bottomRight" state="frozen"/>
      <selection activeCell="H62" sqref="H62"/>
      <selection pane="topRight" activeCell="H62" sqref="H62"/>
      <selection pane="bottomLeft" activeCell="H62" sqref="H62"/>
      <selection pane="bottomRight" activeCell="C8" sqref="C8"/>
    </sheetView>
  </sheetViews>
  <sheetFormatPr defaultColWidth="9.140625" defaultRowHeight="12.75" x14ac:dyDescent="0.2"/>
  <cols>
    <col min="1" max="1" width="31.28515625" style="2" customWidth="1"/>
    <col min="2" max="2" width="3.5703125" style="2" customWidth="1"/>
    <col min="3" max="28" width="9.28515625" style="2" customWidth="1"/>
    <col min="29" max="29" width="10.140625" style="2" customWidth="1"/>
    <col min="30" max="34" width="9.28515625" style="2" customWidth="1"/>
    <col min="35" max="35" width="2" style="2" customWidth="1"/>
    <col min="36" max="36" width="76.140625" style="2" customWidth="1"/>
    <col min="37" max="37" width="9.140625" style="2"/>
    <col min="38" max="38" width="3.5703125" style="141" customWidth="1"/>
    <col min="39" max="39" width="12.140625" style="141" customWidth="1"/>
    <col min="40" max="44" width="9.140625" style="2"/>
    <col min="45" max="45" width="3.7109375" style="2" hidden="1" customWidth="1"/>
    <col min="46" max="46" width="13.42578125" style="2" hidden="1" customWidth="1"/>
    <col min="47" max="122" width="9.140625" style="2"/>
    <col min="123" max="135" width="9.140625" style="2" hidden="1" customWidth="1"/>
    <col min="136" max="16384" width="9.140625" style="2"/>
  </cols>
  <sheetData>
    <row r="1" spans="1:135" x14ac:dyDescent="0.2">
      <c r="A1" s="1" t="s">
        <v>611</v>
      </c>
      <c r="B1" s="1"/>
      <c r="AS1" s="141"/>
      <c r="AT1" s="303" t="s">
        <v>351</v>
      </c>
    </row>
    <row r="2" spans="1:135" x14ac:dyDescent="0.2">
      <c r="A2" s="24" t="str">
        <f>IF('Table 1'!D2=0,"",'Table 1'!D2)</f>
        <v>Netherlands</v>
      </c>
      <c r="B2" s="28"/>
      <c r="AS2" s="141"/>
      <c r="AT2" s="338" t="s">
        <v>415</v>
      </c>
    </row>
    <row r="3" spans="1:135" x14ac:dyDescent="0.2">
      <c r="A3" s="24" t="str">
        <f>IF('Table 1'!D3=0,"",'Table 1'!D3 &amp; " " &amp; QuestYear)</f>
        <v>September 2026</v>
      </c>
      <c r="B3" s="24"/>
      <c r="AS3" s="141"/>
      <c r="AT3" s="303" t="s">
        <v>586</v>
      </c>
    </row>
    <row r="4" spans="1:135" x14ac:dyDescent="0.2">
      <c r="A4" s="5" t="s">
        <v>685</v>
      </c>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H4" s="25" t="s">
        <v>108</v>
      </c>
      <c r="AS4" s="141"/>
      <c r="AT4" s="425" t="s">
        <v>593</v>
      </c>
    </row>
    <row r="5" spans="1:135" ht="12.75" customHeight="1" x14ac:dyDescent="0.2">
      <c r="A5" s="242"/>
      <c r="B5" s="203"/>
      <c r="C5" s="1106" t="s">
        <v>656</v>
      </c>
      <c r="D5" s="1106" t="s">
        <v>657</v>
      </c>
      <c r="E5" s="1106" t="s">
        <v>647</v>
      </c>
      <c r="F5" s="1158" t="s">
        <v>666</v>
      </c>
      <c r="G5" s="281"/>
      <c r="H5" s="1150" t="s">
        <v>885</v>
      </c>
      <c r="I5" s="1110" t="s">
        <v>645</v>
      </c>
      <c r="J5" s="1122" t="s">
        <v>8</v>
      </c>
      <c r="K5" s="1124" t="s">
        <v>9</v>
      </c>
      <c r="L5" s="1126" t="s">
        <v>10</v>
      </c>
      <c r="M5" s="1114" t="s">
        <v>659</v>
      </c>
      <c r="N5" s="329"/>
      <c r="O5" s="190"/>
      <c r="P5" s="1122" t="s">
        <v>660</v>
      </c>
      <c r="Q5" s="1124" t="s">
        <v>661</v>
      </c>
      <c r="R5" s="1116" t="s">
        <v>668</v>
      </c>
      <c r="S5" s="191"/>
      <c r="T5" s="192"/>
      <c r="U5" s="1126" t="s">
        <v>664</v>
      </c>
      <c r="V5" s="193"/>
      <c r="W5" s="190"/>
      <c r="X5" s="1118" t="s">
        <v>670</v>
      </c>
      <c r="Y5" s="190"/>
      <c r="Z5" s="190"/>
      <c r="AA5" s="1114" t="s">
        <v>628</v>
      </c>
      <c r="AB5" s="190"/>
      <c r="AC5" s="190"/>
      <c r="AD5" s="190"/>
      <c r="AE5" s="1122" t="s">
        <v>629</v>
      </c>
      <c r="AF5" s="1150" t="s">
        <v>630</v>
      </c>
      <c r="AG5" s="1120" t="s">
        <v>631</v>
      </c>
      <c r="AH5" s="1120" t="s">
        <v>679</v>
      </c>
      <c r="AJ5" s="1139" t="s">
        <v>350</v>
      </c>
      <c r="AS5" s="141"/>
      <c r="AT5" s="141"/>
    </row>
    <row r="6" spans="1:135" ht="45" customHeight="1" x14ac:dyDescent="0.25">
      <c r="A6" s="201"/>
      <c r="B6" s="202"/>
      <c r="C6" s="1107"/>
      <c r="D6" s="1107"/>
      <c r="E6" s="1107"/>
      <c r="F6" s="1159"/>
      <c r="G6" s="99" t="s">
        <v>667</v>
      </c>
      <c r="H6" s="1138"/>
      <c r="I6" s="1111"/>
      <c r="J6" s="1123"/>
      <c r="K6" s="1125"/>
      <c r="L6" s="1127"/>
      <c r="M6" s="1115"/>
      <c r="N6" s="184" t="s">
        <v>623</v>
      </c>
      <c r="O6" s="185" t="s">
        <v>626</v>
      </c>
      <c r="P6" s="1123"/>
      <c r="Q6" s="1125"/>
      <c r="R6" s="1117"/>
      <c r="S6" s="186" t="s">
        <v>662</v>
      </c>
      <c r="T6" s="187" t="s">
        <v>663</v>
      </c>
      <c r="U6" s="1127"/>
      <c r="V6" s="188" t="s">
        <v>627</v>
      </c>
      <c r="W6" s="189" t="s">
        <v>669</v>
      </c>
      <c r="X6" s="1119"/>
      <c r="Y6" s="184" t="s">
        <v>624</v>
      </c>
      <c r="Z6" s="186" t="s">
        <v>671</v>
      </c>
      <c r="AA6" s="1115"/>
      <c r="AB6" s="187" t="s">
        <v>674</v>
      </c>
      <c r="AC6" s="186" t="s">
        <v>1411</v>
      </c>
      <c r="AD6" s="196" t="s">
        <v>872</v>
      </c>
      <c r="AE6" s="1123"/>
      <c r="AF6" s="1138"/>
      <c r="AG6" s="1121"/>
      <c r="AH6" s="1121"/>
      <c r="AI6" s="27"/>
      <c r="AJ6" s="1140"/>
      <c r="AS6" s="141"/>
      <c r="AT6" s="141"/>
      <c r="DS6" s="643" t="s">
        <v>1121</v>
      </c>
      <c r="DT6" s="644"/>
      <c r="DU6" s="645"/>
      <c r="DV6" s="645"/>
      <c r="DW6" s="645"/>
      <c r="DX6" s="645"/>
      <c r="DY6" s="645"/>
      <c r="DZ6" s="645"/>
      <c r="EA6" s="645"/>
      <c r="EB6" s="645"/>
      <c r="EC6" s="645"/>
      <c r="ED6" s="645"/>
    </row>
    <row r="7" spans="1:135" ht="12.75" customHeight="1" x14ac:dyDescent="0.2">
      <c r="A7" s="97"/>
      <c r="B7" s="98"/>
      <c r="C7" s="87" t="s">
        <v>152</v>
      </c>
      <c r="D7" s="86" t="s">
        <v>153</v>
      </c>
      <c r="E7" s="86" t="s">
        <v>154</v>
      </c>
      <c r="F7" s="180" t="s">
        <v>155</v>
      </c>
      <c r="G7" s="198" t="s">
        <v>156</v>
      </c>
      <c r="H7" s="198" t="s">
        <v>157</v>
      </c>
      <c r="I7" s="199" t="s">
        <v>158</v>
      </c>
      <c r="J7" s="87" t="s">
        <v>159</v>
      </c>
      <c r="K7" s="87" t="s">
        <v>160</v>
      </c>
      <c r="L7" s="96" t="s">
        <v>161</v>
      </c>
      <c r="M7" s="179" t="s">
        <v>162</v>
      </c>
      <c r="N7" s="198" t="s">
        <v>163</v>
      </c>
      <c r="O7" s="89" t="s">
        <v>164</v>
      </c>
      <c r="P7" s="95" t="s">
        <v>165</v>
      </c>
      <c r="Q7" s="177" t="s">
        <v>166</v>
      </c>
      <c r="R7" s="180" t="s">
        <v>167</v>
      </c>
      <c r="S7" s="198" t="s">
        <v>168</v>
      </c>
      <c r="T7" s="86" t="s">
        <v>169</v>
      </c>
      <c r="U7" s="94" t="s">
        <v>170</v>
      </c>
      <c r="V7" s="87" t="s">
        <v>171</v>
      </c>
      <c r="W7" s="101" t="s">
        <v>172</v>
      </c>
      <c r="X7" s="176" t="s">
        <v>173</v>
      </c>
      <c r="Y7" s="200" t="s">
        <v>174</v>
      </c>
      <c r="Z7" s="89" t="s">
        <v>175</v>
      </c>
      <c r="AA7" s="179" t="s">
        <v>176</v>
      </c>
      <c r="AB7" s="200" t="s">
        <v>177</v>
      </c>
      <c r="AC7" s="200" t="s">
        <v>181</v>
      </c>
      <c r="AD7" s="89" t="s">
        <v>417</v>
      </c>
      <c r="AE7" s="178" t="s">
        <v>672</v>
      </c>
      <c r="AF7" s="89" t="s">
        <v>678</v>
      </c>
      <c r="AG7" s="90" t="s">
        <v>499</v>
      </c>
      <c r="AH7" s="90" t="s">
        <v>680</v>
      </c>
      <c r="AI7" s="27"/>
      <c r="AJ7" s="90" t="s">
        <v>1413</v>
      </c>
      <c r="AS7" s="141"/>
      <c r="AT7" s="303" t="s">
        <v>553</v>
      </c>
      <c r="DS7" s="646" t="s">
        <v>1122</v>
      </c>
      <c r="DT7" s="646" t="s">
        <v>1113</v>
      </c>
      <c r="DU7" s="646" t="s">
        <v>1123</v>
      </c>
      <c r="DV7" s="646" t="s">
        <v>1124</v>
      </c>
      <c r="DW7" s="646" t="s">
        <v>1125</v>
      </c>
      <c r="DX7" s="646" t="s">
        <v>1126</v>
      </c>
      <c r="DY7" s="646" t="s">
        <v>415</v>
      </c>
      <c r="DZ7" s="646" t="s">
        <v>1127</v>
      </c>
      <c r="EA7" s="646" t="s">
        <v>1128</v>
      </c>
      <c r="EB7" s="646" t="s">
        <v>1129</v>
      </c>
      <c r="EC7" s="646" t="s">
        <v>1130</v>
      </c>
      <c r="ED7" s="646" t="s">
        <v>1131</v>
      </c>
      <c r="EE7" s="646" t="s">
        <v>1244</v>
      </c>
    </row>
    <row r="8" spans="1:135" x14ac:dyDescent="0.2">
      <c r="A8" s="225" t="s">
        <v>930</v>
      </c>
      <c r="B8" s="632">
        <v>1</v>
      </c>
      <c r="C8" s="770">
        <v>0</v>
      </c>
      <c r="D8" s="830">
        <v>0</v>
      </c>
      <c r="E8" s="830">
        <v>0</v>
      </c>
      <c r="F8" s="866">
        <v>0</v>
      </c>
      <c r="G8" s="830">
        <v>0</v>
      </c>
      <c r="H8" s="830">
        <v>0</v>
      </c>
      <c r="I8" s="828">
        <f t="shared" ref="I8:I64" si="0">ROUND(SUM(C8:F8,H8),3)</f>
        <v>0</v>
      </c>
      <c r="J8" s="832">
        <v>0</v>
      </c>
      <c r="K8" s="832">
        <v>0</v>
      </c>
      <c r="L8" s="830">
        <v>0</v>
      </c>
      <c r="M8" s="802">
        <v>0</v>
      </c>
      <c r="N8" s="832">
        <v>0</v>
      </c>
      <c r="O8" s="833">
        <v>0</v>
      </c>
      <c r="P8" s="832">
        <v>0</v>
      </c>
      <c r="Q8" s="832">
        <v>0</v>
      </c>
      <c r="R8" s="781">
        <v>0</v>
      </c>
      <c r="S8" s="830">
        <v>0</v>
      </c>
      <c r="T8" s="830">
        <v>0</v>
      </c>
      <c r="U8" s="834">
        <v>0</v>
      </c>
      <c r="V8" s="832">
        <v>0</v>
      </c>
      <c r="W8" s="831">
        <v>0</v>
      </c>
      <c r="X8" s="783">
        <v>0</v>
      </c>
      <c r="Y8" s="830">
        <v>0</v>
      </c>
      <c r="Z8" s="833">
        <v>0</v>
      </c>
      <c r="AA8" s="802">
        <v>0</v>
      </c>
      <c r="AB8" s="835">
        <v>0</v>
      </c>
      <c r="AC8" s="1094">
        <v>0</v>
      </c>
      <c r="AD8" s="833">
        <v>0</v>
      </c>
      <c r="AE8" s="836">
        <v>0</v>
      </c>
      <c r="AF8" s="836">
        <v>0</v>
      </c>
      <c r="AG8" s="827">
        <f t="shared" ref="AG8:AG64" si="1">ROUND(SUM(J8:M8,P8:R8,U8,X8,AA8,AE8:AF8),3)</f>
        <v>0</v>
      </c>
      <c r="AH8" s="827">
        <f t="shared" ref="AH8:AH64" si="2">ROUND(SUM(I8,AG8),3)</f>
        <v>0</v>
      </c>
      <c r="AI8" s="466">
        <f>IF(ROUND(I8-SUM(C8:F8,H8),3)=0,0,1)+IF(ROUND(AG8-SUM(J8:M8,P8:R8,U8,X8,AA8,AE8:AF8),3)=0,0,1)+IF(ROUND(AH8-SUM(AG8,I8),3)=0,0,1)</f>
        <v>0</v>
      </c>
      <c r="AJ8" s="467" t="str">
        <f>IF(AI8=0," ",IF(AI8=1,"A total is not equal to the sum of its components: ",AI8&amp;" totals are not equal to the sum of their components: "))&amp;IF(AI8=0,"",IF(I8-SUM(C8:F8,H8)=0,"","Total crude. ")&amp;IF(AG8-SUM(J8:M8,P8:R8,U8,X8,AA8,AE8:AF8)=0,"","Total products. ")&amp;IF(AH8-SUM(AG8,I8)=0,"","Total oil."))</f>
        <v xml:space="preserve"> </v>
      </c>
      <c r="AS8" s="130" t="s">
        <v>932</v>
      </c>
      <c r="AT8" s="130" t="s">
        <v>931</v>
      </c>
      <c r="DS8" s="647" t="str">
        <f>VLOOKUP(CountryUser, Param!$C$9:$E$67, 3, 0)</f>
        <v>NL</v>
      </c>
      <c r="DT8" s="647" t="s">
        <v>1132</v>
      </c>
      <c r="DU8" s="667" t="s">
        <v>415</v>
      </c>
      <c r="DV8" s="667" t="s">
        <v>1188</v>
      </c>
      <c r="DW8" s="667" t="s">
        <v>1134</v>
      </c>
      <c r="DX8" s="667" t="s">
        <v>1134</v>
      </c>
      <c r="DY8" s="669" t="s">
        <v>1254</v>
      </c>
      <c r="DZ8" s="667" t="s">
        <v>1134</v>
      </c>
      <c r="EA8" s="670" t="s">
        <v>932</v>
      </c>
      <c r="EB8" s="667" t="s">
        <v>1135</v>
      </c>
      <c r="EC8" s="667" t="s">
        <v>1134</v>
      </c>
      <c r="ED8" s="667" t="s">
        <v>1136</v>
      </c>
      <c r="EE8" s="667" t="str">
        <f>QuestYear&amp;"-"&amp;TEXT(MATCH(FirstMonth, Param!C71:C82,0), "00")</f>
        <v>2026-09</v>
      </c>
    </row>
    <row r="9" spans="1:135" x14ac:dyDescent="0.2">
      <c r="A9" s="225" t="s">
        <v>554</v>
      </c>
      <c r="B9" s="632">
        <v>2</v>
      </c>
      <c r="C9" s="770">
        <v>0</v>
      </c>
      <c r="D9" s="830">
        <v>0</v>
      </c>
      <c r="E9" s="830">
        <v>0</v>
      </c>
      <c r="F9" s="866">
        <v>0</v>
      </c>
      <c r="G9" s="830">
        <v>0</v>
      </c>
      <c r="H9" s="830">
        <v>0</v>
      </c>
      <c r="I9" s="828">
        <f t="shared" si="0"/>
        <v>0</v>
      </c>
      <c r="J9" s="832">
        <v>0</v>
      </c>
      <c r="K9" s="832">
        <v>0</v>
      </c>
      <c r="L9" s="830">
        <v>0</v>
      </c>
      <c r="M9" s="802">
        <v>0</v>
      </c>
      <c r="N9" s="832">
        <v>0</v>
      </c>
      <c r="O9" s="833">
        <v>0</v>
      </c>
      <c r="P9" s="832">
        <v>0</v>
      </c>
      <c r="Q9" s="832">
        <v>0</v>
      </c>
      <c r="R9" s="781">
        <v>0</v>
      </c>
      <c r="S9" s="830">
        <v>0</v>
      </c>
      <c r="T9" s="830">
        <v>0</v>
      </c>
      <c r="U9" s="834">
        <v>0</v>
      </c>
      <c r="V9" s="832">
        <v>0</v>
      </c>
      <c r="W9" s="831">
        <v>0</v>
      </c>
      <c r="X9" s="783">
        <v>0</v>
      </c>
      <c r="Y9" s="830">
        <v>0</v>
      </c>
      <c r="Z9" s="833">
        <v>0</v>
      </c>
      <c r="AA9" s="802">
        <v>0</v>
      </c>
      <c r="AB9" s="835">
        <v>0</v>
      </c>
      <c r="AC9" s="1094">
        <v>0</v>
      </c>
      <c r="AD9" s="833">
        <v>0</v>
      </c>
      <c r="AE9" s="836">
        <v>0</v>
      </c>
      <c r="AF9" s="836">
        <v>0</v>
      </c>
      <c r="AG9" s="827">
        <f t="shared" si="1"/>
        <v>0</v>
      </c>
      <c r="AH9" s="827">
        <f t="shared" si="2"/>
        <v>0</v>
      </c>
      <c r="AI9" s="466">
        <f t="shared" ref="AI9:AI63" si="3">IF(ROUND(I9-SUM(C9:F9,H9),3)=0,0,1)+IF(ROUND(AG9-SUM(J9:M9,P9:R9,U9,X9,AA9,AE9:AF9),3)=0,0,1)+IF(ROUND(AH9-SUM(AG9,I9),3)=0,0,1)</f>
        <v>0</v>
      </c>
      <c r="AJ9" s="467" t="str">
        <f t="shared" ref="AJ9:AJ63" si="4">IF(AI9=0," ",IF(AI9=1,"A total is not equal to the sum of its components: ",AI9&amp;" totals are not equal to the sum of their components: "))&amp;IF(AI9=0,"",IF(I9-SUM(C9:F9,H9)=0,"","Total crude. ")&amp;IF(AG9-SUM(J9:M9,P9:R9,U9,X9,AA9,AE9:AF9)=0,"","Total products. ")&amp;IF(AH9-SUM(AG9,I9)=0,"","Total oil."))</f>
        <v xml:space="preserve"> </v>
      </c>
      <c r="AS9" s="130" t="s">
        <v>501</v>
      </c>
      <c r="AT9" s="130" t="s">
        <v>502</v>
      </c>
      <c r="DS9" s="647"/>
      <c r="DT9" s="647"/>
      <c r="DU9" s="667" t="s">
        <v>415</v>
      </c>
      <c r="DV9" s="667" t="s">
        <v>1188</v>
      </c>
      <c r="DW9" s="667" t="s">
        <v>1134</v>
      </c>
      <c r="DX9" s="667" t="s">
        <v>1134</v>
      </c>
      <c r="DY9" s="669" t="s">
        <v>1254</v>
      </c>
      <c r="DZ9" s="667" t="s">
        <v>1134</v>
      </c>
      <c r="EA9" s="670" t="s">
        <v>501</v>
      </c>
      <c r="EB9" s="667" t="s">
        <v>1135</v>
      </c>
      <c r="EC9" s="667" t="s">
        <v>1134</v>
      </c>
      <c r="ED9" s="667" t="s">
        <v>1136</v>
      </c>
      <c r="EE9" s="1077"/>
    </row>
    <row r="10" spans="1:135" x14ac:dyDescent="0.2">
      <c r="A10" s="225" t="s">
        <v>115</v>
      </c>
      <c r="B10" s="632">
        <v>3</v>
      </c>
      <c r="C10" s="770">
        <v>0</v>
      </c>
      <c r="D10" s="830">
        <v>0</v>
      </c>
      <c r="E10" s="830">
        <v>0</v>
      </c>
      <c r="F10" s="866">
        <v>0</v>
      </c>
      <c r="G10" s="830">
        <v>0</v>
      </c>
      <c r="H10" s="830">
        <v>0</v>
      </c>
      <c r="I10" s="828">
        <f t="shared" si="0"/>
        <v>0</v>
      </c>
      <c r="J10" s="832">
        <v>0</v>
      </c>
      <c r="K10" s="832">
        <v>0</v>
      </c>
      <c r="L10" s="830">
        <v>0</v>
      </c>
      <c r="M10" s="802">
        <v>0</v>
      </c>
      <c r="N10" s="832">
        <v>0</v>
      </c>
      <c r="O10" s="833">
        <v>0</v>
      </c>
      <c r="P10" s="832">
        <v>0</v>
      </c>
      <c r="Q10" s="832">
        <v>0</v>
      </c>
      <c r="R10" s="781">
        <v>0</v>
      </c>
      <c r="S10" s="830">
        <v>0</v>
      </c>
      <c r="T10" s="830">
        <v>0</v>
      </c>
      <c r="U10" s="834">
        <v>0</v>
      </c>
      <c r="V10" s="832">
        <v>0</v>
      </c>
      <c r="W10" s="831">
        <v>0</v>
      </c>
      <c r="X10" s="783">
        <v>0</v>
      </c>
      <c r="Y10" s="830">
        <v>0</v>
      </c>
      <c r="Z10" s="833">
        <v>0</v>
      </c>
      <c r="AA10" s="802">
        <v>0</v>
      </c>
      <c r="AB10" s="835">
        <v>0</v>
      </c>
      <c r="AC10" s="1094">
        <v>0</v>
      </c>
      <c r="AD10" s="833">
        <v>0</v>
      </c>
      <c r="AE10" s="836">
        <v>0</v>
      </c>
      <c r="AF10" s="836">
        <v>0</v>
      </c>
      <c r="AG10" s="827">
        <f t="shared" si="1"/>
        <v>0</v>
      </c>
      <c r="AH10" s="827">
        <f t="shared" si="2"/>
        <v>0</v>
      </c>
      <c r="AI10" s="466">
        <f t="shared" si="3"/>
        <v>0</v>
      </c>
      <c r="AJ10" s="467" t="str">
        <f t="shared" si="4"/>
        <v xml:space="preserve"> </v>
      </c>
      <c r="AS10" s="139" t="s">
        <v>232</v>
      </c>
      <c r="AT10" s="139" t="s">
        <v>231</v>
      </c>
      <c r="DS10" s="668"/>
      <c r="DT10" s="668"/>
      <c r="DU10" s="667" t="s">
        <v>415</v>
      </c>
      <c r="DV10" s="667" t="s">
        <v>1188</v>
      </c>
      <c r="DW10" s="667" t="s">
        <v>1134</v>
      </c>
      <c r="DX10" s="667" t="s">
        <v>1134</v>
      </c>
      <c r="DY10" s="669" t="s">
        <v>1254</v>
      </c>
      <c r="DZ10" s="667" t="s">
        <v>1134</v>
      </c>
      <c r="EA10" s="670" t="s">
        <v>232</v>
      </c>
      <c r="EB10" s="667" t="s">
        <v>1135</v>
      </c>
      <c r="EC10" s="667" t="s">
        <v>1134</v>
      </c>
      <c r="ED10" s="667" t="s">
        <v>1136</v>
      </c>
    </row>
    <row r="11" spans="1:135" x14ac:dyDescent="0.2">
      <c r="A11" s="225" t="s">
        <v>15</v>
      </c>
      <c r="B11" s="632">
        <v>4</v>
      </c>
      <c r="C11" s="770">
        <v>0</v>
      </c>
      <c r="D11" s="830">
        <v>0</v>
      </c>
      <c r="E11" s="830">
        <v>0</v>
      </c>
      <c r="F11" s="866">
        <v>0</v>
      </c>
      <c r="G11" s="830">
        <v>0</v>
      </c>
      <c r="H11" s="830">
        <v>0</v>
      </c>
      <c r="I11" s="828">
        <f t="shared" si="0"/>
        <v>0</v>
      </c>
      <c r="J11" s="832">
        <v>0</v>
      </c>
      <c r="K11" s="832">
        <v>0</v>
      </c>
      <c r="L11" s="830">
        <v>0</v>
      </c>
      <c r="M11" s="802">
        <v>0</v>
      </c>
      <c r="N11" s="832">
        <v>0</v>
      </c>
      <c r="O11" s="833">
        <v>0</v>
      </c>
      <c r="P11" s="832">
        <v>0</v>
      </c>
      <c r="Q11" s="832">
        <v>0</v>
      </c>
      <c r="R11" s="781">
        <v>0</v>
      </c>
      <c r="S11" s="830">
        <v>0</v>
      </c>
      <c r="T11" s="830">
        <v>0</v>
      </c>
      <c r="U11" s="834">
        <v>0</v>
      </c>
      <c r="V11" s="832">
        <v>0</v>
      </c>
      <c r="W11" s="831">
        <v>0</v>
      </c>
      <c r="X11" s="783">
        <v>0</v>
      </c>
      <c r="Y11" s="830">
        <v>0</v>
      </c>
      <c r="Z11" s="833">
        <v>0</v>
      </c>
      <c r="AA11" s="802">
        <v>0</v>
      </c>
      <c r="AB11" s="835">
        <v>0</v>
      </c>
      <c r="AC11" s="1094">
        <v>0</v>
      </c>
      <c r="AD11" s="833">
        <v>0</v>
      </c>
      <c r="AE11" s="836">
        <v>0</v>
      </c>
      <c r="AF11" s="836">
        <v>0</v>
      </c>
      <c r="AG11" s="827">
        <f t="shared" si="1"/>
        <v>0</v>
      </c>
      <c r="AH11" s="827">
        <f t="shared" si="2"/>
        <v>0</v>
      </c>
      <c r="AI11" s="466">
        <f t="shared" si="3"/>
        <v>0</v>
      </c>
      <c r="AJ11" s="467" t="str">
        <f t="shared" si="4"/>
        <v xml:space="preserve"> </v>
      </c>
      <c r="AS11" s="139" t="s">
        <v>234</v>
      </c>
      <c r="AT11" s="139" t="s">
        <v>233</v>
      </c>
      <c r="DS11" s="648"/>
      <c r="DT11" s="648"/>
      <c r="DU11" s="667" t="s">
        <v>415</v>
      </c>
      <c r="DV11" s="667" t="s">
        <v>1188</v>
      </c>
      <c r="DW11" s="667" t="s">
        <v>1134</v>
      </c>
      <c r="DX11" s="667" t="s">
        <v>1134</v>
      </c>
      <c r="DY11" s="669" t="s">
        <v>1254</v>
      </c>
      <c r="DZ11" s="667" t="s">
        <v>1134</v>
      </c>
      <c r="EA11" s="670" t="s">
        <v>234</v>
      </c>
      <c r="EB11" s="667" t="s">
        <v>1135</v>
      </c>
      <c r="EC11" s="667" t="s">
        <v>1134</v>
      </c>
      <c r="ED11" s="667" t="s">
        <v>1136</v>
      </c>
    </row>
    <row r="12" spans="1:135" x14ac:dyDescent="0.2">
      <c r="A12" s="225" t="s">
        <v>556</v>
      </c>
      <c r="B12" s="632">
        <v>5</v>
      </c>
      <c r="C12" s="770">
        <v>0</v>
      </c>
      <c r="D12" s="830">
        <v>0</v>
      </c>
      <c r="E12" s="830">
        <v>0</v>
      </c>
      <c r="F12" s="866">
        <v>0</v>
      </c>
      <c r="G12" s="830">
        <v>0</v>
      </c>
      <c r="H12" s="830">
        <v>0</v>
      </c>
      <c r="I12" s="828">
        <f t="shared" si="0"/>
        <v>0</v>
      </c>
      <c r="J12" s="832">
        <v>0</v>
      </c>
      <c r="K12" s="832">
        <v>0</v>
      </c>
      <c r="L12" s="830">
        <v>0</v>
      </c>
      <c r="M12" s="802">
        <v>0</v>
      </c>
      <c r="N12" s="832">
        <v>0</v>
      </c>
      <c r="O12" s="833">
        <v>0</v>
      </c>
      <c r="P12" s="832">
        <v>0</v>
      </c>
      <c r="Q12" s="832">
        <v>0</v>
      </c>
      <c r="R12" s="781">
        <v>0</v>
      </c>
      <c r="S12" s="830">
        <v>0</v>
      </c>
      <c r="T12" s="830">
        <v>0</v>
      </c>
      <c r="U12" s="834">
        <v>0</v>
      </c>
      <c r="V12" s="832">
        <v>0</v>
      </c>
      <c r="W12" s="831">
        <v>0</v>
      </c>
      <c r="X12" s="783">
        <v>0</v>
      </c>
      <c r="Y12" s="830">
        <v>0</v>
      </c>
      <c r="Z12" s="833">
        <v>0</v>
      </c>
      <c r="AA12" s="802">
        <v>0</v>
      </c>
      <c r="AB12" s="835">
        <v>0</v>
      </c>
      <c r="AC12" s="1094">
        <v>0</v>
      </c>
      <c r="AD12" s="833">
        <v>0</v>
      </c>
      <c r="AE12" s="836">
        <v>0</v>
      </c>
      <c r="AF12" s="836">
        <v>0</v>
      </c>
      <c r="AG12" s="827">
        <f t="shared" si="1"/>
        <v>0</v>
      </c>
      <c r="AH12" s="827">
        <f t="shared" si="2"/>
        <v>0</v>
      </c>
      <c r="AI12" s="466">
        <f t="shared" si="3"/>
        <v>0</v>
      </c>
      <c r="AJ12" s="467" t="str">
        <f t="shared" si="4"/>
        <v xml:space="preserve"> </v>
      </c>
      <c r="AS12" s="130" t="s">
        <v>505</v>
      </c>
      <c r="AT12" s="130" t="s">
        <v>506</v>
      </c>
      <c r="DS12" s="648"/>
      <c r="DT12" s="648"/>
      <c r="DU12" s="667" t="s">
        <v>415</v>
      </c>
      <c r="DV12" s="667" t="s">
        <v>1188</v>
      </c>
      <c r="DW12" s="667" t="s">
        <v>1134</v>
      </c>
      <c r="DX12" s="667" t="s">
        <v>1134</v>
      </c>
      <c r="DY12" s="669" t="s">
        <v>1254</v>
      </c>
      <c r="DZ12" s="667" t="s">
        <v>1134</v>
      </c>
      <c r="EA12" s="670" t="s">
        <v>505</v>
      </c>
      <c r="EB12" s="667" t="s">
        <v>1135</v>
      </c>
      <c r="EC12" s="667" t="s">
        <v>1134</v>
      </c>
      <c r="ED12" s="667" t="s">
        <v>1136</v>
      </c>
    </row>
    <row r="13" spans="1:135" x14ac:dyDescent="0.2">
      <c r="A13" s="225" t="s">
        <v>116</v>
      </c>
      <c r="B13" s="632">
        <v>6</v>
      </c>
      <c r="C13" s="770">
        <v>30</v>
      </c>
      <c r="D13" s="830">
        <v>0</v>
      </c>
      <c r="E13" s="830">
        <v>0</v>
      </c>
      <c r="F13" s="866">
        <v>0</v>
      </c>
      <c r="G13" s="830">
        <v>0</v>
      </c>
      <c r="H13" s="830">
        <v>0</v>
      </c>
      <c r="I13" s="828">
        <f t="shared" si="0"/>
        <v>30</v>
      </c>
      <c r="J13" s="832">
        <v>0</v>
      </c>
      <c r="K13" s="832">
        <v>0</v>
      </c>
      <c r="L13" s="830">
        <v>0</v>
      </c>
      <c r="M13" s="802">
        <v>26</v>
      </c>
      <c r="N13" s="832">
        <v>0</v>
      </c>
      <c r="O13" s="833">
        <v>26</v>
      </c>
      <c r="P13" s="832">
        <v>0</v>
      </c>
      <c r="Q13" s="832">
        <v>0</v>
      </c>
      <c r="R13" s="781">
        <v>0</v>
      </c>
      <c r="S13" s="830">
        <v>0</v>
      </c>
      <c r="T13" s="830">
        <v>0</v>
      </c>
      <c r="U13" s="834">
        <v>0</v>
      </c>
      <c r="V13" s="832">
        <v>19</v>
      </c>
      <c r="W13" s="831">
        <v>0</v>
      </c>
      <c r="X13" s="783">
        <v>19</v>
      </c>
      <c r="Y13" s="830">
        <v>0</v>
      </c>
      <c r="Z13" s="833">
        <v>19</v>
      </c>
      <c r="AA13" s="802">
        <v>2</v>
      </c>
      <c r="AB13" s="835">
        <v>2</v>
      </c>
      <c r="AC13" s="1094">
        <v>0</v>
      </c>
      <c r="AD13" s="833">
        <v>0</v>
      </c>
      <c r="AE13" s="836">
        <v>0</v>
      </c>
      <c r="AF13" s="836">
        <v>0</v>
      </c>
      <c r="AG13" s="827">
        <f t="shared" si="1"/>
        <v>47</v>
      </c>
      <c r="AH13" s="827">
        <f t="shared" si="2"/>
        <v>77</v>
      </c>
      <c r="AI13" s="466">
        <f t="shared" si="3"/>
        <v>0</v>
      </c>
      <c r="AJ13" s="467" t="str">
        <f t="shared" si="4"/>
        <v xml:space="preserve"> </v>
      </c>
      <c r="AS13" s="139" t="s">
        <v>236</v>
      </c>
      <c r="AT13" s="139" t="s">
        <v>235</v>
      </c>
      <c r="DS13" s="648"/>
      <c r="DT13" s="648"/>
      <c r="DU13" s="667" t="s">
        <v>415</v>
      </c>
      <c r="DV13" s="667" t="s">
        <v>1188</v>
      </c>
      <c r="DW13" s="667" t="s">
        <v>1134</v>
      </c>
      <c r="DX13" s="667" t="s">
        <v>1134</v>
      </c>
      <c r="DY13" s="669" t="s">
        <v>1254</v>
      </c>
      <c r="DZ13" s="667" t="s">
        <v>1134</v>
      </c>
      <c r="EA13" s="670" t="s">
        <v>236</v>
      </c>
      <c r="EB13" s="667" t="s">
        <v>1135</v>
      </c>
      <c r="EC13" s="667" t="s">
        <v>1134</v>
      </c>
      <c r="ED13" s="667" t="s">
        <v>1136</v>
      </c>
    </row>
    <row r="14" spans="1:135" x14ac:dyDescent="0.2">
      <c r="A14" s="225" t="s">
        <v>595</v>
      </c>
      <c r="B14" s="632">
        <v>7</v>
      </c>
      <c r="C14" s="770">
        <v>0</v>
      </c>
      <c r="D14" s="830">
        <v>0</v>
      </c>
      <c r="E14" s="830">
        <v>0</v>
      </c>
      <c r="F14" s="866">
        <v>0</v>
      </c>
      <c r="G14" s="830">
        <v>0</v>
      </c>
      <c r="H14" s="830">
        <v>0</v>
      </c>
      <c r="I14" s="828">
        <f t="shared" si="0"/>
        <v>0</v>
      </c>
      <c r="J14" s="832">
        <v>0</v>
      </c>
      <c r="K14" s="832">
        <v>0</v>
      </c>
      <c r="L14" s="830">
        <v>0</v>
      </c>
      <c r="M14" s="802">
        <v>0</v>
      </c>
      <c r="N14" s="832">
        <v>0</v>
      </c>
      <c r="O14" s="833">
        <v>0</v>
      </c>
      <c r="P14" s="832">
        <v>0</v>
      </c>
      <c r="Q14" s="832">
        <v>0</v>
      </c>
      <c r="R14" s="781">
        <v>0</v>
      </c>
      <c r="S14" s="830">
        <v>0</v>
      </c>
      <c r="T14" s="830">
        <v>0</v>
      </c>
      <c r="U14" s="834">
        <v>0</v>
      </c>
      <c r="V14" s="832">
        <v>0</v>
      </c>
      <c r="W14" s="831">
        <v>0</v>
      </c>
      <c r="X14" s="783">
        <v>0</v>
      </c>
      <c r="Y14" s="830">
        <v>0</v>
      </c>
      <c r="Z14" s="833">
        <v>0</v>
      </c>
      <c r="AA14" s="802">
        <v>0</v>
      </c>
      <c r="AB14" s="835">
        <v>0</v>
      </c>
      <c r="AC14" s="1094">
        <v>0</v>
      </c>
      <c r="AD14" s="833">
        <v>0</v>
      </c>
      <c r="AE14" s="836">
        <v>0</v>
      </c>
      <c r="AF14" s="836">
        <v>0</v>
      </c>
      <c r="AG14" s="827">
        <f t="shared" si="1"/>
        <v>0</v>
      </c>
      <c r="AH14" s="827">
        <f t="shared" si="2"/>
        <v>0</v>
      </c>
      <c r="AI14" s="466">
        <f t="shared" si="3"/>
        <v>0</v>
      </c>
      <c r="AJ14" s="467" t="str">
        <f t="shared" si="4"/>
        <v xml:space="preserve"> </v>
      </c>
      <c r="AS14" s="139" t="s">
        <v>537</v>
      </c>
      <c r="AT14" s="139" t="s">
        <v>538</v>
      </c>
      <c r="DS14" s="648"/>
      <c r="DT14" s="648"/>
      <c r="DU14" s="667" t="s">
        <v>415</v>
      </c>
      <c r="DV14" s="667" t="s">
        <v>1188</v>
      </c>
      <c r="DW14" s="667" t="s">
        <v>1134</v>
      </c>
      <c r="DX14" s="667" t="s">
        <v>1134</v>
      </c>
      <c r="DY14" s="669" t="s">
        <v>1254</v>
      </c>
      <c r="DZ14" s="667" t="s">
        <v>1134</v>
      </c>
      <c r="EA14" s="670" t="s">
        <v>537</v>
      </c>
      <c r="EB14" s="667" t="s">
        <v>1135</v>
      </c>
      <c r="EC14" s="667" t="s">
        <v>1134</v>
      </c>
      <c r="ED14" s="667" t="s">
        <v>1136</v>
      </c>
    </row>
    <row r="15" spans="1:135" x14ac:dyDescent="0.2">
      <c r="A15" s="225" t="s">
        <v>20</v>
      </c>
      <c r="B15" s="632">
        <v>8</v>
      </c>
      <c r="C15" s="770">
        <v>0</v>
      </c>
      <c r="D15" s="830">
        <v>0</v>
      </c>
      <c r="E15" s="830">
        <v>0</v>
      </c>
      <c r="F15" s="866">
        <v>0</v>
      </c>
      <c r="G15" s="830">
        <v>0</v>
      </c>
      <c r="H15" s="830">
        <v>0</v>
      </c>
      <c r="I15" s="828">
        <f t="shared" si="0"/>
        <v>0</v>
      </c>
      <c r="J15" s="832">
        <v>0</v>
      </c>
      <c r="K15" s="832">
        <v>0</v>
      </c>
      <c r="L15" s="830">
        <v>0</v>
      </c>
      <c r="M15" s="802">
        <v>0</v>
      </c>
      <c r="N15" s="832">
        <v>0</v>
      </c>
      <c r="O15" s="833">
        <v>0</v>
      </c>
      <c r="P15" s="832">
        <v>0</v>
      </c>
      <c r="Q15" s="832">
        <v>0</v>
      </c>
      <c r="R15" s="781">
        <v>0</v>
      </c>
      <c r="S15" s="830">
        <v>0</v>
      </c>
      <c r="T15" s="830">
        <v>0</v>
      </c>
      <c r="U15" s="834">
        <v>0</v>
      </c>
      <c r="V15" s="832">
        <v>0</v>
      </c>
      <c r="W15" s="831">
        <v>0</v>
      </c>
      <c r="X15" s="783">
        <v>0</v>
      </c>
      <c r="Y15" s="830">
        <v>0</v>
      </c>
      <c r="Z15" s="833">
        <v>0</v>
      </c>
      <c r="AA15" s="802">
        <v>0</v>
      </c>
      <c r="AB15" s="835">
        <v>0</v>
      </c>
      <c r="AC15" s="1094">
        <v>0</v>
      </c>
      <c r="AD15" s="833">
        <v>0</v>
      </c>
      <c r="AE15" s="836">
        <v>0</v>
      </c>
      <c r="AF15" s="836">
        <v>0</v>
      </c>
      <c r="AG15" s="827">
        <f t="shared" si="1"/>
        <v>0</v>
      </c>
      <c r="AH15" s="827">
        <f t="shared" si="2"/>
        <v>0</v>
      </c>
      <c r="AI15" s="466">
        <f t="shared" si="3"/>
        <v>0</v>
      </c>
      <c r="AJ15" s="467" t="str">
        <f t="shared" si="4"/>
        <v xml:space="preserve"> </v>
      </c>
      <c r="AS15" s="139" t="s">
        <v>433</v>
      </c>
      <c r="AT15" s="139" t="s">
        <v>434</v>
      </c>
      <c r="DS15" s="648"/>
      <c r="DT15" s="648"/>
      <c r="DU15" s="667" t="s">
        <v>415</v>
      </c>
      <c r="DV15" s="667" t="s">
        <v>1188</v>
      </c>
      <c r="DW15" s="667" t="s">
        <v>1134</v>
      </c>
      <c r="DX15" s="667" t="s">
        <v>1134</v>
      </c>
      <c r="DY15" s="669" t="s">
        <v>1254</v>
      </c>
      <c r="DZ15" s="667" t="s">
        <v>1134</v>
      </c>
      <c r="EA15" s="670" t="s">
        <v>433</v>
      </c>
      <c r="EB15" s="667" t="s">
        <v>1135</v>
      </c>
      <c r="EC15" s="667" t="s">
        <v>1134</v>
      </c>
      <c r="ED15" s="667" t="s">
        <v>1136</v>
      </c>
    </row>
    <row r="16" spans="1:135" x14ac:dyDescent="0.2">
      <c r="A16" s="225" t="s">
        <v>117</v>
      </c>
      <c r="B16" s="632">
        <v>9</v>
      </c>
      <c r="C16" s="770">
        <v>0</v>
      </c>
      <c r="D16" s="830">
        <v>0</v>
      </c>
      <c r="E16" s="830">
        <v>0</v>
      </c>
      <c r="F16" s="866">
        <v>0</v>
      </c>
      <c r="G16" s="830">
        <v>0</v>
      </c>
      <c r="H16" s="830">
        <v>0</v>
      </c>
      <c r="I16" s="828">
        <f t="shared" si="0"/>
        <v>0</v>
      </c>
      <c r="J16" s="832">
        <v>0</v>
      </c>
      <c r="K16" s="832">
        <v>0</v>
      </c>
      <c r="L16" s="830">
        <v>0</v>
      </c>
      <c r="M16" s="802">
        <v>0</v>
      </c>
      <c r="N16" s="832">
        <v>0</v>
      </c>
      <c r="O16" s="833">
        <v>0</v>
      </c>
      <c r="P16" s="832">
        <v>0</v>
      </c>
      <c r="Q16" s="832">
        <v>0</v>
      </c>
      <c r="R16" s="781">
        <v>0</v>
      </c>
      <c r="S16" s="830">
        <v>0</v>
      </c>
      <c r="T16" s="830">
        <v>0</v>
      </c>
      <c r="U16" s="834">
        <v>0</v>
      </c>
      <c r="V16" s="832">
        <v>0</v>
      </c>
      <c r="W16" s="831">
        <v>0</v>
      </c>
      <c r="X16" s="783">
        <v>0</v>
      </c>
      <c r="Y16" s="830">
        <v>0</v>
      </c>
      <c r="Z16" s="833">
        <v>0</v>
      </c>
      <c r="AA16" s="802">
        <v>0</v>
      </c>
      <c r="AB16" s="835">
        <v>0</v>
      </c>
      <c r="AC16" s="1094">
        <v>0</v>
      </c>
      <c r="AD16" s="833">
        <v>0</v>
      </c>
      <c r="AE16" s="836">
        <v>0</v>
      </c>
      <c r="AF16" s="836">
        <v>0</v>
      </c>
      <c r="AG16" s="827">
        <f t="shared" si="1"/>
        <v>0</v>
      </c>
      <c r="AH16" s="827">
        <f t="shared" si="2"/>
        <v>0</v>
      </c>
      <c r="AI16" s="466">
        <f t="shared" si="3"/>
        <v>0</v>
      </c>
      <c r="AJ16" s="467" t="str">
        <f t="shared" si="4"/>
        <v xml:space="preserve"> </v>
      </c>
      <c r="AS16" s="139" t="s">
        <v>238</v>
      </c>
      <c r="AT16" s="139" t="s">
        <v>237</v>
      </c>
      <c r="DS16" s="648"/>
      <c r="DT16" s="648"/>
      <c r="DU16" s="667" t="s">
        <v>415</v>
      </c>
      <c r="DV16" s="667" t="s">
        <v>1188</v>
      </c>
      <c r="DW16" s="667" t="s">
        <v>1134</v>
      </c>
      <c r="DX16" s="667" t="s">
        <v>1134</v>
      </c>
      <c r="DY16" s="669" t="s">
        <v>1254</v>
      </c>
      <c r="DZ16" s="667" t="s">
        <v>1134</v>
      </c>
      <c r="EA16" s="670" t="s">
        <v>238</v>
      </c>
      <c r="EB16" s="667" t="s">
        <v>1135</v>
      </c>
      <c r="EC16" s="667" t="s">
        <v>1134</v>
      </c>
      <c r="ED16" s="667" t="s">
        <v>1136</v>
      </c>
    </row>
    <row r="17" spans="1:134" x14ac:dyDescent="0.2">
      <c r="A17" s="225" t="s">
        <v>613</v>
      </c>
      <c r="B17" s="632">
        <v>10</v>
      </c>
      <c r="C17" s="770">
        <v>0</v>
      </c>
      <c r="D17" s="830">
        <v>0</v>
      </c>
      <c r="E17" s="830">
        <v>0</v>
      </c>
      <c r="F17" s="866">
        <v>0</v>
      </c>
      <c r="G17" s="830">
        <v>0</v>
      </c>
      <c r="H17" s="830">
        <v>0</v>
      </c>
      <c r="I17" s="828">
        <f t="shared" si="0"/>
        <v>0</v>
      </c>
      <c r="J17" s="832">
        <v>0</v>
      </c>
      <c r="K17" s="832">
        <v>0</v>
      </c>
      <c r="L17" s="830">
        <v>0</v>
      </c>
      <c r="M17" s="802">
        <v>0</v>
      </c>
      <c r="N17" s="832">
        <v>0</v>
      </c>
      <c r="O17" s="833">
        <v>0</v>
      </c>
      <c r="P17" s="832">
        <v>0</v>
      </c>
      <c r="Q17" s="832">
        <v>0</v>
      </c>
      <c r="R17" s="781">
        <v>0</v>
      </c>
      <c r="S17" s="830">
        <v>0</v>
      </c>
      <c r="T17" s="830">
        <v>0</v>
      </c>
      <c r="U17" s="834">
        <v>0</v>
      </c>
      <c r="V17" s="832">
        <v>0</v>
      </c>
      <c r="W17" s="831">
        <v>0</v>
      </c>
      <c r="X17" s="783">
        <v>0</v>
      </c>
      <c r="Y17" s="830">
        <v>0</v>
      </c>
      <c r="Z17" s="833">
        <v>0</v>
      </c>
      <c r="AA17" s="802">
        <v>0</v>
      </c>
      <c r="AB17" s="835">
        <v>0</v>
      </c>
      <c r="AC17" s="1094">
        <v>0</v>
      </c>
      <c r="AD17" s="833">
        <v>0</v>
      </c>
      <c r="AE17" s="836">
        <v>0</v>
      </c>
      <c r="AF17" s="836">
        <v>0</v>
      </c>
      <c r="AG17" s="827">
        <f t="shared" si="1"/>
        <v>0</v>
      </c>
      <c r="AH17" s="827">
        <f t="shared" si="2"/>
        <v>0</v>
      </c>
      <c r="AI17" s="466">
        <f t="shared" si="3"/>
        <v>0</v>
      </c>
      <c r="AJ17" s="467" t="str">
        <f t="shared" si="4"/>
        <v xml:space="preserve"> </v>
      </c>
      <c r="AS17" s="139" t="s">
        <v>617</v>
      </c>
      <c r="AT17" s="139" t="s">
        <v>618</v>
      </c>
      <c r="DS17" s="648"/>
      <c r="DT17" s="648"/>
      <c r="DU17" s="667" t="s">
        <v>415</v>
      </c>
      <c r="DV17" s="667" t="s">
        <v>1188</v>
      </c>
      <c r="DW17" s="667" t="s">
        <v>1134</v>
      </c>
      <c r="DX17" s="667" t="s">
        <v>1134</v>
      </c>
      <c r="DY17" s="669" t="s">
        <v>1254</v>
      </c>
      <c r="DZ17" s="667" t="s">
        <v>1134</v>
      </c>
      <c r="EA17" s="670" t="s">
        <v>617</v>
      </c>
      <c r="EB17" s="667" t="s">
        <v>1135</v>
      </c>
      <c r="EC17" s="667" t="s">
        <v>1134</v>
      </c>
      <c r="ED17" s="667" t="s">
        <v>1136</v>
      </c>
    </row>
    <row r="18" spans="1:134" x14ac:dyDescent="0.2">
      <c r="A18" s="225" t="s">
        <v>23</v>
      </c>
      <c r="B18" s="632">
        <v>11</v>
      </c>
      <c r="C18" s="770">
        <v>0</v>
      </c>
      <c r="D18" s="830">
        <v>0</v>
      </c>
      <c r="E18" s="830">
        <v>0</v>
      </c>
      <c r="F18" s="866">
        <v>0</v>
      </c>
      <c r="G18" s="830">
        <v>0</v>
      </c>
      <c r="H18" s="830">
        <v>0</v>
      </c>
      <c r="I18" s="828">
        <f t="shared" si="0"/>
        <v>0</v>
      </c>
      <c r="J18" s="832">
        <v>0</v>
      </c>
      <c r="K18" s="832">
        <v>0</v>
      </c>
      <c r="L18" s="830">
        <v>0</v>
      </c>
      <c r="M18" s="802">
        <v>0</v>
      </c>
      <c r="N18" s="832">
        <v>0</v>
      </c>
      <c r="O18" s="833">
        <v>0</v>
      </c>
      <c r="P18" s="832">
        <v>0</v>
      </c>
      <c r="Q18" s="832">
        <v>0</v>
      </c>
      <c r="R18" s="781">
        <v>0</v>
      </c>
      <c r="S18" s="830">
        <v>0</v>
      </c>
      <c r="T18" s="830">
        <v>0</v>
      </c>
      <c r="U18" s="834">
        <v>0</v>
      </c>
      <c r="V18" s="832">
        <v>0</v>
      </c>
      <c r="W18" s="831">
        <v>0</v>
      </c>
      <c r="X18" s="783">
        <v>0</v>
      </c>
      <c r="Y18" s="830">
        <v>0</v>
      </c>
      <c r="Z18" s="833">
        <v>0</v>
      </c>
      <c r="AA18" s="802">
        <v>0</v>
      </c>
      <c r="AB18" s="835">
        <v>0</v>
      </c>
      <c r="AC18" s="1094">
        <v>0</v>
      </c>
      <c r="AD18" s="833">
        <v>0</v>
      </c>
      <c r="AE18" s="836">
        <v>0</v>
      </c>
      <c r="AF18" s="836">
        <v>0</v>
      </c>
      <c r="AG18" s="827">
        <f t="shared" si="1"/>
        <v>0</v>
      </c>
      <c r="AH18" s="827">
        <f t="shared" si="2"/>
        <v>0</v>
      </c>
      <c r="AI18" s="466">
        <f t="shared" si="3"/>
        <v>0</v>
      </c>
      <c r="AJ18" s="467" t="str">
        <f t="shared" si="4"/>
        <v xml:space="preserve"> </v>
      </c>
      <c r="AS18" s="130" t="s">
        <v>439</v>
      </c>
      <c r="AT18" s="130" t="s">
        <v>440</v>
      </c>
      <c r="DS18" s="648"/>
      <c r="DT18" s="648"/>
      <c r="DU18" s="667" t="s">
        <v>415</v>
      </c>
      <c r="DV18" s="667" t="s">
        <v>1188</v>
      </c>
      <c r="DW18" s="667" t="s">
        <v>1134</v>
      </c>
      <c r="DX18" s="667" t="s">
        <v>1134</v>
      </c>
      <c r="DY18" s="669" t="s">
        <v>1254</v>
      </c>
      <c r="DZ18" s="667" t="s">
        <v>1134</v>
      </c>
      <c r="EA18" s="670" t="s">
        <v>439</v>
      </c>
      <c r="EB18" s="667" t="s">
        <v>1135</v>
      </c>
      <c r="EC18" s="667" t="s">
        <v>1134</v>
      </c>
      <c r="ED18" s="667" t="s">
        <v>1136</v>
      </c>
    </row>
    <row r="19" spans="1:134" x14ac:dyDescent="0.2">
      <c r="A19" s="225" t="s">
        <v>964</v>
      </c>
      <c r="B19" s="632">
        <v>12</v>
      </c>
      <c r="C19" s="770">
        <v>0</v>
      </c>
      <c r="D19" s="830">
        <v>0</v>
      </c>
      <c r="E19" s="830">
        <v>0</v>
      </c>
      <c r="F19" s="866">
        <v>0</v>
      </c>
      <c r="G19" s="830">
        <v>0</v>
      </c>
      <c r="H19" s="830">
        <v>0</v>
      </c>
      <c r="I19" s="828">
        <f t="shared" si="0"/>
        <v>0</v>
      </c>
      <c r="J19" s="832">
        <v>0</v>
      </c>
      <c r="K19" s="832">
        <v>0</v>
      </c>
      <c r="L19" s="830">
        <v>0</v>
      </c>
      <c r="M19" s="802">
        <v>0</v>
      </c>
      <c r="N19" s="832">
        <v>0</v>
      </c>
      <c r="O19" s="833">
        <v>0</v>
      </c>
      <c r="P19" s="832">
        <v>0</v>
      </c>
      <c r="Q19" s="832">
        <v>0</v>
      </c>
      <c r="R19" s="781">
        <v>0</v>
      </c>
      <c r="S19" s="830">
        <v>0</v>
      </c>
      <c r="T19" s="830">
        <v>0</v>
      </c>
      <c r="U19" s="834">
        <v>0</v>
      </c>
      <c r="V19" s="832">
        <v>0</v>
      </c>
      <c r="W19" s="831">
        <v>0</v>
      </c>
      <c r="X19" s="783">
        <v>0</v>
      </c>
      <c r="Y19" s="830">
        <v>0</v>
      </c>
      <c r="Z19" s="833">
        <v>0</v>
      </c>
      <c r="AA19" s="802">
        <v>0</v>
      </c>
      <c r="AB19" s="835">
        <v>0</v>
      </c>
      <c r="AC19" s="1094">
        <v>0</v>
      </c>
      <c r="AD19" s="833">
        <v>0</v>
      </c>
      <c r="AE19" s="836">
        <v>0</v>
      </c>
      <c r="AF19" s="836">
        <v>0</v>
      </c>
      <c r="AG19" s="827">
        <f t="shared" si="1"/>
        <v>0</v>
      </c>
      <c r="AH19" s="827">
        <f t="shared" si="2"/>
        <v>0</v>
      </c>
      <c r="AI19" s="466">
        <f t="shared" si="3"/>
        <v>0</v>
      </c>
      <c r="AJ19" s="467" t="str">
        <f t="shared" si="4"/>
        <v xml:space="preserve"> </v>
      </c>
      <c r="AS19" s="130" t="s">
        <v>1034</v>
      </c>
      <c r="AT19" s="130" t="s">
        <v>1035</v>
      </c>
      <c r="DS19" s="648"/>
      <c r="DT19" s="648"/>
      <c r="DU19" s="667" t="s">
        <v>415</v>
      </c>
      <c r="DV19" s="667" t="s">
        <v>1188</v>
      </c>
      <c r="DW19" s="667" t="s">
        <v>1134</v>
      </c>
      <c r="DX19" s="667" t="s">
        <v>1134</v>
      </c>
      <c r="DY19" s="669" t="s">
        <v>1254</v>
      </c>
      <c r="DZ19" s="667" t="s">
        <v>1134</v>
      </c>
      <c r="EA19" s="670" t="s">
        <v>1034</v>
      </c>
      <c r="EB19" s="667" t="s">
        <v>1135</v>
      </c>
      <c r="EC19" s="667" t="s">
        <v>1134</v>
      </c>
      <c r="ED19" s="667" t="s">
        <v>1136</v>
      </c>
    </row>
    <row r="20" spans="1:134" x14ac:dyDescent="0.2">
      <c r="A20" s="225" t="s">
        <v>567</v>
      </c>
      <c r="B20" s="632">
        <v>13</v>
      </c>
      <c r="C20" s="770">
        <v>0</v>
      </c>
      <c r="D20" s="830">
        <v>0</v>
      </c>
      <c r="E20" s="830">
        <v>0</v>
      </c>
      <c r="F20" s="866">
        <v>0</v>
      </c>
      <c r="G20" s="830">
        <v>0</v>
      </c>
      <c r="H20" s="830">
        <v>0</v>
      </c>
      <c r="I20" s="828">
        <f t="shared" si="0"/>
        <v>0</v>
      </c>
      <c r="J20" s="832">
        <v>0</v>
      </c>
      <c r="K20" s="832">
        <v>0</v>
      </c>
      <c r="L20" s="830">
        <v>0</v>
      </c>
      <c r="M20" s="802">
        <v>0</v>
      </c>
      <c r="N20" s="832">
        <v>0</v>
      </c>
      <c r="O20" s="833">
        <v>0</v>
      </c>
      <c r="P20" s="832">
        <v>0</v>
      </c>
      <c r="Q20" s="832">
        <v>0</v>
      </c>
      <c r="R20" s="781">
        <v>0</v>
      </c>
      <c r="S20" s="830">
        <v>0</v>
      </c>
      <c r="T20" s="830">
        <v>0</v>
      </c>
      <c r="U20" s="834">
        <v>0</v>
      </c>
      <c r="V20" s="832">
        <v>0</v>
      </c>
      <c r="W20" s="831">
        <v>0</v>
      </c>
      <c r="X20" s="783">
        <v>0</v>
      </c>
      <c r="Y20" s="830">
        <v>0</v>
      </c>
      <c r="Z20" s="833">
        <v>0</v>
      </c>
      <c r="AA20" s="802">
        <v>0</v>
      </c>
      <c r="AB20" s="835">
        <v>0</v>
      </c>
      <c r="AC20" s="1094">
        <v>0</v>
      </c>
      <c r="AD20" s="833">
        <v>0</v>
      </c>
      <c r="AE20" s="836">
        <v>0</v>
      </c>
      <c r="AF20" s="836">
        <v>0</v>
      </c>
      <c r="AG20" s="827">
        <f t="shared" si="1"/>
        <v>0</v>
      </c>
      <c r="AH20" s="827">
        <f t="shared" si="2"/>
        <v>0</v>
      </c>
      <c r="AI20" s="466">
        <f t="shared" si="3"/>
        <v>0</v>
      </c>
      <c r="AJ20" s="467" t="str">
        <f t="shared" si="4"/>
        <v xml:space="preserve"> </v>
      </c>
      <c r="AS20" s="139" t="s">
        <v>539</v>
      </c>
      <c r="AT20" s="139" t="s">
        <v>540</v>
      </c>
      <c r="DS20" s="648"/>
      <c r="DT20" s="648"/>
      <c r="DU20" s="667" t="s">
        <v>415</v>
      </c>
      <c r="DV20" s="667" t="s">
        <v>1188</v>
      </c>
      <c r="DW20" s="667" t="s">
        <v>1134</v>
      </c>
      <c r="DX20" s="667" t="s">
        <v>1134</v>
      </c>
      <c r="DY20" s="669" t="s">
        <v>1254</v>
      </c>
      <c r="DZ20" s="667" t="s">
        <v>1134</v>
      </c>
      <c r="EA20" s="670" t="s">
        <v>539</v>
      </c>
      <c r="EB20" s="667" t="s">
        <v>1135</v>
      </c>
      <c r="EC20" s="667" t="s">
        <v>1134</v>
      </c>
      <c r="ED20" s="667" t="s">
        <v>1136</v>
      </c>
    </row>
    <row r="21" spans="1:134" x14ac:dyDescent="0.2">
      <c r="A21" s="225" t="s">
        <v>150</v>
      </c>
      <c r="B21" s="632">
        <v>14</v>
      </c>
      <c r="C21" s="770">
        <v>0</v>
      </c>
      <c r="D21" s="830">
        <v>0</v>
      </c>
      <c r="E21" s="830">
        <v>0</v>
      </c>
      <c r="F21" s="866">
        <v>0</v>
      </c>
      <c r="G21" s="830">
        <v>0</v>
      </c>
      <c r="H21" s="830">
        <v>0</v>
      </c>
      <c r="I21" s="828">
        <f t="shared" si="0"/>
        <v>0</v>
      </c>
      <c r="J21" s="832">
        <v>0</v>
      </c>
      <c r="K21" s="832">
        <v>0</v>
      </c>
      <c r="L21" s="830">
        <v>0</v>
      </c>
      <c r="M21" s="802">
        <v>0</v>
      </c>
      <c r="N21" s="832">
        <v>0</v>
      </c>
      <c r="O21" s="833">
        <v>0</v>
      </c>
      <c r="P21" s="832">
        <v>0</v>
      </c>
      <c r="Q21" s="832">
        <v>0</v>
      </c>
      <c r="R21" s="781">
        <v>0</v>
      </c>
      <c r="S21" s="830">
        <v>0</v>
      </c>
      <c r="T21" s="830">
        <v>0</v>
      </c>
      <c r="U21" s="834">
        <v>0</v>
      </c>
      <c r="V21" s="832">
        <v>0</v>
      </c>
      <c r="W21" s="831">
        <v>0</v>
      </c>
      <c r="X21" s="783">
        <v>0</v>
      </c>
      <c r="Y21" s="830">
        <v>0</v>
      </c>
      <c r="Z21" s="833">
        <v>0</v>
      </c>
      <c r="AA21" s="802">
        <v>0</v>
      </c>
      <c r="AB21" s="835">
        <v>0</v>
      </c>
      <c r="AC21" s="1094">
        <v>0</v>
      </c>
      <c r="AD21" s="833">
        <v>0</v>
      </c>
      <c r="AE21" s="836">
        <v>0</v>
      </c>
      <c r="AF21" s="836">
        <v>0</v>
      </c>
      <c r="AG21" s="827">
        <f t="shared" si="1"/>
        <v>0</v>
      </c>
      <c r="AH21" s="827">
        <f t="shared" si="2"/>
        <v>0</v>
      </c>
      <c r="AI21" s="466">
        <f t="shared" si="3"/>
        <v>0</v>
      </c>
      <c r="AJ21" s="467" t="str">
        <f t="shared" si="4"/>
        <v xml:space="preserve"> </v>
      </c>
      <c r="AS21" s="139" t="s">
        <v>445</v>
      </c>
      <c r="AT21" s="139" t="s">
        <v>446</v>
      </c>
      <c r="DS21" s="648"/>
      <c r="DT21" s="648"/>
      <c r="DU21" s="667" t="s">
        <v>415</v>
      </c>
      <c r="DV21" s="667" t="s">
        <v>1188</v>
      </c>
      <c r="DW21" s="667" t="s">
        <v>1134</v>
      </c>
      <c r="DX21" s="667" t="s">
        <v>1134</v>
      </c>
      <c r="DY21" s="669" t="s">
        <v>1254</v>
      </c>
      <c r="DZ21" s="667" t="s">
        <v>1134</v>
      </c>
      <c r="EA21" s="670" t="s">
        <v>445</v>
      </c>
      <c r="EB21" s="667" t="s">
        <v>1135</v>
      </c>
      <c r="EC21" s="667" t="s">
        <v>1134</v>
      </c>
      <c r="ED21" s="667" t="s">
        <v>1136</v>
      </c>
    </row>
    <row r="22" spans="1:134" x14ac:dyDescent="0.2">
      <c r="A22" s="225" t="s">
        <v>25</v>
      </c>
      <c r="B22" s="632">
        <v>15</v>
      </c>
      <c r="C22" s="770">
        <v>0</v>
      </c>
      <c r="D22" s="830">
        <v>0</v>
      </c>
      <c r="E22" s="830">
        <v>0</v>
      </c>
      <c r="F22" s="866">
        <v>0</v>
      </c>
      <c r="G22" s="830">
        <v>0</v>
      </c>
      <c r="H22" s="830">
        <v>0</v>
      </c>
      <c r="I22" s="828">
        <f t="shared" si="0"/>
        <v>0</v>
      </c>
      <c r="J22" s="832">
        <v>0</v>
      </c>
      <c r="K22" s="832">
        <v>0</v>
      </c>
      <c r="L22" s="830">
        <v>0</v>
      </c>
      <c r="M22" s="802">
        <v>0</v>
      </c>
      <c r="N22" s="832">
        <v>0</v>
      </c>
      <c r="O22" s="833">
        <v>0</v>
      </c>
      <c r="P22" s="832">
        <v>0</v>
      </c>
      <c r="Q22" s="832">
        <v>0</v>
      </c>
      <c r="R22" s="781">
        <v>0</v>
      </c>
      <c r="S22" s="830">
        <v>0</v>
      </c>
      <c r="T22" s="830">
        <v>0</v>
      </c>
      <c r="U22" s="834">
        <v>0</v>
      </c>
      <c r="V22" s="832">
        <v>0</v>
      </c>
      <c r="W22" s="831">
        <v>0</v>
      </c>
      <c r="X22" s="783">
        <v>0</v>
      </c>
      <c r="Y22" s="830">
        <v>0</v>
      </c>
      <c r="Z22" s="833">
        <v>0</v>
      </c>
      <c r="AA22" s="802">
        <v>0</v>
      </c>
      <c r="AB22" s="835">
        <v>0</v>
      </c>
      <c r="AC22" s="1094">
        <v>0</v>
      </c>
      <c r="AD22" s="833">
        <v>0</v>
      </c>
      <c r="AE22" s="836">
        <v>0</v>
      </c>
      <c r="AF22" s="836">
        <v>0</v>
      </c>
      <c r="AG22" s="827">
        <f t="shared" si="1"/>
        <v>0</v>
      </c>
      <c r="AH22" s="827">
        <f t="shared" si="2"/>
        <v>0</v>
      </c>
      <c r="AI22" s="466">
        <f t="shared" si="3"/>
        <v>0</v>
      </c>
      <c r="AJ22" s="467" t="str">
        <f t="shared" si="4"/>
        <v xml:space="preserve"> </v>
      </c>
      <c r="AS22" s="139" t="s">
        <v>240</v>
      </c>
      <c r="AT22" s="139" t="s">
        <v>239</v>
      </c>
      <c r="DS22" s="648"/>
      <c r="DT22" s="648"/>
      <c r="DU22" s="667" t="s">
        <v>415</v>
      </c>
      <c r="DV22" s="667" t="s">
        <v>1188</v>
      </c>
      <c r="DW22" s="667" t="s">
        <v>1134</v>
      </c>
      <c r="DX22" s="667" t="s">
        <v>1134</v>
      </c>
      <c r="DY22" s="669" t="s">
        <v>1254</v>
      </c>
      <c r="DZ22" s="667" t="s">
        <v>1134</v>
      </c>
      <c r="EA22" s="670" t="s">
        <v>240</v>
      </c>
      <c r="EB22" s="667" t="s">
        <v>1135</v>
      </c>
      <c r="EC22" s="667" t="s">
        <v>1134</v>
      </c>
      <c r="ED22" s="667" t="s">
        <v>1136</v>
      </c>
    </row>
    <row r="23" spans="1:134" x14ac:dyDescent="0.2">
      <c r="A23" s="225" t="s">
        <v>118</v>
      </c>
      <c r="B23" s="632">
        <v>16</v>
      </c>
      <c r="C23" s="770">
        <v>10</v>
      </c>
      <c r="D23" s="830">
        <v>0</v>
      </c>
      <c r="E23" s="830">
        <v>0</v>
      </c>
      <c r="F23" s="866">
        <v>0</v>
      </c>
      <c r="G23" s="830">
        <v>0</v>
      </c>
      <c r="H23" s="830">
        <v>0</v>
      </c>
      <c r="I23" s="828">
        <f t="shared" si="0"/>
        <v>10</v>
      </c>
      <c r="J23" s="832">
        <v>0</v>
      </c>
      <c r="K23" s="832">
        <v>0</v>
      </c>
      <c r="L23" s="830">
        <v>0</v>
      </c>
      <c r="M23" s="802">
        <v>0</v>
      </c>
      <c r="N23" s="832">
        <v>0</v>
      </c>
      <c r="O23" s="833">
        <v>0</v>
      </c>
      <c r="P23" s="832">
        <v>0</v>
      </c>
      <c r="Q23" s="832">
        <v>0</v>
      </c>
      <c r="R23" s="781">
        <v>0</v>
      </c>
      <c r="S23" s="830">
        <v>0</v>
      </c>
      <c r="T23" s="830">
        <v>0</v>
      </c>
      <c r="U23" s="834">
        <v>0</v>
      </c>
      <c r="V23" s="832">
        <v>0</v>
      </c>
      <c r="W23" s="831">
        <v>0</v>
      </c>
      <c r="X23" s="783">
        <v>0</v>
      </c>
      <c r="Y23" s="830">
        <v>0</v>
      </c>
      <c r="Z23" s="833">
        <v>0</v>
      </c>
      <c r="AA23" s="802">
        <v>0</v>
      </c>
      <c r="AB23" s="835">
        <v>0</v>
      </c>
      <c r="AC23" s="1094">
        <v>0</v>
      </c>
      <c r="AD23" s="833">
        <v>0</v>
      </c>
      <c r="AE23" s="836">
        <v>0</v>
      </c>
      <c r="AF23" s="836">
        <v>0</v>
      </c>
      <c r="AG23" s="827">
        <f t="shared" si="1"/>
        <v>0</v>
      </c>
      <c r="AH23" s="827">
        <f t="shared" si="2"/>
        <v>10</v>
      </c>
      <c r="AI23" s="466">
        <f t="shared" si="3"/>
        <v>0</v>
      </c>
      <c r="AJ23" s="467" t="str">
        <f t="shared" si="4"/>
        <v xml:space="preserve"> </v>
      </c>
      <c r="AS23" s="139" t="s">
        <v>242</v>
      </c>
      <c r="AT23" s="139" t="s">
        <v>241</v>
      </c>
      <c r="DS23" s="648"/>
      <c r="DT23" s="648"/>
      <c r="DU23" s="667" t="s">
        <v>415</v>
      </c>
      <c r="DV23" s="667" t="s">
        <v>1188</v>
      </c>
      <c r="DW23" s="667" t="s">
        <v>1134</v>
      </c>
      <c r="DX23" s="667" t="s">
        <v>1134</v>
      </c>
      <c r="DY23" s="669" t="s">
        <v>1254</v>
      </c>
      <c r="DZ23" s="667" t="s">
        <v>1134</v>
      </c>
      <c r="EA23" s="670" t="s">
        <v>242</v>
      </c>
      <c r="EB23" s="667" t="s">
        <v>1135</v>
      </c>
      <c r="EC23" s="667" t="s">
        <v>1134</v>
      </c>
      <c r="ED23" s="667" t="s">
        <v>1136</v>
      </c>
    </row>
    <row r="24" spans="1:134" x14ac:dyDescent="0.2">
      <c r="A24" s="225" t="s">
        <v>557</v>
      </c>
      <c r="B24" s="632">
        <v>17</v>
      </c>
      <c r="C24" s="770">
        <v>0</v>
      </c>
      <c r="D24" s="830">
        <v>0</v>
      </c>
      <c r="E24" s="830">
        <v>0</v>
      </c>
      <c r="F24" s="866">
        <v>0</v>
      </c>
      <c r="G24" s="830">
        <v>0</v>
      </c>
      <c r="H24" s="830">
        <v>0</v>
      </c>
      <c r="I24" s="828">
        <f t="shared" si="0"/>
        <v>0</v>
      </c>
      <c r="J24" s="832">
        <v>0</v>
      </c>
      <c r="K24" s="832">
        <v>0</v>
      </c>
      <c r="L24" s="830">
        <v>0</v>
      </c>
      <c r="M24" s="802">
        <v>0</v>
      </c>
      <c r="N24" s="832">
        <v>0</v>
      </c>
      <c r="O24" s="833">
        <v>0</v>
      </c>
      <c r="P24" s="832">
        <v>0</v>
      </c>
      <c r="Q24" s="832">
        <v>0</v>
      </c>
      <c r="R24" s="781">
        <v>0</v>
      </c>
      <c r="S24" s="830">
        <v>0</v>
      </c>
      <c r="T24" s="830">
        <v>0</v>
      </c>
      <c r="U24" s="834">
        <v>0</v>
      </c>
      <c r="V24" s="832">
        <v>0</v>
      </c>
      <c r="W24" s="831">
        <v>0</v>
      </c>
      <c r="X24" s="783">
        <v>0</v>
      </c>
      <c r="Y24" s="830">
        <v>0</v>
      </c>
      <c r="Z24" s="833">
        <v>0</v>
      </c>
      <c r="AA24" s="802">
        <v>0</v>
      </c>
      <c r="AB24" s="835">
        <v>0</v>
      </c>
      <c r="AC24" s="1094">
        <v>0</v>
      </c>
      <c r="AD24" s="833">
        <v>0</v>
      </c>
      <c r="AE24" s="836">
        <v>0</v>
      </c>
      <c r="AF24" s="836">
        <v>0</v>
      </c>
      <c r="AG24" s="827">
        <f t="shared" si="1"/>
        <v>0</v>
      </c>
      <c r="AH24" s="827">
        <f t="shared" si="2"/>
        <v>0</v>
      </c>
      <c r="AI24" s="466">
        <f t="shared" si="3"/>
        <v>0</v>
      </c>
      <c r="AJ24" s="467" t="str">
        <f t="shared" si="4"/>
        <v xml:space="preserve"> </v>
      </c>
      <c r="AS24" s="139" t="s">
        <v>507</v>
      </c>
      <c r="AT24" s="139" t="s">
        <v>508</v>
      </c>
      <c r="DS24" s="648"/>
      <c r="DT24" s="648"/>
      <c r="DU24" s="667" t="s">
        <v>415</v>
      </c>
      <c r="DV24" s="667" t="s">
        <v>1188</v>
      </c>
      <c r="DW24" s="667" t="s">
        <v>1134</v>
      </c>
      <c r="DX24" s="667" t="s">
        <v>1134</v>
      </c>
      <c r="DY24" s="669" t="s">
        <v>1254</v>
      </c>
      <c r="DZ24" s="667" t="s">
        <v>1134</v>
      </c>
      <c r="EA24" s="670" t="s">
        <v>507</v>
      </c>
      <c r="EB24" s="667" t="s">
        <v>1135</v>
      </c>
      <c r="EC24" s="667" t="s">
        <v>1134</v>
      </c>
      <c r="ED24" s="667" t="s">
        <v>1136</v>
      </c>
    </row>
    <row r="25" spans="1:134" x14ac:dyDescent="0.2">
      <c r="A25" s="225" t="s">
        <v>119</v>
      </c>
      <c r="B25" s="632">
        <v>18</v>
      </c>
      <c r="C25" s="770">
        <v>0</v>
      </c>
      <c r="D25" s="830">
        <v>0</v>
      </c>
      <c r="E25" s="830">
        <v>0</v>
      </c>
      <c r="F25" s="866">
        <v>0</v>
      </c>
      <c r="G25" s="830">
        <v>0</v>
      </c>
      <c r="H25" s="830">
        <v>0</v>
      </c>
      <c r="I25" s="828">
        <f t="shared" si="0"/>
        <v>0</v>
      </c>
      <c r="J25" s="832">
        <v>0</v>
      </c>
      <c r="K25" s="832">
        <v>0</v>
      </c>
      <c r="L25" s="830">
        <v>0</v>
      </c>
      <c r="M25" s="802">
        <v>0</v>
      </c>
      <c r="N25" s="832">
        <v>0</v>
      </c>
      <c r="O25" s="833">
        <v>0</v>
      </c>
      <c r="P25" s="832">
        <v>0</v>
      </c>
      <c r="Q25" s="832">
        <v>0</v>
      </c>
      <c r="R25" s="781">
        <v>0</v>
      </c>
      <c r="S25" s="830">
        <v>0</v>
      </c>
      <c r="T25" s="830">
        <v>0</v>
      </c>
      <c r="U25" s="834">
        <v>0</v>
      </c>
      <c r="V25" s="832">
        <v>0</v>
      </c>
      <c r="W25" s="831">
        <v>0</v>
      </c>
      <c r="X25" s="783">
        <v>0</v>
      </c>
      <c r="Y25" s="830">
        <v>0</v>
      </c>
      <c r="Z25" s="833">
        <v>0</v>
      </c>
      <c r="AA25" s="802">
        <v>0</v>
      </c>
      <c r="AB25" s="835">
        <v>0</v>
      </c>
      <c r="AC25" s="1094">
        <v>0</v>
      </c>
      <c r="AD25" s="833">
        <v>0</v>
      </c>
      <c r="AE25" s="836">
        <v>0</v>
      </c>
      <c r="AF25" s="836">
        <v>0</v>
      </c>
      <c r="AG25" s="827">
        <f t="shared" si="1"/>
        <v>0</v>
      </c>
      <c r="AH25" s="827">
        <f t="shared" si="2"/>
        <v>0</v>
      </c>
      <c r="AI25" s="466">
        <f t="shared" si="3"/>
        <v>0</v>
      </c>
      <c r="AJ25" s="467" t="str">
        <f t="shared" si="4"/>
        <v xml:space="preserve"> </v>
      </c>
      <c r="AS25" s="139" t="s">
        <v>244</v>
      </c>
      <c r="AT25" s="139" t="s">
        <v>243</v>
      </c>
      <c r="DS25" s="648"/>
      <c r="DT25" s="648"/>
      <c r="DU25" s="667" t="s">
        <v>415</v>
      </c>
      <c r="DV25" s="667" t="s">
        <v>1188</v>
      </c>
      <c r="DW25" s="667" t="s">
        <v>1134</v>
      </c>
      <c r="DX25" s="667" t="s">
        <v>1134</v>
      </c>
      <c r="DY25" s="669" t="s">
        <v>1254</v>
      </c>
      <c r="DZ25" s="667" t="s">
        <v>1134</v>
      </c>
      <c r="EA25" s="670" t="s">
        <v>244</v>
      </c>
      <c r="EB25" s="667" t="s">
        <v>1135</v>
      </c>
      <c r="EC25" s="667" t="s">
        <v>1134</v>
      </c>
      <c r="ED25" s="667" t="s">
        <v>1136</v>
      </c>
    </row>
    <row r="26" spans="1:134" x14ac:dyDescent="0.2">
      <c r="A26" s="225" t="s">
        <v>30</v>
      </c>
      <c r="B26" s="632">
        <v>19</v>
      </c>
      <c r="C26" s="770">
        <v>0</v>
      </c>
      <c r="D26" s="830">
        <v>0</v>
      </c>
      <c r="E26" s="830">
        <v>0</v>
      </c>
      <c r="F26" s="866">
        <v>0</v>
      </c>
      <c r="G26" s="830">
        <v>0</v>
      </c>
      <c r="H26" s="830">
        <v>0</v>
      </c>
      <c r="I26" s="828">
        <f t="shared" si="0"/>
        <v>0</v>
      </c>
      <c r="J26" s="832">
        <v>0</v>
      </c>
      <c r="K26" s="832">
        <v>0</v>
      </c>
      <c r="L26" s="830">
        <v>0</v>
      </c>
      <c r="M26" s="802">
        <v>0</v>
      </c>
      <c r="N26" s="832">
        <v>0</v>
      </c>
      <c r="O26" s="833">
        <v>0</v>
      </c>
      <c r="P26" s="832">
        <v>0</v>
      </c>
      <c r="Q26" s="832">
        <v>0</v>
      </c>
      <c r="R26" s="781">
        <v>0</v>
      </c>
      <c r="S26" s="830">
        <v>0</v>
      </c>
      <c r="T26" s="830">
        <v>0</v>
      </c>
      <c r="U26" s="834">
        <v>0</v>
      </c>
      <c r="V26" s="832">
        <v>0</v>
      </c>
      <c r="W26" s="831">
        <v>0</v>
      </c>
      <c r="X26" s="783">
        <v>0</v>
      </c>
      <c r="Y26" s="830">
        <v>0</v>
      </c>
      <c r="Z26" s="833">
        <v>0</v>
      </c>
      <c r="AA26" s="802">
        <v>0</v>
      </c>
      <c r="AB26" s="835">
        <v>0</v>
      </c>
      <c r="AC26" s="1094">
        <v>0</v>
      </c>
      <c r="AD26" s="833">
        <v>0</v>
      </c>
      <c r="AE26" s="836">
        <v>0</v>
      </c>
      <c r="AF26" s="836">
        <v>0</v>
      </c>
      <c r="AG26" s="827">
        <f t="shared" si="1"/>
        <v>0</v>
      </c>
      <c r="AH26" s="827">
        <f t="shared" si="2"/>
        <v>0</v>
      </c>
      <c r="AI26" s="466">
        <f t="shared" si="3"/>
        <v>0</v>
      </c>
      <c r="AJ26" s="467" t="str">
        <f t="shared" si="4"/>
        <v xml:space="preserve"> </v>
      </c>
      <c r="AS26" s="139" t="s">
        <v>246</v>
      </c>
      <c r="AT26" s="139" t="s">
        <v>245</v>
      </c>
      <c r="DS26" s="648"/>
      <c r="DT26" s="648"/>
      <c r="DU26" s="667" t="s">
        <v>415</v>
      </c>
      <c r="DV26" s="667" t="s">
        <v>1188</v>
      </c>
      <c r="DW26" s="667" t="s">
        <v>1134</v>
      </c>
      <c r="DX26" s="667" t="s">
        <v>1134</v>
      </c>
      <c r="DY26" s="669" t="s">
        <v>1254</v>
      </c>
      <c r="DZ26" s="667" t="s">
        <v>1134</v>
      </c>
      <c r="EA26" s="670" t="s">
        <v>246</v>
      </c>
      <c r="EB26" s="667" t="s">
        <v>1135</v>
      </c>
      <c r="EC26" s="667" t="s">
        <v>1134</v>
      </c>
      <c r="ED26" s="667" t="s">
        <v>1136</v>
      </c>
    </row>
    <row r="27" spans="1:134" x14ac:dyDescent="0.2">
      <c r="A27" s="225" t="s">
        <v>558</v>
      </c>
      <c r="B27" s="632">
        <v>20</v>
      </c>
      <c r="C27" s="770">
        <v>0</v>
      </c>
      <c r="D27" s="830">
        <v>0</v>
      </c>
      <c r="E27" s="830">
        <v>0</v>
      </c>
      <c r="F27" s="866">
        <v>0</v>
      </c>
      <c r="G27" s="830">
        <v>0</v>
      </c>
      <c r="H27" s="830">
        <v>0</v>
      </c>
      <c r="I27" s="828">
        <f t="shared" si="0"/>
        <v>0</v>
      </c>
      <c r="J27" s="832">
        <v>0</v>
      </c>
      <c r="K27" s="832">
        <v>0</v>
      </c>
      <c r="L27" s="830">
        <v>0</v>
      </c>
      <c r="M27" s="802">
        <v>0</v>
      </c>
      <c r="N27" s="832">
        <v>0</v>
      </c>
      <c r="O27" s="833">
        <v>0</v>
      </c>
      <c r="P27" s="832">
        <v>0</v>
      </c>
      <c r="Q27" s="832">
        <v>0</v>
      </c>
      <c r="R27" s="781">
        <v>0</v>
      </c>
      <c r="S27" s="830">
        <v>0</v>
      </c>
      <c r="T27" s="830">
        <v>0</v>
      </c>
      <c r="U27" s="834">
        <v>0</v>
      </c>
      <c r="V27" s="832">
        <v>0</v>
      </c>
      <c r="W27" s="831">
        <v>0</v>
      </c>
      <c r="X27" s="783">
        <v>0</v>
      </c>
      <c r="Y27" s="830">
        <v>0</v>
      </c>
      <c r="Z27" s="833">
        <v>0</v>
      </c>
      <c r="AA27" s="802">
        <v>0</v>
      </c>
      <c r="AB27" s="835">
        <v>0</v>
      </c>
      <c r="AC27" s="1094">
        <v>0</v>
      </c>
      <c r="AD27" s="833">
        <v>0</v>
      </c>
      <c r="AE27" s="836">
        <v>0</v>
      </c>
      <c r="AF27" s="836">
        <v>0</v>
      </c>
      <c r="AG27" s="827">
        <f t="shared" si="1"/>
        <v>0</v>
      </c>
      <c r="AH27" s="827">
        <f t="shared" si="2"/>
        <v>0</v>
      </c>
      <c r="AI27" s="466">
        <f t="shared" si="3"/>
        <v>0</v>
      </c>
      <c r="AJ27" s="467" t="str">
        <f t="shared" si="4"/>
        <v xml:space="preserve"> </v>
      </c>
      <c r="AS27" s="139" t="s">
        <v>509</v>
      </c>
      <c r="AT27" s="139" t="s">
        <v>510</v>
      </c>
      <c r="DS27" s="648"/>
      <c r="DT27" s="648"/>
      <c r="DU27" s="667" t="s">
        <v>415</v>
      </c>
      <c r="DV27" s="667" t="s">
        <v>1188</v>
      </c>
      <c r="DW27" s="667" t="s">
        <v>1134</v>
      </c>
      <c r="DX27" s="667" t="s">
        <v>1134</v>
      </c>
      <c r="DY27" s="669" t="s">
        <v>1254</v>
      </c>
      <c r="DZ27" s="667" t="s">
        <v>1134</v>
      </c>
      <c r="EA27" s="670" t="s">
        <v>509</v>
      </c>
      <c r="EB27" s="667" t="s">
        <v>1135</v>
      </c>
      <c r="EC27" s="667" t="s">
        <v>1134</v>
      </c>
      <c r="ED27" s="667" t="s">
        <v>1136</v>
      </c>
    </row>
    <row r="28" spans="1:134" x14ac:dyDescent="0.2">
      <c r="A28" s="225" t="s">
        <v>120</v>
      </c>
      <c r="B28" s="632">
        <v>21</v>
      </c>
      <c r="C28" s="770">
        <v>0</v>
      </c>
      <c r="D28" s="830">
        <v>0</v>
      </c>
      <c r="E28" s="830">
        <v>0</v>
      </c>
      <c r="F28" s="866">
        <v>0</v>
      </c>
      <c r="G28" s="830">
        <v>0</v>
      </c>
      <c r="H28" s="830">
        <v>0</v>
      </c>
      <c r="I28" s="828">
        <f t="shared" si="0"/>
        <v>0</v>
      </c>
      <c r="J28" s="832">
        <v>0</v>
      </c>
      <c r="K28" s="832">
        <v>0</v>
      </c>
      <c r="L28" s="830">
        <v>0</v>
      </c>
      <c r="M28" s="802">
        <v>10</v>
      </c>
      <c r="N28" s="832">
        <v>0</v>
      </c>
      <c r="O28" s="833">
        <v>10</v>
      </c>
      <c r="P28" s="832">
        <v>0</v>
      </c>
      <c r="Q28" s="832">
        <v>0</v>
      </c>
      <c r="R28" s="781">
        <v>14</v>
      </c>
      <c r="S28" s="830">
        <v>0</v>
      </c>
      <c r="T28" s="830">
        <v>14</v>
      </c>
      <c r="U28" s="834">
        <v>0</v>
      </c>
      <c r="V28" s="832">
        <v>6</v>
      </c>
      <c r="W28" s="831">
        <v>0</v>
      </c>
      <c r="X28" s="783">
        <v>6</v>
      </c>
      <c r="Y28" s="830">
        <v>0</v>
      </c>
      <c r="Z28" s="833">
        <v>6</v>
      </c>
      <c r="AA28" s="802">
        <v>0</v>
      </c>
      <c r="AB28" s="835">
        <v>0</v>
      </c>
      <c r="AC28" s="1094">
        <v>0</v>
      </c>
      <c r="AD28" s="833">
        <v>0</v>
      </c>
      <c r="AE28" s="836">
        <v>0</v>
      </c>
      <c r="AF28" s="836">
        <v>0</v>
      </c>
      <c r="AG28" s="827">
        <f t="shared" si="1"/>
        <v>30</v>
      </c>
      <c r="AH28" s="827">
        <f t="shared" si="2"/>
        <v>30</v>
      </c>
      <c r="AI28" s="466">
        <f t="shared" si="3"/>
        <v>0</v>
      </c>
      <c r="AJ28" s="467" t="str">
        <f t="shared" si="4"/>
        <v xml:space="preserve"> </v>
      </c>
      <c r="AS28" s="139" t="s">
        <v>248</v>
      </c>
      <c r="AT28" s="139" t="s">
        <v>247</v>
      </c>
      <c r="DS28" s="648"/>
      <c r="DT28" s="648"/>
      <c r="DU28" s="667" t="s">
        <v>415</v>
      </c>
      <c r="DV28" s="667" t="s">
        <v>1188</v>
      </c>
      <c r="DW28" s="667" t="s">
        <v>1134</v>
      </c>
      <c r="DX28" s="667" t="s">
        <v>1134</v>
      </c>
      <c r="DY28" s="669" t="s">
        <v>1254</v>
      </c>
      <c r="DZ28" s="667" t="s">
        <v>1134</v>
      </c>
      <c r="EA28" s="670" t="s">
        <v>248</v>
      </c>
      <c r="EB28" s="667" t="s">
        <v>1135</v>
      </c>
      <c r="EC28" s="667" t="s">
        <v>1134</v>
      </c>
      <c r="ED28" s="667" t="s">
        <v>1136</v>
      </c>
    </row>
    <row r="29" spans="1:134" x14ac:dyDescent="0.2">
      <c r="A29" s="225" t="s">
        <v>121</v>
      </c>
      <c r="B29" s="632">
        <v>22</v>
      </c>
      <c r="C29" s="770">
        <v>0</v>
      </c>
      <c r="D29" s="830">
        <v>0</v>
      </c>
      <c r="E29" s="830">
        <v>0</v>
      </c>
      <c r="F29" s="866">
        <v>0</v>
      </c>
      <c r="G29" s="830">
        <v>0</v>
      </c>
      <c r="H29" s="830">
        <v>0</v>
      </c>
      <c r="I29" s="828">
        <f t="shared" si="0"/>
        <v>0</v>
      </c>
      <c r="J29" s="832">
        <v>0</v>
      </c>
      <c r="K29" s="832">
        <v>0</v>
      </c>
      <c r="L29" s="830">
        <v>0</v>
      </c>
      <c r="M29" s="802">
        <v>0</v>
      </c>
      <c r="N29" s="832">
        <v>0</v>
      </c>
      <c r="O29" s="833">
        <v>0</v>
      </c>
      <c r="P29" s="832">
        <v>0</v>
      </c>
      <c r="Q29" s="832">
        <v>0</v>
      </c>
      <c r="R29" s="781">
        <v>7</v>
      </c>
      <c r="S29" s="830">
        <v>0</v>
      </c>
      <c r="T29" s="830">
        <v>7</v>
      </c>
      <c r="U29" s="834">
        <v>0</v>
      </c>
      <c r="V29" s="832">
        <v>0</v>
      </c>
      <c r="W29" s="831">
        <v>0</v>
      </c>
      <c r="X29" s="783">
        <v>0</v>
      </c>
      <c r="Y29" s="830">
        <v>0</v>
      </c>
      <c r="Z29" s="833">
        <v>0</v>
      </c>
      <c r="AA29" s="802">
        <v>0</v>
      </c>
      <c r="AB29" s="835">
        <v>0</v>
      </c>
      <c r="AC29" s="1094">
        <v>0</v>
      </c>
      <c r="AD29" s="833">
        <v>0</v>
      </c>
      <c r="AE29" s="836">
        <v>0</v>
      </c>
      <c r="AF29" s="836">
        <v>0</v>
      </c>
      <c r="AG29" s="827">
        <f t="shared" si="1"/>
        <v>7</v>
      </c>
      <c r="AH29" s="827">
        <f t="shared" si="2"/>
        <v>7</v>
      </c>
      <c r="AI29" s="466">
        <f t="shared" si="3"/>
        <v>0</v>
      </c>
      <c r="AJ29" s="467" t="str">
        <f t="shared" si="4"/>
        <v xml:space="preserve"> </v>
      </c>
      <c r="AS29" s="139" t="s">
        <v>250</v>
      </c>
      <c r="AT29" s="139" t="s">
        <v>249</v>
      </c>
      <c r="DS29" s="648"/>
      <c r="DT29" s="648"/>
      <c r="DU29" s="667" t="s">
        <v>415</v>
      </c>
      <c r="DV29" s="667" t="s">
        <v>1188</v>
      </c>
      <c r="DW29" s="667" t="s">
        <v>1134</v>
      </c>
      <c r="DX29" s="667" t="s">
        <v>1134</v>
      </c>
      <c r="DY29" s="669" t="s">
        <v>1254</v>
      </c>
      <c r="DZ29" s="667" t="s">
        <v>1134</v>
      </c>
      <c r="EA29" s="670" t="s">
        <v>250</v>
      </c>
      <c r="EB29" s="667" t="s">
        <v>1135</v>
      </c>
      <c r="EC29" s="667" t="s">
        <v>1134</v>
      </c>
      <c r="ED29" s="667" t="s">
        <v>1136</v>
      </c>
    </row>
    <row r="30" spans="1:134" x14ac:dyDescent="0.2">
      <c r="A30" s="225" t="s">
        <v>122</v>
      </c>
      <c r="B30" s="632">
        <v>23</v>
      </c>
      <c r="C30" s="770">
        <v>0</v>
      </c>
      <c r="D30" s="830">
        <v>0</v>
      </c>
      <c r="E30" s="830">
        <v>0</v>
      </c>
      <c r="F30" s="866">
        <v>0</v>
      </c>
      <c r="G30" s="830">
        <v>0</v>
      </c>
      <c r="H30" s="830">
        <v>0</v>
      </c>
      <c r="I30" s="828">
        <f t="shared" si="0"/>
        <v>0</v>
      </c>
      <c r="J30" s="832">
        <v>0</v>
      </c>
      <c r="K30" s="832">
        <v>0</v>
      </c>
      <c r="L30" s="830">
        <v>0</v>
      </c>
      <c r="M30" s="802">
        <v>0</v>
      </c>
      <c r="N30" s="832">
        <v>0</v>
      </c>
      <c r="O30" s="833">
        <v>0</v>
      </c>
      <c r="P30" s="832">
        <v>0</v>
      </c>
      <c r="Q30" s="832">
        <v>0</v>
      </c>
      <c r="R30" s="781">
        <v>0</v>
      </c>
      <c r="S30" s="830">
        <v>0</v>
      </c>
      <c r="T30" s="830">
        <v>0</v>
      </c>
      <c r="U30" s="834">
        <v>0</v>
      </c>
      <c r="V30" s="832">
        <v>0</v>
      </c>
      <c r="W30" s="831">
        <v>0</v>
      </c>
      <c r="X30" s="783">
        <v>0</v>
      </c>
      <c r="Y30" s="830">
        <v>0</v>
      </c>
      <c r="Z30" s="833">
        <v>0</v>
      </c>
      <c r="AA30" s="802">
        <v>0</v>
      </c>
      <c r="AB30" s="835">
        <v>0</v>
      </c>
      <c r="AC30" s="1094">
        <v>0</v>
      </c>
      <c r="AD30" s="833">
        <v>0</v>
      </c>
      <c r="AE30" s="836">
        <v>0</v>
      </c>
      <c r="AF30" s="836">
        <v>0</v>
      </c>
      <c r="AG30" s="827">
        <f t="shared" si="1"/>
        <v>0</v>
      </c>
      <c r="AH30" s="827">
        <f t="shared" si="2"/>
        <v>0</v>
      </c>
      <c r="AI30" s="466">
        <f t="shared" si="3"/>
        <v>0</v>
      </c>
      <c r="AJ30" s="467" t="str">
        <f t="shared" si="4"/>
        <v xml:space="preserve"> </v>
      </c>
      <c r="AS30" s="139" t="s">
        <v>252</v>
      </c>
      <c r="AT30" s="139" t="s">
        <v>251</v>
      </c>
      <c r="DS30" s="648"/>
      <c r="DT30" s="648"/>
      <c r="DU30" s="667" t="s">
        <v>415</v>
      </c>
      <c r="DV30" s="667" t="s">
        <v>1188</v>
      </c>
      <c r="DW30" s="667" t="s">
        <v>1134</v>
      </c>
      <c r="DX30" s="667" t="s">
        <v>1134</v>
      </c>
      <c r="DY30" s="669" t="s">
        <v>1254</v>
      </c>
      <c r="DZ30" s="667" t="s">
        <v>1134</v>
      </c>
      <c r="EA30" s="670" t="s">
        <v>252</v>
      </c>
      <c r="EB30" s="667" t="s">
        <v>1135</v>
      </c>
      <c r="EC30" s="667" t="s">
        <v>1134</v>
      </c>
      <c r="ED30" s="667" t="s">
        <v>1136</v>
      </c>
    </row>
    <row r="31" spans="1:134" x14ac:dyDescent="0.2">
      <c r="A31" s="225" t="s">
        <v>123</v>
      </c>
      <c r="B31" s="632">
        <v>24</v>
      </c>
      <c r="C31" s="770">
        <v>0</v>
      </c>
      <c r="D31" s="830">
        <v>0</v>
      </c>
      <c r="E31" s="830">
        <v>0</v>
      </c>
      <c r="F31" s="866">
        <v>0</v>
      </c>
      <c r="G31" s="830">
        <v>0</v>
      </c>
      <c r="H31" s="830">
        <v>0</v>
      </c>
      <c r="I31" s="828">
        <f t="shared" si="0"/>
        <v>0</v>
      </c>
      <c r="J31" s="832">
        <v>0</v>
      </c>
      <c r="K31" s="832">
        <v>0</v>
      </c>
      <c r="L31" s="830">
        <v>0</v>
      </c>
      <c r="M31" s="802">
        <v>0</v>
      </c>
      <c r="N31" s="832">
        <v>0</v>
      </c>
      <c r="O31" s="833">
        <v>0</v>
      </c>
      <c r="P31" s="832">
        <v>0</v>
      </c>
      <c r="Q31" s="832">
        <v>0</v>
      </c>
      <c r="R31" s="781">
        <v>0</v>
      </c>
      <c r="S31" s="830">
        <v>0</v>
      </c>
      <c r="T31" s="830">
        <v>0</v>
      </c>
      <c r="U31" s="834">
        <v>0</v>
      </c>
      <c r="V31" s="832">
        <v>0</v>
      </c>
      <c r="W31" s="831">
        <v>0</v>
      </c>
      <c r="X31" s="783">
        <v>0</v>
      </c>
      <c r="Y31" s="830">
        <v>0</v>
      </c>
      <c r="Z31" s="833">
        <v>0</v>
      </c>
      <c r="AA31" s="802">
        <v>0</v>
      </c>
      <c r="AB31" s="835">
        <v>0</v>
      </c>
      <c r="AC31" s="1094">
        <v>0</v>
      </c>
      <c r="AD31" s="833">
        <v>0</v>
      </c>
      <c r="AE31" s="836">
        <v>0</v>
      </c>
      <c r="AF31" s="836">
        <v>0</v>
      </c>
      <c r="AG31" s="827">
        <f t="shared" si="1"/>
        <v>0</v>
      </c>
      <c r="AH31" s="827">
        <f t="shared" si="2"/>
        <v>0</v>
      </c>
      <c r="AI31" s="466">
        <f t="shared" si="3"/>
        <v>0</v>
      </c>
      <c r="AJ31" s="467" t="str">
        <f t="shared" si="4"/>
        <v xml:space="preserve"> </v>
      </c>
      <c r="AS31" s="139" t="s">
        <v>254</v>
      </c>
      <c r="AT31" s="139" t="s">
        <v>253</v>
      </c>
      <c r="DS31" s="648"/>
      <c r="DT31" s="648"/>
      <c r="DU31" s="667" t="s">
        <v>415</v>
      </c>
      <c r="DV31" s="667" t="s">
        <v>1188</v>
      </c>
      <c r="DW31" s="667" t="s">
        <v>1134</v>
      </c>
      <c r="DX31" s="667" t="s">
        <v>1134</v>
      </c>
      <c r="DY31" s="669" t="s">
        <v>1254</v>
      </c>
      <c r="DZ31" s="667" t="s">
        <v>1134</v>
      </c>
      <c r="EA31" s="670" t="s">
        <v>254</v>
      </c>
      <c r="EB31" s="667" t="s">
        <v>1135</v>
      </c>
      <c r="EC31" s="667" t="s">
        <v>1134</v>
      </c>
      <c r="ED31" s="667" t="s">
        <v>1136</v>
      </c>
    </row>
    <row r="32" spans="1:134" x14ac:dyDescent="0.2">
      <c r="A32" s="225" t="s">
        <v>124</v>
      </c>
      <c r="B32" s="632">
        <v>25</v>
      </c>
      <c r="C32" s="770">
        <v>7</v>
      </c>
      <c r="D32" s="830">
        <v>0</v>
      </c>
      <c r="E32" s="830">
        <v>0</v>
      </c>
      <c r="F32" s="866">
        <v>0</v>
      </c>
      <c r="G32" s="830">
        <v>0</v>
      </c>
      <c r="H32" s="830">
        <v>0</v>
      </c>
      <c r="I32" s="828">
        <f t="shared" si="0"/>
        <v>7</v>
      </c>
      <c r="J32" s="832">
        <v>0</v>
      </c>
      <c r="K32" s="832">
        <v>0</v>
      </c>
      <c r="L32" s="830">
        <v>0</v>
      </c>
      <c r="M32" s="802">
        <v>7</v>
      </c>
      <c r="N32" s="832">
        <v>0</v>
      </c>
      <c r="O32" s="833">
        <v>7</v>
      </c>
      <c r="P32" s="832">
        <v>0</v>
      </c>
      <c r="Q32" s="832">
        <v>0</v>
      </c>
      <c r="R32" s="781">
        <v>0</v>
      </c>
      <c r="S32" s="830">
        <v>0</v>
      </c>
      <c r="T32" s="830">
        <v>0</v>
      </c>
      <c r="U32" s="834">
        <v>0</v>
      </c>
      <c r="V32" s="832">
        <v>0</v>
      </c>
      <c r="W32" s="831">
        <v>0</v>
      </c>
      <c r="X32" s="783">
        <v>0</v>
      </c>
      <c r="Y32" s="830">
        <v>0</v>
      </c>
      <c r="Z32" s="833">
        <v>0</v>
      </c>
      <c r="AA32" s="802">
        <v>0</v>
      </c>
      <c r="AB32" s="835">
        <v>0</v>
      </c>
      <c r="AC32" s="1094">
        <v>0</v>
      </c>
      <c r="AD32" s="833">
        <v>0</v>
      </c>
      <c r="AE32" s="836">
        <v>0</v>
      </c>
      <c r="AF32" s="836">
        <v>0</v>
      </c>
      <c r="AG32" s="827">
        <f t="shared" si="1"/>
        <v>7</v>
      </c>
      <c r="AH32" s="827">
        <f t="shared" si="2"/>
        <v>14</v>
      </c>
      <c r="AI32" s="466">
        <f t="shared" si="3"/>
        <v>0</v>
      </c>
      <c r="AJ32" s="467" t="str">
        <f t="shared" si="4"/>
        <v xml:space="preserve"> </v>
      </c>
      <c r="AS32" s="139" t="s">
        <v>256</v>
      </c>
      <c r="AT32" s="139" t="s">
        <v>255</v>
      </c>
      <c r="DS32" s="648"/>
      <c r="DT32" s="648"/>
      <c r="DU32" s="667" t="s">
        <v>415</v>
      </c>
      <c r="DV32" s="667" t="s">
        <v>1188</v>
      </c>
      <c r="DW32" s="667" t="s">
        <v>1134</v>
      </c>
      <c r="DX32" s="667" t="s">
        <v>1134</v>
      </c>
      <c r="DY32" s="669" t="s">
        <v>1254</v>
      </c>
      <c r="DZ32" s="667" t="s">
        <v>1134</v>
      </c>
      <c r="EA32" s="670" t="s">
        <v>256</v>
      </c>
      <c r="EB32" s="667" t="s">
        <v>1135</v>
      </c>
      <c r="EC32" s="667" t="s">
        <v>1134</v>
      </c>
      <c r="ED32" s="667" t="s">
        <v>1136</v>
      </c>
    </row>
    <row r="33" spans="1:134" x14ac:dyDescent="0.2">
      <c r="A33" s="225" t="s">
        <v>97</v>
      </c>
      <c r="B33" s="632">
        <v>26</v>
      </c>
      <c r="C33" s="770">
        <v>0</v>
      </c>
      <c r="D33" s="830">
        <v>0</v>
      </c>
      <c r="E33" s="830">
        <v>0</v>
      </c>
      <c r="F33" s="866">
        <v>0</v>
      </c>
      <c r="G33" s="830">
        <v>0</v>
      </c>
      <c r="H33" s="830">
        <v>0</v>
      </c>
      <c r="I33" s="828">
        <f t="shared" si="0"/>
        <v>0</v>
      </c>
      <c r="J33" s="832">
        <v>0</v>
      </c>
      <c r="K33" s="832">
        <v>0</v>
      </c>
      <c r="L33" s="830">
        <v>0</v>
      </c>
      <c r="M33" s="802">
        <v>0</v>
      </c>
      <c r="N33" s="832">
        <v>0</v>
      </c>
      <c r="O33" s="833">
        <v>0</v>
      </c>
      <c r="P33" s="832">
        <v>0</v>
      </c>
      <c r="Q33" s="832">
        <v>0</v>
      </c>
      <c r="R33" s="781">
        <v>0</v>
      </c>
      <c r="S33" s="830">
        <v>0</v>
      </c>
      <c r="T33" s="830">
        <v>0</v>
      </c>
      <c r="U33" s="834">
        <v>0</v>
      </c>
      <c r="V33" s="832">
        <v>0</v>
      </c>
      <c r="W33" s="831">
        <v>0</v>
      </c>
      <c r="X33" s="783">
        <v>0</v>
      </c>
      <c r="Y33" s="830">
        <v>0</v>
      </c>
      <c r="Z33" s="833">
        <v>0</v>
      </c>
      <c r="AA33" s="802">
        <v>0</v>
      </c>
      <c r="AB33" s="835">
        <v>0</v>
      </c>
      <c r="AC33" s="1094">
        <v>0</v>
      </c>
      <c r="AD33" s="833">
        <v>0</v>
      </c>
      <c r="AE33" s="836">
        <v>0</v>
      </c>
      <c r="AF33" s="836">
        <v>0</v>
      </c>
      <c r="AG33" s="827">
        <f t="shared" si="1"/>
        <v>0</v>
      </c>
      <c r="AH33" s="827">
        <f t="shared" si="2"/>
        <v>0</v>
      </c>
      <c r="AI33" s="466">
        <f t="shared" si="3"/>
        <v>0</v>
      </c>
      <c r="AJ33" s="467" t="str">
        <f t="shared" si="4"/>
        <v xml:space="preserve"> </v>
      </c>
      <c r="AS33" s="139" t="s">
        <v>572</v>
      </c>
      <c r="AT33" s="139" t="s">
        <v>573</v>
      </c>
      <c r="DS33" s="648"/>
      <c r="DT33" s="648"/>
      <c r="DU33" s="667" t="s">
        <v>415</v>
      </c>
      <c r="DV33" s="667" t="s">
        <v>1188</v>
      </c>
      <c r="DW33" s="667" t="s">
        <v>1134</v>
      </c>
      <c r="DX33" s="667" t="s">
        <v>1134</v>
      </c>
      <c r="DY33" s="669" t="s">
        <v>1254</v>
      </c>
      <c r="DZ33" s="667" t="s">
        <v>1134</v>
      </c>
      <c r="EA33" s="670" t="s">
        <v>572</v>
      </c>
      <c r="EB33" s="667" t="s">
        <v>1135</v>
      </c>
      <c r="EC33" s="667" t="s">
        <v>1134</v>
      </c>
      <c r="ED33" s="667" t="s">
        <v>1136</v>
      </c>
    </row>
    <row r="34" spans="1:134" x14ac:dyDescent="0.2">
      <c r="A34" s="225" t="s">
        <v>125</v>
      </c>
      <c r="B34" s="632">
        <v>27</v>
      </c>
      <c r="C34" s="770">
        <v>38</v>
      </c>
      <c r="D34" s="830">
        <v>0</v>
      </c>
      <c r="E34" s="830">
        <v>0</v>
      </c>
      <c r="F34" s="866">
        <v>0</v>
      </c>
      <c r="G34" s="830">
        <v>0</v>
      </c>
      <c r="H34" s="830">
        <v>0</v>
      </c>
      <c r="I34" s="828">
        <f t="shared" si="0"/>
        <v>38</v>
      </c>
      <c r="J34" s="832">
        <v>0</v>
      </c>
      <c r="K34" s="832">
        <v>0</v>
      </c>
      <c r="L34" s="830">
        <v>0</v>
      </c>
      <c r="M34" s="802">
        <v>4</v>
      </c>
      <c r="N34" s="832">
        <v>0</v>
      </c>
      <c r="O34" s="833">
        <v>4</v>
      </c>
      <c r="P34" s="832">
        <v>0</v>
      </c>
      <c r="Q34" s="832">
        <v>0</v>
      </c>
      <c r="R34" s="781">
        <v>0</v>
      </c>
      <c r="S34" s="830">
        <v>0</v>
      </c>
      <c r="T34" s="830">
        <v>0</v>
      </c>
      <c r="U34" s="834">
        <v>0</v>
      </c>
      <c r="V34" s="832">
        <v>2</v>
      </c>
      <c r="W34" s="831">
        <v>0</v>
      </c>
      <c r="X34" s="783">
        <v>2</v>
      </c>
      <c r="Y34" s="830">
        <v>0</v>
      </c>
      <c r="Z34" s="833">
        <v>2</v>
      </c>
      <c r="AA34" s="802">
        <v>0</v>
      </c>
      <c r="AB34" s="835">
        <v>0</v>
      </c>
      <c r="AC34" s="1094">
        <v>0</v>
      </c>
      <c r="AD34" s="833">
        <v>0</v>
      </c>
      <c r="AE34" s="836">
        <v>0</v>
      </c>
      <c r="AF34" s="836">
        <v>0</v>
      </c>
      <c r="AG34" s="827">
        <f t="shared" si="1"/>
        <v>6</v>
      </c>
      <c r="AH34" s="827">
        <f t="shared" si="2"/>
        <v>44</v>
      </c>
      <c r="AI34" s="466">
        <f t="shared" si="3"/>
        <v>0</v>
      </c>
      <c r="AJ34" s="467" t="str">
        <f t="shared" si="4"/>
        <v xml:space="preserve"> </v>
      </c>
      <c r="AS34" s="139" t="s">
        <v>258</v>
      </c>
      <c r="AT34" s="139" t="s">
        <v>257</v>
      </c>
      <c r="DS34" s="648"/>
      <c r="DT34" s="648"/>
      <c r="DU34" s="667" t="s">
        <v>415</v>
      </c>
      <c r="DV34" s="667" t="s">
        <v>1188</v>
      </c>
      <c r="DW34" s="667" t="s">
        <v>1134</v>
      </c>
      <c r="DX34" s="667" t="s">
        <v>1134</v>
      </c>
      <c r="DY34" s="669" t="s">
        <v>1254</v>
      </c>
      <c r="DZ34" s="667" t="s">
        <v>1134</v>
      </c>
      <c r="EA34" s="670" t="s">
        <v>258</v>
      </c>
      <c r="EB34" s="667" t="s">
        <v>1135</v>
      </c>
      <c r="EC34" s="667" t="s">
        <v>1134</v>
      </c>
      <c r="ED34" s="667" t="s">
        <v>1136</v>
      </c>
    </row>
    <row r="35" spans="1:134" x14ac:dyDescent="0.2">
      <c r="A35" s="225" t="s">
        <v>126</v>
      </c>
      <c r="B35" s="632">
        <v>28</v>
      </c>
      <c r="C35" s="770">
        <v>0</v>
      </c>
      <c r="D35" s="830">
        <v>0</v>
      </c>
      <c r="E35" s="830">
        <v>0</v>
      </c>
      <c r="F35" s="866">
        <v>0</v>
      </c>
      <c r="G35" s="830">
        <v>0</v>
      </c>
      <c r="H35" s="830">
        <v>0</v>
      </c>
      <c r="I35" s="828">
        <f t="shared" si="0"/>
        <v>0</v>
      </c>
      <c r="J35" s="832">
        <v>0</v>
      </c>
      <c r="K35" s="832">
        <v>0</v>
      </c>
      <c r="L35" s="830">
        <v>0</v>
      </c>
      <c r="M35" s="802">
        <v>0</v>
      </c>
      <c r="N35" s="832">
        <v>0</v>
      </c>
      <c r="O35" s="833">
        <v>0</v>
      </c>
      <c r="P35" s="832">
        <v>0</v>
      </c>
      <c r="Q35" s="832">
        <v>0</v>
      </c>
      <c r="R35" s="781">
        <v>0</v>
      </c>
      <c r="S35" s="830">
        <v>0</v>
      </c>
      <c r="T35" s="830">
        <v>0</v>
      </c>
      <c r="U35" s="834">
        <v>0</v>
      </c>
      <c r="V35" s="832">
        <v>0</v>
      </c>
      <c r="W35" s="831">
        <v>0</v>
      </c>
      <c r="X35" s="783">
        <v>0</v>
      </c>
      <c r="Y35" s="830">
        <v>0</v>
      </c>
      <c r="Z35" s="833">
        <v>0</v>
      </c>
      <c r="AA35" s="802">
        <v>0</v>
      </c>
      <c r="AB35" s="835">
        <v>0</v>
      </c>
      <c r="AC35" s="1094">
        <v>0</v>
      </c>
      <c r="AD35" s="833">
        <v>0</v>
      </c>
      <c r="AE35" s="836">
        <v>0</v>
      </c>
      <c r="AF35" s="836">
        <v>0</v>
      </c>
      <c r="AG35" s="827">
        <f t="shared" si="1"/>
        <v>0</v>
      </c>
      <c r="AH35" s="827">
        <f t="shared" si="2"/>
        <v>0</v>
      </c>
      <c r="AI35" s="466">
        <f t="shared" si="3"/>
        <v>0</v>
      </c>
      <c r="AJ35" s="467" t="str">
        <f t="shared" si="4"/>
        <v xml:space="preserve"> </v>
      </c>
      <c r="AS35" s="139" t="s">
        <v>260</v>
      </c>
      <c r="AT35" s="139" t="s">
        <v>259</v>
      </c>
      <c r="DS35" s="648"/>
      <c r="DT35" s="648"/>
      <c r="DU35" s="667" t="s">
        <v>415</v>
      </c>
      <c r="DV35" s="667" t="s">
        <v>1188</v>
      </c>
      <c r="DW35" s="667" t="s">
        <v>1134</v>
      </c>
      <c r="DX35" s="667" t="s">
        <v>1134</v>
      </c>
      <c r="DY35" s="669" t="s">
        <v>1254</v>
      </c>
      <c r="DZ35" s="667" t="s">
        <v>1134</v>
      </c>
      <c r="EA35" s="670" t="s">
        <v>260</v>
      </c>
      <c r="EB35" s="667" t="s">
        <v>1135</v>
      </c>
      <c r="EC35" s="667" t="s">
        <v>1134</v>
      </c>
      <c r="ED35" s="667" t="s">
        <v>1136</v>
      </c>
    </row>
    <row r="36" spans="1:134" x14ac:dyDescent="0.2">
      <c r="A36" s="225" t="s">
        <v>127</v>
      </c>
      <c r="B36" s="632">
        <v>29</v>
      </c>
      <c r="C36" s="770">
        <v>0</v>
      </c>
      <c r="D36" s="830">
        <v>0</v>
      </c>
      <c r="E36" s="830">
        <v>0</v>
      </c>
      <c r="F36" s="866">
        <v>0</v>
      </c>
      <c r="G36" s="830">
        <v>0</v>
      </c>
      <c r="H36" s="830">
        <v>0</v>
      </c>
      <c r="I36" s="828">
        <f t="shared" si="0"/>
        <v>0</v>
      </c>
      <c r="J36" s="832">
        <v>0</v>
      </c>
      <c r="K36" s="832">
        <v>0</v>
      </c>
      <c r="L36" s="830">
        <v>0</v>
      </c>
      <c r="M36" s="802">
        <v>0</v>
      </c>
      <c r="N36" s="832">
        <v>0</v>
      </c>
      <c r="O36" s="833">
        <v>0</v>
      </c>
      <c r="P36" s="832">
        <v>0</v>
      </c>
      <c r="Q36" s="832">
        <v>0</v>
      </c>
      <c r="R36" s="781">
        <v>0</v>
      </c>
      <c r="S36" s="830">
        <v>0</v>
      </c>
      <c r="T36" s="830">
        <v>0</v>
      </c>
      <c r="U36" s="834">
        <v>0</v>
      </c>
      <c r="V36" s="832">
        <v>0</v>
      </c>
      <c r="W36" s="831">
        <v>0</v>
      </c>
      <c r="X36" s="783">
        <v>0</v>
      </c>
      <c r="Y36" s="830">
        <v>0</v>
      </c>
      <c r="Z36" s="833">
        <v>0</v>
      </c>
      <c r="AA36" s="802">
        <v>0</v>
      </c>
      <c r="AB36" s="835">
        <v>0</v>
      </c>
      <c r="AC36" s="1094">
        <v>0</v>
      </c>
      <c r="AD36" s="833">
        <v>0</v>
      </c>
      <c r="AE36" s="836">
        <v>0</v>
      </c>
      <c r="AF36" s="836">
        <v>0</v>
      </c>
      <c r="AG36" s="827">
        <f t="shared" si="1"/>
        <v>0</v>
      </c>
      <c r="AH36" s="827">
        <f t="shared" si="2"/>
        <v>0</v>
      </c>
      <c r="AI36" s="466">
        <f t="shared" si="3"/>
        <v>0</v>
      </c>
      <c r="AJ36" s="467" t="str">
        <f t="shared" si="4"/>
        <v xml:space="preserve"> </v>
      </c>
      <c r="AS36" s="139" t="s">
        <v>262</v>
      </c>
      <c r="AT36" s="139" t="s">
        <v>261</v>
      </c>
      <c r="DS36" s="648"/>
      <c r="DT36" s="648"/>
      <c r="DU36" s="667" t="s">
        <v>415</v>
      </c>
      <c r="DV36" s="667" t="s">
        <v>1188</v>
      </c>
      <c r="DW36" s="667" t="s">
        <v>1134</v>
      </c>
      <c r="DX36" s="667" t="s">
        <v>1134</v>
      </c>
      <c r="DY36" s="669" t="s">
        <v>1254</v>
      </c>
      <c r="DZ36" s="667" t="s">
        <v>1134</v>
      </c>
      <c r="EA36" s="670" t="s">
        <v>262</v>
      </c>
      <c r="EB36" s="667" t="s">
        <v>1135</v>
      </c>
      <c r="EC36" s="667" t="s">
        <v>1134</v>
      </c>
      <c r="ED36" s="667" t="s">
        <v>1136</v>
      </c>
    </row>
    <row r="37" spans="1:134" x14ac:dyDescent="0.2">
      <c r="A37" s="225" t="s">
        <v>983</v>
      </c>
      <c r="B37" s="632">
        <v>30</v>
      </c>
      <c r="C37" s="770">
        <v>0</v>
      </c>
      <c r="D37" s="830">
        <v>0</v>
      </c>
      <c r="E37" s="830">
        <v>0</v>
      </c>
      <c r="F37" s="866">
        <v>0</v>
      </c>
      <c r="G37" s="830">
        <v>0</v>
      </c>
      <c r="H37" s="830">
        <v>0</v>
      </c>
      <c r="I37" s="828">
        <f t="shared" si="0"/>
        <v>0</v>
      </c>
      <c r="J37" s="832">
        <v>0</v>
      </c>
      <c r="K37" s="832">
        <v>0</v>
      </c>
      <c r="L37" s="830">
        <v>0</v>
      </c>
      <c r="M37" s="802">
        <v>0</v>
      </c>
      <c r="N37" s="832">
        <v>0</v>
      </c>
      <c r="O37" s="833">
        <v>0</v>
      </c>
      <c r="P37" s="832">
        <v>0</v>
      </c>
      <c r="Q37" s="832">
        <v>0</v>
      </c>
      <c r="R37" s="781">
        <v>0</v>
      </c>
      <c r="S37" s="830">
        <v>0</v>
      </c>
      <c r="T37" s="830">
        <v>0</v>
      </c>
      <c r="U37" s="834">
        <v>0</v>
      </c>
      <c r="V37" s="832">
        <v>0</v>
      </c>
      <c r="W37" s="831">
        <v>0</v>
      </c>
      <c r="X37" s="783">
        <v>0</v>
      </c>
      <c r="Y37" s="830">
        <v>0</v>
      </c>
      <c r="Z37" s="833">
        <v>0</v>
      </c>
      <c r="AA37" s="802">
        <v>0</v>
      </c>
      <c r="AB37" s="835">
        <v>0</v>
      </c>
      <c r="AC37" s="1094">
        <v>0</v>
      </c>
      <c r="AD37" s="833">
        <v>0</v>
      </c>
      <c r="AE37" s="836">
        <v>0</v>
      </c>
      <c r="AF37" s="836">
        <v>0</v>
      </c>
      <c r="AG37" s="827">
        <f t="shared" si="1"/>
        <v>0</v>
      </c>
      <c r="AH37" s="827">
        <f t="shared" si="2"/>
        <v>0</v>
      </c>
      <c r="AI37" s="466">
        <f t="shared" si="3"/>
        <v>0</v>
      </c>
      <c r="AJ37" s="467" t="str">
        <f t="shared" si="4"/>
        <v xml:space="preserve"> </v>
      </c>
      <c r="AS37" s="139" t="s">
        <v>929</v>
      </c>
      <c r="AT37" s="139" t="s">
        <v>928</v>
      </c>
      <c r="DS37" s="648"/>
      <c r="DT37" s="648"/>
      <c r="DU37" s="667" t="s">
        <v>415</v>
      </c>
      <c r="DV37" s="667" t="s">
        <v>1188</v>
      </c>
      <c r="DW37" s="667" t="s">
        <v>1134</v>
      </c>
      <c r="DX37" s="667" t="s">
        <v>1134</v>
      </c>
      <c r="DY37" s="669" t="s">
        <v>1254</v>
      </c>
      <c r="DZ37" s="667" t="s">
        <v>1134</v>
      </c>
      <c r="EA37" s="670" t="s">
        <v>929</v>
      </c>
      <c r="EB37" s="667" t="s">
        <v>1135</v>
      </c>
      <c r="EC37" s="667" t="s">
        <v>1134</v>
      </c>
      <c r="ED37" s="667" t="s">
        <v>1136</v>
      </c>
    </row>
    <row r="38" spans="1:134" x14ac:dyDescent="0.2">
      <c r="A38" s="225" t="s">
        <v>561</v>
      </c>
      <c r="B38" s="632">
        <v>31</v>
      </c>
      <c r="C38" s="770">
        <v>0</v>
      </c>
      <c r="D38" s="830">
        <v>0</v>
      </c>
      <c r="E38" s="830">
        <v>0</v>
      </c>
      <c r="F38" s="866">
        <v>0</v>
      </c>
      <c r="G38" s="830">
        <v>0</v>
      </c>
      <c r="H38" s="830">
        <v>0</v>
      </c>
      <c r="I38" s="828">
        <f t="shared" si="0"/>
        <v>0</v>
      </c>
      <c r="J38" s="832">
        <v>0</v>
      </c>
      <c r="K38" s="832">
        <v>0</v>
      </c>
      <c r="L38" s="830">
        <v>0</v>
      </c>
      <c r="M38" s="802">
        <v>0</v>
      </c>
      <c r="N38" s="832">
        <v>0</v>
      </c>
      <c r="O38" s="833">
        <v>0</v>
      </c>
      <c r="P38" s="832">
        <v>0</v>
      </c>
      <c r="Q38" s="832">
        <v>0</v>
      </c>
      <c r="R38" s="781">
        <v>0</v>
      </c>
      <c r="S38" s="830">
        <v>0</v>
      </c>
      <c r="T38" s="830">
        <v>0</v>
      </c>
      <c r="U38" s="834">
        <v>0</v>
      </c>
      <c r="V38" s="832">
        <v>0</v>
      </c>
      <c r="W38" s="831">
        <v>0</v>
      </c>
      <c r="X38" s="783">
        <v>0</v>
      </c>
      <c r="Y38" s="830">
        <v>0</v>
      </c>
      <c r="Z38" s="833">
        <v>0</v>
      </c>
      <c r="AA38" s="802">
        <v>0</v>
      </c>
      <c r="AB38" s="835">
        <v>0</v>
      </c>
      <c r="AC38" s="1094">
        <v>0</v>
      </c>
      <c r="AD38" s="833">
        <v>0</v>
      </c>
      <c r="AE38" s="836">
        <v>0</v>
      </c>
      <c r="AF38" s="836">
        <v>0</v>
      </c>
      <c r="AG38" s="827">
        <f t="shared" si="1"/>
        <v>0</v>
      </c>
      <c r="AH38" s="827">
        <f t="shared" si="2"/>
        <v>0</v>
      </c>
      <c r="AI38" s="466">
        <f t="shared" si="3"/>
        <v>0</v>
      </c>
      <c r="AJ38" s="467" t="str">
        <f t="shared" si="4"/>
        <v xml:space="preserve"> </v>
      </c>
      <c r="AS38" s="139" t="s">
        <v>515</v>
      </c>
      <c r="AT38" s="139" t="s">
        <v>516</v>
      </c>
      <c r="DS38" s="648"/>
      <c r="DT38" s="648"/>
      <c r="DU38" s="667" t="s">
        <v>415</v>
      </c>
      <c r="DV38" s="667" t="s">
        <v>1188</v>
      </c>
      <c r="DW38" s="667" t="s">
        <v>1134</v>
      </c>
      <c r="DX38" s="667" t="s">
        <v>1134</v>
      </c>
      <c r="DY38" s="669" t="s">
        <v>1254</v>
      </c>
      <c r="DZ38" s="667" t="s">
        <v>1134</v>
      </c>
      <c r="EA38" s="670" t="s">
        <v>515</v>
      </c>
      <c r="EB38" s="667" t="s">
        <v>1135</v>
      </c>
      <c r="EC38" s="667" t="s">
        <v>1134</v>
      </c>
      <c r="ED38" s="667" t="s">
        <v>1136</v>
      </c>
    </row>
    <row r="39" spans="1:134" x14ac:dyDescent="0.2">
      <c r="A39" s="225" t="s">
        <v>562</v>
      </c>
      <c r="B39" s="632">
        <v>32</v>
      </c>
      <c r="C39" s="770">
        <v>0</v>
      </c>
      <c r="D39" s="830">
        <v>0</v>
      </c>
      <c r="E39" s="830">
        <v>0</v>
      </c>
      <c r="F39" s="866">
        <v>0</v>
      </c>
      <c r="G39" s="830">
        <v>0</v>
      </c>
      <c r="H39" s="830">
        <v>0</v>
      </c>
      <c r="I39" s="828">
        <f t="shared" si="0"/>
        <v>0</v>
      </c>
      <c r="J39" s="832">
        <v>0</v>
      </c>
      <c r="K39" s="832">
        <v>0</v>
      </c>
      <c r="L39" s="830">
        <v>0</v>
      </c>
      <c r="M39" s="802">
        <v>0</v>
      </c>
      <c r="N39" s="832">
        <v>0</v>
      </c>
      <c r="O39" s="833">
        <v>0</v>
      </c>
      <c r="P39" s="832">
        <v>0</v>
      </c>
      <c r="Q39" s="832">
        <v>0</v>
      </c>
      <c r="R39" s="781">
        <v>0</v>
      </c>
      <c r="S39" s="830">
        <v>0</v>
      </c>
      <c r="T39" s="830">
        <v>0</v>
      </c>
      <c r="U39" s="834">
        <v>0</v>
      </c>
      <c r="V39" s="832">
        <v>0</v>
      </c>
      <c r="W39" s="831">
        <v>0</v>
      </c>
      <c r="X39" s="783">
        <v>0</v>
      </c>
      <c r="Y39" s="830">
        <v>0</v>
      </c>
      <c r="Z39" s="833">
        <v>0</v>
      </c>
      <c r="AA39" s="802">
        <v>0</v>
      </c>
      <c r="AB39" s="835">
        <v>0</v>
      </c>
      <c r="AC39" s="1094">
        <v>0</v>
      </c>
      <c r="AD39" s="833">
        <v>0</v>
      </c>
      <c r="AE39" s="836">
        <v>0</v>
      </c>
      <c r="AF39" s="836">
        <v>0</v>
      </c>
      <c r="AG39" s="827">
        <f t="shared" si="1"/>
        <v>0</v>
      </c>
      <c r="AH39" s="827">
        <f t="shared" si="2"/>
        <v>0</v>
      </c>
      <c r="AI39" s="466">
        <f t="shared" si="3"/>
        <v>0</v>
      </c>
      <c r="AJ39" s="467" t="str">
        <f t="shared" si="4"/>
        <v xml:space="preserve"> </v>
      </c>
      <c r="AS39" s="139" t="s">
        <v>517</v>
      </c>
      <c r="AT39" s="139" t="s">
        <v>518</v>
      </c>
      <c r="DS39" s="648"/>
      <c r="DT39" s="648"/>
      <c r="DU39" s="667" t="s">
        <v>415</v>
      </c>
      <c r="DV39" s="667" t="s">
        <v>1188</v>
      </c>
      <c r="DW39" s="667" t="s">
        <v>1134</v>
      </c>
      <c r="DX39" s="667" t="s">
        <v>1134</v>
      </c>
      <c r="DY39" s="669" t="s">
        <v>1254</v>
      </c>
      <c r="DZ39" s="667" t="s">
        <v>1134</v>
      </c>
      <c r="EA39" s="670" t="s">
        <v>517</v>
      </c>
      <c r="EB39" s="667" t="s">
        <v>1135</v>
      </c>
      <c r="EC39" s="667" t="s">
        <v>1134</v>
      </c>
      <c r="ED39" s="667" t="s">
        <v>1136</v>
      </c>
    </row>
    <row r="40" spans="1:134" x14ac:dyDescent="0.2">
      <c r="A40" s="225" t="s">
        <v>128</v>
      </c>
      <c r="B40" s="632">
        <v>33</v>
      </c>
      <c r="C40" s="770">
        <v>0</v>
      </c>
      <c r="D40" s="830">
        <v>0</v>
      </c>
      <c r="E40" s="830">
        <v>0</v>
      </c>
      <c r="F40" s="866">
        <v>0</v>
      </c>
      <c r="G40" s="830">
        <v>0</v>
      </c>
      <c r="H40" s="830">
        <v>0</v>
      </c>
      <c r="I40" s="828">
        <f t="shared" si="0"/>
        <v>0</v>
      </c>
      <c r="J40" s="832">
        <v>0</v>
      </c>
      <c r="K40" s="832">
        <v>0</v>
      </c>
      <c r="L40" s="830">
        <v>0</v>
      </c>
      <c r="M40" s="802">
        <v>0</v>
      </c>
      <c r="N40" s="832">
        <v>0</v>
      </c>
      <c r="O40" s="833">
        <v>0</v>
      </c>
      <c r="P40" s="832">
        <v>0</v>
      </c>
      <c r="Q40" s="832">
        <v>0</v>
      </c>
      <c r="R40" s="781">
        <v>0</v>
      </c>
      <c r="S40" s="830">
        <v>0</v>
      </c>
      <c r="T40" s="830">
        <v>0</v>
      </c>
      <c r="U40" s="834">
        <v>0</v>
      </c>
      <c r="V40" s="832">
        <v>0</v>
      </c>
      <c r="W40" s="831">
        <v>0</v>
      </c>
      <c r="X40" s="783">
        <v>0</v>
      </c>
      <c r="Y40" s="830">
        <v>0</v>
      </c>
      <c r="Z40" s="833">
        <v>0</v>
      </c>
      <c r="AA40" s="802">
        <v>0</v>
      </c>
      <c r="AB40" s="835">
        <v>0</v>
      </c>
      <c r="AC40" s="1094">
        <v>0</v>
      </c>
      <c r="AD40" s="833">
        <v>0</v>
      </c>
      <c r="AE40" s="836">
        <v>0</v>
      </c>
      <c r="AF40" s="836">
        <v>0</v>
      </c>
      <c r="AG40" s="827">
        <f t="shared" si="1"/>
        <v>0</v>
      </c>
      <c r="AH40" s="827">
        <f t="shared" si="2"/>
        <v>0</v>
      </c>
      <c r="AI40" s="466">
        <f t="shared" si="3"/>
        <v>0</v>
      </c>
      <c r="AJ40" s="467" t="str">
        <f t="shared" si="4"/>
        <v xml:space="preserve"> </v>
      </c>
      <c r="AS40" s="139" t="s">
        <v>264</v>
      </c>
      <c r="AT40" s="139" t="s">
        <v>263</v>
      </c>
      <c r="DS40" s="648"/>
      <c r="DT40" s="648"/>
      <c r="DU40" s="667" t="s">
        <v>415</v>
      </c>
      <c r="DV40" s="667" t="s">
        <v>1188</v>
      </c>
      <c r="DW40" s="667" t="s">
        <v>1134</v>
      </c>
      <c r="DX40" s="667" t="s">
        <v>1134</v>
      </c>
      <c r="DY40" s="669" t="s">
        <v>1254</v>
      </c>
      <c r="DZ40" s="667" t="s">
        <v>1134</v>
      </c>
      <c r="EA40" s="670" t="s">
        <v>264</v>
      </c>
      <c r="EB40" s="667" t="s">
        <v>1135</v>
      </c>
      <c r="EC40" s="667" t="s">
        <v>1134</v>
      </c>
      <c r="ED40" s="667" t="s">
        <v>1136</v>
      </c>
    </row>
    <row r="41" spans="1:134" x14ac:dyDescent="0.2">
      <c r="A41" s="225" t="s">
        <v>151</v>
      </c>
      <c r="B41" s="632">
        <v>34</v>
      </c>
      <c r="C41" s="770">
        <v>0</v>
      </c>
      <c r="D41" s="830">
        <v>0</v>
      </c>
      <c r="E41" s="830">
        <v>0</v>
      </c>
      <c r="F41" s="866">
        <v>0</v>
      </c>
      <c r="G41" s="830">
        <v>0</v>
      </c>
      <c r="H41" s="830">
        <v>0</v>
      </c>
      <c r="I41" s="828">
        <f t="shared" si="0"/>
        <v>0</v>
      </c>
      <c r="J41" s="832">
        <v>0</v>
      </c>
      <c r="K41" s="832">
        <v>0</v>
      </c>
      <c r="L41" s="830">
        <v>0</v>
      </c>
      <c r="M41" s="802">
        <v>0</v>
      </c>
      <c r="N41" s="832">
        <v>0</v>
      </c>
      <c r="O41" s="833">
        <v>0</v>
      </c>
      <c r="P41" s="832">
        <v>0</v>
      </c>
      <c r="Q41" s="832">
        <v>0</v>
      </c>
      <c r="R41" s="781">
        <v>0</v>
      </c>
      <c r="S41" s="830">
        <v>0</v>
      </c>
      <c r="T41" s="830">
        <v>0</v>
      </c>
      <c r="U41" s="834">
        <v>0</v>
      </c>
      <c r="V41" s="832">
        <v>0</v>
      </c>
      <c r="W41" s="831">
        <v>0</v>
      </c>
      <c r="X41" s="783">
        <v>0</v>
      </c>
      <c r="Y41" s="830">
        <v>0</v>
      </c>
      <c r="Z41" s="833">
        <v>0</v>
      </c>
      <c r="AA41" s="802">
        <v>0</v>
      </c>
      <c r="AB41" s="835">
        <v>0</v>
      </c>
      <c r="AC41" s="1094">
        <v>0</v>
      </c>
      <c r="AD41" s="833">
        <v>0</v>
      </c>
      <c r="AE41" s="836">
        <v>0</v>
      </c>
      <c r="AF41" s="836">
        <v>0</v>
      </c>
      <c r="AG41" s="827">
        <f t="shared" si="1"/>
        <v>0</v>
      </c>
      <c r="AH41" s="827">
        <f t="shared" si="2"/>
        <v>0</v>
      </c>
      <c r="AI41" s="466">
        <f t="shared" si="3"/>
        <v>0</v>
      </c>
      <c r="AJ41" s="467" t="str">
        <f t="shared" si="4"/>
        <v xml:space="preserve"> </v>
      </c>
      <c r="AS41" s="139" t="s">
        <v>469</v>
      </c>
      <c r="AT41" s="139" t="s">
        <v>470</v>
      </c>
      <c r="DS41" s="648"/>
      <c r="DT41" s="648"/>
      <c r="DU41" s="667" t="s">
        <v>415</v>
      </c>
      <c r="DV41" s="667" t="s">
        <v>1188</v>
      </c>
      <c r="DW41" s="667" t="s">
        <v>1134</v>
      </c>
      <c r="DX41" s="667" t="s">
        <v>1134</v>
      </c>
      <c r="DY41" s="669" t="s">
        <v>1254</v>
      </c>
      <c r="DZ41" s="667" t="s">
        <v>1134</v>
      </c>
      <c r="EA41" s="670" t="s">
        <v>469</v>
      </c>
      <c r="EB41" s="667" t="s">
        <v>1135</v>
      </c>
      <c r="EC41" s="667" t="s">
        <v>1134</v>
      </c>
      <c r="ED41" s="667" t="s">
        <v>1136</v>
      </c>
    </row>
    <row r="42" spans="1:134" x14ac:dyDescent="0.2">
      <c r="A42" s="225" t="s">
        <v>129</v>
      </c>
      <c r="B42" s="632">
        <v>35</v>
      </c>
      <c r="C42" s="770">
        <v>0</v>
      </c>
      <c r="D42" s="830">
        <v>0</v>
      </c>
      <c r="E42" s="830">
        <v>0</v>
      </c>
      <c r="F42" s="866">
        <v>0</v>
      </c>
      <c r="G42" s="830">
        <v>0</v>
      </c>
      <c r="H42" s="830">
        <v>0</v>
      </c>
      <c r="I42" s="828">
        <f t="shared" si="0"/>
        <v>0</v>
      </c>
      <c r="J42" s="832">
        <v>0</v>
      </c>
      <c r="K42" s="832">
        <v>0</v>
      </c>
      <c r="L42" s="830">
        <v>0</v>
      </c>
      <c r="M42" s="802">
        <v>0</v>
      </c>
      <c r="N42" s="832">
        <v>0</v>
      </c>
      <c r="O42" s="833">
        <v>0</v>
      </c>
      <c r="P42" s="832">
        <v>0</v>
      </c>
      <c r="Q42" s="832">
        <v>0</v>
      </c>
      <c r="R42" s="781">
        <v>0</v>
      </c>
      <c r="S42" s="830">
        <v>0</v>
      </c>
      <c r="T42" s="830">
        <v>0</v>
      </c>
      <c r="U42" s="834">
        <v>0</v>
      </c>
      <c r="V42" s="832">
        <v>0</v>
      </c>
      <c r="W42" s="831">
        <v>0</v>
      </c>
      <c r="X42" s="783">
        <v>0</v>
      </c>
      <c r="Y42" s="830">
        <v>0</v>
      </c>
      <c r="Z42" s="833">
        <v>0</v>
      </c>
      <c r="AA42" s="802">
        <v>0</v>
      </c>
      <c r="AB42" s="835">
        <v>0</v>
      </c>
      <c r="AC42" s="1094">
        <v>0</v>
      </c>
      <c r="AD42" s="833">
        <v>0</v>
      </c>
      <c r="AE42" s="836">
        <v>0</v>
      </c>
      <c r="AF42" s="836">
        <v>0</v>
      </c>
      <c r="AG42" s="827">
        <f t="shared" si="1"/>
        <v>0</v>
      </c>
      <c r="AH42" s="827">
        <f t="shared" si="2"/>
        <v>0</v>
      </c>
      <c r="AI42" s="466">
        <f t="shared" si="3"/>
        <v>0</v>
      </c>
      <c r="AJ42" s="467" t="str">
        <f t="shared" si="4"/>
        <v xml:space="preserve"> </v>
      </c>
      <c r="AS42" s="139" t="s">
        <v>266</v>
      </c>
      <c r="AT42" s="139" t="s">
        <v>265</v>
      </c>
      <c r="DS42" s="648"/>
      <c r="DT42" s="648"/>
      <c r="DU42" s="667" t="s">
        <v>415</v>
      </c>
      <c r="DV42" s="667" t="s">
        <v>1188</v>
      </c>
      <c r="DW42" s="667" t="s">
        <v>1134</v>
      </c>
      <c r="DX42" s="667" t="s">
        <v>1134</v>
      </c>
      <c r="DY42" s="669" t="s">
        <v>1254</v>
      </c>
      <c r="DZ42" s="667" t="s">
        <v>1134</v>
      </c>
      <c r="EA42" s="670" t="s">
        <v>266</v>
      </c>
      <c r="EB42" s="667" t="s">
        <v>1135</v>
      </c>
      <c r="EC42" s="667" t="s">
        <v>1134</v>
      </c>
      <c r="ED42" s="667" t="s">
        <v>1136</v>
      </c>
    </row>
    <row r="43" spans="1:134" x14ac:dyDescent="0.2">
      <c r="A43" s="225" t="s">
        <v>939</v>
      </c>
      <c r="B43" s="632">
        <v>36</v>
      </c>
      <c r="C43" s="770">
        <v>0</v>
      </c>
      <c r="D43" s="830">
        <v>0</v>
      </c>
      <c r="E43" s="830">
        <v>0</v>
      </c>
      <c r="F43" s="866">
        <v>0</v>
      </c>
      <c r="G43" s="830">
        <v>0</v>
      </c>
      <c r="H43" s="830">
        <v>0</v>
      </c>
      <c r="I43" s="828">
        <f t="shared" si="0"/>
        <v>0</v>
      </c>
      <c r="J43" s="832">
        <v>0</v>
      </c>
      <c r="K43" s="832">
        <v>0</v>
      </c>
      <c r="L43" s="830">
        <v>0</v>
      </c>
      <c r="M43" s="802">
        <v>0</v>
      </c>
      <c r="N43" s="832">
        <v>0</v>
      </c>
      <c r="O43" s="833">
        <v>0</v>
      </c>
      <c r="P43" s="832">
        <v>0</v>
      </c>
      <c r="Q43" s="832">
        <v>0</v>
      </c>
      <c r="R43" s="781">
        <v>0</v>
      </c>
      <c r="S43" s="830">
        <v>0</v>
      </c>
      <c r="T43" s="830">
        <v>0</v>
      </c>
      <c r="U43" s="834">
        <v>0</v>
      </c>
      <c r="V43" s="832">
        <v>0</v>
      </c>
      <c r="W43" s="831">
        <v>0</v>
      </c>
      <c r="X43" s="783">
        <v>0</v>
      </c>
      <c r="Y43" s="830">
        <v>0</v>
      </c>
      <c r="Z43" s="833">
        <v>0</v>
      </c>
      <c r="AA43" s="802">
        <v>0</v>
      </c>
      <c r="AB43" s="835">
        <v>0</v>
      </c>
      <c r="AC43" s="1094">
        <v>0</v>
      </c>
      <c r="AD43" s="833">
        <v>0</v>
      </c>
      <c r="AE43" s="836">
        <v>0</v>
      </c>
      <c r="AF43" s="836">
        <v>0</v>
      </c>
      <c r="AG43" s="827">
        <f t="shared" si="1"/>
        <v>0</v>
      </c>
      <c r="AH43" s="827">
        <f t="shared" si="2"/>
        <v>0</v>
      </c>
      <c r="AI43" s="466">
        <f t="shared" si="3"/>
        <v>0</v>
      </c>
      <c r="AJ43" s="467" t="str">
        <f t="shared" si="4"/>
        <v xml:space="preserve"> </v>
      </c>
      <c r="AS43" s="139" t="s">
        <v>519</v>
      </c>
      <c r="AT43" s="139" t="s">
        <v>520</v>
      </c>
      <c r="DS43" s="648"/>
      <c r="DT43" s="648"/>
      <c r="DU43" s="667" t="s">
        <v>415</v>
      </c>
      <c r="DV43" s="667" t="s">
        <v>1188</v>
      </c>
      <c r="DW43" s="667" t="s">
        <v>1134</v>
      </c>
      <c r="DX43" s="667" t="s">
        <v>1134</v>
      </c>
      <c r="DY43" s="669" t="s">
        <v>1254</v>
      </c>
      <c r="DZ43" s="667" t="s">
        <v>1134</v>
      </c>
      <c r="EA43" s="670" t="s">
        <v>519</v>
      </c>
      <c r="EB43" s="667" t="s">
        <v>1135</v>
      </c>
      <c r="EC43" s="667" t="s">
        <v>1134</v>
      </c>
      <c r="ED43" s="667" t="s">
        <v>1136</v>
      </c>
    </row>
    <row r="44" spans="1:134" x14ac:dyDescent="0.2">
      <c r="A44" s="225" t="s">
        <v>568</v>
      </c>
      <c r="B44" s="632">
        <v>37</v>
      </c>
      <c r="C44" s="770">
        <v>0</v>
      </c>
      <c r="D44" s="830">
        <v>0</v>
      </c>
      <c r="E44" s="830">
        <v>0</v>
      </c>
      <c r="F44" s="866">
        <v>0</v>
      </c>
      <c r="G44" s="830">
        <v>0</v>
      </c>
      <c r="H44" s="830">
        <v>0</v>
      </c>
      <c r="I44" s="828">
        <f t="shared" si="0"/>
        <v>0</v>
      </c>
      <c r="J44" s="832">
        <v>0</v>
      </c>
      <c r="K44" s="832">
        <v>0</v>
      </c>
      <c r="L44" s="830">
        <v>0</v>
      </c>
      <c r="M44" s="802">
        <v>0</v>
      </c>
      <c r="N44" s="832">
        <v>0</v>
      </c>
      <c r="O44" s="833">
        <v>0</v>
      </c>
      <c r="P44" s="832">
        <v>0</v>
      </c>
      <c r="Q44" s="832">
        <v>0</v>
      </c>
      <c r="R44" s="781">
        <v>0</v>
      </c>
      <c r="S44" s="830">
        <v>0</v>
      </c>
      <c r="T44" s="830">
        <v>0</v>
      </c>
      <c r="U44" s="834">
        <v>0</v>
      </c>
      <c r="V44" s="832">
        <v>0</v>
      </c>
      <c r="W44" s="831">
        <v>0</v>
      </c>
      <c r="X44" s="783">
        <v>0</v>
      </c>
      <c r="Y44" s="830">
        <v>0</v>
      </c>
      <c r="Z44" s="833">
        <v>0</v>
      </c>
      <c r="AA44" s="802">
        <v>0</v>
      </c>
      <c r="AB44" s="835">
        <v>0</v>
      </c>
      <c r="AC44" s="1094">
        <v>0</v>
      </c>
      <c r="AD44" s="833">
        <v>0</v>
      </c>
      <c r="AE44" s="836">
        <v>0</v>
      </c>
      <c r="AF44" s="836">
        <v>0</v>
      </c>
      <c r="AG44" s="827">
        <f t="shared" si="1"/>
        <v>0</v>
      </c>
      <c r="AH44" s="827">
        <f t="shared" si="2"/>
        <v>0</v>
      </c>
      <c r="AI44" s="466">
        <f t="shared" si="3"/>
        <v>0</v>
      </c>
      <c r="AJ44" s="467" t="str">
        <f t="shared" si="4"/>
        <v xml:space="preserve"> </v>
      </c>
      <c r="AS44" s="139" t="s">
        <v>542</v>
      </c>
      <c r="AT44" s="139" t="s">
        <v>543</v>
      </c>
      <c r="DS44" s="648"/>
      <c r="DT44" s="648"/>
      <c r="DU44" s="667" t="s">
        <v>415</v>
      </c>
      <c r="DV44" s="667" t="s">
        <v>1188</v>
      </c>
      <c r="DW44" s="667" t="s">
        <v>1134</v>
      </c>
      <c r="DX44" s="667" t="s">
        <v>1134</v>
      </c>
      <c r="DY44" s="669" t="s">
        <v>1254</v>
      </c>
      <c r="DZ44" s="667" t="s">
        <v>1134</v>
      </c>
      <c r="EA44" s="670" t="s">
        <v>542</v>
      </c>
      <c r="EB44" s="667" t="s">
        <v>1135</v>
      </c>
      <c r="EC44" s="667" t="s">
        <v>1134</v>
      </c>
      <c r="ED44" s="667" t="s">
        <v>1136</v>
      </c>
    </row>
    <row r="45" spans="1:134" x14ac:dyDescent="0.2">
      <c r="A45" s="225" t="s">
        <v>130</v>
      </c>
      <c r="B45" s="632">
        <v>38</v>
      </c>
      <c r="C45" s="770">
        <v>0</v>
      </c>
      <c r="D45" s="830">
        <v>0</v>
      </c>
      <c r="E45" s="830">
        <v>0</v>
      </c>
      <c r="F45" s="866">
        <v>0</v>
      </c>
      <c r="G45" s="830">
        <v>0</v>
      </c>
      <c r="H45" s="830">
        <v>0</v>
      </c>
      <c r="I45" s="828">
        <f t="shared" si="0"/>
        <v>0</v>
      </c>
      <c r="J45" s="832">
        <v>0</v>
      </c>
      <c r="K45" s="832">
        <v>0</v>
      </c>
      <c r="L45" s="830">
        <v>0</v>
      </c>
      <c r="M45" s="802">
        <v>0</v>
      </c>
      <c r="N45" s="832">
        <v>0</v>
      </c>
      <c r="O45" s="833">
        <v>0</v>
      </c>
      <c r="P45" s="832">
        <v>0</v>
      </c>
      <c r="Q45" s="832">
        <v>0</v>
      </c>
      <c r="R45" s="781">
        <v>0</v>
      </c>
      <c r="S45" s="830">
        <v>0</v>
      </c>
      <c r="T45" s="830">
        <v>0</v>
      </c>
      <c r="U45" s="834">
        <v>0</v>
      </c>
      <c r="V45" s="832">
        <v>0</v>
      </c>
      <c r="W45" s="831">
        <v>0</v>
      </c>
      <c r="X45" s="783">
        <v>0</v>
      </c>
      <c r="Y45" s="830">
        <v>0</v>
      </c>
      <c r="Z45" s="833">
        <v>0</v>
      </c>
      <c r="AA45" s="802">
        <v>0</v>
      </c>
      <c r="AB45" s="835">
        <v>0</v>
      </c>
      <c r="AC45" s="1094">
        <v>0</v>
      </c>
      <c r="AD45" s="833">
        <v>0</v>
      </c>
      <c r="AE45" s="836">
        <v>0</v>
      </c>
      <c r="AF45" s="836">
        <v>0</v>
      </c>
      <c r="AG45" s="827">
        <f t="shared" si="1"/>
        <v>0</v>
      </c>
      <c r="AH45" s="827">
        <f t="shared" si="2"/>
        <v>0</v>
      </c>
      <c r="AI45" s="466">
        <f t="shared" si="3"/>
        <v>0</v>
      </c>
      <c r="AJ45" s="467" t="str">
        <f t="shared" si="4"/>
        <v xml:space="preserve"> </v>
      </c>
      <c r="AS45" s="139" t="s">
        <v>268</v>
      </c>
      <c r="AT45" s="139" t="s">
        <v>267</v>
      </c>
      <c r="DS45" s="648"/>
      <c r="DT45" s="648"/>
      <c r="DU45" s="667" t="s">
        <v>415</v>
      </c>
      <c r="DV45" s="667" t="s">
        <v>1188</v>
      </c>
      <c r="DW45" s="667" t="s">
        <v>1134</v>
      </c>
      <c r="DX45" s="667" t="s">
        <v>1134</v>
      </c>
      <c r="DY45" s="669" t="s">
        <v>1254</v>
      </c>
      <c r="DZ45" s="667" t="s">
        <v>1134</v>
      </c>
      <c r="EA45" s="670" t="s">
        <v>268</v>
      </c>
      <c r="EB45" s="667" t="s">
        <v>1135</v>
      </c>
      <c r="EC45" s="667" t="s">
        <v>1134</v>
      </c>
      <c r="ED45" s="667" t="s">
        <v>1136</v>
      </c>
    </row>
    <row r="46" spans="1:134" x14ac:dyDescent="0.2">
      <c r="A46" s="427" t="s">
        <v>131</v>
      </c>
      <c r="B46" s="632">
        <v>39</v>
      </c>
      <c r="C46" s="770">
        <v>0</v>
      </c>
      <c r="D46" s="830">
        <v>0</v>
      </c>
      <c r="E46" s="830">
        <v>0</v>
      </c>
      <c r="F46" s="866">
        <v>0</v>
      </c>
      <c r="G46" s="830">
        <v>0</v>
      </c>
      <c r="H46" s="830">
        <v>0</v>
      </c>
      <c r="I46" s="828">
        <f t="shared" si="0"/>
        <v>0</v>
      </c>
      <c r="J46" s="832">
        <v>0</v>
      </c>
      <c r="K46" s="832">
        <v>0</v>
      </c>
      <c r="L46" s="830">
        <v>0</v>
      </c>
      <c r="M46" s="802">
        <v>0</v>
      </c>
      <c r="N46" s="832">
        <v>0</v>
      </c>
      <c r="O46" s="833">
        <v>0</v>
      </c>
      <c r="P46" s="832">
        <v>0</v>
      </c>
      <c r="Q46" s="832">
        <v>0</v>
      </c>
      <c r="R46" s="781">
        <v>0</v>
      </c>
      <c r="S46" s="830">
        <v>0</v>
      </c>
      <c r="T46" s="830">
        <v>0</v>
      </c>
      <c r="U46" s="834">
        <v>0</v>
      </c>
      <c r="V46" s="832">
        <v>0</v>
      </c>
      <c r="W46" s="831">
        <v>0</v>
      </c>
      <c r="X46" s="783">
        <v>0</v>
      </c>
      <c r="Y46" s="830">
        <v>0</v>
      </c>
      <c r="Z46" s="833">
        <v>0</v>
      </c>
      <c r="AA46" s="802">
        <v>0</v>
      </c>
      <c r="AB46" s="835">
        <v>0</v>
      </c>
      <c r="AC46" s="1094">
        <v>0</v>
      </c>
      <c r="AD46" s="833">
        <v>0</v>
      </c>
      <c r="AE46" s="836">
        <v>0</v>
      </c>
      <c r="AF46" s="836">
        <v>0</v>
      </c>
      <c r="AG46" s="827">
        <f t="shared" si="1"/>
        <v>0</v>
      </c>
      <c r="AH46" s="827">
        <f t="shared" si="2"/>
        <v>0</v>
      </c>
      <c r="AI46" s="466">
        <f t="shared" si="3"/>
        <v>0</v>
      </c>
      <c r="AJ46" s="467" t="str">
        <f t="shared" si="4"/>
        <v xml:space="preserve"> </v>
      </c>
      <c r="AS46" s="139" t="s">
        <v>269</v>
      </c>
      <c r="AT46" s="139" t="s">
        <v>269</v>
      </c>
      <c r="DS46" s="648"/>
      <c r="DT46" s="648"/>
      <c r="DU46" s="667" t="s">
        <v>415</v>
      </c>
      <c r="DV46" s="667" t="s">
        <v>1188</v>
      </c>
      <c r="DW46" s="667" t="s">
        <v>1134</v>
      </c>
      <c r="DX46" s="667" t="s">
        <v>1134</v>
      </c>
      <c r="DY46" s="669" t="s">
        <v>1254</v>
      </c>
      <c r="DZ46" s="667" t="s">
        <v>1134</v>
      </c>
      <c r="EA46" s="670" t="s">
        <v>269</v>
      </c>
      <c r="EB46" s="667" t="s">
        <v>1135</v>
      </c>
      <c r="EC46" s="667" t="s">
        <v>1134</v>
      </c>
      <c r="ED46" s="667" t="s">
        <v>1136</v>
      </c>
    </row>
    <row r="47" spans="1:134" x14ac:dyDescent="0.2">
      <c r="A47" s="74" t="s">
        <v>1365</v>
      </c>
      <c r="B47" s="632">
        <v>40</v>
      </c>
      <c r="C47" s="770">
        <v>0</v>
      </c>
      <c r="D47" s="830">
        <v>0</v>
      </c>
      <c r="E47" s="830">
        <v>0</v>
      </c>
      <c r="F47" s="866">
        <v>0</v>
      </c>
      <c r="G47" s="830">
        <v>0</v>
      </c>
      <c r="H47" s="830">
        <v>0</v>
      </c>
      <c r="I47" s="828">
        <f t="shared" si="0"/>
        <v>0</v>
      </c>
      <c r="J47" s="832">
        <v>0</v>
      </c>
      <c r="K47" s="832">
        <v>0</v>
      </c>
      <c r="L47" s="830">
        <v>0</v>
      </c>
      <c r="M47" s="802">
        <v>0</v>
      </c>
      <c r="N47" s="832">
        <v>0</v>
      </c>
      <c r="O47" s="833">
        <v>0</v>
      </c>
      <c r="P47" s="832">
        <v>0</v>
      </c>
      <c r="Q47" s="832">
        <v>0</v>
      </c>
      <c r="R47" s="781">
        <v>0</v>
      </c>
      <c r="S47" s="830">
        <v>0</v>
      </c>
      <c r="T47" s="830">
        <v>0</v>
      </c>
      <c r="U47" s="834">
        <v>0</v>
      </c>
      <c r="V47" s="832">
        <v>0</v>
      </c>
      <c r="W47" s="831">
        <v>0</v>
      </c>
      <c r="X47" s="783">
        <v>0</v>
      </c>
      <c r="Y47" s="830">
        <v>0</v>
      </c>
      <c r="Z47" s="833">
        <v>0</v>
      </c>
      <c r="AA47" s="802">
        <v>0</v>
      </c>
      <c r="AB47" s="835">
        <v>0</v>
      </c>
      <c r="AC47" s="1094">
        <v>0</v>
      </c>
      <c r="AD47" s="833">
        <v>0</v>
      </c>
      <c r="AE47" s="836">
        <v>0</v>
      </c>
      <c r="AF47" s="836">
        <v>0</v>
      </c>
      <c r="AG47" s="827">
        <f t="shared" si="1"/>
        <v>0</v>
      </c>
      <c r="AH47" s="827">
        <f t="shared" si="2"/>
        <v>0</v>
      </c>
      <c r="AI47" s="466">
        <f t="shared" si="3"/>
        <v>0</v>
      </c>
      <c r="AJ47" s="467" t="str">
        <f t="shared" si="4"/>
        <v xml:space="preserve"> </v>
      </c>
      <c r="AS47" s="139" t="s">
        <v>541</v>
      </c>
      <c r="AT47" s="1085" t="s">
        <v>1402</v>
      </c>
      <c r="DS47" s="648"/>
      <c r="DT47" s="648"/>
      <c r="DU47" s="667" t="s">
        <v>415</v>
      </c>
      <c r="DV47" s="667" t="s">
        <v>1188</v>
      </c>
      <c r="DW47" s="667" t="s">
        <v>1134</v>
      </c>
      <c r="DX47" s="667" t="s">
        <v>1134</v>
      </c>
      <c r="DY47" s="669" t="s">
        <v>1254</v>
      </c>
      <c r="DZ47" s="667" t="s">
        <v>1134</v>
      </c>
      <c r="EA47" s="670" t="s">
        <v>541</v>
      </c>
      <c r="EB47" s="667" t="s">
        <v>1135</v>
      </c>
      <c r="EC47" s="667" t="s">
        <v>1134</v>
      </c>
      <c r="ED47" s="667" t="s">
        <v>1136</v>
      </c>
    </row>
    <row r="48" spans="1:134" x14ac:dyDescent="0.2">
      <c r="A48" s="427" t="s">
        <v>132</v>
      </c>
      <c r="B48" s="632">
        <v>41</v>
      </c>
      <c r="C48" s="770">
        <v>0</v>
      </c>
      <c r="D48" s="830">
        <v>0</v>
      </c>
      <c r="E48" s="830">
        <v>0</v>
      </c>
      <c r="F48" s="866">
        <v>0</v>
      </c>
      <c r="G48" s="830">
        <v>0</v>
      </c>
      <c r="H48" s="830">
        <v>0</v>
      </c>
      <c r="I48" s="828">
        <f t="shared" si="0"/>
        <v>0</v>
      </c>
      <c r="J48" s="832">
        <v>0</v>
      </c>
      <c r="K48" s="832">
        <v>0</v>
      </c>
      <c r="L48" s="830">
        <v>0</v>
      </c>
      <c r="M48" s="802">
        <v>0</v>
      </c>
      <c r="N48" s="832">
        <v>0</v>
      </c>
      <c r="O48" s="833">
        <v>0</v>
      </c>
      <c r="P48" s="832">
        <v>0</v>
      </c>
      <c r="Q48" s="832">
        <v>0</v>
      </c>
      <c r="R48" s="781">
        <v>0</v>
      </c>
      <c r="S48" s="830">
        <v>0</v>
      </c>
      <c r="T48" s="830">
        <v>0</v>
      </c>
      <c r="U48" s="834">
        <v>0</v>
      </c>
      <c r="V48" s="832">
        <v>0</v>
      </c>
      <c r="W48" s="831">
        <v>0</v>
      </c>
      <c r="X48" s="783">
        <v>0</v>
      </c>
      <c r="Y48" s="830">
        <v>0</v>
      </c>
      <c r="Z48" s="833">
        <v>0</v>
      </c>
      <c r="AA48" s="802">
        <v>0</v>
      </c>
      <c r="AB48" s="835">
        <v>0</v>
      </c>
      <c r="AC48" s="1094">
        <v>0</v>
      </c>
      <c r="AD48" s="833">
        <v>0</v>
      </c>
      <c r="AE48" s="836">
        <v>0</v>
      </c>
      <c r="AF48" s="836">
        <v>0</v>
      </c>
      <c r="AG48" s="827">
        <f t="shared" si="1"/>
        <v>0</v>
      </c>
      <c r="AH48" s="827">
        <f t="shared" si="2"/>
        <v>0</v>
      </c>
      <c r="AI48" s="466">
        <f t="shared" si="3"/>
        <v>0</v>
      </c>
      <c r="AJ48" s="467" t="str">
        <f t="shared" si="4"/>
        <v xml:space="preserve"> </v>
      </c>
      <c r="AS48" s="139" t="s">
        <v>271</v>
      </c>
      <c r="AT48" s="139" t="s">
        <v>270</v>
      </c>
      <c r="DS48" s="648"/>
      <c r="DT48" s="648"/>
      <c r="DU48" s="667" t="s">
        <v>415</v>
      </c>
      <c r="DV48" s="667" t="s">
        <v>1188</v>
      </c>
      <c r="DW48" s="667" t="s">
        <v>1134</v>
      </c>
      <c r="DX48" s="667" t="s">
        <v>1134</v>
      </c>
      <c r="DY48" s="669" t="s">
        <v>1254</v>
      </c>
      <c r="DZ48" s="667" t="s">
        <v>1134</v>
      </c>
      <c r="EA48" s="670" t="s">
        <v>271</v>
      </c>
      <c r="EB48" s="667" t="s">
        <v>1135</v>
      </c>
      <c r="EC48" s="667" t="s">
        <v>1134</v>
      </c>
      <c r="ED48" s="667" t="s">
        <v>1136</v>
      </c>
    </row>
    <row r="49" spans="1:134" x14ac:dyDescent="0.2">
      <c r="A49" s="427" t="s">
        <v>133</v>
      </c>
      <c r="B49" s="632">
        <v>42</v>
      </c>
      <c r="C49" s="770">
        <v>0</v>
      </c>
      <c r="D49" s="830">
        <v>0</v>
      </c>
      <c r="E49" s="830">
        <v>0</v>
      </c>
      <c r="F49" s="866">
        <v>0</v>
      </c>
      <c r="G49" s="830">
        <v>0</v>
      </c>
      <c r="H49" s="830">
        <v>0</v>
      </c>
      <c r="I49" s="828">
        <f t="shared" si="0"/>
        <v>0</v>
      </c>
      <c r="J49" s="832">
        <v>0</v>
      </c>
      <c r="K49" s="832">
        <v>0</v>
      </c>
      <c r="L49" s="830">
        <v>0</v>
      </c>
      <c r="M49" s="802">
        <v>0</v>
      </c>
      <c r="N49" s="832">
        <v>0</v>
      </c>
      <c r="O49" s="833">
        <v>0</v>
      </c>
      <c r="P49" s="832">
        <v>0</v>
      </c>
      <c r="Q49" s="832">
        <v>0</v>
      </c>
      <c r="R49" s="781">
        <v>0</v>
      </c>
      <c r="S49" s="830">
        <v>0</v>
      </c>
      <c r="T49" s="830">
        <v>0</v>
      </c>
      <c r="U49" s="834">
        <v>0</v>
      </c>
      <c r="V49" s="832">
        <v>0</v>
      </c>
      <c r="W49" s="831">
        <v>0</v>
      </c>
      <c r="X49" s="783">
        <v>0</v>
      </c>
      <c r="Y49" s="830">
        <v>0</v>
      </c>
      <c r="Z49" s="833">
        <v>0</v>
      </c>
      <c r="AA49" s="802">
        <v>0</v>
      </c>
      <c r="AB49" s="835">
        <v>0</v>
      </c>
      <c r="AC49" s="1094">
        <v>0</v>
      </c>
      <c r="AD49" s="833">
        <v>0</v>
      </c>
      <c r="AE49" s="836">
        <v>0</v>
      </c>
      <c r="AF49" s="836">
        <v>0</v>
      </c>
      <c r="AG49" s="827">
        <f t="shared" si="1"/>
        <v>0</v>
      </c>
      <c r="AH49" s="827">
        <f t="shared" si="2"/>
        <v>0</v>
      </c>
      <c r="AI49" s="466">
        <f t="shared" si="3"/>
        <v>0</v>
      </c>
      <c r="AJ49" s="467" t="str">
        <f t="shared" si="4"/>
        <v xml:space="preserve"> </v>
      </c>
      <c r="AS49" s="139" t="s">
        <v>273</v>
      </c>
      <c r="AT49" s="139" t="s">
        <v>272</v>
      </c>
      <c r="DS49" s="648"/>
      <c r="DT49" s="648"/>
      <c r="DU49" s="667" t="s">
        <v>415</v>
      </c>
      <c r="DV49" s="667" t="s">
        <v>1188</v>
      </c>
      <c r="DW49" s="667" t="s">
        <v>1134</v>
      </c>
      <c r="DX49" s="667" t="s">
        <v>1134</v>
      </c>
      <c r="DY49" s="669" t="s">
        <v>1254</v>
      </c>
      <c r="DZ49" s="667" t="s">
        <v>1134</v>
      </c>
      <c r="EA49" s="670" t="s">
        <v>273</v>
      </c>
      <c r="EB49" s="667" t="s">
        <v>1135</v>
      </c>
      <c r="EC49" s="667" t="s">
        <v>1134</v>
      </c>
      <c r="ED49" s="667" t="s">
        <v>1136</v>
      </c>
    </row>
    <row r="50" spans="1:134" x14ac:dyDescent="0.2">
      <c r="A50" s="427" t="s">
        <v>134</v>
      </c>
      <c r="B50" s="632">
        <v>43</v>
      </c>
      <c r="C50" s="770">
        <v>0</v>
      </c>
      <c r="D50" s="830">
        <v>0</v>
      </c>
      <c r="E50" s="830">
        <v>0</v>
      </c>
      <c r="F50" s="866">
        <v>0</v>
      </c>
      <c r="G50" s="830">
        <v>0</v>
      </c>
      <c r="H50" s="830">
        <v>0</v>
      </c>
      <c r="I50" s="828">
        <f t="shared" si="0"/>
        <v>0</v>
      </c>
      <c r="J50" s="832">
        <v>0</v>
      </c>
      <c r="K50" s="832">
        <v>0</v>
      </c>
      <c r="L50" s="830">
        <v>0</v>
      </c>
      <c r="M50" s="802">
        <v>0</v>
      </c>
      <c r="N50" s="832">
        <v>0</v>
      </c>
      <c r="O50" s="833">
        <v>0</v>
      </c>
      <c r="P50" s="832">
        <v>0</v>
      </c>
      <c r="Q50" s="832">
        <v>0</v>
      </c>
      <c r="R50" s="781">
        <v>0</v>
      </c>
      <c r="S50" s="830">
        <v>0</v>
      </c>
      <c r="T50" s="830">
        <v>0</v>
      </c>
      <c r="U50" s="834">
        <v>0</v>
      </c>
      <c r="V50" s="832">
        <v>0</v>
      </c>
      <c r="W50" s="831">
        <v>0</v>
      </c>
      <c r="X50" s="783">
        <v>0</v>
      </c>
      <c r="Y50" s="830">
        <v>0</v>
      </c>
      <c r="Z50" s="833">
        <v>0</v>
      </c>
      <c r="AA50" s="802">
        <v>0</v>
      </c>
      <c r="AB50" s="835">
        <v>0</v>
      </c>
      <c r="AC50" s="1094">
        <v>0</v>
      </c>
      <c r="AD50" s="833">
        <v>0</v>
      </c>
      <c r="AE50" s="836">
        <v>0</v>
      </c>
      <c r="AF50" s="836">
        <v>0</v>
      </c>
      <c r="AG50" s="827">
        <f t="shared" si="1"/>
        <v>0</v>
      </c>
      <c r="AH50" s="827">
        <f t="shared" si="2"/>
        <v>0</v>
      </c>
      <c r="AI50" s="466">
        <f t="shared" si="3"/>
        <v>0</v>
      </c>
      <c r="AJ50" s="467" t="str">
        <f t="shared" si="4"/>
        <v xml:space="preserve"> </v>
      </c>
      <c r="AS50" s="139" t="s">
        <v>275</v>
      </c>
      <c r="AT50" s="139" t="s">
        <v>274</v>
      </c>
      <c r="DS50" s="648"/>
      <c r="DT50" s="648"/>
      <c r="DU50" s="667" t="s">
        <v>415</v>
      </c>
      <c r="DV50" s="667" t="s">
        <v>1188</v>
      </c>
      <c r="DW50" s="667" t="s">
        <v>1134</v>
      </c>
      <c r="DX50" s="667" t="s">
        <v>1134</v>
      </c>
      <c r="DY50" s="669" t="s">
        <v>1254</v>
      </c>
      <c r="DZ50" s="667" t="s">
        <v>1134</v>
      </c>
      <c r="EA50" s="670" t="s">
        <v>275</v>
      </c>
      <c r="EB50" s="667" t="s">
        <v>1135</v>
      </c>
      <c r="EC50" s="667" t="s">
        <v>1134</v>
      </c>
      <c r="ED50" s="667" t="s">
        <v>1136</v>
      </c>
    </row>
    <row r="51" spans="1:134" x14ac:dyDescent="0.2">
      <c r="A51" s="427" t="s">
        <v>59</v>
      </c>
      <c r="B51" s="632">
        <v>44</v>
      </c>
      <c r="C51" s="770">
        <v>0</v>
      </c>
      <c r="D51" s="830">
        <v>0</v>
      </c>
      <c r="E51" s="830">
        <v>0</v>
      </c>
      <c r="F51" s="866">
        <v>0</v>
      </c>
      <c r="G51" s="830">
        <v>0</v>
      </c>
      <c r="H51" s="830">
        <v>0</v>
      </c>
      <c r="I51" s="828">
        <f t="shared" si="0"/>
        <v>0</v>
      </c>
      <c r="J51" s="832">
        <v>0</v>
      </c>
      <c r="K51" s="832">
        <v>0</v>
      </c>
      <c r="L51" s="830">
        <v>0</v>
      </c>
      <c r="M51" s="802">
        <v>0</v>
      </c>
      <c r="N51" s="832">
        <v>0</v>
      </c>
      <c r="O51" s="833">
        <v>0</v>
      </c>
      <c r="P51" s="832">
        <v>0</v>
      </c>
      <c r="Q51" s="832">
        <v>0</v>
      </c>
      <c r="R51" s="781">
        <v>0</v>
      </c>
      <c r="S51" s="830">
        <v>0</v>
      </c>
      <c r="T51" s="830">
        <v>0</v>
      </c>
      <c r="U51" s="834">
        <v>0</v>
      </c>
      <c r="V51" s="832">
        <v>0</v>
      </c>
      <c r="W51" s="831">
        <v>0</v>
      </c>
      <c r="X51" s="783">
        <v>0</v>
      </c>
      <c r="Y51" s="830">
        <v>0</v>
      </c>
      <c r="Z51" s="833">
        <v>0</v>
      </c>
      <c r="AA51" s="802">
        <v>0</v>
      </c>
      <c r="AB51" s="835">
        <v>0</v>
      </c>
      <c r="AC51" s="1094">
        <v>0</v>
      </c>
      <c r="AD51" s="833">
        <v>0</v>
      </c>
      <c r="AE51" s="836">
        <v>0</v>
      </c>
      <c r="AF51" s="836">
        <v>0</v>
      </c>
      <c r="AG51" s="827">
        <f t="shared" si="1"/>
        <v>0</v>
      </c>
      <c r="AH51" s="827">
        <f t="shared" si="2"/>
        <v>0</v>
      </c>
      <c r="AI51" s="466">
        <f t="shared" si="3"/>
        <v>0</v>
      </c>
      <c r="AJ51" s="467" t="str">
        <f t="shared" si="4"/>
        <v xml:space="preserve"> </v>
      </c>
      <c r="AS51" s="139" t="s">
        <v>487</v>
      </c>
      <c r="AT51" s="139" t="s">
        <v>488</v>
      </c>
      <c r="DS51" s="648"/>
      <c r="DT51" s="648"/>
      <c r="DU51" s="667" t="s">
        <v>415</v>
      </c>
      <c r="DV51" s="667" t="s">
        <v>1188</v>
      </c>
      <c r="DW51" s="667" t="s">
        <v>1134</v>
      </c>
      <c r="DX51" s="667" t="s">
        <v>1134</v>
      </c>
      <c r="DY51" s="669" t="s">
        <v>1254</v>
      </c>
      <c r="DZ51" s="667" t="s">
        <v>1134</v>
      </c>
      <c r="EA51" s="670" t="s">
        <v>487</v>
      </c>
      <c r="EB51" s="667" t="s">
        <v>1135</v>
      </c>
      <c r="EC51" s="667" t="s">
        <v>1134</v>
      </c>
      <c r="ED51" s="667" t="s">
        <v>1136</v>
      </c>
    </row>
    <row r="52" spans="1:134" x14ac:dyDescent="0.2">
      <c r="A52" s="427" t="s">
        <v>621</v>
      </c>
      <c r="B52" s="632">
        <v>45</v>
      </c>
      <c r="C52" s="770">
        <v>0</v>
      </c>
      <c r="D52" s="830">
        <v>0</v>
      </c>
      <c r="E52" s="830">
        <v>0</v>
      </c>
      <c r="F52" s="866">
        <v>0</v>
      </c>
      <c r="G52" s="830">
        <v>0</v>
      </c>
      <c r="H52" s="830">
        <v>0</v>
      </c>
      <c r="I52" s="828">
        <f t="shared" si="0"/>
        <v>0</v>
      </c>
      <c r="J52" s="832">
        <v>0</v>
      </c>
      <c r="K52" s="832">
        <v>0</v>
      </c>
      <c r="L52" s="830">
        <v>0</v>
      </c>
      <c r="M52" s="802">
        <v>0</v>
      </c>
      <c r="N52" s="832">
        <v>0</v>
      </c>
      <c r="O52" s="833">
        <v>0</v>
      </c>
      <c r="P52" s="832">
        <v>0</v>
      </c>
      <c r="Q52" s="832">
        <v>0</v>
      </c>
      <c r="R52" s="781">
        <v>0</v>
      </c>
      <c r="S52" s="830">
        <v>0</v>
      </c>
      <c r="T52" s="830">
        <v>0</v>
      </c>
      <c r="U52" s="834">
        <v>0</v>
      </c>
      <c r="V52" s="832">
        <v>0</v>
      </c>
      <c r="W52" s="831">
        <v>0</v>
      </c>
      <c r="X52" s="783">
        <v>0</v>
      </c>
      <c r="Y52" s="830">
        <v>0</v>
      </c>
      <c r="Z52" s="833">
        <v>0</v>
      </c>
      <c r="AA52" s="802">
        <v>0</v>
      </c>
      <c r="AB52" s="835">
        <v>0</v>
      </c>
      <c r="AC52" s="1094">
        <v>0</v>
      </c>
      <c r="AD52" s="833">
        <v>0</v>
      </c>
      <c r="AE52" s="836">
        <v>0</v>
      </c>
      <c r="AF52" s="836">
        <v>0</v>
      </c>
      <c r="AG52" s="827">
        <f t="shared" si="1"/>
        <v>0</v>
      </c>
      <c r="AH52" s="827">
        <f t="shared" si="2"/>
        <v>0</v>
      </c>
      <c r="AI52" s="466">
        <f t="shared" si="3"/>
        <v>0</v>
      </c>
      <c r="AJ52" s="467" t="str">
        <f t="shared" si="4"/>
        <v xml:space="preserve"> </v>
      </c>
      <c r="AS52" s="139" t="s">
        <v>521</v>
      </c>
      <c r="AT52" s="139" t="s">
        <v>522</v>
      </c>
      <c r="DS52" s="648"/>
      <c r="DT52" s="648"/>
      <c r="DU52" s="667" t="s">
        <v>415</v>
      </c>
      <c r="DV52" s="667" t="s">
        <v>1188</v>
      </c>
      <c r="DW52" s="667" t="s">
        <v>1134</v>
      </c>
      <c r="DX52" s="667" t="s">
        <v>1134</v>
      </c>
      <c r="DY52" s="669" t="s">
        <v>1254</v>
      </c>
      <c r="DZ52" s="667" t="s">
        <v>1134</v>
      </c>
      <c r="EA52" s="670" t="s">
        <v>521</v>
      </c>
      <c r="EB52" s="667" t="s">
        <v>1135</v>
      </c>
      <c r="EC52" s="667" t="s">
        <v>1134</v>
      </c>
      <c r="ED52" s="667" t="s">
        <v>1136</v>
      </c>
    </row>
    <row r="53" spans="1:134" x14ac:dyDescent="0.2">
      <c r="A53" s="427" t="s">
        <v>569</v>
      </c>
      <c r="B53" s="632">
        <v>46</v>
      </c>
      <c r="C53" s="770">
        <v>0</v>
      </c>
      <c r="D53" s="830">
        <v>0</v>
      </c>
      <c r="E53" s="830">
        <v>0</v>
      </c>
      <c r="F53" s="866">
        <v>0</v>
      </c>
      <c r="G53" s="830">
        <v>0</v>
      </c>
      <c r="H53" s="830">
        <v>0</v>
      </c>
      <c r="I53" s="828">
        <f t="shared" si="0"/>
        <v>0</v>
      </c>
      <c r="J53" s="832">
        <v>0</v>
      </c>
      <c r="K53" s="832">
        <v>0</v>
      </c>
      <c r="L53" s="830">
        <v>0</v>
      </c>
      <c r="M53" s="802">
        <v>0</v>
      </c>
      <c r="N53" s="832">
        <v>0</v>
      </c>
      <c r="O53" s="833">
        <v>0</v>
      </c>
      <c r="P53" s="832">
        <v>0</v>
      </c>
      <c r="Q53" s="832">
        <v>0</v>
      </c>
      <c r="R53" s="781">
        <v>0</v>
      </c>
      <c r="S53" s="830">
        <v>0</v>
      </c>
      <c r="T53" s="830">
        <v>0</v>
      </c>
      <c r="U53" s="834">
        <v>0</v>
      </c>
      <c r="V53" s="832">
        <v>0</v>
      </c>
      <c r="W53" s="831">
        <v>0</v>
      </c>
      <c r="X53" s="783">
        <v>0</v>
      </c>
      <c r="Y53" s="830">
        <v>0</v>
      </c>
      <c r="Z53" s="833">
        <v>0</v>
      </c>
      <c r="AA53" s="802">
        <v>0</v>
      </c>
      <c r="AB53" s="835">
        <v>0</v>
      </c>
      <c r="AC53" s="1094">
        <v>0</v>
      </c>
      <c r="AD53" s="833">
        <v>0</v>
      </c>
      <c r="AE53" s="836">
        <v>0</v>
      </c>
      <c r="AF53" s="836">
        <v>0</v>
      </c>
      <c r="AG53" s="827">
        <f t="shared" si="1"/>
        <v>0</v>
      </c>
      <c r="AH53" s="827">
        <f t="shared" si="2"/>
        <v>0</v>
      </c>
      <c r="AI53" s="466">
        <f t="shared" si="3"/>
        <v>0</v>
      </c>
      <c r="AJ53" s="467" t="str">
        <f t="shared" si="4"/>
        <v xml:space="preserve"> </v>
      </c>
      <c r="AS53" s="139" t="s">
        <v>544</v>
      </c>
      <c r="AT53" s="139" t="s">
        <v>545</v>
      </c>
      <c r="DS53" s="648"/>
      <c r="DT53" s="648"/>
      <c r="DU53" s="667" t="s">
        <v>415</v>
      </c>
      <c r="DV53" s="667" t="s">
        <v>1188</v>
      </c>
      <c r="DW53" s="667" t="s">
        <v>1134</v>
      </c>
      <c r="DX53" s="667" t="s">
        <v>1134</v>
      </c>
      <c r="DY53" s="669" t="s">
        <v>1254</v>
      </c>
      <c r="DZ53" s="667" t="s">
        <v>1134</v>
      </c>
      <c r="EA53" s="670" t="s">
        <v>544</v>
      </c>
      <c r="EB53" s="667" t="s">
        <v>1135</v>
      </c>
      <c r="EC53" s="667" t="s">
        <v>1134</v>
      </c>
      <c r="ED53" s="667" t="s">
        <v>1136</v>
      </c>
    </row>
    <row r="54" spans="1:134" x14ac:dyDescent="0.2">
      <c r="A54" s="427" t="s">
        <v>99</v>
      </c>
      <c r="B54" s="632">
        <v>47</v>
      </c>
      <c r="C54" s="770">
        <v>0</v>
      </c>
      <c r="D54" s="830">
        <v>0</v>
      </c>
      <c r="E54" s="830">
        <v>0</v>
      </c>
      <c r="F54" s="866">
        <v>0</v>
      </c>
      <c r="G54" s="830">
        <v>0</v>
      </c>
      <c r="H54" s="830">
        <v>0</v>
      </c>
      <c r="I54" s="828">
        <f t="shared" si="0"/>
        <v>0</v>
      </c>
      <c r="J54" s="832">
        <v>0</v>
      </c>
      <c r="K54" s="832">
        <v>0</v>
      </c>
      <c r="L54" s="830">
        <v>0</v>
      </c>
      <c r="M54" s="802">
        <v>0</v>
      </c>
      <c r="N54" s="832">
        <v>0</v>
      </c>
      <c r="O54" s="833">
        <v>0</v>
      </c>
      <c r="P54" s="832">
        <v>0</v>
      </c>
      <c r="Q54" s="832">
        <v>0</v>
      </c>
      <c r="R54" s="781">
        <v>0</v>
      </c>
      <c r="S54" s="830">
        <v>0</v>
      </c>
      <c r="T54" s="830">
        <v>0</v>
      </c>
      <c r="U54" s="834">
        <v>0</v>
      </c>
      <c r="V54" s="832">
        <v>0</v>
      </c>
      <c r="W54" s="831">
        <v>0</v>
      </c>
      <c r="X54" s="783">
        <v>0</v>
      </c>
      <c r="Y54" s="830">
        <v>0</v>
      </c>
      <c r="Z54" s="833">
        <v>0</v>
      </c>
      <c r="AA54" s="802">
        <v>0</v>
      </c>
      <c r="AB54" s="835">
        <v>0</v>
      </c>
      <c r="AC54" s="1094">
        <v>0</v>
      </c>
      <c r="AD54" s="833">
        <v>0</v>
      </c>
      <c r="AE54" s="836">
        <v>0</v>
      </c>
      <c r="AF54" s="836">
        <v>0</v>
      </c>
      <c r="AG54" s="827">
        <f t="shared" si="1"/>
        <v>0</v>
      </c>
      <c r="AH54" s="827">
        <f t="shared" si="2"/>
        <v>0</v>
      </c>
      <c r="AI54" s="466">
        <f t="shared" si="3"/>
        <v>0</v>
      </c>
      <c r="AJ54" s="467" t="str">
        <f t="shared" si="4"/>
        <v xml:space="preserve"> </v>
      </c>
      <c r="AS54" s="139" t="s">
        <v>277</v>
      </c>
      <c r="AT54" s="139" t="s">
        <v>276</v>
      </c>
      <c r="DS54" s="648"/>
      <c r="DT54" s="648"/>
      <c r="DU54" s="667" t="s">
        <v>415</v>
      </c>
      <c r="DV54" s="667" t="s">
        <v>1188</v>
      </c>
      <c r="DW54" s="667" t="s">
        <v>1134</v>
      </c>
      <c r="DX54" s="667" t="s">
        <v>1134</v>
      </c>
      <c r="DY54" s="669" t="s">
        <v>1254</v>
      </c>
      <c r="DZ54" s="667" t="s">
        <v>1134</v>
      </c>
      <c r="EA54" s="670" t="s">
        <v>277</v>
      </c>
      <c r="EB54" s="667" t="s">
        <v>1135</v>
      </c>
      <c r="EC54" s="667" t="s">
        <v>1134</v>
      </c>
      <c r="ED54" s="667" t="s">
        <v>1136</v>
      </c>
    </row>
    <row r="55" spans="1:134" x14ac:dyDescent="0.2">
      <c r="A55" s="427" t="s">
        <v>570</v>
      </c>
      <c r="B55" s="632">
        <v>48</v>
      </c>
      <c r="C55" s="770">
        <v>0</v>
      </c>
      <c r="D55" s="830">
        <v>0</v>
      </c>
      <c r="E55" s="830">
        <v>0</v>
      </c>
      <c r="F55" s="866">
        <v>0</v>
      </c>
      <c r="G55" s="830">
        <v>0</v>
      </c>
      <c r="H55" s="830">
        <v>0</v>
      </c>
      <c r="I55" s="828">
        <f t="shared" si="0"/>
        <v>0</v>
      </c>
      <c r="J55" s="832">
        <v>0</v>
      </c>
      <c r="K55" s="832">
        <v>0</v>
      </c>
      <c r="L55" s="830">
        <v>0</v>
      </c>
      <c r="M55" s="802">
        <v>0</v>
      </c>
      <c r="N55" s="832">
        <v>0</v>
      </c>
      <c r="O55" s="833">
        <v>0</v>
      </c>
      <c r="P55" s="832">
        <v>0</v>
      </c>
      <c r="Q55" s="832">
        <v>0</v>
      </c>
      <c r="R55" s="781">
        <v>2</v>
      </c>
      <c r="S55" s="830">
        <v>0</v>
      </c>
      <c r="T55" s="830">
        <v>2</v>
      </c>
      <c r="U55" s="834">
        <v>0</v>
      </c>
      <c r="V55" s="832">
        <v>0</v>
      </c>
      <c r="W55" s="831">
        <v>0</v>
      </c>
      <c r="X55" s="783">
        <v>0</v>
      </c>
      <c r="Y55" s="830">
        <v>0</v>
      </c>
      <c r="Z55" s="833">
        <v>0</v>
      </c>
      <c r="AA55" s="802">
        <v>0</v>
      </c>
      <c r="AB55" s="835">
        <v>0</v>
      </c>
      <c r="AC55" s="1094">
        <v>0</v>
      </c>
      <c r="AD55" s="833">
        <v>0</v>
      </c>
      <c r="AE55" s="836">
        <v>0</v>
      </c>
      <c r="AF55" s="836">
        <v>0</v>
      </c>
      <c r="AG55" s="827">
        <f t="shared" si="1"/>
        <v>2</v>
      </c>
      <c r="AH55" s="827">
        <f t="shared" si="2"/>
        <v>2</v>
      </c>
      <c r="AI55" s="466">
        <f t="shared" si="3"/>
        <v>0</v>
      </c>
      <c r="AJ55" s="467" t="str">
        <f t="shared" si="4"/>
        <v xml:space="preserve"> </v>
      </c>
      <c r="AS55" s="139" t="s">
        <v>546</v>
      </c>
      <c r="AT55" s="139" t="s">
        <v>547</v>
      </c>
      <c r="DS55" s="648"/>
      <c r="DT55" s="648"/>
      <c r="DU55" s="667" t="s">
        <v>415</v>
      </c>
      <c r="DV55" s="667" t="s">
        <v>1188</v>
      </c>
      <c r="DW55" s="667" t="s">
        <v>1134</v>
      </c>
      <c r="DX55" s="667" t="s">
        <v>1134</v>
      </c>
      <c r="DY55" s="669" t="s">
        <v>1254</v>
      </c>
      <c r="DZ55" s="667" t="s">
        <v>1134</v>
      </c>
      <c r="EA55" s="670" t="s">
        <v>546</v>
      </c>
      <c r="EB55" s="667" t="s">
        <v>1135</v>
      </c>
      <c r="EC55" s="667" t="s">
        <v>1134</v>
      </c>
      <c r="ED55" s="667" t="s">
        <v>1136</v>
      </c>
    </row>
    <row r="56" spans="1:134" x14ac:dyDescent="0.2">
      <c r="A56" s="427" t="s">
        <v>135</v>
      </c>
      <c r="B56" s="632">
        <v>49</v>
      </c>
      <c r="C56" s="770">
        <v>0</v>
      </c>
      <c r="D56" s="830">
        <v>0</v>
      </c>
      <c r="E56" s="830">
        <v>0</v>
      </c>
      <c r="F56" s="866">
        <v>0</v>
      </c>
      <c r="G56" s="830">
        <v>0</v>
      </c>
      <c r="H56" s="830">
        <v>0</v>
      </c>
      <c r="I56" s="828">
        <f t="shared" si="0"/>
        <v>0</v>
      </c>
      <c r="J56" s="832">
        <v>0</v>
      </c>
      <c r="K56" s="832">
        <v>0</v>
      </c>
      <c r="L56" s="830">
        <v>0</v>
      </c>
      <c r="M56" s="802">
        <v>0</v>
      </c>
      <c r="N56" s="832">
        <v>0</v>
      </c>
      <c r="O56" s="833">
        <v>0</v>
      </c>
      <c r="P56" s="832">
        <v>0</v>
      </c>
      <c r="Q56" s="832">
        <v>0</v>
      </c>
      <c r="R56" s="781">
        <v>0</v>
      </c>
      <c r="S56" s="830">
        <v>0</v>
      </c>
      <c r="T56" s="830">
        <v>0</v>
      </c>
      <c r="U56" s="834">
        <v>0</v>
      </c>
      <c r="V56" s="832">
        <v>0</v>
      </c>
      <c r="W56" s="831">
        <v>0</v>
      </c>
      <c r="X56" s="783">
        <v>0</v>
      </c>
      <c r="Y56" s="830">
        <v>0</v>
      </c>
      <c r="Z56" s="833">
        <v>0</v>
      </c>
      <c r="AA56" s="802">
        <v>0</v>
      </c>
      <c r="AB56" s="835">
        <v>0</v>
      </c>
      <c r="AC56" s="1094">
        <v>0</v>
      </c>
      <c r="AD56" s="833">
        <v>0</v>
      </c>
      <c r="AE56" s="836">
        <v>0</v>
      </c>
      <c r="AF56" s="836">
        <v>0</v>
      </c>
      <c r="AG56" s="827">
        <f t="shared" si="1"/>
        <v>0</v>
      </c>
      <c r="AH56" s="827">
        <f t="shared" si="2"/>
        <v>0</v>
      </c>
      <c r="AI56" s="466">
        <f t="shared" si="3"/>
        <v>0</v>
      </c>
      <c r="AJ56" s="467" t="str">
        <f t="shared" si="4"/>
        <v xml:space="preserve"> </v>
      </c>
      <c r="AS56" s="139" t="s">
        <v>279</v>
      </c>
      <c r="AT56" s="139" t="s">
        <v>278</v>
      </c>
      <c r="DS56" s="648"/>
      <c r="DT56" s="648"/>
      <c r="DU56" s="667" t="s">
        <v>415</v>
      </c>
      <c r="DV56" s="667" t="s">
        <v>1188</v>
      </c>
      <c r="DW56" s="667" t="s">
        <v>1134</v>
      </c>
      <c r="DX56" s="667" t="s">
        <v>1134</v>
      </c>
      <c r="DY56" s="669" t="s">
        <v>1254</v>
      </c>
      <c r="DZ56" s="667" t="s">
        <v>1134</v>
      </c>
      <c r="EA56" s="670" t="s">
        <v>279</v>
      </c>
      <c r="EB56" s="667" t="s">
        <v>1135</v>
      </c>
      <c r="EC56" s="667" t="s">
        <v>1134</v>
      </c>
      <c r="ED56" s="667" t="s">
        <v>1136</v>
      </c>
    </row>
    <row r="57" spans="1:134" x14ac:dyDescent="0.2">
      <c r="A57" s="427" t="s">
        <v>136</v>
      </c>
      <c r="B57" s="632">
        <v>50</v>
      </c>
      <c r="C57" s="770">
        <v>0</v>
      </c>
      <c r="D57" s="830">
        <v>0</v>
      </c>
      <c r="E57" s="830">
        <v>0</v>
      </c>
      <c r="F57" s="866">
        <v>0</v>
      </c>
      <c r="G57" s="830">
        <v>0</v>
      </c>
      <c r="H57" s="830">
        <v>0</v>
      </c>
      <c r="I57" s="828">
        <f t="shared" si="0"/>
        <v>0</v>
      </c>
      <c r="J57" s="832">
        <v>0</v>
      </c>
      <c r="K57" s="832">
        <v>0</v>
      </c>
      <c r="L57" s="830">
        <v>0</v>
      </c>
      <c r="M57" s="802">
        <v>3</v>
      </c>
      <c r="N57" s="832">
        <v>0</v>
      </c>
      <c r="O57" s="833">
        <v>3</v>
      </c>
      <c r="P57" s="832">
        <v>0</v>
      </c>
      <c r="Q57" s="832">
        <v>0</v>
      </c>
      <c r="R57" s="781">
        <v>0</v>
      </c>
      <c r="S57" s="830">
        <v>0</v>
      </c>
      <c r="T57" s="830">
        <v>0</v>
      </c>
      <c r="U57" s="834">
        <v>0</v>
      </c>
      <c r="V57" s="832">
        <v>2</v>
      </c>
      <c r="W57" s="831">
        <v>0</v>
      </c>
      <c r="X57" s="783">
        <v>2</v>
      </c>
      <c r="Y57" s="830">
        <v>0</v>
      </c>
      <c r="Z57" s="833">
        <v>2</v>
      </c>
      <c r="AA57" s="802">
        <v>0</v>
      </c>
      <c r="AB57" s="835">
        <v>0</v>
      </c>
      <c r="AC57" s="1094">
        <v>0</v>
      </c>
      <c r="AD57" s="833">
        <v>0</v>
      </c>
      <c r="AE57" s="836">
        <v>0</v>
      </c>
      <c r="AF57" s="836">
        <v>0</v>
      </c>
      <c r="AG57" s="827">
        <f t="shared" si="1"/>
        <v>5</v>
      </c>
      <c r="AH57" s="827">
        <f t="shared" si="2"/>
        <v>5</v>
      </c>
      <c r="AI57" s="466">
        <f t="shared" si="3"/>
        <v>0</v>
      </c>
      <c r="AJ57" s="467" t="str">
        <f t="shared" si="4"/>
        <v xml:space="preserve"> </v>
      </c>
      <c r="AS57" s="139" t="s">
        <v>281</v>
      </c>
      <c r="AT57" s="139" t="s">
        <v>280</v>
      </c>
      <c r="DS57" s="648"/>
      <c r="DT57" s="648"/>
      <c r="DU57" s="667" t="s">
        <v>415</v>
      </c>
      <c r="DV57" s="667" t="s">
        <v>1188</v>
      </c>
      <c r="DW57" s="667" t="s">
        <v>1134</v>
      </c>
      <c r="DX57" s="667" t="s">
        <v>1134</v>
      </c>
      <c r="DY57" s="669" t="s">
        <v>1254</v>
      </c>
      <c r="DZ57" s="667" t="s">
        <v>1134</v>
      </c>
      <c r="EA57" s="670" t="s">
        <v>281</v>
      </c>
      <c r="EB57" s="667" t="s">
        <v>1135</v>
      </c>
      <c r="EC57" s="667" t="s">
        <v>1134</v>
      </c>
      <c r="ED57" s="667" t="s">
        <v>1136</v>
      </c>
    </row>
    <row r="58" spans="1:134" x14ac:dyDescent="0.2">
      <c r="A58" s="427" t="s">
        <v>137</v>
      </c>
      <c r="B58" s="632">
        <v>51</v>
      </c>
      <c r="C58" s="770">
        <v>0</v>
      </c>
      <c r="D58" s="830">
        <v>0</v>
      </c>
      <c r="E58" s="830">
        <v>0</v>
      </c>
      <c r="F58" s="866">
        <v>0</v>
      </c>
      <c r="G58" s="830">
        <v>0</v>
      </c>
      <c r="H58" s="830">
        <v>0</v>
      </c>
      <c r="I58" s="828">
        <f t="shared" si="0"/>
        <v>0</v>
      </c>
      <c r="J58" s="832">
        <v>0</v>
      </c>
      <c r="K58" s="832">
        <v>0</v>
      </c>
      <c r="L58" s="830">
        <v>0</v>
      </c>
      <c r="M58" s="802">
        <v>0</v>
      </c>
      <c r="N58" s="832">
        <v>0</v>
      </c>
      <c r="O58" s="833">
        <v>0</v>
      </c>
      <c r="P58" s="832">
        <v>0</v>
      </c>
      <c r="Q58" s="832">
        <v>0</v>
      </c>
      <c r="R58" s="781">
        <v>0</v>
      </c>
      <c r="S58" s="830">
        <v>0</v>
      </c>
      <c r="T58" s="830">
        <v>0</v>
      </c>
      <c r="U58" s="834">
        <v>0</v>
      </c>
      <c r="V58" s="832">
        <v>0</v>
      </c>
      <c r="W58" s="831">
        <v>0</v>
      </c>
      <c r="X58" s="783">
        <v>0</v>
      </c>
      <c r="Y58" s="830">
        <v>0</v>
      </c>
      <c r="Z58" s="833">
        <v>0</v>
      </c>
      <c r="AA58" s="802">
        <v>0</v>
      </c>
      <c r="AB58" s="835">
        <v>0</v>
      </c>
      <c r="AC58" s="1094">
        <v>0</v>
      </c>
      <c r="AD58" s="833">
        <v>0</v>
      </c>
      <c r="AE58" s="836">
        <v>0</v>
      </c>
      <c r="AF58" s="836">
        <v>0</v>
      </c>
      <c r="AG58" s="827">
        <f t="shared" si="1"/>
        <v>0</v>
      </c>
      <c r="AH58" s="827">
        <f t="shared" si="2"/>
        <v>0</v>
      </c>
      <c r="AI58" s="466">
        <f t="shared" si="3"/>
        <v>0</v>
      </c>
      <c r="AJ58" s="467" t="str">
        <f t="shared" si="4"/>
        <v xml:space="preserve"> </v>
      </c>
      <c r="AS58" s="139" t="s">
        <v>283</v>
      </c>
      <c r="AT58" s="139" t="s">
        <v>282</v>
      </c>
      <c r="DS58" s="648"/>
      <c r="DT58" s="648"/>
      <c r="DU58" s="667" t="s">
        <v>415</v>
      </c>
      <c r="DV58" s="667" t="s">
        <v>1188</v>
      </c>
      <c r="DW58" s="667" t="s">
        <v>1134</v>
      </c>
      <c r="DX58" s="667" t="s">
        <v>1134</v>
      </c>
      <c r="DY58" s="669" t="s">
        <v>1254</v>
      </c>
      <c r="DZ58" s="667" t="s">
        <v>1134</v>
      </c>
      <c r="EA58" s="670" t="s">
        <v>283</v>
      </c>
      <c r="EB58" s="667" t="s">
        <v>1135</v>
      </c>
      <c r="EC58" s="667" t="s">
        <v>1134</v>
      </c>
      <c r="ED58" s="667" t="s">
        <v>1136</v>
      </c>
    </row>
    <row r="59" spans="1:134" x14ac:dyDescent="0.2">
      <c r="A59" s="427" t="s">
        <v>138</v>
      </c>
      <c r="B59" s="632">
        <v>52</v>
      </c>
      <c r="C59" s="770">
        <v>0</v>
      </c>
      <c r="D59" s="830">
        <v>0</v>
      </c>
      <c r="E59" s="830">
        <v>0</v>
      </c>
      <c r="F59" s="866">
        <v>0</v>
      </c>
      <c r="G59" s="830">
        <v>0</v>
      </c>
      <c r="H59" s="830">
        <v>0</v>
      </c>
      <c r="I59" s="828">
        <f t="shared" si="0"/>
        <v>0</v>
      </c>
      <c r="J59" s="832">
        <v>0</v>
      </c>
      <c r="K59" s="832">
        <v>0</v>
      </c>
      <c r="L59" s="830">
        <v>0</v>
      </c>
      <c r="M59" s="802">
        <v>0</v>
      </c>
      <c r="N59" s="832">
        <v>0</v>
      </c>
      <c r="O59" s="833">
        <v>0</v>
      </c>
      <c r="P59" s="832">
        <v>0</v>
      </c>
      <c r="Q59" s="832">
        <v>0</v>
      </c>
      <c r="R59" s="781">
        <v>0</v>
      </c>
      <c r="S59" s="830">
        <v>0</v>
      </c>
      <c r="T59" s="830">
        <v>0</v>
      </c>
      <c r="U59" s="834">
        <v>0</v>
      </c>
      <c r="V59" s="832">
        <v>0</v>
      </c>
      <c r="W59" s="831">
        <v>0</v>
      </c>
      <c r="X59" s="783">
        <v>0</v>
      </c>
      <c r="Y59" s="830">
        <v>0</v>
      </c>
      <c r="Z59" s="833">
        <v>0</v>
      </c>
      <c r="AA59" s="802">
        <v>0</v>
      </c>
      <c r="AB59" s="835">
        <v>0</v>
      </c>
      <c r="AC59" s="1094">
        <v>0</v>
      </c>
      <c r="AD59" s="833">
        <v>0</v>
      </c>
      <c r="AE59" s="836">
        <v>0</v>
      </c>
      <c r="AF59" s="836">
        <v>0</v>
      </c>
      <c r="AG59" s="827">
        <f t="shared" si="1"/>
        <v>0</v>
      </c>
      <c r="AH59" s="827">
        <f t="shared" si="2"/>
        <v>0</v>
      </c>
      <c r="AI59" s="466">
        <f t="shared" si="3"/>
        <v>0</v>
      </c>
      <c r="AJ59" s="467" t="str">
        <f t="shared" si="4"/>
        <v xml:space="preserve"> </v>
      </c>
      <c r="AS59" s="139" t="s">
        <v>285</v>
      </c>
      <c r="AT59" s="139" t="s">
        <v>284</v>
      </c>
      <c r="DS59" s="648"/>
      <c r="DT59" s="648"/>
      <c r="DU59" s="667" t="s">
        <v>415</v>
      </c>
      <c r="DV59" s="667" t="s">
        <v>1188</v>
      </c>
      <c r="DW59" s="667" t="s">
        <v>1134</v>
      </c>
      <c r="DX59" s="667" t="s">
        <v>1134</v>
      </c>
      <c r="DY59" s="669" t="s">
        <v>1254</v>
      </c>
      <c r="DZ59" s="667" t="s">
        <v>1134</v>
      </c>
      <c r="EA59" s="670" t="s">
        <v>285</v>
      </c>
      <c r="EB59" s="667" t="s">
        <v>1135</v>
      </c>
      <c r="EC59" s="667" t="s">
        <v>1134</v>
      </c>
      <c r="ED59" s="667" t="s">
        <v>1136</v>
      </c>
    </row>
    <row r="60" spans="1:134" x14ac:dyDescent="0.2">
      <c r="A60" s="427" t="s">
        <v>565</v>
      </c>
      <c r="B60" s="632">
        <v>53</v>
      </c>
      <c r="C60" s="770">
        <v>0</v>
      </c>
      <c r="D60" s="830">
        <v>0</v>
      </c>
      <c r="E60" s="830">
        <v>0</v>
      </c>
      <c r="F60" s="866">
        <v>0</v>
      </c>
      <c r="G60" s="830">
        <v>0</v>
      </c>
      <c r="H60" s="830">
        <v>0</v>
      </c>
      <c r="I60" s="828">
        <f t="shared" si="0"/>
        <v>0</v>
      </c>
      <c r="J60" s="832">
        <v>0</v>
      </c>
      <c r="K60" s="832">
        <v>0</v>
      </c>
      <c r="L60" s="830">
        <v>0</v>
      </c>
      <c r="M60" s="802">
        <v>0</v>
      </c>
      <c r="N60" s="832">
        <v>0</v>
      </c>
      <c r="O60" s="833">
        <v>0</v>
      </c>
      <c r="P60" s="832">
        <v>0</v>
      </c>
      <c r="Q60" s="832">
        <v>0</v>
      </c>
      <c r="R60" s="781">
        <v>0</v>
      </c>
      <c r="S60" s="830">
        <v>0</v>
      </c>
      <c r="T60" s="830">
        <v>0</v>
      </c>
      <c r="U60" s="834">
        <v>0</v>
      </c>
      <c r="V60" s="832">
        <v>0</v>
      </c>
      <c r="W60" s="831">
        <v>0</v>
      </c>
      <c r="X60" s="783">
        <v>0</v>
      </c>
      <c r="Y60" s="830">
        <v>0</v>
      </c>
      <c r="Z60" s="833">
        <v>0</v>
      </c>
      <c r="AA60" s="802">
        <v>0</v>
      </c>
      <c r="AB60" s="835">
        <v>0</v>
      </c>
      <c r="AC60" s="1094">
        <v>0</v>
      </c>
      <c r="AD60" s="833">
        <v>0</v>
      </c>
      <c r="AE60" s="836">
        <v>0</v>
      </c>
      <c r="AF60" s="836">
        <v>0</v>
      </c>
      <c r="AG60" s="827">
        <f t="shared" si="1"/>
        <v>0</v>
      </c>
      <c r="AH60" s="827">
        <f t="shared" si="2"/>
        <v>0</v>
      </c>
      <c r="AI60" s="466">
        <f t="shared" si="3"/>
        <v>0</v>
      </c>
      <c r="AJ60" s="467" t="str">
        <f t="shared" si="4"/>
        <v xml:space="preserve"> </v>
      </c>
      <c r="AS60" s="139" t="s">
        <v>527</v>
      </c>
      <c r="AT60" s="139" t="s">
        <v>528</v>
      </c>
      <c r="DS60" s="648"/>
      <c r="DT60" s="648"/>
      <c r="DU60" s="667" t="s">
        <v>415</v>
      </c>
      <c r="DV60" s="667" t="s">
        <v>1188</v>
      </c>
      <c r="DW60" s="667" t="s">
        <v>1134</v>
      </c>
      <c r="DX60" s="667" t="s">
        <v>1134</v>
      </c>
      <c r="DY60" s="669" t="s">
        <v>1254</v>
      </c>
      <c r="DZ60" s="667" t="s">
        <v>1134</v>
      </c>
      <c r="EA60" s="670" t="s">
        <v>527</v>
      </c>
      <c r="EB60" s="667" t="s">
        <v>1135</v>
      </c>
      <c r="EC60" s="667" t="s">
        <v>1134</v>
      </c>
      <c r="ED60" s="667" t="s">
        <v>1136</v>
      </c>
    </row>
    <row r="61" spans="1:134" x14ac:dyDescent="0.2">
      <c r="A61" s="427" t="s">
        <v>67</v>
      </c>
      <c r="B61" s="632">
        <v>54</v>
      </c>
      <c r="C61" s="770">
        <v>32</v>
      </c>
      <c r="D61" s="830">
        <v>0</v>
      </c>
      <c r="E61" s="830">
        <v>0</v>
      </c>
      <c r="F61" s="866">
        <v>0</v>
      </c>
      <c r="G61" s="830">
        <v>0</v>
      </c>
      <c r="H61" s="830">
        <v>0</v>
      </c>
      <c r="I61" s="828">
        <f t="shared" si="0"/>
        <v>32</v>
      </c>
      <c r="J61" s="832">
        <v>0</v>
      </c>
      <c r="K61" s="832">
        <v>0</v>
      </c>
      <c r="L61" s="830">
        <v>0</v>
      </c>
      <c r="M61" s="802">
        <v>0</v>
      </c>
      <c r="N61" s="832">
        <v>0</v>
      </c>
      <c r="O61" s="833">
        <v>0</v>
      </c>
      <c r="P61" s="832">
        <v>0</v>
      </c>
      <c r="Q61" s="832">
        <v>0</v>
      </c>
      <c r="R61" s="781">
        <v>0</v>
      </c>
      <c r="S61" s="830">
        <v>0</v>
      </c>
      <c r="T61" s="830">
        <v>0</v>
      </c>
      <c r="U61" s="834">
        <v>0</v>
      </c>
      <c r="V61" s="832">
        <v>0</v>
      </c>
      <c r="W61" s="831">
        <v>0</v>
      </c>
      <c r="X61" s="783">
        <v>0</v>
      </c>
      <c r="Y61" s="830">
        <v>0</v>
      </c>
      <c r="Z61" s="833">
        <v>0</v>
      </c>
      <c r="AA61" s="802">
        <v>0</v>
      </c>
      <c r="AB61" s="835">
        <v>0</v>
      </c>
      <c r="AC61" s="1094">
        <v>0</v>
      </c>
      <c r="AD61" s="833">
        <v>0</v>
      </c>
      <c r="AE61" s="836">
        <v>0</v>
      </c>
      <c r="AF61" s="836">
        <v>0</v>
      </c>
      <c r="AG61" s="827">
        <f t="shared" si="1"/>
        <v>0</v>
      </c>
      <c r="AH61" s="827">
        <f t="shared" si="2"/>
        <v>32</v>
      </c>
      <c r="AI61" s="466">
        <f t="shared" si="3"/>
        <v>0</v>
      </c>
      <c r="AJ61" s="467" t="str">
        <f t="shared" si="4"/>
        <v xml:space="preserve"> </v>
      </c>
      <c r="AS61" s="139" t="s">
        <v>287</v>
      </c>
      <c r="AT61" s="139" t="s">
        <v>286</v>
      </c>
      <c r="DS61" s="648"/>
      <c r="DT61" s="648"/>
      <c r="DU61" s="667" t="s">
        <v>415</v>
      </c>
      <c r="DV61" s="667" t="s">
        <v>1188</v>
      </c>
      <c r="DW61" s="667" t="s">
        <v>1134</v>
      </c>
      <c r="DX61" s="667" t="s">
        <v>1134</v>
      </c>
      <c r="DY61" s="669" t="s">
        <v>1254</v>
      </c>
      <c r="DZ61" s="667" t="s">
        <v>1134</v>
      </c>
      <c r="EA61" s="670" t="s">
        <v>287</v>
      </c>
      <c r="EB61" s="667" t="s">
        <v>1135</v>
      </c>
      <c r="EC61" s="667" t="s">
        <v>1134</v>
      </c>
      <c r="ED61" s="667" t="s">
        <v>1136</v>
      </c>
    </row>
    <row r="62" spans="1:134" x14ac:dyDescent="0.2">
      <c r="A62" s="427" t="s">
        <v>139</v>
      </c>
      <c r="B62" s="632">
        <v>55</v>
      </c>
      <c r="C62" s="770">
        <v>0</v>
      </c>
      <c r="D62" s="830">
        <v>0</v>
      </c>
      <c r="E62" s="830">
        <v>0</v>
      </c>
      <c r="F62" s="866">
        <v>0</v>
      </c>
      <c r="G62" s="830">
        <v>0</v>
      </c>
      <c r="H62" s="830">
        <v>0</v>
      </c>
      <c r="I62" s="828">
        <f t="shared" si="0"/>
        <v>0</v>
      </c>
      <c r="J62" s="832">
        <v>0</v>
      </c>
      <c r="K62" s="832">
        <v>0</v>
      </c>
      <c r="L62" s="830">
        <v>0</v>
      </c>
      <c r="M62" s="802">
        <v>0</v>
      </c>
      <c r="N62" s="832">
        <v>0</v>
      </c>
      <c r="O62" s="833">
        <v>0</v>
      </c>
      <c r="P62" s="832">
        <v>0</v>
      </c>
      <c r="Q62" s="832">
        <v>0</v>
      </c>
      <c r="R62" s="781">
        <v>0</v>
      </c>
      <c r="S62" s="830">
        <v>0</v>
      </c>
      <c r="T62" s="830">
        <v>0</v>
      </c>
      <c r="U62" s="834">
        <v>0</v>
      </c>
      <c r="V62" s="832">
        <v>0</v>
      </c>
      <c r="W62" s="831">
        <v>0</v>
      </c>
      <c r="X62" s="783">
        <v>0</v>
      </c>
      <c r="Y62" s="830">
        <v>0</v>
      </c>
      <c r="Z62" s="833">
        <v>0</v>
      </c>
      <c r="AA62" s="802">
        <v>0</v>
      </c>
      <c r="AB62" s="835">
        <v>0</v>
      </c>
      <c r="AC62" s="1094">
        <v>0</v>
      </c>
      <c r="AD62" s="833">
        <v>0</v>
      </c>
      <c r="AE62" s="836">
        <v>0</v>
      </c>
      <c r="AF62" s="836">
        <v>0</v>
      </c>
      <c r="AG62" s="827">
        <f t="shared" si="1"/>
        <v>0</v>
      </c>
      <c r="AH62" s="827">
        <f t="shared" si="2"/>
        <v>0</v>
      </c>
      <c r="AI62" s="466">
        <f t="shared" si="3"/>
        <v>0</v>
      </c>
      <c r="AJ62" s="467" t="str">
        <f t="shared" si="4"/>
        <v xml:space="preserve"> </v>
      </c>
      <c r="AS62" s="139" t="s">
        <v>289</v>
      </c>
      <c r="AT62" s="139" t="s">
        <v>288</v>
      </c>
      <c r="DS62" s="648"/>
      <c r="DT62" s="648"/>
      <c r="DU62" s="667" t="s">
        <v>415</v>
      </c>
      <c r="DV62" s="667" t="s">
        <v>1188</v>
      </c>
      <c r="DW62" s="667" t="s">
        <v>1134</v>
      </c>
      <c r="DX62" s="667" t="s">
        <v>1134</v>
      </c>
      <c r="DY62" s="669" t="s">
        <v>1254</v>
      </c>
      <c r="DZ62" s="667" t="s">
        <v>1134</v>
      </c>
      <c r="EA62" s="670" t="s">
        <v>289</v>
      </c>
      <c r="EB62" s="667" t="s">
        <v>1135</v>
      </c>
      <c r="EC62" s="667" t="s">
        <v>1134</v>
      </c>
      <c r="ED62" s="667" t="s">
        <v>1136</v>
      </c>
    </row>
    <row r="63" spans="1:134" ht="13.5" thickBot="1" x14ac:dyDescent="0.25">
      <c r="A63" s="207" t="s">
        <v>95</v>
      </c>
      <c r="B63" s="632">
        <v>56</v>
      </c>
      <c r="C63" s="830">
        <v>0</v>
      </c>
      <c r="D63" s="830">
        <v>0</v>
      </c>
      <c r="E63" s="830">
        <v>0</v>
      </c>
      <c r="F63" s="866">
        <v>0</v>
      </c>
      <c r="G63" s="830">
        <v>0</v>
      </c>
      <c r="H63" s="830">
        <v>0</v>
      </c>
      <c r="I63" s="828">
        <f t="shared" si="0"/>
        <v>0</v>
      </c>
      <c r="J63" s="832">
        <v>0</v>
      </c>
      <c r="K63" s="832">
        <v>0</v>
      </c>
      <c r="L63" s="837">
        <v>0</v>
      </c>
      <c r="M63" s="867">
        <v>0</v>
      </c>
      <c r="N63" s="838">
        <v>0</v>
      </c>
      <c r="O63" s="833">
        <v>0</v>
      </c>
      <c r="P63" s="832">
        <v>0</v>
      </c>
      <c r="Q63" s="832">
        <v>0</v>
      </c>
      <c r="R63" s="868">
        <v>0</v>
      </c>
      <c r="S63" s="830">
        <v>0</v>
      </c>
      <c r="T63" s="830">
        <v>0</v>
      </c>
      <c r="U63" s="834">
        <v>0</v>
      </c>
      <c r="V63" s="832">
        <v>0</v>
      </c>
      <c r="W63" s="831">
        <v>0</v>
      </c>
      <c r="X63" s="869">
        <v>0</v>
      </c>
      <c r="Y63" s="830">
        <v>0</v>
      </c>
      <c r="Z63" s="833">
        <v>0</v>
      </c>
      <c r="AA63" s="867">
        <v>0</v>
      </c>
      <c r="AB63" s="835">
        <v>0</v>
      </c>
      <c r="AC63" s="1094">
        <v>0</v>
      </c>
      <c r="AD63" s="833">
        <v>0</v>
      </c>
      <c r="AE63" s="836">
        <v>0</v>
      </c>
      <c r="AF63" s="836">
        <v>0</v>
      </c>
      <c r="AG63" s="827">
        <f t="shared" si="1"/>
        <v>0</v>
      </c>
      <c r="AH63" s="827">
        <f t="shared" si="2"/>
        <v>0</v>
      </c>
      <c r="AI63" s="466">
        <f t="shared" si="3"/>
        <v>0</v>
      </c>
      <c r="AJ63" s="467" t="str">
        <f t="shared" si="4"/>
        <v xml:space="preserve"> </v>
      </c>
      <c r="AS63" s="143" t="s">
        <v>609</v>
      </c>
      <c r="AT63" s="143" t="s">
        <v>588</v>
      </c>
      <c r="DS63" s="648"/>
      <c r="DT63" s="648"/>
      <c r="DU63" s="667" t="s">
        <v>415</v>
      </c>
      <c r="DV63" s="667" t="s">
        <v>1188</v>
      </c>
      <c r="DW63" s="667" t="s">
        <v>1134</v>
      </c>
      <c r="DX63" s="667" t="s">
        <v>1134</v>
      </c>
      <c r="DY63" s="669" t="s">
        <v>1254</v>
      </c>
      <c r="DZ63" s="667" t="s">
        <v>1134</v>
      </c>
      <c r="EA63" s="670" t="s">
        <v>1186</v>
      </c>
      <c r="EB63" s="667" t="s">
        <v>1135</v>
      </c>
      <c r="EC63" s="667" t="s">
        <v>1134</v>
      </c>
      <c r="ED63" s="667" t="s">
        <v>1136</v>
      </c>
    </row>
    <row r="64" spans="1:134" ht="14.25" thickBot="1" x14ac:dyDescent="0.25">
      <c r="A64" s="73" t="s">
        <v>142</v>
      </c>
      <c r="B64" s="158">
        <v>57</v>
      </c>
      <c r="C64" s="811">
        <f t="shared" ref="C64:H64" si="5">ROUND(SUM(C8:C63),3)</f>
        <v>117</v>
      </c>
      <c r="D64" s="811">
        <f t="shared" si="5"/>
        <v>0</v>
      </c>
      <c r="E64" s="811">
        <f t="shared" si="5"/>
        <v>0</v>
      </c>
      <c r="F64" s="811">
        <f t="shared" si="5"/>
        <v>0</v>
      </c>
      <c r="G64" s="811">
        <f t="shared" si="5"/>
        <v>0</v>
      </c>
      <c r="H64" s="811">
        <f t="shared" si="5"/>
        <v>0</v>
      </c>
      <c r="I64" s="812">
        <f t="shared" si="0"/>
        <v>117</v>
      </c>
      <c r="J64" s="813">
        <f t="shared" ref="J64:AF64" si="6">ROUND(SUM(J8:J63),3)</f>
        <v>0</v>
      </c>
      <c r="K64" s="811">
        <f t="shared" si="6"/>
        <v>0</v>
      </c>
      <c r="L64" s="812">
        <f t="shared" si="6"/>
        <v>0</v>
      </c>
      <c r="M64" s="870">
        <f t="shared" si="6"/>
        <v>50</v>
      </c>
      <c r="N64" s="811">
        <f t="shared" si="6"/>
        <v>0</v>
      </c>
      <c r="O64" s="812">
        <f t="shared" si="6"/>
        <v>50</v>
      </c>
      <c r="P64" s="814">
        <f t="shared" si="6"/>
        <v>0</v>
      </c>
      <c r="Q64" s="811">
        <f t="shared" si="6"/>
        <v>0</v>
      </c>
      <c r="R64" s="871">
        <f t="shared" si="6"/>
        <v>23</v>
      </c>
      <c r="S64" s="811">
        <f t="shared" si="6"/>
        <v>0</v>
      </c>
      <c r="T64" s="811">
        <f t="shared" si="6"/>
        <v>23</v>
      </c>
      <c r="U64" s="812">
        <f t="shared" si="6"/>
        <v>0</v>
      </c>
      <c r="V64" s="814">
        <f t="shared" si="6"/>
        <v>29</v>
      </c>
      <c r="W64" s="811">
        <f t="shared" si="6"/>
        <v>0</v>
      </c>
      <c r="X64" s="872">
        <f t="shared" si="6"/>
        <v>29</v>
      </c>
      <c r="Y64" s="811">
        <f t="shared" si="6"/>
        <v>0</v>
      </c>
      <c r="Z64" s="812">
        <f t="shared" si="6"/>
        <v>29</v>
      </c>
      <c r="AA64" s="870">
        <f t="shared" si="6"/>
        <v>2</v>
      </c>
      <c r="AB64" s="811">
        <f t="shared" si="6"/>
        <v>2</v>
      </c>
      <c r="AC64" s="811">
        <f t="shared" si="6"/>
        <v>0</v>
      </c>
      <c r="AD64" s="812">
        <f t="shared" si="6"/>
        <v>0</v>
      </c>
      <c r="AE64" s="811">
        <f t="shared" si="6"/>
        <v>0</v>
      </c>
      <c r="AF64" s="814">
        <f t="shared" si="6"/>
        <v>0</v>
      </c>
      <c r="AG64" s="811">
        <f t="shared" si="1"/>
        <v>104</v>
      </c>
      <c r="AH64" s="816">
        <f t="shared" si="2"/>
        <v>221</v>
      </c>
      <c r="AI64" s="466">
        <f t="shared" ref="AI64:AI66" si="7">IF(ROUND(I64-SUM(C64:F64,H64),3)=0,0,1)+IF(ROUND(AG64-SUM(J64:M64,P64:R64,U64,X64,AA64,AE64:AF64),3)=0,0,1)+IF(ROUND(AH64-SUM(AG64,I64),3)=0,0,1)</f>
        <v>0</v>
      </c>
      <c r="AJ64" s="467" t="str">
        <f t="shared" ref="AJ64" si="8">IF(AI64=0," ",IF(AI64=1,"A total is not equal to the sum of its components: ",AI64&amp;" totals are not equal to the sum of their components: "))&amp;IF(AI64=0,"",IF(I64-SUM(C64:F64,H64)=0,"","Total crude. ")&amp;IF(AG64-SUM(J64:M64,P64:R64,U64,X64,AA64,AE64:AF64)=0,"","Total products. ")&amp;IF(AH64-SUM(AG64,I64)=0,"","Total oil."))</f>
        <v xml:space="preserve"> </v>
      </c>
      <c r="AS64" s="143" t="s">
        <v>589</v>
      </c>
      <c r="AT64" s="144" t="s">
        <v>615</v>
      </c>
      <c r="DS64" s="648"/>
      <c r="DT64" s="648"/>
      <c r="DU64" s="667" t="s">
        <v>415</v>
      </c>
      <c r="DV64" s="667" t="s">
        <v>1188</v>
      </c>
      <c r="DW64" s="667" t="s">
        <v>1134</v>
      </c>
      <c r="DX64" s="667" t="s">
        <v>1134</v>
      </c>
      <c r="DY64" s="669" t="s">
        <v>1254</v>
      </c>
      <c r="DZ64" s="667" t="s">
        <v>1134</v>
      </c>
      <c r="EA64" s="667" t="s">
        <v>1177</v>
      </c>
      <c r="EB64" s="667" t="s">
        <v>1135</v>
      </c>
      <c r="EC64" s="667" t="s">
        <v>1134</v>
      </c>
      <c r="ED64" s="667" t="s">
        <v>1136</v>
      </c>
    </row>
    <row r="65" spans="1:46" s="211" customFormat="1" ht="13.5" thickBot="1" x14ac:dyDescent="0.25">
      <c r="A65" s="205"/>
      <c r="B65" s="204"/>
      <c r="C65" s="873"/>
      <c r="D65" s="873"/>
      <c r="E65" s="873"/>
      <c r="F65" s="873"/>
      <c r="G65" s="873"/>
      <c r="H65" s="873"/>
      <c r="I65" s="873"/>
      <c r="J65" s="873"/>
      <c r="K65" s="873"/>
      <c r="L65" s="873"/>
      <c r="M65" s="873"/>
      <c r="N65" s="873"/>
      <c r="O65" s="873"/>
      <c r="P65" s="873"/>
      <c r="Q65" s="873"/>
      <c r="R65" s="873"/>
      <c r="S65" s="873"/>
      <c r="T65" s="873"/>
      <c r="U65" s="873"/>
      <c r="V65" s="873"/>
      <c r="W65" s="873"/>
      <c r="X65" s="873"/>
      <c r="Y65" s="873"/>
      <c r="Z65" s="873"/>
      <c r="AA65" s="873"/>
      <c r="AB65" s="873"/>
      <c r="AC65" s="873"/>
      <c r="AD65" s="873"/>
      <c r="AE65" s="873"/>
      <c r="AF65" s="873"/>
      <c r="AG65" s="873"/>
      <c r="AH65" s="873"/>
      <c r="AI65" s="209"/>
      <c r="AJ65" s="210"/>
      <c r="AS65" s="212"/>
      <c r="AT65" s="213"/>
    </row>
    <row r="66" spans="1:46" ht="13.5" thickBot="1" x14ac:dyDescent="0.25">
      <c r="A66" s="73" t="str">
        <f>IF(EnCMember=1,"Total EnC Contracting Parties","Total EU MS")</f>
        <v>Total EU MS</v>
      </c>
      <c r="B66" s="158">
        <v>58</v>
      </c>
      <c r="C66" s="811">
        <f>ROUND(IF('Table 1'!$G$3&gt;1,IF(EnCMember=1,C8+C14+C47+C27+C37+C43+C44+C53+C60+C11+C13+C15+C20+C21+C22+C23+C24+C25+C26+C28+C29+C30+C32+C34+C38+C39+C40+C41+C45+C49+C50+C51+C54+C55+C56+C57+C61,C11+C13+C15+C20+C21+C22+C23+C24+C25+C26+C28+C29+C30+C32+C34+C38+C39+C40+C41+C45+C49+C50+C51+C54+C55+C56+C57+C61),IF(EnCMember=1,C8+C14+C47+C27+C37+C43+C44+C53+C60+C11+C13+C15+C20+C21+C22+C23+C24+C25+C26+C28+C29+C30+C32+C34+C38+C39+C40+C41+C45+C49+C50+C51+C54+C55+C56+C57,C11+C13+C15+C20+C21+C22+C23+C24+C25+C26+C28+C29+C30+C32+C34+C38+C39+C40+C41+C45+C49+C50+C51+C54+C55+C56+C57)),3)</f>
        <v>85</v>
      </c>
      <c r="D66" s="811">
        <f>ROUND(IF('Table 1'!$G$3&gt;1,IF(EnCMember=1,D8+D14+D47+D27+D37+D43+D44+D53+D60+D11+D13+D15+D20+D21+D22+D23+D24+D25+D26+D28+D29+D30+D32+D34+D38+D39+D40+D41+D45+D49+D50+D51+D54+D55+D56+D57+D61,D11+D13+D15+D20+D21+D22+D23+D24+D25+D26+D28+D29+D30+D32+D34+D38+D39+D40+D41+D45+D49+D50+D51+D54+D55+D56+D57+D61),IF(EnCMember=1,D8+D14+D47+D27+D37+D43+D44+D53+D60+D11+D13+D15+D20+D21+D22+D23+D24+D25+D26+D28+D29+D30+D32+D34+D38+D39+D40+D41+D45+D49+D50+D51+D54+D55+D56+D57,D11+D13+D15+D20+D21+D22+D23+D24+D25+D26+D28+D29+D30+D32+D34+D38+D39+D40+D41+D45+D49+D50+D51+D54+D55+D56+D57)),3)</f>
        <v>0</v>
      </c>
      <c r="E66" s="811">
        <f>ROUND(IF('Table 1'!$G$3&gt;1,IF(EnCMember=1,E8+E14+E47+E27+E37+E43+E44+E53+E60+E11+E13+E15+E20+E21+E22+E23+E24+E25+E26+E28+E29+E30+E32+E34+E38+E39+E40+E41+E45+E49+E50+E51+E54+E55+E56+E57+E61,E11+E13+E15+E20+E21+E22+E23+E24+E25+E26+E28+E29+E30+E32+E34+E38+E39+E40+E41+E45+E49+E50+E51+E54+E55+E56+E57+E61),IF(EnCMember=1,E8+E14+E47+E27+E37+E43+E44+E53+E60+E11+E13+E15+E20+E21+E22+E23+E24+E25+E26+E28+E29+E30+E32+E34+E38+E39+E40+E41+E45+E49+E50+E51+E54+E55+E56+E57,E11+E13+E15+E20+E21+E22+E23+E24+E25+E26+E28+E29+E30+E32+E34+E38+E39+E40+E41+E45+E49+E50+E51+E54+E55+E56+E57)),3)</f>
        <v>0</v>
      </c>
      <c r="F66" s="811">
        <f>ROUND(IF('Table 1'!$G$3&gt;1,IF(EnCMember=1,F8+F14+F47+F27+F37+F43+F44+F53+F60+F11+F13+F15+F20+F21+F22+F23+F24+F25+F26+F28+F29+F30+F32+F34+F38+F39+F40+F41+F45+F49+F50+F51+F54+F55+F56+F57+F61,F11+F13+F15+F20+F21+F22+F23+F24+F25+F26+F28+F29+F30+F32+F34+F38+F39+F40+F41+F45+F49+F50+F51+F54+F55+F56+F57+F61),IF(EnCMember=1,F8+F14+F47+F27+F37+F43+F44+F53+F60+F11+F13+F15+F20+F21+F22+F23+F24+F25+F26+F28+F29+F30+F32+F34+F38+F39+F40+F41+F45+F49+F50+F51+F54+F55+F56+F57,F11+F13+F15+F20+F21+F22+F23+F24+F25+F26+F28+F29+F30+F32+F34+F38+F39+F40+F41+F45+F49+F50+F51+F54+F55+F56+F57)),3)</f>
        <v>0</v>
      </c>
      <c r="G66" s="811">
        <f>ROUND(IF('Table 1'!$G$3&gt;1,IF(EnCMember=1,G8+G14+G47+G27+G37+G43+G44+G53+G60+G11+G13+G15+G20+G21+G22+G23+G24+G25+G26+G28+G29+G30+G32+G34+G38+G39+G40+G41+G45+G49+G50+G51+G54+G55+G56+G57+G61,G11+G13+G15+G20+G21+G22+G23+G24+G25+G26+G28+G29+G30+G32+G34+G38+G39+G40+G41+G45+G49+G50+G51+G54+G55+G56+G57+G61),IF(EnCMember=1,G8+G14+G47+G27+G37+G43+G44+G53+G60+G11+G13+G15+G20+G21+G22+G23+G24+G25+G26+G28+G29+G30+G32+G34+G38+G39+G40+G41+G45+G49+G50+G51+G54+G55+G56+G57,G11+G13+G15+G20+G21+G22+G23+G24+G25+G26+G28+G29+G30+G32+G34+G38+G39+G40+G41+G45+G49+G50+G51+G54+G55+G56+G57)),3)</f>
        <v>0</v>
      </c>
      <c r="H66" s="811">
        <f>ROUND(IF('Table 1'!$G$3&gt;1,IF(EnCMember=1,H8+H14+H47+H27+H37+H43+H44+H53+H60+H11+H13+H15+H20+H21+H22+H23+H24+H25+H26+H28+H29+H30+H32+H34+H38+H39+H40+H41+H45+H49+H50+H51+H54+H55+H56+H57+H61,H11+H13+H15+H20+H21+H22+H23+H24+H25+H26+H28+H29+H30+H32+H34+H38+H39+H40+H41+H45+H49+H50+H51+H54+H55+H56+H57+H61),IF(EnCMember=1,H8+H14+H47+H27+H37+H43+H44+H53+H60+H11+H13+H15+H20+H21+H22+H23+H24+H25+H26+H28+H29+H30+H32+H34+H38+H39+H40+H41+H45+H49+H50+H51+H54+H55+H56+H57,H11+H13+H15+H20+H21+H22+H23+H24+H25+H26+H28+H29+H30+H32+H34+H38+H39+H40+H41+H45+H49+H50+H51+H54+H55+H56+H57)),3)</f>
        <v>0</v>
      </c>
      <c r="I66" s="812">
        <f>ROUND(IF('Table 1'!$G$3&gt;1,IF(EnCMember=1,I8+I14+I47+I27+I37+I43+I44+I53+I60+I11+I13+I15+I20+I21+I22+I23+I24+I25+I26+I28+I29+I30+I32+I34+I38+I39+I40+I41+I45+I49+I50+I51+I54+I55+I56+I57+I61,I11+I13+I15+I20+I21+I22+I23+I24+I25+I26+I28+I29+I30+I32+I34+I38+I39+I40+I41+I45+I49+I50+I51+I54+I55+I56+I57+I61),IF(EnCMember=1,I8+I14+I47+I27+I37+I43+I44+I53+I60+I11+I13+I15+I20+I21+I22+I23+I24+I25+I26+I28+I29+I30+I32+I34+I38+I39+I40+I41+I45+I49+I50+I51+I54+I55+I56+I57,I11+I13+I15+I20+I21+I22+I23+I24+I25+I26+I28+I29+I30+I32+I34+I38+I39+I40+I41+I45+I49+I50+I51+I54+I55+I56+I57)),3)</f>
        <v>85</v>
      </c>
      <c r="J66" s="813">
        <f>ROUND(IF('Table 1'!$G$3&gt;1,IF(EnCMember=1,J8+J14+J47+J27+J37+J43+J44+J53+J60+J11+J13+J15+J20+J21+J22+J23+J24+J25+J26+J28+J29+J30+J32+J34+J38+J39+J40+J41+J45+J49+J50+J51+J54+J55+J56+J57+J61,J11+J13+J15+J20+J21+J22+J23+J24+J25+J26+J28+J29+J30+J32+J34+J38+J39+J40+J41+J45+J49+J50+J51+J54+J55+J56+J57+J61),IF(EnCMember=1,J8+J14+J47+J27+J37+J43+J44+J53+J60+J11+J13+J15+J20+J21+J22+J23+J24+J25+J26+J28+J29+J30+J32+J34+J38+J39+J40+J41+J45+J49+J50+J51+J54+J55+J56+J57,J11+J13+J15+J20+J21+J22+J23+J24+J25+J26+J28+J29+J30+J32+J34+J38+J39+J40+J41+J45+J49+J50+J51+J54+J55+J56+J57)),3)</f>
        <v>0</v>
      </c>
      <c r="K66" s="811">
        <f>ROUND(IF('Table 1'!$G$3&gt;1,IF(EnCMember=1,K8+K14+K47+K27+K37+K43+K44+K53+K60+K11+K13+K15+K20+K21+K22+K23+K24+K25+K26+K28+K29+K30+K32+K34+K38+K39+K40+K41+K45+K49+K50+K51+K54+K55+K56+K57+K61,K11+K13+K15+K20+K21+K22+K23+K24+K25+K26+K28+K29+K30+K32+K34+K38+K39+K40+K41+K45+K49+K50+K51+K54+K55+K56+K57+K61),IF(EnCMember=1,K8+K14+K47+K27+K37+K43+K44+K53+K60+K11+K13+K15+K20+K21+K22+K23+K24+K25+K26+K28+K29+K30+K32+K34+K38+K39+K40+K41+K45+K49+K50+K51+K54+K55+K56+K57,K11+K13+K15+K20+K21+K22+K23+K24+K25+K26+K28+K29+K30+K32+K34+K38+K39+K40+K41+K45+K49+K50+K51+K54+K55+K56+K57)),3)</f>
        <v>0</v>
      </c>
      <c r="L66" s="812">
        <f>ROUND(IF('Table 1'!$G$3&gt;1,IF(EnCMember=1,L8+L14+L47+L27+L37+L43+L44+L53+L60+L11+L13+L15+L20+L21+L22+L23+L24+L25+L26+L28+L29+L30+L32+L34+L38+L39+L40+L41+L45+L49+L50+L51+L54+L55+L56+L57+L61,L11+L13+L15+L20+L21+L22+L23+L24+L25+L26+L28+L29+L30+L32+L34+L38+L39+L40+L41+L45+L49+L50+L51+L54+L55+L56+L57+L61),IF(EnCMember=1,L8+L14+L47+L27+L37+L43+L44+L53+L60+L11+L13+L15+L20+L21+L22+L23+L24+L25+L26+L28+L29+L30+L32+L34+L38+L39+L40+L41+L45+L49+L50+L51+L54+L55+L56+L57,L11+L13+L15+L20+L21+L22+L23+L24+L25+L26+L28+L29+L30+L32+L34+L38+L39+L40+L41+L45+L49+L50+L51+L54+L55+L56+L57)),3)</f>
        <v>0</v>
      </c>
      <c r="M66" s="813">
        <f>ROUND(IF('Table 1'!$G$3&gt;1,IF(EnCMember=1,M8+M14+M47+M27+M37+M43+M44+M53+M60+M11+M13+M15+M20+M21+M22+M23+M24+M25+M26+M28+M29+M30+M32+M34+M38+M39+M40+M41+M45+M49+M50+M51+M54+M55+M56+M57+M61,M11+M13+M15+M20+M21+M22+M23+M24+M25+M26+M28+M29+M30+M32+M34+M38+M39+M40+M41+M45+M49+M50+M51+M54+M55+M56+M57+M61),IF(EnCMember=1,M8+M14+M47+M27+M37+M43+M44+M53+M60+M11+M13+M15+M20+M21+M22+M23+M24+M25+M26+M28+M29+M30+M32+M34+M38+M39+M40+M41+M45+M49+M50+M51+M54+M55+M56+M57,M11+M13+M15+M20+M21+M22+M23+M24+M25+M26+M28+M29+M30+M32+M34+M38+M39+M40+M41+M45+M49+M50+M51+M54+M55+M56+M57)),3)</f>
        <v>50</v>
      </c>
      <c r="N66" s="811">
        <f>ROUND(IF('Table 1'!$G$3&gt;1,IF(EnCMember=1,N8+N14+N47+N27+N37+N43+N44+N53+N60+N11+N13+N15+N20+N21+N22+N23+N24+N25+N26+N28+N29+N30+N32+N34+N38+N39+N40+N41+N45+N49+N50+N51+N54+N55+N56+N57+N61,N11+N13+N15+N20+N21+N22+N23+N24+N25+N26+N28+N29+N30+N32+N34+N38+N39+N40+N41+N45+N49+N50+N51+N54+N55+N56+N57+N61),IF(EnCMember=1,N8+N14+N47+N27+N37+N43+N44+N53+N60+N11+N13+N15+N20+N21+N22+N23+N24+N25+N26+N28+N29+N30+N32+N34+N38+N39+N40+N41+N45+N49+N50+N51+N54+N55+N56+N57,N11+N13+N15+N20+N21+N22+N23+N24+N25+N26+N28+N29+N30+N32+N34+N38+N39+N40+N41+N45+N49+N50+N51+N54+N55+N56+N57)),3)</f>
        <v>0</v>
      </c>
      <c r="O66" s="812">
        <f>ROUND(IF('Table 1'!$G$3&gt;1,IF(EnCMember=1,O8+O14+O47+O27+O37+O43+O44+O53+O60+O11+O13+O15+O20+O21+O22+O23+O24+O25+O26+O28+O29+O30+O32+O34+O38+O39+O40+O41+O45+O49+O50+O51+O54+O55+O56+O57+O61,O11+O13+O15+O20+O21+O22+O23+O24+O25+O26+O28+O29+O30+O32+O34+O38+O39+O40+O41+O45+O49+O50+O51+O54+O55+O56+O57+O61),IF(EnCMember=1,O8+O14+O47+O27+O37+O43+O44+O53+O60+O11+O13+O15+O20+O21+O22+O23+O24+O25+O26+O28+O29+O30+O32+O34+O38+O39+O40+O41+O45+O49+O50+O51+O54+O55+O56+O57,O11+O13+O15+O20+O21+O22+O23+O24+O25+O26+O28+O29+O30+O32+O34+O38+O39+O40+O41+O45+O49+O50+O51+O54+O55+O56+O57)),3)</f>
        <v>50</v>
      </c>
      <c r="P66" s="813">
        <f>ROUND(IF('Table 1'!$G$3&gt;1,IF(EnCMember=1,P8+P14+P47+P27+P37+P43+P44+P53+P60+P11+P13+P15+P20+P21+P22+P23+P24+P25+P26+P28+P29+P30+P32+P34+P38+P39+P40+P41+P45+P49+P50+P51+P54+P55+P56+P57+P61,P11+P13+P15+P20+P21+P22+P23+P24+P25+P26+P28+P29+P30+P32+P34+P38+P39+P40+P41+P45+P49+P50+P51+P54+P55+P56+P57+P61),IF(EnCMember=1,P8+P14+P47+P27+P37+P43+P44+P53+P60+P11+P13+P15+P20+P21+P22+P23+P24+P25+P26+P28+P29+P30+P32+P34+P38+P39+P40+P41+P45+P49+P50+P51+P54+P55+P56+P57,P11+P13+P15+P20+P21+P22+P23+P24+P25+P26+P28+P29+P30+P32+P34+P38+P39+P40+P41+P45+P49+P50+P51+P54+P55+P56+P57)),3)</f>
        <v>0</v>
      </c>
      <c r="Q66" s="811">
        <f>ROUND(IF('Table 1'!$G$3&gt;1,IF(EnCMember=1,Q8+Q14+Q47+Q27+Q37+Q43+Q44+Q53+Q60+Q11+Q13+Q15+Q20+Q21+Q22+Q23+Q24+Q25+Q26+Q28+Q29+Q30+Q32+Q34+Q38+Q39+Q40+Q41+Q45+Q49+Q50+Q51+Q54+Q55+Q56+Q57+Q61,Q11+Q13+Q15+Q20+Q21+Q22+Q23+Q24+Q25+Q26+Q28+Q29+Q30+Q32+Q34+Q38+Q39+Q40+Q41+Q45+Q49+Q50+Q51+Q54+Q55+Q56+Q57+Q61),IF(EnCMember=1,Q8+Q14+Q47+Q27+Q37+Q43+Q44+Q53+Q60+Q11+Q13+Q15+Q20+Q21+Q22+Q23+Q24+Q25+Q26+Q28+Q29+Q30+Q32+Q34+Q38+Q39+Q40+Q41+Q45+Q49+Q50+Q51+Q54+Q55+Q56+Q57,Q11+Q13+Q15+Q20+Q21+Q22+Q23+Q24+Q25+Q26+Q28+Q29+Q30+Q32+Q34+Q38+Q39+Q40+Q41+Q45+Q49+Q50+Q51+Q54+Q55+Q56+Q57)),3)</f>
        <v>0</v>
      </c>
      <c r="R66" s="811">
        <f>ROUND(IF('Table 1'!$G$3&gt;1,IF(EnCMember=1,R8+R14+R47+R27+R37+R43+R44+R53+R60+R11+R13+R15+R20+R21+R22+R23+R24+R25+R26+R28+R29+R30+R32+R34+R38+R39+R40+R41+R45+R49+R50+R51+R54+R55+R56+R57+R61,R11+R13+R15+R20+R21+R22+R23+R24+R25+R26+R28+R29+R30+R32+R34+R38+R39+R40+R41+R45+R49+R50+R51+R54+R55+R56+R57+R61),IF(EnCMember=1,R8+R14+R47+R27+R37+R43+R44+R53+R60+R11+R13+R15+R20+R21+R22+R23+R24+R25+R26+R28+R29+R30+R32+R34+R38+R39+R40+R41+R45+R49+R50+R51+R54+R55+R56+R57,R11+R13+R15+R20+R21+R22+R23+R24+R25+R26+R28+R29+R30+R32+R34+R38+R39+R40+R41+R45+R49+R50+R51+R54+R55+R56+R57)),3)</f>
        <v>23</v>
      </c>
      <c r="S66" s="811">
        <f>ROUND(IF('Table 1'!$G$3&gt;1,IF(EnCMember=1,S8+S14+S47+S27+S37+S43+S44+S53+S60+S11+S13+S15+S20+S21+S22+S23+S24+S25+S26+S28+S29+S30+S32+S34+S38+S39+S40+S41+S45+S49+S50+S51+S54+S55+S56+S57+S61,S11+S13+S15+S20+S21+S22+S23+S24+S25+S26+S28+S29+S30+S32+S34+S38+S39+S40+S41+S45+S49+S50+S51+S54+S55+S56+S57+S61),IF(EnCMember=1,S8+S14+S47+S27+S37+S43+S44+S53+S60+S11+S13+S15+S20+S21+S22+S23+S24+S25+S26+S28+S29+S30+S32+S34+S38+S39+S40+S41+S45+S49+S50+S51+S54+S55+S56+S57,S11+S13+S15+S20+S21+S22+S23+S24+S25+S26+S28+S29+S30+S32+S34+S38+S39+S40+S41+S45+S49+S50+S51+S54+S55+S56+S57)),3)</f>
        <v>0</v>
      </c>
      <c r="T66" s="811">
        <f>ROUND(IF('Table 1'!$G$3&gt;1,IF(EnCMember=1,T8+T14+T47+T27+T37+T43+T44+T53+T60+T11+T13+T15+T20+T21+T22+T23+T24+T25+T26+T28+T29+T30+T32+T34+T38+T39+T40+T41+T45+T49+T50+T51+T54+T55+T56+T57+T61,T11+T13+T15+T20+T21+T22+T23+T24+T25+T26+T28+T29+T30+T32+T34+T38+T39+T40+T41+T45+T49+T50+T51+T54+T55+T56+T57+T61),IF(EnCMember=1,T8+T14+T47+T27+T37+T43+T44+T53+T60+T11+T13+T15+T20+T21+T22+T23+T24+T25+T26+T28+T29+T30+T32+T34+T38+T39+T40+T41+T45+T49+T50+T51+T54+T55+T56+T57,T11+T13+T15+T20+T21+T22+T23+T24+T25+T26+T28+T29+T30+T32+T34+T38+T39+T40+T41+T45+T49+T50+T51+T54+T55+T56+T57)),3)</f>
        <v>23</v>
      </c>
      <c r="U66" s="812">
        <f>ROUND(IF('Table 1'!$G$3&gt;1,IF(EnCMember=1,U8+U14+U47+U27+U37+U43+U44+U53+U60+U11+U13+U15+U20+U21+U22+U23+U24+U25+U26+U28+U29+U30+U32+U34+U38+U39+U40+U41+U45+U49+U50+U51+U54+U55+U56+U57+U61,U11+U13+U15+U20+U21+U22+U23+U24+U25+U26+U28+U29+U30+U32+U34+U38+U39+U40+U41+U45+U49+U50+U51+U54+U55+U56+U57+U61),IF(EnCMember=1,U8+U14+U47+U27+U37+U43+U44+U53+U60+U11+U13+U15+U20+U21+U22+U23+U24+U25+U26+U28+U29+U30+U32+U34+U38+U39+U40+U41+U45+U49+U50+U51+U54+U55+U56+U57,U11+U13+U15+U20+U21+U22+U23+U24+U25+U26+U28+U29+U30+U32+U34+U38+U39+U40+U41+U45+U49+U50+U51+U54+U55+U56+U57)),3)</f>
        <v>0</v>
      </c>
      <c r="V66" s="813">
        <f>ROUND(IF('Table 1'!$G$3&gt;1,IF(EnCMember=1,V8+V14+V47+V27+V37+V43+V44+V53+V60+V11+V13+V15+V20+V21+V22+V23+V24+V25+V26+V28+V29+V30+V32+V34+V38+V39+V40+V41+V45+V49+V50+V51+V54+V55+V56+V57+V61,V11+V13+V15+V20+V21+V22+V23+V24+V25+V26+V28+V29+V30+V32+V34+V38+V39+V40+V41+V45+V49+V50+V51+V54+V55+V56+V57+V61),IF(EnCMember=1,V8+V14+V47+V27+V37+V43+V44+V53+V60+V11+V13+V15+V20+V21+V22+V23+V24+V25+V26+V28+V29+V30+V32+V34+V38+V39+V40+V41+V45+V49+V50+V51+V54+V55+V56+V57,V11+V13+V15+V20+V21+V22+V23+V24+V25+V26+V28+V29+V30+V32+V34+V38+V39+V40+V41+V45+V49+V50+V51+V54+V55+V56+V57)),3)</f>
        <v>29</v>
      </c>
      <c r="W66" s="811">
        <f>ROUND(IF('Table 1'!$G$3&gt;1,IF(EnCMember=1,W8+W14+W47+W27+W37+W43+W44+W53+W60+W11+W13+W15+W20+W21+W22+W23+W24+W25+W26+W28+W29+W30+W32+W34+W38+W39+W40+W41+W45+W49+W50+W51+W54+W55+W56+W57+W61,W11+W13+W15+W20+W21+W22+W23+W24+W25+W26+W28+W29+W30+W32+W34+W38+W39+W40+W41+W45+W49+W50+W51+W54+W55+W56+W57+W61),IF(EnCMember=1,W8+W14+W47+W27+W37+W43+W44+W53+W60+W11+W13+W15+W20+W21+W22+W23+W24+W25+W26+W28+W29+W30+W32+W34+W38+W39+W40+W41+W45+W49+W50+W51+W54+W55+W56+W57,W11+W13+W15+W20+W21+W22+W23+W24+W25+W26+W28+W29+W30+W32+W34+W38+W39+W40+W41+W45+W49+W50+W51+W54+W55+W56+W57)),3)</f>
        <v>0</v>
      </c>
      <c r="X66" s="811">
        <f>ROUND(IF('Table 1'!$G$3&gt;1,IF(EnCMember=1,X8+X14+X47+X27+X37+X43+X44+X53+X60+X11+X13+X15+X20+X21+X22+X23+X24+X25+X26+X28+X29+X30+X32+X34+X38+X39+X40+X41+X45+X49+X50+X51+X54+X55+X56+X57+X61,X11+X13+X15+X20+X21+X22+X23+X24+X25+X26+X28+X29+X30+X32+X34+X38+X39+X40+X41+X45+X49+X50+X51+X54+X55+X56+X57+X61),IF(EnCMember=1,X8+X14+X47+X27+X37+X43+X44+X53+X60+X11+X13+X15+X20+X21+X22+X23+X24+X25+X26+X28+X29+X30+X32+X34+X38+X39+X40+X41+X45+X49+X50+X51+X54+X55+X56+X57,X11+X13+X15+X20+X21+X22+X23+X24+X25+X26+X28+X29+X30+X32+X34+X38+X39+X40+X41+X45+X49+X50+X51+X54+X55+X56+X57)),3)</f>
        <v>29</v>
      </c>
      <c r="Y66" s="811">
        <f>ROUND(IF('Table 1'!$G$3&gt;1,IF(EnCMember=1,Y8+Y14+Y47+Y27+Y37+Y43+Y44+Y53+Y60+Y11+Y13+Y15+Y20+Y21+Y22+Y23+Y24+Y25+Y26+Y28+Y29+Y30+Y32+Y34+Y38+Y39+Y40+Y41+Y45+Y49+Y50+Y51+Y54+Y55+Y56+Y57+Y61,Y11+Y13+Y15+Y20+Y21+Y22+Y23+Y24+Y25+Y26+Y28+Y29+Y30+Y32+Y34+Y38+Y39+Y40+Y41+Y45+Y49+Y50+Y51+Y54+Y55+Y56+Y57+Y61),IF(EnCMember=1,Y8+Y14+Y47+Y27+Y37+Y43+Y44+Y53+Y60+Y11+Y13+Y15+Y20+Y21+Y22+Y23+Y24+Y25+Y26+Y28+Y29+Y30+Y32+Y34+Y38+Y39+Y40+Y41+Y45+Y49+Y50+Y51+Y54+Y55+Y56+Y57,Y11+Y13+Y15+Y20+Y21+Y22+Y23+Y24+Y25+Y26+Y28+Y29+Y30+Y32+Y34+Y38+Y39+Y40+Y41+Y45+Y49+Y50+Y51+Y54+Y55+Y56+Y57)),3)</f>
        <v>0</v>
      </c>
      <c r="Z66" s="812">
        <f>ROUND(IF('Table 1'!$G$3&gt;1,IF(EnCMember=1,Z8+Z14+Z47+Z27+Z37+Z43+Z44+Z53+Z60+Z11+Z13+Z15+Z20+Z21+Z22+Z23+Z24+Z25+Z26+Z28+Z29+Z30+Z32+Z34+Z38+Z39+Z40+Z41+Z45+Z49+Z50+Z51+Z54+Z55+Z56+Z57+Z61,Z11+Z13+Z15+Z20+Z21+Z22+Z23+Z24+Z25+Z26+Z28+Z29+Z30+Z32+Z34+Z38+Z39+Z40+Z41+Z45+Z49+Z50+Z51+Z54+Z55+Z56+Z57+Z61),IF(EnCMember=1,Z8+Z14+Z47+Z27+Z37+Z43+Z44+Z53+Z60+Z11+Z13+Z15+Z20+Z21+Z22+Z23+Z24+Z25+Z26+Z28+Z29+Z30+Z32+Z34+Z38+Z39+Z40+Z41+Z45+Z49+Z50+Z51+Z54+Z55+Z56+Z57,Z11+Z13+Z15+Z20+Z21+Z22+Z23+Z24+Z25+Z26+Z28+Z29+Z30+Z32+Z34+Z38+Z39+Z40+Z41+Z45+Z49+Z50+Z51+Z54+Z55+Z56+Z57)),3)</f>
        <v>29</v>
      </c>
      <c r="AA66" s="813">
        <f>ROUND(IF('Table 1'!$G$3&gt;1,IF(EnCMember=1,AA8+AA14+AA47+AA27+AA37+AA43+AA44+AA53+AA60+AA11+AA13+AA15+AA20+AA21+AA22+AA23+AA24+AA25+AA26+AA28+AA29+AA30+AA32+AA34+AA38+AA39+AA40+AA41+AA45+AA49+AA50+AA51+AA54+AA55+AA56+AA57+AA61,AA11+AA13+AA15+AA20+AA21+AA22+AA23+AA24+AA25+AA26+AA28+AA29+AA30+AA32+AA34+AA38+AA39+AA40+AA41+AA45+AA49+AA50+AA51+AA54+AA55+AA56+AA57+AA61),IF(EnCMember=1,AA8+AA14+AA47+AA27+AA37+AA43+AA44+AA53+AA60+AA11+AA13+AA15+AA20+AA21+AA22+AA23+AA24+AA25+AA26+AA28+AA29+AA30+AA32+AA34+AA38+AA39+AA40+AA41+AA45+AA49+AA50+AA51+AA54+AA55+AA56+AA57,AA11+AA13+AA15+AA20+AA21+AA22+AA23+AA24+AA25+AA26+AA28+AA29+AA30+AA32+AA34+AA38+AA39+AA40+AA41+AA45+AA49+AA50+AA51+AA54+AA55+AA56+AA57)),3)</f>
        <v>2</v>
      </c>
      <c r="AB66" s="811">
        <f>ROUND(IF('Table 1'!$G$3&gt;1,IF(EnCMember=1,AB8+AB14+AB47+AB27+AB37+AB43+AB44+AB53+AB60+AB11+AB13+AB15+AB20+AB21+AB22+AB23+AB24+AB25+AB26+AB28+AB29+AB30+AB32+AB34+AB38+AB39+AB40+AB41+AB45+AB49+AB50+AB51+AB54+AB55+AB56+AB57+AB61,AB11+AB13+AB15+AB20+AB21+AB22+AB23+AB24+AB25+AB26+AB28+AB29+AB30+AB32+AB34+AB38+AB39+AB40+AB41+AB45+AB49+AB50+AB51+AB54+AB55+AB56+AB57+AB61),IF(EnCMember=1,AB8+AB14+AB47+AB27+AB37+AB43+AB44+AB53+AB60+AB11+AB13+AB15+AB20+AB21+AB22+AB23+AB24+AB25+AB26+AB28+AB29+AB30+AB32+AB34+AB38+AB39+AB40+AB41+AB45+AB49+AB50+AB51+AB54+AB55+AB56+AB57,AB11+AB13+AB15+AB20+AB21+AB22+AB23+AB24+AB25+AB26+AB28+AB29+AB30+AB32+AB34+AB38+AB39+AB40+AB41+AB45+AB49+AB50+AB51+AB54+AB55+AB56+AB57)),3)</f>
        <v>2</v>
      </c>
      <c r="AC66" s="811">
        <f>ROUND(IF('Table 1'!$G$3&gt;1,IF(EnCMember=1,AC8+AC14+AC47+AC27+AC37+AC43+AC44+AC53+AC60+AC11+AC13+AC15+AC20+AC21+AC22+AC23+AC24+AC25+AC26+AC28+AC29+AC30+AC32+AC34+AC38+AC39+AC40+AC41+AC45+AC49+AC50+AC51+AC54+AC55+AC56+AC57+AC61,AC11+AC13+AC15+AC20+AC21+AC22+AC23+AC24+AC25+AC26+AC28+AC29+AC30+AC32+AC34+AC38+AC39+AC40+AC41+AC45+AC49+AC50+AC51+AC54+AC55+AC56+AC57+AC61),IF(EnCMember=1,AC8+AC14+AC47+AC27+AC37+AC43+AC44+AC53+AC60+AC11+AC13+AC15+AC20+AC21+AC22+AC23+AC24+AC25+AC26+AC28+AC29+AC30+AC32+AC34+AC38+AC39+AC40+AC41+AC45+AC49+AC50+AC51+AC54+AC55+AC56+AC57,AC11+AC13+AC15+AC20+AC21+AC22+AC23+AC24+AC25+AC26+AC28+AC29+AC30+AC32+AC34+AC38+AC39+AC40+AC41+AC45+AC49+AC50+AC51+AC54+AC55+AC56+AC57)),3)</f>
        <v>0</v>
      </c>
      <c r="AD66" s="812">
        <f>ROUND(IF('Table 1'!$G$3&gt;1,IF(EnCMember=1,AD8+AD14+AD47+AD27+AD37+AD43+AD44+AD53+AD60+AD11+AD13+AD15+AD20+AD21+AD22+AD23+AD24+AD25+AD26+AD28+AD29+AD30+AD32+AD34+AD38+AD39+AD40+AD41+AD45+AD49+AD50+AD51+AD54+AD55+AD56+AD57+AD61,AD11+AD13+AD15+AD20+AD21+AD22+AD23+AD24+AD25+AD26+AD28+AD29+AD30+AD32+AD34+AD38+AD39+AD40+AD41+AD45+AD49+AD50+AD51+AD54+AD55+AD56+AD57+AD61),IF(EnCMember=1,AD8+AD14+AD47+AD27+AD37+AD43+AD44+AD53+AD60+AD11+AD13+AD15+AD20+AD21+AD22+AD23+AD24+AD25+AD26+AD28+AD29+AD30+AD32+AD34+AD38+AD39+AD40+AD41+AD45+AD49+AD50+AD51+AD54+AD55+AD56+AD57,AD11+AD13+AD15+AD20+AD21+AD22+AD23+AD24+AD25+AD26+AD28+AD29+AD30+AD32+AD34+AD38+AD39+AD40+AD41+AD45+AD49+AD50+AD51+AD54+AD55+AD56+AD57)),3)</f>
        <v>0</v>
      </c>
      <c r="AE66" s="813">
        <f>ROUND(IF('Table 1'!$G$3&gt;1,IF(EnCMember=1,AE8+AE14+AE47+AE27+AE37+AE43+AE44+AE53+AE60+AE11+AE13+AE15+AE20+AE21+AE22+AE23+AE24+AE25+AE26+AE28+AE29+AE30+AE32+AE34+AE38+AE39+AE40+AE41+AE45+AE49+AE50+AE51+AE54+AE55+AE56+AE57+AE61,AE11+AE13+AE15+AE20+AE21+AE22+AE23+AE24+AE25+AE26+AE28+AE29+AE30+AE32+AE34+AE38+AE39+AE40+AE41+AE45+AE49+AE50+AE51+AE54+AE55+AE56+AE57+AE61),IF(EnCMember=1,AE8+AE14+AE47+AE27+AE37+AE43+AE44+AE53+AE60+AE11+AE13+AE15+AE20+AE21+AE22+AE23+AE24+AE25+AE26+AE28+AE29+AE30+AE32+AE34+AE38+AE39+AE40+AE41+AE45+AE49+AE50+AE51+AE54+AE55+AE56+AE57,AE11+AE13+AE15+AE20+AE21+AE22+AE23+AE24+AE25+AE26+AE28+AE29+AE30+AE32+AE34+AE38+AE39+AE40+AE41+AE45+AE49+AE50+AE51+AE54+AE55+AE56+AE57)),3)</f>
        <v>0</v>
      </c>
      <c r="AF66" s="811">
        <f>ROUND(IF('Table 1'!$G$3&gt;1,IF(EnCMember=1,AF8+AF14+AF47+AF27+AF37+AF43+AF44+AF53+AF60+AF11+AF13+AF15+AF20+AF21+AF22+AF23+AF24+AF25+AF26+AF28+AF29+AF30+AF32+AF34+AF38+AF39+AF40+AF41+AF45+AF49+AF50+AF51+AF54+AF55+AF56+AF57+AF61,AF11+AF13+AF15+AF20+AF21+AF22+AF23+AF24+AF25+AF26+AF28+AF29+AF30+AF32+AF34+AF38+AF39+AF40+AF41+AF45+AF49+AF50+AF51+AF54+AF55+AF56+AF57+AF61),IF(EnCMember=1,AF8+AF14+AF47+AF27+AF37+AF43+AF44+AF53+AF60+AF11+AF13+AF15+AF20+AF21+AF22+AF23+AF24+AF25+AF26+AF28+AF29+AF30+AF32+AF34+AF38+AF39+AF40+AF41+AF45+AF49+AF50+AF51+AF54+AF55+AF56+AF57,AF11+AF13+AF15+AF20+AF21+AF22+AF23+AF24+AF25+AF26+AF28+AF29+AF30+AF32+AF34+AF38+AF39+AF40+AF41+AF45+AF49+AF50+AF51+AF54+AF55+AF56+AF57)),3)</f>
        <v>0</v>
      </c>
      <c r="AG66" s="811">
        <f>ROUND(IF('Table 1'!$G$3&gt;1,IF(EnCMember=1,AG8+AG14+AG47+AG27+AG37+AG43+AG44+AG53+AG60+AG11+AG13+AG15+AG20+AG21+AG22+AG23+AG24+AG25+AG26+AG28+AG29+AG30+AG32+AG34+AG38+AG39+AG40+AG41+AG45+AG49+AG50+AG51+AG54+AG55+AG56+AG57+AG61,AG11+AG13+AG15+AG20+AG21+AG22+AG23+AG24+AG25+AG26+AG28+AG29+AG30+AG32+AG34+AG38+AG39+AG40+AG41+AG45+AG49+AG50+AG51+AG54+AG55+AG56+AG57+AG61),IF(EnCMember=1,AG8+AG14+AG47+AG27+AG37+AG43+AG44+AG53+AG60+AG11+AG13+AG15+AG20+AG21+AG22+AG23+AG24+AG25+AG26+AG28+AG29+AG30+AG32+AG34+AG38+AG39+AG40+AG41+AG45+AG49+AG50+AG51+AG54+AG55+AG56+AG57,AG11+AG13+AG15+AG20+AG21+AG22+AG23+AG24+AG25+AG26+AG28+AG29+AG30+AG32+AG34+AG38+AG39+AG40+AG41+AG45+AG49+AG50+AG51+AG54+AG55+AG56+AG57)),3)</f>
        <v>104</v>
      </c>
      <c r="AH66" s="816">
        <f>ROUND(IF('Table 1'!$G$3&gt;1,IF(EnCMember=1,AH8+AH14+AH47+AH27+AH37+AH43+AH44+AH53+AH60+AH11+AH13+AH15+AH20+AH21+AH22+AH23+AH24+AH25+AH26+AH28+AH29+AH30+AH32+AH34+AH38+AH39+AH40+AH41+AH45+AH49+AH50+AH51+AH54+AH55+AH56+AH57+AH61,AH11+AH13+AH15+AH20+AH21+AH22+AH23+AH24+AH25+AH26+AH28+AH29+AH30+AH32+AH34+AH38+AH39+AH40+AH41+AH45+AH49+AH50+AH51+AH54+AH55+AH56+AH57+AH61),IF(EnCMember=1,AH8+AH14+AH47+AH27+AH37+AH43+AH44+AH53+AH60+AH11+AH13+AH15+AH20+AH21+AH22+AH23+AH24+AH25+AH26+AH28+AH29+AH30+AH32+AH34+AH38+AH39+AH40+AH41+AH45+AH49+AH50+AH51+AH54+AH55+AH56+AH57,AH11+AH13+AH15+AH20+AH21+AH22+AH23+AH24+AH25+AH26+AH28+AH29+AH30+AH32+AH34+AH38+AH39+AH40+AH41+AH45+AH49+AH50+AH51+AH54+AH55+AH56+AH57)),3)</f>
        <v>189</v>
      </c>
      <c r="AI66" s="466">
        <f t="shared" si="7"/>
        <v>0</v>
      </c>
      <c r="AJ66" s="467" t="str">
        <f>IF(AI66=0," ",IF(AI66=1,"A total is not equal to the sum of its components: ",AI66&amp;" totals are not equal to the sum of their components: "))&amp;IF(AI66=0,"",IF(I66-SUM(C66:F66,H66)=0,"","Total crude. ")&amp;IF(AG66-SUM(J66:M66,P66:R66,U66,X66,AA66,AE66:AF66)=0,"","Total products. ")&amp;IF(AH66-SUM(AG66,I66)=0,"","Total oil."))</f>
        <v xml:space="preserve"> </v>
      </c>
      <c r="AS66" s="143" t="s">
        <v>898</v>
      </c>
      <c r="AT66" s="144" t="s">
        <v>681</v>
      </c>
    </row>
    <row r="67" spans="1:46" s="32" customFormat="1" ht="24" customHeight="1" x14ac:dyDescent="0.2">
      <c r="C67" s="1050" t="str">
        <f>IF(ROUND(SUM(C8:C63),3)&lt;&gt;C64,"Total not correct","")</f>
        <v/>
      </c>
      <c r="D67" s="1050" t="str">
        <f>IF(ROUND(SUM(D8:D63),3)&lt;&gt;D64,"Total not correct","")</f>
        <v/>
      </c>
      <c r="E67" s="1050" t="str">
        <f t="shared" ref="E67:AH67" si="9">IF(ROUND(SUM(E8:E63),3)&lt;&gt;E64,"Total not correct","")</f>
        <v/>
      </c>
      <c r="F67" s="1050" t="str">
        <f t="shared" si="9"/>
        <v/>
      </c>
      <c r="G67" s="1050" t="str">
        <f t="shared" si="9"/>
        <v/>
      </c>
      <c r="H67" s="1050" t="str">
        <f t="shared" si="9"/>
        <v/>
      </c>
      <c r="I67" s="1050" t="str">
        <f t="shared" si="9"/>
        <v/>
      </c>
      <c r="J67" s="1050" t="str">
        <f t="shared" si="9"/>
        <v/>
      </c>
      <c r="K67" s="1050" t="str">
        <f t="shared" si="9"/>
        <v/>
      </c>
      <c r="L67" s="1050" t="str">
        <f t="shared" si="9"/>
        <v/>
      </c>
      <c r="M67" s="1050" t="str">
        <f t="shared" si="9"/>
        <v/>
      </c>
      <c r="N67" s="1050" t="str">
        <f t="shared" si="9"/>
        <v/>
      </c>
      <c r="O67" s="1050" t="str">
        <f t="shared" si="9"/>
        <v/>
      </c>
      <c r="P67" s="1050" t="str">
        <f t="shared" si="9"/>
        <v/>
      </c>
      <c r="Q67" s="1050" t="str">
        <f t="shared" si="9"/>
        <v/>
      </c>
      <c r="R67" s="1050" t="str">
        <f t="shared" si="9"/>
        <v/>
      </c>
      <c r="S67" s="1050" t="str">
        <f t="shared" si="9"/>
        <v/>
      </c>
      <c r="T67" s="1050" t="str">
        <f t="shared" si="9"/>
        <v/>
      </c>
      <c r="U67" s="1050" t="str">
        <f t="shared" si="9"/>
        <v/>
      </c>
      <c r="V67" s="1050" t="str">
        <f t="shared" si="9"/>
        <v/>
      </c>
      <c r="W67" s="1050" t="str">
        <f t="shared" si="9"/>
        <v/>
      </c>
      <c r="X67" s="1050" t="str">
        <f t="shared" si="9"/>
        <v/>
      </c>
      <c r="Y67" s="1050" t="str">
        <f t="shared" si="9"/>
        <v/>
      </c>
      <c r="Z67" s="1050" t="str">
        <f t="shared" si="9"/>
        <v/>
      </c>
      <c r="AA67" s="1050" t="str">
        <f t="shared" si="9"/>
        <v/>
      </c>
      <c r="AB67" s="1050" t="str">
        <f t="shared" si="9"/>
        <v/>
      </c>
      <c r="AC67" s="1050"/>
      <c r="AD67" s="1050" t="str">
        <f t="shared" si="9"/>
        <v/>
      </c>
      <c r="AE67" s="1050" t="str">
        <f t="shared" si="9"/>
        <v/>
      </c>
      <c r="AF67" s="1050" t="str">
        <f t="shared" si="9"/>
        <v/>
      </c>
      <c r="AG67" s="1050" t="str">
        <f t="shared" si="9"/>
        <v/>
      </c>
      <c r="AH67" s="1050" t="str">
        <f t="shared" si="9"/>
        <v/>
      </c>
      <c r="AI67" s="157"/>
      <c r="AJ67" s="157"/>
    </row>
    <row r="68" spans="1:46" s="32" customFormat="1" ht="21" customHeight="1" x14ac:dyDescent="0.2">
      <c r="C68" s="1050" t="str">
        <f t="shared" ref="C68:AH68" si="10">IF(MIN(C8:C64,C66)&lt;0,"Negative number","")</f>
        <v/>
      </c>
      <c r="D68" s="1050" t="str">
        <f t="shared" si="10"/>
        <v/>
      </c>
      <c r="E68" s="1050" t="str">
        <f t="shared" si="10"/>
        <v/>
      </c>
      <c r="F68" s="1050" t="str">
        <f t="shared" si="10"/>
        <v/>
      </c>
      <c r="G68" s="1050" t="str">
        <f t="shared" si="10"/>
        <v/>
      </c>
      <c r="H68" s="1050" t="str">
        <f t="shared" si="10"/>
        <v/>
      </c>
      <c r="I68" s="1050" t="str">
        <f t="shared" si="10"/>
        <v/>
      </c>
      <c r="J68" s="1050" t="str">
        <f t="shared" si="10"/>
        <v/>
      </c>
      <c r="K68" s="1050" t="str">
        <f t="shared" si="10"/>
        <v/>
      </c>
      <c r="L68" s="1050" t="str">
        <f t="shared" si="10"/>
        <v/>
      </c>
      <c r="M68" s="1050" t="str">
        <f t="shared" si="10"/>
        <v/>
      </c>
      <c r="N68" s="1050" t="str">
        <f t="shared" si="10"/>
        <v/>
      </c>
      <c r="O68" s="1050" t="str">
        <f t="shared" si="10"/>
        <v/>
      </c>
      <c r="P68" s="1050" t="str">
        <f t="shared" si="10"/>
        <v/>
      </c>
      <c r="Q68" s="1050" t="str">
        <f t="shared" si="10"/>
        <v/>
      </c>
      <c r="R68" s="1050" t="str">
        <f t="shared" si="10"/>
        <v/>
      </c>
      <c r="S68" s="1050" t="str">
        <f t="shared" si="10"/>
        <v/>
      </c>
      <c r="T68" s="1050" t="str">
        <f t="shared" si="10"/>
        <v/>
      </c>
      <c r="U68" s="1050" t="str">
        <f t="shared" si="10"/>
        <v/>
      </c>
      <c r="V68" s="1050" t="str">
        <f t="shared" si="10"/>
        <v/>
      </c>
      <c r="W68" s="1050" t="str">
        <f t="shared" si="10"/>
        <v/>
      </c>
      <c r="X68" s="1050" t="str">
        <f t="shared" si="10"/>
        <v/>
      </c>
      <c r="Y68" s="1050" t="str">
        <f t="shared" si="10"/>
        <v/>
      </c>
      <c r="Z68" s="1050" t="str">
        <f t="shared" si="10"/>
        <v/>
      </c>
      <c r="AA68" s="1050" t="str">
        <f t="shared" si="10"/>
        <v/>
      </c>
      <c r="AB68" s="1050" t="str">
        <f t="shared" si="10"/>
        <v/>
      </c>
      <c r="AC68" s="1050"/>
      <c r="AD68" s="1050" t="str">
        <f t="shared" si="10"/>
        <v/>
      </c>
      <c r="AE68" s="1050" t="str">
        <f t="shared" si="10"/>
        <v/>
      </c>
      <c r="AF68" s="1050" t="str">
        <f t="shared" si="10"/>
        <v/>
      </c>
      <c r="AG68" s="1050" t="str">
        <f t="shared" si="10"/>
        <v/>
      </c>
      <c r="AH68" s="1050" t="str">
        <f t="shared" si="10"/>
        <v/>
      </c>
      <c r="AI68" s="157"/>
      <c r="AJ68" s="157"/>
    </row>
    <row r="69" spans="1:46" s="32" customFormat="1" ht="24" customHeight="1" x14ac:dyDescent="0.2">
      <c r="C69" s="1050" t="str">
        <f>IF(ROUND(IF('Table 1'!$G$3&gt;1,IF(EnCMember=1,C8+C9+C12+C14+C47+C27+C37+C43+C44+C53+C60,C11+C13+C15+C20+C21+C22+C23+C24+C25+C26+C28+C29+C30+C32+C34+C38+C39+C40+C41+C45+C49+C50+C51+C54+C55+C56+C57+C61),IF(EnCMember=1,C8+C9+C12+C14+C47+C27+C37+C43+C44+C53+C60,C11+C13+C15+C20+C21+C22+C23+C24+C25+C26+C28+C29+C30+C32+C34+C38+C39+C40+C41+C45+C49+C50+C51+C54+C55+C56+C57)),3)&lt;&gt;C66,"Total EU MS not correct","")</f>
        <v/>
      </c>
      <c r="D69" s="1050" t="str">
        <f>IF(ROUND(IF('Table 1'!$G$3&gt;1,IF(EnCMember=1,D8+D9+D12+D14+D47+D27+D37+D43+D44+D53+D60,D11+D13+D15+D20+D21+D22+D23+D24+D25+D26+D28+D29+D30+D32+D34+D38+D39+D40+D41+D45+D49+D50+D51+D54+D55+D56+D57+D61),IF(EnCMember=1,D8+D9+D12+D14+D47+D27+D37+D43+D44+D53+D60,D11+D13+D15+D20+D21+D22+D23+D24+D25+D26+D28+D29+D30+D32+D34+D38+D39+D40+D41+D45+D49+D50+D51+D54+D55+D56+D57)),3)&lt;&gt;D66,"Total EU MS not correct","")</f>
        <v/>
      </c>
      <c r="E69" s="1050" t="str">
        <f>IF(ROUND(IF('Table 1'!$G$3&gt;1,IF(EnCMember=1,E8+E9+E12+E14+E47+E27+E37+E43+E44+E53+E60,E11+E13+E15+E20+E21+E22+E23+E24+E25+E26+E28+E29+E30+E32+E34+E38+E39+E40+E41+E45+E49+E50+E51+E54+E55+E56+E57+E61),IF(EnCMember=1,E8+E9+E12+E14+E47+E27+E37+E43+E44+E53+E60,E11+E13+E15+E20+E21+E22+E23+E24+E25+E26+E28+E29+E30+E32+E34+E38+E39+E40+E41+E45+E49+E50+E51+E54+E55+E56+E57)),3)&lt;&gt;E66,"Total EU MS not correct","")</f>
        <v/>
      </c>
      <c r="F69" s="1050" t="str">
        <f>IF(ROUND(IF('Table 1'!$G$3&gt;1,IF(EnCMember=1,F8+F9+F12+F14+F47+F27+F37+F43+F44+F53+F60,F11+F13+F15+F20+F21+F22+F23+F24+F25+F26+F28+F29+F30+F32+F34+F38+F39+F40+F41+F45+F49+F50+F51+F54+F55+F56+F57+F61),IF(EnCMember=1,F8+F9+F12+F14+F47+F27+F37+F43+F44+F53+F60,F11+F13+F15+F20+F21+F22+F23+F24+F25+F26+F28+F29+F30+F32+F34+F38+F39+F40+F41+F45+F49+F50+F51+F54+F55+F56+F57)),3)&lt;&gt;F66,"Total EU MS not correct","")</f>
        <v/>
      </c>
      <c r="G69" s="1050" t="str">
        <f>IF(ROUND(IF('Table 1'!$G$3&gt;1,IF(EnCMember=1,G8+G9+G12+G14+G47+G27+G37+G43+G44+G53+G60,G11+G13+G15+G20+G21+G22+G23+G24+G25+G26+G28+G29+G30+G32+G34+G38+G39+G40+G41+G45+G49+G50+G51+G54+G55+G56+G57+G61),IF(EnCMember=1,G8+G9+G12+G14+G47+G27+G37+G43+G44+G53+G60,G11+G13+G15+G20+G21+G22+G23+G24+G25+G26+G28+G29+G30+G32+G34+G38+G39+G40+G41+G45+G49+G50+G51+G54+G55+G56+G57)),3)&lt;&gt;G66,"Total EU MS not correct","")</f>
        <v/>
      </c>
      <c r="H69" s="1050" t="str">
        <f>IF(ROUND(IF('Table 1'!$G$3&gt;1,IF(EnCMember=1,H8+H9+H12+H14+H47+H27+H37+H43+H44+H53+H60,H11+H13+H15+H20+H21+H22+H23+H24+H25+H26+H28+H29+H30+H32+H34+H38+H39+H40+H41+H45+H49+H50+H51+H54+H55+H56+H57+H61),IF(EnCMember=1,H8+H9+H12+H14+H47+H27+H37+H43+H44+H53+H60,H11+H13+H15+H20+H21+H22+H23+H24+H25+H26+H28+H29+H30+H32+H34+H38+H39+H40+H41+H45+H49+H50+H51+H54+H55+H56+H57)),3)&lt;&gt;H66,"Total EU MS not correct","")</f>
        <v/>
      </c>
      <c r="I69" s="1050" t="str">
        <f>IF(ROUND(IF('Table 1'!$G$3&gt;1,IF(EnCMember=1,I8+I9+I12+I14+I47+I27+I37+I43+I44+I53+I60,I11+I13+I15+I20+I21+I22+I23+I24+I25+I26+I28+I29+I30+I32+I34+I38+I39+I40+I41+I45+I49+I50+I51+I54+I55+I56+I57+I61),IF(EnCMember=1,I8+I9+I12+I14+I47+I27+I37+I43+I44+I53+I60,I11+I13+I15+I20+I21+I22+I23+I24+I25+I26+I28+I29+I30+I32+I34+I38+I39+I40+I41+I45+I49+I50+I51+I54+I55+I56+I57)),3)&lt;&gt;I66,"Total EU MS not correct","")</f>
        <v/>
      </c>
      <c r="J69" s="1050" t="str">
        <f>IF(ROUND(IF('Table 1'!$G$3&gt;1,IF(EnCMember=1,J8+J9+J12+J14+J47+J27+J37+J43+J44+J53+J60,J11+J13+J15+J20+J21+J22+J23+J24+J25+J26+J28+J29+J30+J32+J34+J38+J39+J40+J41+J45+J49+J50+J51+J54+J55+J56+J57+J61),IF(EnCMember=1,J8+J9+J12+J14+J47+J27+J37+J43+J44+J53+J60,J11+J13+J15+J20+J21+J22+J23+J24+J25+J26+J28+J29+J30+J32+J34+J38+J39+J40+J41+J45+J49+J50+J51+J54+J55+J56+J57)),3)&lt;&gt;J66,"Total EU MS not correct","")</f>
        <v/>
      </c>
      <c r="K69" s="1050" t="str">
        <f>IF(ROUND(IF('Table 1'!$G$3&gt;1,IF(EnCMember=1,K8+K9+K12+K14+K47+K27+K37+K43+K44+K53+K60,K11+K13+K15+K20+K21+K22+K23+K24+K25+K26+K28+K29+K30+K32+K34+K38+K39+K40+K41+K45+K49+K50+K51+K54+K55+K56+K57+K61),IF(EnCMember=1,K8+K9+K12+K14+K47+K27+K37+K43+K44+K53+K60,K11+K13+K15+K20+K21+K22+K23+K24+K25+K26+K28+K29+K30+K32+K34+K38+K39+K40+K41+K45+K49+K50+K51+K54+K55+K56+K57)),3)&lt;&gt;K66,"Total EU MS not correct","")</f>
        <v/>
      </c>
      <c r="L69" s="1050" t="str">
        <f>IF(ROUND(IF('Table 1'!$G$3&gt;1,IF(EnCMember=1,L8+L9+L12+L14+L47+L27+L37+L43+L44+L53+L60,L11+L13+L15+L20+L21+L22+L23+L24+L25+L26+L28+L29+L30+L32+L34+L38+L39+L40+L41+L45+L49+L50+L51+L54+L55+L56+L57+L61),IF(EnCMember=1,L8+L9+L12+L14+L47+L27+L37+L43+L44+L53+L60,L11+L13+L15+L20+L21+L22+L23+L24+L25+L26+L28+L29+L30+L32+L34+L38+L39+L40+L41+L45+L49+L50+L51+L54+L55+L56+L57)),3)&lt;&gt;L66,"Total EU MS not correct","")</f>
        <v/>
      </c>
      <c r="M69" s="1050" t="str">
        <f>IF(ROUND(IF('Table 1'!$G$3&gt;1,IF(EnCMember=1,M8+M9+M12+M14+M47+M27+M37+M43+M44+M53+M60,M11+M13+M15+M20+M21+M22+M23+M24+M25+M26+M28+M29+M30+M32+M34+M38+M39+M40+M41+M45+M49+M50+M51+M54+M55+M56+M57+M61),IF(EnCMember=1,M8+M9+M12+M14+M47+M27+M37+M43+M44+M53+M60,M11+M13+M15+M20+M21+M22+M23+M24+M25+M26+M28+M29+M30+M32+M34+M38+M39+M40+M41+M45+M49+M50+M51+M54+M55+M56+M57)),3)&lt;&gt;M66,"Total EU MS not correct","")</f>
        <v/>
      </c>
      <c r="N69" s="1050" t="str">
        <f>IF(ROUND(IF('Table 1'!$G$3&gt;1,IF(EnCMember=1,N8+N9+N12+N14+N47+N27+N37+N43+N44+N53+N60,N11+N13+N15+N20+N21+N22+N23+N24+N25+N26+N28+N29+N30+N32+N34+N38+N39+N40+N41+N45+N49+N50+N51+N54+N55+N56+N57+N61),IF(EnCMember=1,N8+N9+N12+N14+N47+N27+N37+N43+N44+N53+N60,N11+N13+N15+N20+N21+N22+N23+N24+N25+N26+N28+N29+N30+N32+N34+N38+N39+N40+N41+N45+N49+N50+N51+N54+N55+N56+N57)),3)&lt;&gt;N66,"Total EU MS not correct","")</f>
        <v/>
      </c>
      <c r="O69" s="1050" t="str">
        <f>IF(ROUND(IF('Table 1'!$G$3&gt;1,IF(EnCMember=1,O8+O9+O12+O14+O47+O27+O37+O43+O44+O53+O60,O11+O13+O15+O20+O21+O22+O23+O24+O25+O26+O28+O29+O30+O32+O34+O38+O39+O40+O41+O45+O49+O50+O51+O54+O55+O56+O57+O61),IF(EnCMember=1,O8+O9+O12+O14+O47+O27+O37+O43+O44+O53+O60,O11+O13+O15+O20+O21+O22+O23+O24+O25+O26+O28+O29+O30+O32+O34+O38+O39+O40+O41+O45+O49+O50+O51+O54+O55+O56+O57)),3)&lt;&gt;O66,"Total EU MS not correct","")</f>
        <v/>
      </c>
      <c r="P69" s="1050" t="str">
        <f>IF(ROUND(IF('Table 1'!$G$3&gt;1,IF(EnCMember=1,P8+P9+P12+P14+P47+P27+P37+P43+P44+P53+P60,P11+P13+P15+P20+P21+P22+P23+P24+P25+P26+P28+P29+P30+P32+P34+P38+P39+P40+P41+P45+P49+P50+P51+P54+P55+P56+P57+P61),IF(EnCMember=1,P8+P9+P12+P14+P47+P27+P37+P43+P44+P53+P60,P11+P13+P15+P20+P21+P22+P23+P24+P25+P26+P28+P29+P30+P32+P34+P38+P39+P40+P41+P45+P49+P50+P51+P54+P55+P56+P57)),3)&lt;&gt;P66,"Total EU MS not correct","")</f>
        <v/>
      </c>
      <c r="Q69" s="1050" t="str">
        <f>IF(ROUND(IF('Table 1'!$G$3&gt;1,IF(EnCMember=1,Q8+Q9+Q12+Q14+Q47+Q27+Q37+Q43+Q44+Q53+Q60,Q11+Q13+Q15+Q20+Q21+Q22+Q23+Q24+Q25+Q26+Q28+Q29+Q30+Q32+Q34+Q38+Q39+Q40+Q41+Q45+Q49+Q50+Q51+Q54+Q55+Q56+Q57+Q61),IF(EnCMember=1,Q8+Q9+Q12+Q14+Q47+Q27+Q37+Q43+Q44+Q53+Q60,Q11+Q13+Q15+Q20+Q21+Q22+Q23+Q24+Q25+Q26+Q28+Q29+Q30+Q32+Q34+Q38+Q39+Q40+Q41+Q45+Q49+Q50+Q51+Q54+Q55+Q56+Q57)),3)&lt;&gt;Q66,"Total EU MS not correct","")</f>
        <v/>
      </c>
      <c r="R69" s="1050" t="str">
        <f>IF(ROUND(IF('Table 1'!$G$3&gt;1,IF(EnCMember=1,R8+R9+R12+R14+R47+R27+R37+R43+R44+R53+R60,R11+R13+R15+R20+R21+R22+R23+R24+R25+R26+R28+R29+R30+R32+R34+R38+R39+R40+R41+R45+R49+R50+R51+R54+R55+R56+R57+R61),IF(EnCMember=1,R8+R9+R12+R14+R47+R27+R37+R43+R44+R53+R60,R11+R13+R15+R20+R21+R22+R23+R24+R25+R26+R28+R29+R30+R32+R34+R38+R39+R40+R41+R45+R49+R50+R51+R54+R55+R56+R57)),3)&lt;&gt;R66,"Total EU MS not correct","")</f>
        <v/>
      </c>
      <c r="S69" s="1050" t="str">
        <f>IF(ROUND(IF('Table 1'!$G$3&gt;1,IF(EnCMember=1,S8+S9+S12+S14+S47+S27+S37+S43+S44+S53+S60,S11+S13+S15+S20+S21+S22+S23+S24+S25+S26+S28+S29+S30+S32+S34+S38+S39+S40+S41+S45+S49+S50+S51+S54+S55+S56+S57+S61),IF(EnCMember=1,S8+S9+S12+S14+S47+S27+S37+S43+S44+S53+S60,S11+S13+S15+S20+S21+S22+S23+S24+S25+S26+S28+S29+S30+S32+S34+S38+S39+S40+S41+S45+S49+S50+S51+S54+S55+S56+S57)),3)&lt;&gt;S66,"Total EU MS not correct","")</f>
        <v/>
      </c>
      <c r="T69" s="1050" t="str">
        <f>IF(ROUND(IF('Table 1'!$G$3&gt;1,IF(EnCMember=1,T8+T9+T12+T14+T47+T27+T37+T43+T44+T53+T60,T11+T13+T15+T20+T21+T22+T23+T24+T25+T26+T28+T29+T30+T32+T34+T38+T39+T40+T41+T45+T49+T50+T51+T54+T55+T56+T57+T61),IF(EnCMember=1,T8+T9+T12+T14+T47+T27+T37+T43+T44+T53+T60,T11+T13+T15+T20+T21+T22+T23+T24+T25+T26+T28+T29+T30+T32+T34+T38+T39+T40+T41+T45+T49+T50+T51+T54+T55+T56+T57)),3)&lt;&gt;T66,"Total EU MS not correct","")</f>
        <v/>
      </c>
      <c r="U69" s="1050" t="str">
        <f>IF(ROUND(IF('Table 1'!$G$3&gt;1,IF(EnCMember=1,U8+U9+U12+U14+U47+U27+U37+U43+U44+U53+U60,U11+U13+U15+U20+U21+U22+U23+U24+U25+U26+U28+U29+U30+U32+U34+U38+U39+U40+U41+U45+U49+U50+U51+U54+U55+U56+U57+U61),IF(EnCMember=1,U8+U9+U12+U14+U47+U27+U37+U43+U44+U53+U60,U11+U13+U15+U20+U21+U22+U23+U24+U25+U26+U28+U29+U30+U32+U34+U38+U39+U40+U41+U45+U49+U50+U51+U54+U55+U56+U57)),3)&lt;&gt;U66,"Total EU MS not correct","")</f>
        <v/>
      </c>
      <c r="V69" s="1050" t="str">
        <f>IF(ROUND(IF('Table 1'!$G$3&gt;1,IF(EnCMember=1,V8+V9+V12+V14+V47+V27+V37+V43+V44+V53+V60,V11+V13+V15+V20+V21+V22+V23+V24+V25+V26+V28+V29+V30+V32+V34+V38+V39+V40+V41+V45+V49+V50+V51+V54+V55+V56+V57+V61),IF(EnCMember=1,V8+V9+V12+V14+V47+V27+V37+V43+V44+V53+V60,V11+V13+V15+V20+V21+V22+V23+V24+V25+V26+V28+V29+V30+V32+V34+V38+V39+V40+V41+V45+V49+V50+V51+V54+V55+V56+V57)),3)&lt;&gt;V66,"Total EU MS not correct","")</f>
        <v/>
      </c>
      <c r="W69" s="1050" t="str">
        <f>IF(ROUND(IF('Table 1'!$G$3&gt;1,IF(EnCMember=1,W8+W9+W12+W14+W47+W27+W37+W43+W44+W53+W60,W11+W13+W15+W20+W21+W22+W23+W24+W25+W26+W28+W29+W30+W32+W34+W38+W39+W40+W41+W45+W49+W50+W51+W54+W55+W56+W57+W61),IF(EnCMember=1,W8+W9+W12+W14+W47+W27+W37+W43+W44+W53+W60,W11+W13+W15+W20+W21+W22+W23+W24+W25+W26+W28+W29+W30+W32+W34+W38+W39+W40+W41+W45+W49+W50+W51+W54+W55+W56+W57)),3)&lt;&gt;W66,"Total EU MS not correct","")</f>
        <v/>
      </c>
      <c r="X69" s="1050" t="str">
        <f>IF(ROUND(IF('Table 1'!$G$3&gt;1,IF(EnCMember=1,X8+X9+X12+X14+X47+X27+X37+X43+X44+X53+X60,X11+X13+X15+X20+X21+X22+X23+X24+X25+X26+X28+X29+X30+X32+X34+X38+X39+X40+X41+X45+X49+X50+X51+X54+X55+X56+X57+X61),IF(EnCMember=1,X8+X9+X12+X14+X47+X27+X37+X43+X44+X53+X60,X11+X13+X15+X20+X21+X22+X23+X24+X25+X26+X28+X29+X30+X32+X34+X38+X39+X40+X41+X45+X49+X50+X51+X54+X55+X56+X57)),3)&lt;&gt;X66,"Total EU MS not correct","")</f>
        <v/>
      </c>
      <c r="Y69" s="1050" t="str">
        <f>IF(ROUND(IF('Table 1'!$G$3&gt;1,IF(EnCMember=1,Y8+Y9+Y12+Y14+Y47+Y27+Y37+Y43+Y44+Y53+Y60,Y11+Y13+Y15+Y20+Y21+Y22+Y23+Y24+Y25+Y26+Y28+Y29+Y30+Y32+Y34+Y38+Y39+Y40+Y41+Y45+Y49+Y50+Y51+Y54+Y55+Y56+Y57+Y61),IF(EnCMember=1,Y8+Y9+Y12+Y14+Y47+Y27+Y37+Y43+Y44+Y53+Y60,Y11+Y13+Y15+Y20+Y21+Y22+Y23+Y24+Y25+Y26+Y28+Y29+Y30+Y32+Y34+Y38+Y39+Y40+Y41+Y45+Y49+Y50+Y51+Y54+Y55+Y56+Y57)),3)&lt;&gt;Y66,"Total EU MS not correct","")</f>
        <v/>
      </c>
      <c r="Z69" s="1050" t="str">
        <f>IF(ROUND(IF('Table 1'!$G$3&gt;1,IF(EnCMember=1,Z8+Z9+Z12+Z14+Z47+Z27+Z37+Z43+Z44+Z53+Z60,Z11+Z13+Z15+Z20+Z21+Z22+Z23+Z24+Z25+Z26+Z28+Z29+Z30+Z32+Z34+Z38+Z39+Z40+Z41+Z45+Z49+Z50+Z51+Z54+Z55+Z56+Z57+Z61),IF(EnCMember=1,Z8+Z9+Z12+Z14+Z47+Z27+Z37+Z43+Z44+Z53+Z60,Z11+Z13+Z15+Z20+Z21+Z22+Z23+Z24+Z25+Z26+Z28+Z29+Z30+Z32+Z34+Z38+Z39+Z40+Z41+Z45+Z49+Z50+Z51+Z54+Z55+Z56+Z57)),3)&lt;&gt;Z66,"Total EU MS not correct","")</f>
        <v/>
      </c>
      <c r="AA69" s="1050" t="str">
        <f>IF(ROUND(IF('Table 1'!$G$3&gt;1,IF(EnCMember=1,AA8+AA9+AA12+AA14+AA47+AA27+AA37+AA43+AA44+AA53+AA60,AA11+AA13+AA15+AA20+AA21+AA22+AA23+AA24+AA25+AA26+AA28+AA29+AA30+AA32+AA34+AA38+AA39+AA40+AA41+AA45+AA49+AA50+AA51+AA54+AA55+AA56+AA57+AA61),IF(EnCMember=1,AA8+AA9+AA12+AA14+AA47+AA27+AA37+AA43+AA44+AA53+AA60,AA11+AA13+AA15+AA20+AA21+AA22+AA23+AA24+AA25+AA26+AA28+AA29+AA30+AA32+AA34+AA38+AA39+AA40+AA41+AA45+AA49+AA50+AA51+AA54+AA55+AA56+AA57)),3)&lt;&gt;AA66,"Total EU MS not correct","")</f>
        <v/>
      </c>
      <c r="AB69" s="1050" t="str">
        <f>IF(ROUND(IF('Table 1'!$G$3&gt;1,IF(EnCMember=1,AB8+AB9+AB12+AB14+AB47+AB27+AB37+AB43+AB44+AB53+AB60,AB11+AB13+AB15+AB20+AB21+AB22+AB23+AB24+AB25+AB26+AB28+AB29+AB30+AB32+AB34+AB38+AB39+AB40+AB41+AB45+AB49+AB50+AB51+AB54+AB55+AB56+AB57+AB61),IF(EnCMember=1,AB8+AB9+AB12+AB14+AB47+AB27+AB37+AB43+AB44+AB53+AB60,AB11+AB13+AB15+AB20+AB21+AB22+AB23+AB24+AB25+AB26+AB28+AB29+AB30+AB32+AB34+AB38+AB39+AB40+AB41+AB45+AB49+AB50+AB51+AB54+AB55+AB56+AB57)),3)&lt;&gt;AB66,"Total EU MS not correct","")</f>
        <v/>
      </c>
      <c r="AC69" s="1050"/>
      <c r="AD69" s="1050" t="str">
        <f>IF(ROUND(IF('Table 1'!$G$3&gt;1,IF(EnCMember=1,AD8+AD9+AD12+AD14+AD47+AD27+AD37+AD43+AD44+AD53+AD60,AD11+AD13+AD15+AD20+AD21+AD22+AD23+AD24+AD25+AD26+AD28+AD29+AD30+AD32+AD34+AD38+AD39+AD40+AD41+AD45+AD49+AD50+AD51+AD54+AD55+AD56+AD57+AD61),IF(EnCMember=1,AD8+AD9+AD12+AD14+AD47+AD27+AD37+AD43+AD44+AD53+AD60,AD11+AD13+AD15+AD20+AD21+AD22+AD23+AD24+AD25+AD26+AD28+AD29+AD30+AD32+AD34+AD38+AD39+AD40+AD41+AD45+AD49+AD50+AD51+AD54+AD55+AD56+AD57)),3)&lt;&gt;AD66,"Total EU MS not correct","")</f>
        <v/>
      </c>
      <c r="AE69" s="1050" t="str">
        <f>IF(ROUND(IF('Table 1'!$G$3&gt;1,IF(EnCMember=1,AE8+AE9+AE12+AE14+AE47+AE27+AE37+AE43+AE44+AE53+AE60,AE11+AE13+AE15+AE20+AE21+AE22+AE23+AE24+AE25+AE26+AE28+AE29+AE30+AE32+AE34+AE38+AE39+AE40+AE41+AE45+AE49+AE50+AE51+AE54+AE55+AE56+AE57+AE61),IF(EnCMember=1,AE8+AE9+AE12+AE14+AE47+AE27+AE37+AE43+AE44+AE53+AE60,AE11+AE13+AE15+AE20+AE21+AE22+AE23+AE24+AE25+AE26+AE28+AE29+AE30+AE32+AE34+AE38+AE39+AE40+AE41+AE45+AE49+AE50+AE51+AE54+AE55+AE56+AE57)),3)&lt;&gt;AE66,"Total EU MS not correct","")</f>
        <v/>
      </c>
      <c r="AF69" s="1050" t="str">
        <f>IF(ROUND(IF('Table 1'!$G$3&gt;1,IF(EnCMember=1,AF8+AF9+AF12+AF14+AF47+AF27+AF37+AF43+AF44+AF53+AF60,AF11+AF13+AF15+AF20+AF21+AF22+AF23+AF24+AF25+AF26+AF28+AF29+AF30+AF32+AF34+AF38+AF39+AF40+AF41+AF45+AF49+AF50+AF51+AF54+AF55+AF56+AF57+AF61),IF(EnCMember=1,AF8+AF9+AF12+AF14+AF47+AF27+AF37+AF43+AF44+AF53+AF60,AF11+AF13+AF15+AF20+AF21+AF22+AF23+AF24+AF25+AF26+AF28+AF29+AF30+AF32+AF34+AF38+AF39+AF40+AF41+AF45+AF49+AF50+AF51+AF54+AF55+AF56+AF57)),3)&lt;&gt;AF66,"Total EU MS not correct","")</f>
        <v/>
      </c>
      <c r="AG69" s="1050" t="str">
        <f>IF(ROUND(IF('Table 1'!$G$3&gt;1,IF(EnCMember=1,AG8+AG9+AG12+AG14+AG47+AG27+AG37+AG43+AG44+AG53+AG60,AG11+AG13+AG15+AG20+AG21+AG22+AG23+AG24+AG25+AG26+AG28+AG29+AG30+AG32+AG34+AG38+AG39+AG40+AG41+AG45+AG49+AG50+AG51+AG54+AG55+AG56+AG57+AG61),IF(EnCMember=1,AG8+AG9+AG12+AG14+AG47+AG27+AG37+AG43+AG44+AG53+AG60,AG11+AG13+AG15+AG20+AG21+AG22+AG23+AG24+AG25+AG26+AG28+AG29+AG30+AG32+AG34+AG38+AG39+AG40+AG41+AG45+AG49+AG50+AG51+AG54+AG55+AG56+AG57)),3)&lt;&gt;AG66,"Total EU MS not correct","")</f>
        <v/>
      </c>
      <c r="AH69" s="1050" t="str">
        <f>IF(ROUND(IF('Table 1'!$G$3&gt;1,IF(EnCMember=1,AH8+AH9+AH12+AH14+AH47+AH27+AH37+AH43+AH44+AH53+AH60,AH11+AH13+AH15+AH20+AH21+AH22+AH23+AH24+AH25+AH26+AH28+AH29+AH30+AH32+AH34+AH38+AH39+AH40+AH41+AH45+AH49+AH50+AH51+AH54+AH55+AH56+AH57+AH61),IF(EnCMember=1,AH8+AH9+AH12+AH14+AH47+AH27+AH37+AH43+AH44+AH53+AH60,AH11+AH13+AH15+AH20+AH21+AH22+AH23+AH24+AH25+AH26+AH28+AH29+AH30+AH32+AH34+AH38+AH39+AH40+AH41+AH45+AH49+AH50+AH51+AH54+AH55+AH56+AH57)),3)&lt;&gt;AH66,"Total EU MS not correct","")</f>
        <v/>
      </c>
      <c r="AI69" s="1050" t="str">
        <f>IF(ROUND(IF('Table 1'!$G$3&gt;1,IF(EnCMember=1,AI8+AI9+AI12+AI14+AI47+AI27+AI37+AI43+AI44+AI53+AI60,AI11+AI13+AI15+AI20+AI21+AI22+AI23+AI24+AI25+AI26+AI28+AI29+AI30+AI32+AI34+AI38+AI39+AI40+AI41+AI45+AI49+AI50+AI51+AI54+AI55+AI56+AI57+AI61),IF(EnCMember=1,AI8+AI9+AI12+AI14+AI47+AI27+AI37+AI43+AI44+AI53+AI60,AI11+AI13+AI15+AI20+AI21+AI22+AI23+AI24+AI25+AI26+AI28+AI29+AI30+AI32+AI34+AI38+AI39+AI40+AI41+AI45+AI49+AI50+AI51+AI54+AI55+AI56+AI57)),3)&lt;&gt;AI66,"Total EU MS not correct","")</f>
        <v/>
      </c>
      <c r="AJ69" s="157"/>
    </row>
    <row r="70" spans="1:46" s="220" customFormat="1" ht="28.5" customHeight="1" x14ac:dyDescent="0.2">
      <c r="C70" s="1050" t="str">
        <f>IF(NOT(ROUND(C64-'Table 8'!C64,3)&lt;=0),"Total greater than in Table 8","")</f>
        <v/>
      </c>
      <c r="D70" s="1050" t="str">
        <f>IF(NOT(ROUND(D64-'Table 8'!D64,3)&lt;=0),"Total greater than in Table 8","")</f>
        <v/>
      </c>
      <c r="E70" s="1050" t="str">
        <f>IF(NOT(ROUND(E64-'Table 8'!E64,3)&lt;=0),"Total greater than in Table 8","")</f>
        <v/>
      </c>
      <c r="F70" s="1050" t="str">
        <f>IF(NOT(ROUND(F64-'Table 8'!F64,3)&lt;=0),"Total greater than in Table 8","")</f>
        <v/>
      </c>
      <c r="G70" s="1050" t="str">
        <f>IF(NOT(ROUND(G64-'Table 8'!G64,3)&lt;=0),"Total greater than in Table 8","")</f>
        <v/>
      </c>
      <c r="H70" s="1050" t="str">
        <f>IF(NOT(ROUND(H64-'Table 8'!H64,3)&lt;=0),"Total greater than in Table 8","")</f>
        <v/>
      </c>
      <c r="I70" s="1050" t="str">
        <f>IF(NOT(ROUND(I64-'Table 8'!I64,3)&lt;=0),"Total greater than in Table 8","")</f>
        <v/>
      </c>
      <c r="J70" s="1050" t="str">
        <f>IF(NOT(ROUND(J64-'Table 8'!J64,3)&lt;=0),"Total greater than in Table 8","")</f>
        <v/>
      </c>
      <c r="K70" s="1050" t="str">
        <f>IF(NOT(ROUND(K64-'Table 8'!K64,3)&lt;=0),"Total greater than in Table 8","")</f>
        <v/>
      </c>
      <c r="L70" s="1050" t="str">
        <f>IF(NOT(ROUND(L64-'Table 8'!L64,3)&lt;=0),"Total greater than in Table 8","")</f>
        <v/>
      </c>
      <c r="M70" s="1050" t="str">
        <f>IF(NOT(ROUND(M64-'Table 8'!M64,3)&lt;=0),"Total greater than in Table 8","")</f>
        <v/>
      </c>
      <c r="N70" s="1050" t="str">
        <f>IF(NOT(ROUND(N64-'Table 8'!N64,3)&lt;=0),"Total greater than in Table 8","")</f>
        <v/>
      </c>
      <c r="O70" s="1050" t="str">
        <f>IF(NOT(ROUND(O64-'Table 8'!O64,3)&lt;=0),"Total greater than in Table 8","")</f>
        <v/>
      </c>
      <c r="P70" s="1050" t="str">
        <f>IF(NOT(ROUND(P64-'Table 8'!P64,3)&lt;=0),"Total greater than in Table 8","")</f>
        <v/>
      </c>
      <c r="Q70" s="1050" t="str">
        <f>IF(NOT(ROUND(Q64-'Table 8'!Q64,3)&lt;=0),"Total greater than in Table 8","")</f>
        <v/>
      </c>
      <c r="R70" s="1050" t="str">
        <f>IF(NOT(ROUND(R64-'Table 8'!R64,3)&lt;=0),"Total greater than in Table 8","")</f>
        <v/>
      </c>
      <c r="S70" s="1050" t="str">
        <f>IF(NOT(ROUND(S64-'Table 8'!S64,3)&lt;=0),"Total greater than in Table 8","")</f>
        <v/>
      </c>
      <c r="T70" s="1050" t="str">
        <f>IF(NOT(ROUND(T64-'Table 8'!T64,3)&lt;=0),"Total greater than in Table 8","")</f>
        <v/>
      </c>
      <c r="U70" s="1050" t="str">
        <f>IF(NOT(ROUND(U64-'Table 8'!U64,3)&lt;=0),"Total greater than in Table 8","")</f>
        <v/>
      </c>
      <c r="V70" s="1050" t="str">
        <f>IF(NOT(ROUND(V64-'Table 8'!V64,3)&lt;=0),"Total greater than in Table 8","")</f>
        <v/>
      </c>
      <c r="W70" s="1050" t="str">
        <f>IF(NOT(ROUND(W64-'Table 8'!W64,3)&lt;=0),"Total greater than in Table 8","")</f>
        <v/>
      </c>
      <c r="X70" s="1050" t="str">
        <f>IF(NOT(ROUND(X64-'Table 8'!X64,3)&lt;=0),"Total greater than in Table 8","")</f>
        <v/>
      </c>
      <c r="Y70" s="1050" t="str">
        <f>IF(NOT(ROUND(Y64-'Table 8'!Y64,3)&lt;=0),"Total greater than in Table 8","")</f>
        <v/>
      </c>
      <c r="Z70" s="1050" t="str">
        <f>IF(NOT(ROUND(Z64-'Table 8'!Z64,3)&lt;=0),"Total greater than in Table 8","")</f>
        <v/>
      </c>
      <c r="AA70" s="1050" t="str">
        <f>IF(NOT(ROUND(AA64-'Table 8'!AA64,3)&lt;=0),"Total greater than in Table 8","")</f>
        <v/>
      </c>
      <c r="AB70" s="1050" t="str">
        <f>IF(NOT(ROUND(AB64-'Table 8'!AB64,3)&lt;=0),"Total greater than in Table 8","")</f>
        <v/>
      </c>
      <c r="AC70" s="1050"/>
      <c r="AD70" s="1050" t="str">
        <f>IF(NOT(ROUND(AD64-'Table 8'!AD64,3)&lt;=0),"Total greater than in Table 8","")</f>
        <v/>
      </c>
      <c r="AE70" s="1050" t="str">
        <f>IF(NOT(ROUND(AE64-'Table 8'!AE64,3)&lt;=0),"Total greater than in Table 8","")</f>
        <v/>
      </c>
      <c r="AF70" s="1050" t="str">
        <f>IF(NOT(ROUND(AF64-'Table 8'!AF64,3)&lt;=0),"Total greater than in Table 8","")</f>
        <v/>
      </c>
      <c r="AG70" s="1050" t="str">
        <f>IF(NOT(ROUND(AG64-'Table 8'!AG64,3)&lt;=0),"Total greater than in Table 8","")</f>
        <v/>
      </c>
      <c r="AH70" s="1050" t="str">
        <f>IF(NOT(ROUND(AH64-'Table 8'!AH64,3)&lt;=0),"Total greater than in Table 8","")</f>
        <v/>
      </c>
      <c r="AI70" s="157"/>
      <c r="AJ70" s="221"/>
    </row>
    <row r="71" spans="1:46" s="218" customFormat="1" ht="12" x14ac:dyDescent="0.2">
      <c r="A71" s="12" t="s">
        <v>1404</v>
      </c>
      <c r="B71" s="219"/>
      <c r="E71" s="1051">
        <f>COUNTIF(C70:AH70,"")-COUNTA(C66:AH66)</f>
        <v>0</v>
      </c>
      <c r="F71" s="3" t="str">
        <f>IF(E71=0,"OK","Total greater than in Table 8")</f>
        <v>OK</v>
      </c>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157"/>
      <c r="AJ71" s="157"/>
    </row>
    <row r="72" spans="1:46" x14ac:dyDescent="0.2">
      <c r="A72" s="12" t="s">
        <v>1387</v>
      </c>
      <c r="C72" s="218"/>
      <c r="D72" s="218"/>
      <c r="E72" s="1049">
        <f ca="1">IF(MAX(IFERROR(OFFSET(C7,MATCH(CountryCode,$AT$8:$AT$64,0),0,1,30),0))&gt;0,1,0)+IF(CountryCode=Param!$D$67,MAX(C62:AE62),0)</f>
        <v>0</v>
      </c>
      <c r="F72" s="3" t="str">
        <f ca="1">IF(E72=0,"OK","Country is reporting itself")</f>
        <v>OK</v>
      </c>
    </row>
    <row r="73" spans="1:46" x14ac:dyDescent="0.2">
      <c r="A73" s="7" t="s">
        <v>1112</v>
      </c>
    </row>
    <row r="138" spans="2:34" hidden="1" x14ac:dyDescent="0.2">
      <c r="B138" s="306" t="s">
        <v>329</v>
      </c>
      <c r="C138" s="373" t="s">
        <v>330</v>
      </c>
      <c r="D138" s="373" t="s">
        <v>6</v>
      </c>
      <c r="E138" s="373" t="s">
        <v>331</v>
      </c>
      <c r="F138" s="373" t="s">
        <v>332</v>
      </c>
      <c r="G138" s="373" t="s">
        <v>333</v>
      </c>
      <c r="H138" s="373" t="s">
        <v>334</v>
      </c>
      <c r="I138" s="373" t="s">
        <v>335</v>
      </c>
      <c r="J138" s="373" t="s">
        <v>353</v>
      </c>
      <c r="K138" s="156" t="s">
        <v>9</v>
      </c>
      <c r="L138" s="156" t="s">
        <v>354</v>
      </c>
      <c r="M138" s="156" t="s">
        <v>355</v>
      </c>
      <c r="N138" s="156" t="s">
        <v>356</v>
      </c>
      <c r="O138" s="156" t="s">
        <v>891</v>
      </c>
      <c r="P138" s="156" t="s">
        <v>357</v>
      </c>
      <c r="Q138" s="156" t="s">
        <v>358</v>
      </c>
      <c r="R138" s="156" t="s">
        <v>359</v>
      </c>
      <c r="S138" s="156" t="s">
        <v>878</v>
      </c>
      <c r="T138" s="156" t="s">
        <v>879</v>
      </c>
      <c r="U138" s="156" t="s">
        <v>360</v>
      </c>
      <c r="V138" s="156" t="s">
        <v>361</v>
      </c>
      <c r="W138" s="156" t="s">
        <v>363</v>
      </c>
      <c r="X138" s="156" t="s">
        <v>364</v>
      </c>
      <c r="Y138" s="156" t="s">
        <v>362</v>
      </c>
      <c r="Z138" s="156" t="s">
        <v>880</v>
      </c>
      <c r="AA138" s="156" t="s">
        <v>367</v>
      </c>
      <c r="AB138" s="156" t="s">
        <v>365</v>
      </c>
      <c r="AC138" s="156" t="s">
        <v>1412</v>
      </c>
      <c r="AD138" s="156" t="s">
        <v>366</v>
      </c>
      <c r="AE138" s="156" t="s">
        <v>368</v>
      </c>
      <c r="AF138" s="156" t="s">
        <v>606</v>
      </c>
      <c r="AG138" s="156" t="s">
        <v>369</v>
      </c>
      <c r="AH138" s="156" t="s">
        <v>416</v>
      </c>
    </row>
    <row r="1000" spans="1:59" ht="22.5" hidden="1" x14ac:dyDescent="0.2">
      <c r="A1000" s="641" t="s">
        <v>1113</v>
      </c>
      <c r="C1000" s="642" t="s">
        <v>1114</v>
      </c>
      <c r="D1000" s="642" t="s">
        <v>1115</v>
      </c>
      <c r="E1000" s="642" t="s">
        <v>1116</v>
      </c>
      <c r="F1000" s="642" t="s">
        <v>1117</v>
      </c>
      <c r="G1000" s="642" t="s">
        <v>1118</v>
      </c>
      <c r="H1000" s="642" t="s">
        <v>1119</v>
      </c>
      <c r="I1000" s="642" t="s">
        <v>1120</v>
      </c>
      <c r="J1000" s="642" t="s">
        <v>1143</v>
      </c>
      <c r="K1000" s="642" t="s">
        <v>1144</v>
      </c>
      <c r="L1000" s="642" t="s">
        <v>1145</v>
      </c>
      <c r="M1000" s="642" t="s">
        <v>1146</v>
      </c>
      <c r="N1000" s="642" t="s">
        <v>1147</v>
      </c>
      <c r="O1000" s="642" t="s">
        <v>1148</v>
      </c>
      <c r="P1000" s="642" t="s">
        <v>1149</v>
      </c>
      <c r="Q1000" s="642" t="s">
        <v>1150</v>
      </c>
      <c r="R1000" s="642" t="s">
        <v>1151</v>
      </c>
      <c r="S1000" s="642" t="s">
        <v>1152</v>
      </c>
      <c r="T1000" s="642" t="s">
        <v>1153</v>
      </c>
      <c r="U1000" s="642" t="s">
        <v>1154</v>
      </c>
      <c r="V1000" s="642" t="s">
        <v>1155</v>
      </c>
      <c r="W1000" s="642" t="s">
        <v>1156</v>
      </c>
      <c r="X1000" s="642" t="s">
        <v>1157</v>
      </c>
      <c r="Y1000" s="642" t="s">
        <v>1158</v>
      </c>
      <c r="Z1000" s="642" t="s">
        <v>1159</v>
      </c>
      <c r="AA1000" s="642" t="s">
        <v>1160</v>
      </c>
      <c r="AB1000" s="642" t="s">
        <v>1161</v>
      </c>
      <c r="AC1000" s="642" t="s">
        <v>1414</v>
      </c>
      <c r="AD1000" s="642" t="s">
        <v>1162</v>
      </c>
      <c r="AE1000" s="642" t="s">
        <v>1163</v>
      </c>
      <c r="AF1000" s="642" t="s">
        <v>1406</v>
      </c>
      <c r="AG1000" s="642" t="s">
        <v>1178</v>
      </c>
      <c r="AH1000" s="642" t="s">
        <v>1164</v>
      </c>
      <c r="AL1000" s="3"/>
      <c r="AM1000" s="3"/>
      <c r="AV1000" s="211"/>
      <c r="AW1000" s="211"/>
      <c r="AX1000" s="211"/>
      <c r="AY1000" s="211"/>
      <c r="AZ1000" s="211"/>
      <c r="BA1000" s="211"/>
      <c r="BB1000" s="211"/>
      <c r="BC1000" s="211"/>
      <c r="BD1000" s="211"/>
      <c r="BE1000" s="211"/>
      <c r="BF1000" s="211"/>
      <c r="BG1000" s="211"/>
    </row>
  </sheetData>
  <sheetProtection algorithmName="SHA-512" hashValue="w9juN7ztNq/Lio0bnzeevkJtCKcSoelAAByGVHjcUInYR5QmF6dSLkg1Ef4hVTpyk5ldO8YsbioQBU3FyuUlsg==" saltValue="u3o+ZQDptaFrfaXKPm/3zw==" spinCount="100000" sheet="1" objects="1" scenarios="1"/>
  <mergeCells count="21">
    <mergeCell ref="Q5:Q6"/>
    <mergeCell ref="C5:C6"/>
    <mergeCell ref="D5:D6"/>
    <mergeCell ref="E5:E6"/>
    <mergeCell ref="F5:F6"/>
    <mergeCell ref="I5:I6"/>
    <mergeCell ref="H5:H6"/>
    <mergeCell ref="J5:J6"/>
    <mergeCell ref="K5:K6"/>
    <mergeCell ref="L5:L6"/>
    <mergeCell ref="M5:M6"/>
    <mergeCell ref="P5:P6"/>
    <mergeCell ref="AG5:AG6"/>
    <mergeCell ref="AH5:AH6"/>
    <mergeCell ref="AJ5:AJ6"/>
    <mergeCell ref="R5:R6"/>
    <mergeCell ref="U5:U6"/>
    <mergeCell ref="X5:X6"/>
    <mergeCell ref="AA5:AA6"/>
    <mergeCell ref="AE5:AE6"/>
    <mergeCell ref="AF5:AF6"/>
  </mergeCells>
  <phoneticPr fontId="44" type="noConversion"/>
  <conditionalFormatting sqref="I63">
    <cfRule type="cellIs" dxfId="575" priority="316" stopIfTrue="1" operator="notEqual">
      <formula>SUM(C63:F63,H63)</formula>
    </cfRule>
  </conditionalFormatting>
  <conditionalFormatting sqref="AG28:AG36 AG38:AG42 AG61:AG63 AG44:AG57 AG15:AG26">
    <cfRule type="cellIs" dxfId="574" priority="315" stopIfTrue="1" operator="notEqual">
      <formula>SUM(J15:L15,M15,P15:R15,U15,X15,AA15,AE15:AF15)</formula>
    </cfRule>
  </conditionalFormatting>
  <conditionalFormatting sqref="AH28:AH36 AH38:AH42 AH61:AH63 AH44:AH57 AH15:AH26">
    <cfRule type="cellIs" dxfId="573" priority="314" stopIfTrue="1" operator="notEqual">
      <formula>I15+AG15</formula>
    </cfRule>
  </conditionalFormatting>
  <conditionalFormatting sqref="X63">
    <cfRule type="expression" dxfId="572" priority="325" stopIfTrue="1">
      <formula>OR(AND(OR(V63&lt;&gt;0,W63&lt;&gt;0),X63&lt;&gt;V63+W63),AND(OR(Y63&lt;&gt;0,Z63&lt;&gt;0),X63&lt;&gt;Y63+Z63))</formula>
    </cfRule>
    <cfRule type="expression" dxfId="571" priority="326" stopIfTrue="1">
      <formula>OR(AND(V63+W63=0,X63&lt;&gt;0),AND(Y63+Z63=0,X63&lt;&gt;0))</formula>
    </cfRule>
  </conditionalFormatting>
  <conditionalFormatting sqref="AA63">
    <cfRule type="expression" dxfId="570" priority="323" stopIfTrue="1">
      <formula>AND(AA63+AB63=0,Z63&lt;&gt;0)</formula>
    </cfRule>
    <cfRule type="cellIs" dxfId="569" priority="324" stopIfTrue="1" operator="notEqual">
      <formula>AB63+AD63</formula>
    </cfRule>
  </conditionalFormatting>
  <conditionalFormatting sqref="M63 R63">
    <cfRule type="expression" dxfId="568" priority="321" stopIfTrue="1">
      <formula>AND(N63+O63=0,M63&lt;&gt;0)</formula>
    </cfRule>
    <cfRule type="cellIs" dxfId="567" priority="322" stopIfTrue="1" operator="notEqual">
      <formula>N63+O63</formula>
    </cfRule>
  </conditionalFormatting>
  <conditionalFormatting sqref="G63">
    <cfRule type="cellIs" dxfId="566" priority="318" stopIfTrue="1" operator="greaterThan">
      <formula>F63</formula>
    </cfRule>
  </conditionalFormatting>
  <conditionalFormatting sqref="AG28:AH36 AG38:AH42 C63:AH63 AG44:AH57 AG15:AH26 AG61:AH62">
    <cfRule type="cellIs" dxfId="565" priority="317" stopIfTrue="1" operator="lessThan">
      <formula>0</formula>
    </cfRule>
  </conditionalFormatting>
  <conditionalFormatting sqref="AA63">
    <cfRule type="expression" dxfId="564" priority="327" stopIfTrue="1">
      <formula>AND(AB63+AD63=0,AA63&lt;&gt;0)</formula>
    </cfRule>
    <cfRule type="cellIs" dxfId="563" priority="328" stopIfTrue="1" operator="notEqual">
      <formula>AB63+AD63</formula>
    </cfRule>
  </conditionalFormatting>
  <conditionalFormatting sqref="I8:I62">
    <cfRule type="cellIs" dxfId="562" priority="273" stopIfTrue="1" operator="notEqual">
      <formula>ROUND(SUM(C8:F8,H8),3)</formula>
    </cfRule>
  </conditionalFormatting>
  <conditionalFormatting sqref="AG8:AG13">
    <cfRule type="cellIs" dxfId="561" priority="274" stopIfTrue="1" operator="notEqual">
      <formula>ROUND(SUM(J8:L8,M8,P8:R8,U8,X8,AA8,AE8:AF8),3)</formula>
    </cfRule>
  </conditionalFormatting>
  <conditionalFormatting sqref="AH8:AH13">
    <cfRule type="cellIs" dxfId="560" priority="275" stopIfTrue="1" operator="notEqual">
      <formula>ROUND(I8+AG8,3)</formula>
    </cfRule>
  </conditionalFormatting>
  <conditionalFormatting sqref="X8:X62">
    <cfRule type="expression" dxfId="559" priority="284" stopIfTrue="1">
      <formula>OR(AND(OR(V8&lt;&gt;0,W8&lt;&gt;0),X8&lt;&gt;V8+W8),AND(OR(Y8&lt;&gt;0,Z8&lt;&gt;0),X8&lt;&gt;Y8+Z8))</formula>
    </cfRule>
    <cfRule type="expression" dxfId="558" priority="285" stopIfTrue="1">
      <formula>OR(AND(V8+W8=0,X8&lt;&gt;0),AND(Y8+Z8=0,X8&lt;&gt;0))</formula>
    </cfRule>
  </conditionalFormatting>
  <conditionalFormatting sqref="AA8:AA62">
    <cfRule type="expression" dxfId="557" priority="282" stopIfTrue="1">
      <formula>AND(AB8+AD8=0,AA8&lt;&gt;0)</formula>
    </cfRule>
    <cfRule type="cellIs" dxfId="556" priority="283" stopIfTrue="1" operator="notEqual">
      <formula>AB8+AD8</formula>
    </cfRule>
  </conditionalFormatting>
  <conditionalFormatting sqref="R8:R62">
    <cfRule type="expression" dxfId="555" priority="280" stopIfTrue="1">
      <formula>AND(S8+T8=0,R8&lt;&gt;0)</formula>
    </cfRule>
    <cfRule type="cellIs" dxfId="554" priority="281" stopIfTrue="1" operator="notEqual">
      <formula>S8+T8</formula>
    </cfRule>
  </conditionalFormatting>
  <conditionalFormatting sqref="G8:G62">
    <cfRule type="cellIs" dxfId="553" priority="277" stopIfTrue="1" operator="greaterThan">
      <formula>F8</formula>
    </cfRule>
  </conditionalFormatting>
  <conditionalFormatting sqref="D8:AH8 AG9:AH13 D9:AF62">
    <cfRule type="cellIs" dxfId="552" priority="276" stopIfTrue="1" operator="lessThan">
      <formula>0</formula>
    </cfRule>
  </conditionalFormatting>
  <conditionalFormatting sqref="M8:M62">
    <cfRule type="expression" dxfId="551" priority="278" stopIfTrue="1">
      <formula>AND(N8+O8=0,M8&lt;&gt;0)</formula>
    </cfRule>
    <cfRule type="cellIs" dxfId="550" priority="279" stopIfTrue="1" operator="notEqual">
      <formula>N8+O8</formula>
    </cfRule>
  </conditionalFormatting>
  <conditionalFormatting sqref="AG14:AH14">
    <cfRule type="cellIs" dxfId="549" priority="265" stopIfTrue="1" operator="lessThan">
      <formula>0</formula>
    </cfRule>
  </conditionalFormatting>
  <conditionalFormatting sqref="AG27:AH27">
    <cfRule type="cellIs" dxfId="548" priority="251" stopIfTrue="1" operator="lessThan">
      <formula>0</formula>
    </cfRule>
  </conditionalFormatting>
  <conditionalFormatting sqref="AG37:AH37">
    <cfRule type="cellIs" dxfId="547" priority="240" stopIfTrue="1" operator="lessThan">
      <formula>0</formula>
    </cfRule>
  </conditionalFormatting>
  <conditionalFormatting sqref="AG43:AH43">
    <cfRule type="cellIs" dxfId="546" priority="229" stopIfTrue="1" operator="lessThan">
      <formula>0</formula>
    </cfRule>
  </conditionalFormatting>
  <conditionalFormatting sqref="AG58">
    <cfRule type="cellIs" dxfId="545" priority="178" stopIfTrue="1" operator="notEqual">
      <formula>SUM(J58:L58,M58,P58:R58,U58,X58,AA58,AE58:AF58)</formula>
    </cfRule>
  </conditionalFormatting>
  <conditionalFormatting sqref="AH58">
    <cfRule type="cellIs" dxfId="544" priority="179" stopIfTrue="1" operator="notEqual">
      <formula>I58+AG58</formula>
    </cfRule>
  </conditionalFormatting>
  <conditionalFormatting sqref="AG58:AH58">
    <cfRule type="cellIs" dxfId="543" priority="180" stopIfTrue="1" operator="lessThan">
      <formula>0</formula>
    </cfRule>
  </conditionalFormatting>
  <conditionalFormatting sqref="AG60">
    <cfRule type="cellIs" dxfId="542" priority="165" stopIfTrue="1" operator="notEqual">
      <formula>SUM(J60:L60,M60,P60:R60,U60,X60,AA60,AE60:AF60)</formula>
    </cfRule>
  </conditionalFormatting>
  <conditionalFormatting sqref="AH60">
    <cfRule type="cellIs" dxfId="541" priority="166" stopIfTrue="1" operator="notEqual">
      <formula>I60+AG60</formula>
    </cfRule>
  </conditionalFormatting>
  <conditionalFormatting sqref="AG60:AH60">
    <cfRule type="cellIs" dxfId="540" priority="167" stopIfTrue="1" operator="lessThan">
      <formula>0</formula>
    </cfRule>
  </conditionalFormatting>
  <conditionalFormatting sqref="AG59">
    <cfRule type="cellIs" dxfId="539" priority="152" stopIfTrue="1" operator="notEqual">
      <formula>SUM(J59:L59,M59,P59:R59,U59,X59,AA59,AE59:AF59)</formula>
    </cfRule>
  </conditionalFormatting>
  <conditionalFormatting sqref="AH59">
    <cfRule type="cellIs" dxfId="538" priority="153" stopIfTrue="1" operator="notEqual">
      <formula>I59+AG59</formula>
    </cfRule>
  </conditionalFormatting>
  <conditionalFormatting sqref="AG59:AH59">
    <cfRule type="cellIs" dxfId="537" priority="154" stopIfTrue="1" operator="lessThan">
      <formula>0</formula>
    </cfRule>
  </conditionalFormatting>
  <conditionalFormatting sqref="I64">
    <cfRule type="cellIs" dxfId="536" priority="37" stopIfTrue="1" operator="notEqual">
      <formula>SUM(C64:F64,H64)</formula>
    </cfRule>
  </conditionalFormatting>
  <conditionalFormatting sqref="AG64">
    <cfRule type="cellIs" dxfId="535" priority="38" stopIfTrue="1" operator="notEqual">
      <formula>SUM(J64:L64,M64,P64:R64,U64,X64,AA64,AE64:AF64)</formula>
    </cfRule>
  </conditionalFormatting>
  <conditionalFormatting sqref="AH64">
    <cfRule type="cellIs" dxfId="534" priority="39" stopIfTrue="1" operator="notEqual">
      <formula>I64+AG64</formula>
    </cfRule>
  </conditionalFormatting>
  <conditionalFormatting sqref="X64">
    <cfRule type="expression" dxfId="533" priority="49" stopIfTrue="1">
      <formula>OR(AND(OR(V64&lt;&gt;0,W64&lt;&gt;0),X64&lt;&gt;V64+W64),AND(OR(Y64&lt;&gt;0,Z64&lt;&gt;0),X64&lt;&gt;Y64+Z64))</formula>
    </cfRule>
    <cfRule type="expression" dxfId="532" priority="50" stopIfTrue="1">
      <formula>OR(AND(V64+W64=0,X64&lt;&gt;0),AND(Y64+Z64=0,X64&lt;&gt;0))</formula>
    </cfRule>
  </conditionalFormatting>
  <conditionalFormatting sqref="AA64">
    <cfRule type="expression" dxfId="531" priority="47" stopIfTrue="1">
      <formula>AND(AB64+AD64=0,AA64&lt;&gt;0)</formula>
    </cfRule>
    <cfRule type="cellIs" dxfId="530" priority="48" stopIfTrue="1" operator="notEqual">
      <formula>AB64+AD64</formula>
    </cfRule>
  </conditionalFormatting>
  <conditionalFormatting sqref="R64">
    <cfRule type="expression" dxfId="529" priority="45" stopIfTrue="1">
      <formula>AND(S64+T64=0,R64&lt;&gt;0)</formula>
    </cfRule>
    <cfRule type="cellIs" dxfId="528" priority="46" stopIfTrue="1" operator="notEqual">
      <formula>S64+T64</formula>
    </cfRule>
  </conditionalFormatting>
  <conditionalFormatting sqref="G64">
    <cfRule type="cellIs" dxfId="527" priority="42" stopIfTrue="1" operator="greaterThan">
      <formula>F64</formula>
    </cfRule>
  </conditionalFormatting>
  <conditionalFormatting sqref="C64:AH64">
    <cfRule type="cellIs" dxfId="526" priority="41" stopIfTrue="1" operator="lessThan">
      <formula>0</formula>
    </cfRule>
  </conditionalFormatting>
  <conditionalFormatting sqref="C64:AH64">
    <cfRule type="cellIs" dxfId="525" priority="40" stopIfTrue="1" operator="notEqual">
      <formula>ROUND(SUM(C8:C63),3)</formula>
    </cfRule>
  </conditionalFormatting>
  <conditionalFormatting sqref="M64">
    <cfRule type="expression" dxfId="524" priority="43" stopIfTrue="1">
      <formula>AND(N64+O64=0,M64&lt;&gt;0)</formula>
    </cfRule>
    <cfRule type="cellIs" dxfId="523" priority="44" stopIfTrue="1" operator="notEqual">
      <formula>N64+O64</formula>
    </cfRule>
  </conditionalFormatting>
  <conditionalFormatting sqref="F72">
    <cfRule type="cellIs" dxfId="522" priority="36" stopIfTrue="1" operator="notEqual">
      <formula>"OK"</formula>
    </cfRule>
  </conditionalFormatting>
  <conditionalFormatting sqref="F71">
    <cfRule type="cellIs" dxfId="521" priority="34" stopIfTrue="1" operator="notEqual">
      <formula>"OK"</formula>
    </cfRule>
  </conditionalFormatting>
  <conditionalFormatting sqref="C8:C62">
    <cfRule type="cellIs" dxfId="520" priority="33" stopIfTrue="1" operator="lessThan">
      <formula>0</formula>
    </cfRule>
  </conditionalFormatting>
  <conditionalFormatting sqref="I66">
    <cfRule type="cellIs" dxfId="519" priority="1" stopIfTrue="1" operator="notEqual">
      <formula>SUM(C66:F66,H66)</formula>
    </cfRule>
  </conditionalFormatting>
  <conditionalFormatting sqref="AG66">
    <cfRule type="cellIs" dxfId="518" priority="2" stopIfTrue="1" operator="notEqual">
      <formula>SUM(J66:L66,M66,P66:R66,U66,X66,AA66,AE66:AF66)</formula>
    </cfRule>
  </conditionalFormatting>
  <conditionalFormatting sqref="AH66">
    <cfRule type="cellIs" dxfId="517" priority="3" stopIfTrue="1" operator="notEqual">
      <formula>I66+AG66</formula>
    </cfRule>
  </conditionalFormatting>
  <conditionalFormatting sqref="X66">
    <cfRule type="expression" dxfId="516" priority="12" stopIfTrue="1">
      <formula>OR(AND(OR(V66&lt;&gt;0,W66&lt;&gt;0),X66&lt;&gt;V66+W66),AND(OR(Y66&lt;&gt;0,Z66&lt;&gt;0),X66&lt;&gt;Y66+Z66))</formula>
    </cfRule>
    <cfRule type="expression" dxfId="515" priority="13" stopIfTrue="1">
      <formula>OR(AND(V66+W66=0,X66&lt;&gt;0),AND(Y66+Z66=0,X66&lt;&gt;0))</formula>
    </cfRule>
  </conditionalFormatting>
  <conditionalFormatting sqref="AA66">
    <cfRule type="expression" dxfId="514" priority="10" stopIfTrue="1">
      <formula>AND(AB66+AD66=0,AA66&lt;&gt;0)</formula>
    </cfRule>
    <cfRule type="cellIs" dxfId="513" priority="11" stopIfTrue="1" operator="notEqual">
      <formula>AB66+AD66</formula>
    </cfRule>
  </conditionalFormatting>
  <conditionalFormatting sqref="R66">
    <cfRule type="expression" dxfId="512" priority="8" stopIfTrue="1">
      <formula>AND(S66+T66=0,R66&lt;&gt;0)</formula>
    </cfRule>
    <cfRule type="cellIs" dxfId="511" priority="9" stopIfTrue="1" operator="notEqual">
      <formula>S66+T66</formula>
    </cfRule>
  </conditionalFormatting>
  <conditionalFormatting sqref="G66">
    <cfRule type="cellIs" dxfId="510" priority="5" stopIfTrue="1" operator="greaterThan">
      <formula>F66</formula>
    </cfRule>
  </conditionalFormatting>
  <conditionalFormatting sqref="C66:AH66">
    <cfRule type="cellIs" dxfId="509" priority="4" stopIfTrue="1" operator="lessThan">
      <formula>0</formula>
    </cfRule>
  </conditionalFormatting>
  <conditionalFormatting sqref="M66">
    <cfRule type="expression" dxfId="508" priority="6" stopIfTrue="1">
      <formula>AND(N66+O66=0,M66&lt;&gt;0)</formula>
    </cfRule>
    <cfRule type="cellIs" dxfId="507" priority="7" stopIfTrue="1" operator="notEqual">
      <formula>N66+O66</formula>
    </cfRule>
  </conditionalFormatting>
  <dataValidations count="1">
    <dataValidation type="decimal" operator="greaterThanOrEqual" allowBlank="1" showErrorMessage="1" errorTitle="Input error" error="Numbers only!" sqref="C8:AH66" xr:uid="{00000000-0002-0000-0B00-000000000000}">
      <formula1>-10000000</formula1>
    </dataValidation>
  </dataValidations>
  <pageMargins left="0.39370078740157483" right="0.39370078740157483" top="0.78740157480314965" bottom="0.78740157480314965" header="0.39370078740157483" footer="0.39370078740157483"/>
  <pageSetup paperSize="9" scale="44" orientation="landscape" r:id="rId1"/>
  <headerFooter alignWithMargins="0">
    <oddHeader>&amp;A</oddHeader>
    <oddFooter>Page &amp;P</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EL1000"/>
  <sheetViews>
    <sheetView zoomScaleNormal="100" workbookViewId="0">
      <pane xSplit="2" ySplit="7" topLeftCell="C8" activePane="bottomRight" state="frozen"/>
      <selection activeCell="H62" sqref="H62"/>
      <selection pane="topRight" activeCell="H62" sqref="H62"/>
      <selection pane="bottomLeft" activeCell="H62" sqref="H62"/>
      <selection pane="bottomRight" activeCell="C8" sqref="C8"/>
    </sheetView>
  </sheetViews>
  <sheetFormatPr defaultColWidth="9.140625" defaultRowHeight="12.75" x14ac:dyDescent="0.2"/>
  <cols>
    <col min="1" max="1" width="30.7109375" style="267" customWidth="1"/>
    <col min="2" max="2" width="3.5703125" style="400" customWidth="1"/>
    <col min="3" max="28" width="9.28515625" style="267" customWidth="1"/>
    <col min="29" max="29" width="9.85546875" style="267" customWidth="1"/>
    <col min="30" max="34" width="9.28515625" style="267" customWidth="1"/>
    <col min="35" max="35" width="2" style="267" customWidth="1"/>
    <col min="36" max="36" width="76.140625" style="267" customWidth="1"/>
    <col min="37" max="37" width="9.140625" style="267"/>
    <col min="38" max="38" width="3.5703125" style="326" customWidth="1"/>
    <col min="39" max="39" width="12.140625" style="326" customWidth="1"/>
    <col min="40" max="44" width="9.140625" style="267"/>
    <col min="45" max="45" width="3.7109375" style="267" hidden="1" customWidth="1"/>
    <col min="46" max="46" width="13.42578125" style="267" hidden="1" customWidth="1"/>
    <col min="47" max="122" width="9.140625" style="267"/>
    <col min="123" max="135" width="9.140625" style="267" hidden="1" customWidth="1"/>
    <col min="136" max="16384" width="9.140625" style="267"/>
  </cols>
  <sheetData>
    <row r="1" spans="1:135" x14ac:dyDescent="0.2">
      <c r="A1" s="243" t="s">
        <v>611</v>
      </c>
      <c r="B1" s="614"/>
      <c r="C1" s="1153" t="s">
        <v>941</v>
      </c>
      <c r="D1" s="1153"/>
      <c r="E1" s="1153"/>
      <c r="F1" s="1153"/>
      <c r="G1" s="1153"/>
      <c r="H1" s="1153"/>
      <c r="I1" s="1153"/>
      <c r="J1" s="1153"/>
      <c r="K1" s="1153"/>
      <c r="L1" s="1153"/>
      <c r="M1" s="1153"/>
      <c r="N1" s="1153"/>
      <c r="O1" s="1153"/>
      <c r="P1" s="1153"/>
      <c r="Q1" s="1153"/>
      <c r="R1" s="1153"/>
      <c r="S1" s="1153"/>
      <c r="T1" s="1153"/>
      <c r="U1" s="1153"/>
      <c r="V1" s="1153"/>
      <c r="W1" s="1153"/>
      <c r="X1" s="1153"/>
      <c r="Y1" s="1153"/>
      <c r="Z1" s="1153"/>
      <c r="AA1" s="1153"/>
      <c r="AB1" s="1153"/>
      <c r="AC1" s="1153"/>
      <c r="AD1" s="1153"/>
      <c r="AE1" s="1153"/>
      <c r="AF1" s="1153"/>
      <c r="AG1" s="1153"/>
      <c r="AH1" s="1153"/>
      <c r="AS1" s="326"/>
      <c r="AT1" s="428" t="s">
        <v>351</v>
      </c>
    </row>
    <row r="2" spans="1:135" x14ac:dyDescent="0.2">
      <c r="A2" s="244" t="str">
        <f>IF('Table 1'!D2=0,"",'Table 1'!D2)</f>
        <v>Netherlands</v>
      </c>
      <c r="B2" s="615"/>
      <c r="C2" s="1153"/>
      <c r="D2" s="1153"/>
      <c r="E2" s="1153"/>
      <c r="F2" s="1153"/>
      <c r="G2" s="1153"/>
      <c r="H2" s="1153"/>
      <c r="I2" s="1153"/>
      <c r="J2" s="1153"/>
      <c r="K2" s="1153"/>
      <c r="L2" s="1153"/>
      <c r="M2" s="1153"/>
      <c r="N2" s="1153"/>
      <c r="O2" s="1153"/>
      <c r="P2" s="1153"/>
      <c r="Q2" s="1153"/>
      <c r="R2" s="1153"/>
      <c r="S2" s="1153"/>
      <c r="T2" s="1153"/>
      <c r="U2" s="1153"/>
      <c r="V2" s="1153"/>
      <c r="W2" s="1153"/>
      <c r="X2" s="1153"/>
      <c r="Y2" s="1153"/>
      <c r="Z2" s="1153"/>
      <c r="AA2" s="1153"/>
      <c r="AB2" s="1153"/>
      <c r="AC2" s="1153"/>
      <c r="AD2" s="1153"/>
      <c r="AE2" s="1153"/>
      <c r="AF2" s="1153"/>
      <c r="AG2" s="1153"/>
      <c r="AH2" s="1153"/>
      <c r="AS2" s="326"/>
      <c r="AT2" s="137" t="s">
        <v>686</v>
      </c>
    </row>
    <row r="3" spans="1:135" x14ac:dyDescent="0.2">
      <c r="A3" s="244" t="str">
        <f>IF('Table 1'!D3=0,"",'Table 1'!D3 &amp; " " &amp; QuestYear)</f>
        <v>September 2026</v>
      </c>
      <c r="B3" s="616"/>
      <c r="C3" s="1153"/>
      <c r="D3" s="1153"/>
      <c r="E3" s="1153"/>
      <c r="F3" s="1153"/>
      <c r="G3" s="1153"/>
      <c r="H3" s="1153"/>
      <c r="I3" s="1153"/>
      <c r="J3" s="1153"/>
      <c r="K3" s="1153"/>
      <c r="L3" s="1153"/>
      <c r="M3" s="1153"/>
      <c r="N3" s="1153"/>
      <c r="O3" s="1153"/>
      <c r="P3" s="1153"/>
      <c r="Q3" s="1153"/>
      <c r="R3" s="1153"/>
      <c r="S3" s="1153"/>
      <c r="T3" s="1153"/>
      <c r="U3" s="1153"/>
      <c r="V3" s="1153"/>
      <c r="W3" s="1153"/>
      <c r="X3" s="1153"/>
      <c r="Y3" s="1153"/>
      <c r="Z3" s="1153"/>
      <c r="AA3" s="1153"/>
      <c r="AB3" s="1153"/>
      <c r="AC3" s="1153"/>
      <c r="AD3" s="1153"/>
      <c r="AE3" s="1153"/>
      <c r="AF3" s="1153"/>
      <c r="AG3" s="1153"/>
      <c r="AH3" s="1153"/>
      <c r="AS3" s="326"/>
      <c r="AT3" s="428" t="s">
        <v>586</v>
      </c>
    </row>
    <row r="4" spans="1:135" x14ac:dyDescent="0.2">
      <c r="A4" s="268" t="s">
        <v>877</v>
      </c>
      <c r="B4" s="616"/>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c r="AD4" s="269"/>
      <c r="AE4" s="269"/>
      <c r="AF4" s="269"/>
      <c r="AH4" s="245" t="s">
        <v>632</v>
      </c>
      <c r="AS4" s="326"/>
      <c r="AT4" s="429" t="s">
        <v>681</v>
      </c>
    </row>
    <row r="5" spans="1:135" ht="12.75" customHeight="1" x14ac:dyDescent="0.2">
      <c r="A5" s="270"/>
      <c r="B5" s="617"/>
      <c r="C5" s="1156" t="s">
        <v>656</v>
      </c>
      <c r="D5" s="1156" t="s">
        <v>657</v>
      </c>
      <c r="E5" s="1156" t="s">
        <v>647</v>
      </c>
      <c r="F5" s="1158" t="s">
        <v>666</v>
      </c>
      <c r="G5" s="281"/>
      <c r="H5" s="1160" t="s">
        <v>885</v>
      </c>
      <c r="I5" s="1110" t="s">
        <v>645</v>
      </c>
      <c r="J5" s="1166" t="s">
        <v>8</v>
      </c>
      <c r="K5" s="1164" t="s">
        <v>9</v>
      </c>
      <c r="L5" s="1162" t="s">
        <v>10</v>
      </c>
      <c r="M5" s="1114" t="s">
        <v>659</v>
      </c>
      <c r="N5" s="329"/>
      <c r="O5" s="190"/>
      <c r="P5" s="1166" t="s">
        <v>660</v>
      </c>
      <c r="Q5" s="1164" t="s">
        <v>661</v>
      </c>
      <c r="R5" s="1116" t="s">
        <v>668</v>
      </c>
      <c r="S5" s="191"/>
      <c r="T5" s="192"/>
      <c r="U5" s="1162" t="s">
        <v>664</v>
      </c>
      <c r="V5" s="193"/>
      <c r="W5" s="190"/>
      <c r="X5" s="1118" t="s">
        <v>670</v>
      </c>
      <c r="Y5" s="190"/>
      <c r="Z5" s="190"/>
      <c r="AA5" s="1114" t="s">
        <v>628</v>
      </c>
      <c r="AB5" s="190"/>
      <c r="AC5" s="190"/>
      <c r="AD5" s="190"/>
      <c r="AE5" s="1166" t="s">
        <v>629</v>
      </c>
      <c r="AF5" s="1160" t="s">
        <v>630</v>
      </c>
      <c r="AG5" s="1120" t="s">
        <v>631</v>
      </c>
      <c r="AH5" s="1120" t="s">
        <v>679</v>
      </c>
      <c r="AJ5" s="1139" t="s">
        <v>350</v>
      </c>
      <c r="AS5" s="326"/>
      <c r="AT5" s="326"/>
    </row>
    <row r="6" spans="1:135" ht="45" customHeight="1" x14ac:dyDescent="0.25">
      <c r="A6" s="272"/>
      <c r="B6" s="273"/>
      <c r="C6" s="1157"/>
      <c r="D6" s="1157"/>
      <c r="E6" s="1157"/>
      <c r="F6" s="1159"/>
      <c r="G6" s="248" t="s">
        <v>667</v>
      </c>
      <c r="H6" s="1161"/>
      <c r="I6" s="1111"/>
      <c r="J6" s="1167"/>
      <c r="K6" s="1165"/>
      <c r="L6" s="1163"/>
      <c r="M6" s="1115"/>
      <c r="N6" s="250" t="s">
        <v>623</v>
      </c>
      <c r="O6" s="251" t="s">
        <v>626</v>
      </c>
      <c r="P6" s="1167"/>
      <c r="Q6" s="1165"/>
      <c r="R6" s="1117"/>
      <c r="S6" s="254" t="s">
        <v>662</v>
      </c>
      <c r="T6" s="250" t="s">
        <v>663</v>
      </c>
      <c r="U6" s="1163"/>
      <c r="V6" s="256" t="s">
        <v>627</v>
      </c>
      <c r="W6" s="257" t="s">
        <v>669</v>
      </c>
      <c r="X6" s="1119"/>
      <c r="Y6" s="250" t="s">
        <v>624</v>
      </c>
      <c r="Z6" s="254" t="s">
        <v>671</v>
      </c>
      <c r="AA6" s="1115"/>
      <c r="AB6" s="250" t="s">
        <v>674</v>
      </c>
      <c r="AC6" s="254" t="s">
        <v>1411</v>
      </c>
      <c r="AD6" s="258" t="s">
        <v>872</v>
      </c>
      <c r="AE6" s="1167"/>
      <c r="AF6" s="1161"/>
      <c r="AG6" s="1121"/>
      <c r="AH6" s="1121"/>
      <c r="AI6" s="474"/>
      <c r="AJ6" s="1140"/>
      <c r="AS6" s="326"/>
      <c r="AT6" s="326"/>
      <c r="DS6" s="671" t="s">
        <v>1121</v>
      </c>
      <c r="DT6" s="672"/>
      <c r="DU6" s="673"/>
      <c r="DV6" s="673"/>
      <c r="DW6" s="673"/>
      <c r="DX6" s="673"/>
      <c r="DY6" s="673"/>
      <c r="DZ6" s="673"/>
      <c r="EA6" s="673"/>
      <c r="EB6" s="673"/>
      <c r="EC6" s="673"/>
      <c r="ED6" s="673"/>
    </row>
    <row r="7" spans="1:135" ht="12.75" customHeight="1" x14ac:dyDescent="0.2">
      <c r="A7" s="274"/>
      <c r="B7" s="275"/>
      <c r="C7" s="246" t="s">
        <v>152</v>
      </c>
      <c r="D7" s="247" t="s">
        <v>153</v>
      </c>
      <c r="E7" s="247" t="s">
        <v>154</v>
      </c>
      <c r="F7" s="180" t="s">
        <v>155</v>
      </c>
      <c r="G7" s="247" t="s">
        <v>156</v>
      </c>
      <c r="H7" s="247" t="s">
        <v>157</v>
      </c>
      <c r="I7" s="199" t="s">
        <v>158</v>
      </c>
      <c r="J7" s="246" t="s">
        <v>159</v>
      </c>
      <c r="K7" s="246" t="s">
        <v>160</v>
      </c>
      <c r="L7" s="249" t="s">
        <v>161</v>
      </c>
      <c r="M7" s="179" t="s">
        <v>162</v>
      </c>
      <c r="N7" s="247" t="s">
        <v>163</v>
      </c>
      <c r="O7" s="252" t="s">
        <v>164</v>
      </c>
      <c r="P7" s="253" t="s">
        <v>165</v>
      </c>
      <c r="Q7" s="252" t="s">
        <v>166</v>
      </c>
      <c r="R7" s="180" t="s">
        <v>167</v>
      </c>
      <c r="S7" s="247" t="s">
        <v>168</v>
      </c>
      <c r="T7" s="247" t="s">
        <v>169</v>
      </c>
      <c r="U7" s="255" t="s">
        <v>170</v>
      </c>
      <c r="V7" s="246" t="s">
        <v>171</v>
      </c>
      <c r="W7" s="247" t="s">
        <v>172</v>
      </c>
      <c r="X7" s="176" t="s">
        <v>173</v>
      </c>
      <c r="Y7" s="252" t="s">
        <v>174</v>
      </c>
      <c r="Z7" s="252" t="s">
        <v>175</v>
      </c>
      <c r="AA7" s="179" t="s">
        <v>176</v>
      </c>
      <c r="AB7" s="252" t="s">
        <v>177</v>
      </c>
      <c r="AC7" s="252"/>
      <c r="AD7" s="252" t="s">
        <v>181</v>
      </c>
      <c r="AE7" s="259" t="s">
        <v>417</v>
      </c>
      <c r="AF7" s="252" t="s">
        <v>672</v>
      </c>
      <c r="AG7" s="90" t="s">
        <v>678</v>
      </c>
      <c r="AH7" s="90" t="s">
        <v>499</v>
      </c>
      <c r="AI7" s="475"/>
      <c r="AJ7" s="90" t="s">
        <v>680</v>
      </c>
      <c r="AS7" s="326"/>
      <c r="AT7" s="428" t="s">
        <v>553</v>
      </c>
      <c r="DS7" s="674" t="s">
        <v>1122</v>
      </c>
      <c r="DT7" s="674" t="s">
        <v>1113</v>
      </c>
      <c r="DU7" s="674" t="s">
        <v>1123</v>
      </c>
      <c r="DV7" s="674" t="s">
        <v>1124</v>
      </c>
      <c r="DW7" s="674" t="s">
        <v>1125</v>
      </c>
      <c r="DX7" s="674" t="s">
        <v>1126</v>
      </c>
      <c r="DY7" s="674" t="s">
        <v>415</v>
      </c>
      <c r="DZ7" s="674" t="s">
        <v>1127</v>
      </c>
      <c r="EA7" s="674" t="s">
        <v>1128</v>
      </c>
      <c r="EB7" s="674" t="s">
        <v>1129</v>
      </c>
      <c r="EC7" s="674" t="s">
        <v>1130</v>
      </c>
      <c r="ED7" s="674" t="s">
        <v>1131</v>
      </c>
      <c r="EE7" s="674" t="s">
        <v>1244</v>
      </c>
    </row>
    <row r="8" spans="1:135" x14ac:dyDescent="0.2">
      <c r="A8" s="430" t="s">
        <v>930</v>
      </c>
      <c r="B8" s="633">
        <v>1</v>
      </c>
      <c r="C8" s="874">
        <v>0</v>
      </c>
      <c r="D8" s="891">
        <v>0</v>
      </c>
      <c r="E8" s="891">
        <v>0</v>
      </c>
      <c r="F8" s="866">
        <v>0</v>
      </c>
      <c r="G8" s="891">
        <v>0</v>
      </c>
      <c r="H8" s="891">
        <v>0</v>
      </c>
      <c r="I8" s="828">
        <f t="shared" ref="I8:I64" si="0">ROUND(SUM(C8:F8,H8),3)</f>
        <v>0</v>
      </c>
      <c r="J8" s="892">
        <v>0</v>
      </c>
      <c r="K8" s="892">
        <v>0</v>
      </c>
      <c r="L8" s="891">
        <v>0</v>
      </c>
      <c r="M8" s="802">
        <v>0</v>
      </c>
      <c r="N8" s="892">
        <v>0</v>
      </c>
      <c r="O8" s="893">
        <v>0</v>
      </c>
      <c r="P8" s="892">
        <v>0</v>
      </c>
      <c r="Q8" s="892">
        <v>0</v>
      </c>
      <c r="R8" s="781">
        <v>0</v>
      </c>
      <c r="S8" s="891">
        <v>0</v>
      </c>
      <c r="T8" s="891">
        <v>0</v>
      </c>
      <c r="U8" s="893">
        <v>0</v>
      </c>
      <c r="V8" s="892">
        <v>0</v>
      </c>
      <c r="W8" s="891">
        <v>0</v>
      </c>
      <c r="X8" s="783">
        <v>0</v>
      </c>
      <c r="Y8" s="891">
        <v>0</v>
      </c>
      <c r="Z8" s="893">
        <v>0</v>
      </c>
      <c r="AA8" s="802">
        <v>0</v>
      </c>
      <c r="AB8" s="891">
        <v>0</v>
      </c>
      <c r="AC8" s="894">
        <v>0</v>
      </c>
      <c r="AD8" s="893">
        <v>0</v>
      </c>
      <c r="AE8" s="894">
        <v>0</v>
      </c>
      <c r="AF8" s="894">
        <v>0</v>
      </c>
      <c r="AG8" s="827">
        <f t="shared" ref="AG8:AG64" si="1">ROUND(SUM(J8:M8,P8:R8,U8,X8,AA8,AE8:AF8),3)</f>
        <v>0</v>
      </c>
      <c r="AH8" s="827">
        <f t="shared" ref="AH8:AH64" si="2">ROUND(SUM(I8,AG8),3)</f>
        <v>0</v>
      </c>
      <c r="AI8" s="476">
        <f>IF(ROUND(I8-SUM(C8:F8,H8),3)=0,0,1)+IF(ROUND(AG8-SUM(J8:M8,P8:R8,U8,X8,AA8,AE8:AF8),3)=0,0,1)+IF(ROUND(AH8-SUM(AG8,I8),3)=0,0,1)</f>
        <v>0</v>
      </c>
      <c r="AJ8" s="467" t="str">
        <f>IF(AI8=0," ",IF(AI8=1,"A total is not equal to the sum of its components: ",AI8&amp;" totals are not equal to the sum of their components: "))&amp;IF(AI8=0,"",IF(I8-SUM(C8:F8,H8)=0,"","Total crude. ")&amp;IF(AG8-SUM(J8:M8,P8:R8,U8,X8,AA8,AE8:AF8)=0,"","Total products. ")&amp;IF(AH8-SUM(AG8,I8)=0,"","Total oil."))</f>
        <v xml:space="preserve"> </v>
      </c>
      <c r="AS8" s="139" t="s">
        <v>932</v>
      </c>
      <c r="AT8" s="139" t="s">
        <v>931</v>
      </c>
      <c r="DS8" s="675" t="str">
        <f>VLOOKUP(CountryUser, Param!$C$9:$E$67, 3, 0)</f>
        <v>NL</v>
      </c>
      <c r="DT8" s="675" t="s">
        <v>1132</v>
      </c>
      <c r="DU8" s="676" t="s">
        <v>415</v>
      </c>
      <c r="DV8" s="676" t="s">
        <v>1188</v>
      </c>
      <c r="DW8" s="676" t="s">
        <v>1134</v>
      </c>
      <c r="DX8" s="676" t="s">
        <v>1134</v>
      </c>
      <c r="DY8" s="677" t="s">
        <v>1255</v>
      </c>
      <c r="DZ8" s="676" t="s">
        <v>1134</v>
      </c>
      <c r="EA8" s="678" t="s">
        <v>932</v>
      </c>
      <c r="EB8" s="676" t="s">
        <v>1135</v>
      </c>
      <c r="EC8" s="676" t="s">
        <v>1134</v>
      </c>
      <c r="ED8" s="676" t="s">
        <v>1136</v>
      </c>
      <c r="EE8" s="676" t="str">
        <f>QuestYear&amp;"-"&amp;TEXT(MATCH(FirstMonth, Param!C71:C82,0), "00")</f>
        <v>2026-09</v>
      </c>
    </row>
    <row r="9" spans="1:135" x14ac:dyDescent="0.2">
      <c r="A9" s="430" t="s">
        <v>554</v>
      </c>
      <c r="B9" s="633">
        <v>2</v>
      </c>
      <c r="C9" s="874">
        <v>0</v>
      </c>
      <c r="D9" s="891">
        <v>0</v>
      </c>
      <c r="E9" s="891">
        <v>0</v>
      </c>
      <c r="F9" s="866">
        <v>0</v>
      </c>
      <c r="G9" s="891">
        <v>0</v>
      </c>
      <c r="H9" s="891">
        <v>0</v>
      </c>
      <c r="I9" s="828">
        <f t="shared" si="0"/>
        <v>0</v>
      </c>
      <c r="J9" s="892">
        <v>0</v>
      </c>
      <c r="K9" s="892">
        <v>0</v>
      </c>
      <c r="L9" s="891">
        <v>0</v>
      </c>
      <c r="M9" s="802">
        <v>0</v>
      </c>
      <c r="N9" s="892">
        <v>0</v>
      </c>
      <c r="O9" s="893">
        <v>0</v>
      </c>
      <c r="P9" s="892">
        <v>0</v>
      </c>
      <c r="Q9" s="892">
        <v>0</v>
      </c>
      <c r="R9" s="781">
        <v>0</v>
      </c>
      <c r="S9" s="891">
        <v>0</v>
      </c>
      <c r="T9" s="891">
        <v>0</v>
      </c>
      <c r="U9" s="893">
        <v>0</v>
      </c>
      <c r="V9" s="892">
        <v>0</v>
      </c>
      <c r="W9" s="891">
        <v>0</v>
      </c>
      <c r="X9" s="783">
        <v>0</v>
      </c>
      <c r="Y9" s="891">
        <v>0</v>
      </c>
      <c r="Z9" s="893">
        <v>0</v>
      </c>
      <c r="AA9" s="802">
        <v>0</v>
      </c>
      <c r="AB9" s="891">
        <v>0</v>
      </c>
      <c r="AC9" s="894">
        <v>0</v>
      </c>
      <c r="AD9" s="893">
        <v>0</v>
      </c>
      <c r="AE9" s="894">
        <v>0</v>
      </c>
      <c r="AF9" s="894">
        <v>0</v>
      </c>
      <c r="AG9" s="827">
        <f t="shared" si="1"/>
        <v>0</v>
      </c>
      <c r="AH9" s="827">
        <f t="shared" si="2"/>
        <v>0</v>
      </c>
      <c r="AI9" s="476">
        <f t="shared" ref="AI9:AI63" si="3">IF(ROUND(I9-SUM(C9:F9,H9),3)=0,0,1)+IF(ROUND(AG9-SUM(J9:M9,P9:R9,U9,X9,AA9,AE9:AF9),3)=0,0,1)+IF(ROUND(AH9-SUM(AG9,I9),3)=0,0,1)</f>
        <v>0</v>
      </c>
      <c r="AJ9" s="467" t="str">
        <f t="shared" ref="AJ9:AJ63" si="4">IF(AI9=0," ",IF(AI9=1,"A total is not equal to the sum of its components: ",AI9&amp;" totals are not equal to the sum of their components: "))&amp;IF(AI9=0,"",IF(I9-SUM(C9:F9,H9)=0,"","Total crude. ")&amp;IF(AG9-SUM(J9:M9,P9:R9,U9,X9,AA9,AE9:AF9)=0,"","Total products. ")&amp;IF(AH9-SUM(AG9,I9)=0,"","Total oil."))</f>
        <v xml:space="preserve"> </v>
      </c>
      <c r="AS9" s="130" t="s">
        <v>501</v>
      </c>
      <c r="AT9" s="130" t="s">
        <v>502</v>
      </c>
      <c r="DS9" s="675"/>
      <c r="DT9" s="675"/>
      <c r="DU9" s="676" t="s">
        <v>415</v>
      </c>
      <c r="DV9" s="676" t="s">
        <v>1188</v>
      </c>
      <c r="DW9" s="676" t="s">
        <v>1134</v>
      </c>
      <c r="DX9" s="676" t="s">
        <v>1134</v>
      </c>
      <c r="DY9" s="677" t="s">
        <v>1255</v>
      </c>
      <c r="DZ9" s="676" t="s">
        <v>1134</v>
      </c>
      <c r="EA9" s="678" t="s">
        <v>501</v>
      </c>
      <c r="EB9" s="676" t="s">
        <v>1135</v>
      </c>
      <c r="EC9" s="676" t="s">
        <v>1134</v>
      </c>
      <c r="ED9" s="676" t="s">
        <v>1136</v>
      </c>
      <c r="EE9" s="1078"/>
    </row>
    <row r="10" spans="1:135" x14ac:dyDescent="0.2">
      <c r="A10" s="430" t="s">
        <v>115</v>
      </c>
      <c r="B10" s="633">
        <v>3</v>
      </c>
      <c r="C10" s="891">
        <v>0</v>
      </c>
      <c r="D10" s="891">
        <v>0</v>
      </c>
      <c r="E10" s="891">
        <v>0</v>
      </c>
      <c r="F10" s="866">
        <v>0</v>
      </c>
      <c r="G10" s="891">
        <v>0</v>
      </c>
      <c r="H10" s="891">
        <v>0</v>
      </c>
      <c r="I10" s="828">
        <f t="shared" si="0"/>
        <v>0</v>
      </c>
      <c r="J10" s="892">
        <v>0</v>
      </c>
      <c r="K10" s="892">
        <v>0</v>
      </c>
      <c r="L10" s="891">
        <v>0</v>
      </c>
      <c r="M10" s="802">
        <v>0</v>
      </c>
      <c r="N10" s="892">
        <v>0</v>
      </c>
      <c r="O10" s="893">
        <v>0</v>
      </c>
      <c r="P10" s="892">
        <v>0</v>
      </c>
      <c r="Q10" s="892">
        <v>0</v>
      </c>
      <c r="R10" s="781">
        <v>0</v>
      </c>
      <c r="S10" s="891">
        <v>0</v>
      </c>
      <c r="T10" s="891">
        <v>0</v>
      </c>
      <c r="U10" s="893">
        <v>0</v>
      </c>
      <c r="V10" s="892">
        <v>0</v>
      </c>
      <c r="W10" s="891">
        <v>0</v>
      </c>
      <c r="X10" s="783">
        <v>0</v>
      </c>
      <c r="Y10" s="891">
        <v>0</v>
      </c>
      <c r="Z10" s="893">
        <v>0</v>
      </c>
      <c r="AA10" s="802">
        <v>0</v>
      </c>
      <c r="AB10" s="891">
        <v>0</v>
      </c>
      <c r="AC10" s="894">
        <v>0</v>
      </c>
      <c r="AD10" s="893">
        <v>0</v>
      </c>
      <c r="AE10" s="894">
        <v>0</v>
      </c>
      <c r="AF10" s="894">
        <v>0</v>
      </c>
      <c r="AG10" s="827">
        <f t="shared" si="1"/>
        <v>0</v>
      </c>
      <c r="AH10" s="827">
        <f t="shared" si="2"/>
        <v>0</v>
      </c>
      <c r="AI10" s="476">
        <f t="shared" si="3"/>
        <v>0</v>
      </c>
      <c r="AJ10" s="467" t="str">
        <f t="shared" si="4"/>
        <v xml:space="preserve"> </v>
      </c>
      <c r="AS10" s="139" t="s">
        <v>232</v>
      </c>
      <c r="AT10" s="139" t="s">
        <v>231</v>
      </c>
      <c r="DS10" s="679"/>
      <c r="DT10" s="679"/>
      <c r="DU10" s="676" t="s">
        <v>415</v>
      </c>
      <c r="DV10" s="676" t="s">
        <v>1188</v>
      </c>
      <c r="DW10" s="676" t="s">
        <v>1134</v>
      </c>
      <c r="DX10" s="676" t="s">
        <v>1134</v>
      </c>
      <c r="DY10" s="677" t="s">
        <v>1255</v>
      </c>
      <c r="DZ10" s="676" t="s">
        <v>1134</v>
      </c>
      <c r="EA10" s="678" t="s">
        <v>232</v>
      </c>
      <c r="EB10" s="676" t="s">
        <v>1135</v>
      </c>
      <c r="EC10" s="676" t="s">
        <v>1134</v>
      </c>
      <c r="ED10" s="676" t="s">
        <v>1136</v>
      </c>
    </row>
    <row r="11" spans="1:135" x14ac:dyDescent="0.2">
      <c r="A11" s="430" t="s">
        <v>15</v>
      </c>
      <c r="B11" s="633">
        <v>4</v>
      </c>
      <c r="C11" s="891">
        <v>0</v>
      </c>
      <c r="D11" s="891">
        <v>0</v>
      </c>
      <c r="E11" s="891">
        <v>0</v>
      </c>
      <c r="F11" s="866">
        <v>0</v>
      </c>
      <c r="G11" s="891">
        <v>0</v>
      </c>
      <c r="H11" s="891">
        <v>0</v>
      </c>
      <c r="I11" s="828">
        <f t="shared" si="0"/>
        <v>0</v>
      </c>
      <c r="J11" s="892">
        <v>0</v>
      </c>
      <c r="K11" s="892">
        <v>0</v>
      </c>
      <c r="L11" s="891">
        <v>0</v>
      </c>
      <c r="M11" s="802">
        <v>0</v>
      </c>
      <c r="N11" s="892">
        <v>0</v>
      </c>
      <c r="O11" s="893">
        <v>0</v>
      </c>
      <c r="P11" s="892">
        <v>0</v>
      </c>
      <c r="Q11" s="892">
        <v>0</v>
      </c>
      <c r="R11" s="781">
        <v>0</v>
      </c>
      <c r="S11" s="891">
        <v>0</v>
      </c>
      <c r="T11" s="891">
        <v>0</v>
      </c>
      <c r="U11" s="893">
        <v>0</v>
      </c>
      <c r="V11" s="892">
        <v>0</v>
      </c>
      <c r="W11" s="891">
        <v>0</v>
      </c>
      <c r="X11" s="783">
        <v>0</v>
      </c>
      <c r="Y11" s="891">
        <v>0</v>
      </c>
      <c r="Z11" s="893">
        <v>0</v>
      </c>
      <c r="AA11" s="802">
        <v>0</v>
      </c>
      <c r="AB11" s="891">
        <v>0</v>
      </c>
      <c r="AC11" s="894">
        <v>0</v>
      </c>
      <c r="AD11" s="893">
        <v>0</v>
      </c>
      <c r="AE11" s="894">
        <v>0</v>
      </c>
      <c r="AF11" s="894">
        <v>0</v>
      </c>
      <c r="AG11" s="827">
        <f t="shared" si="1"/>
        <v>0</v>
      </c>
      <c r="AH11" s="827">
        <f t="shared" si="2"/>
        <v>0</v>
      </c>
      <c r="AI11" s="476">
        <f t="shared" si="3"/>
        <v>0</v>
      </c>
      <c r="AJ11" s="467" t="str">
        <f t="shared" si="4"/>
        <v xml:space="preserve"> </v>
      </c>
      <c r="AS11" s="139" t="s">
        <v>234</v>
      </c>
      <c r="AT11" s="139" t="s">
        <v>233</v>
      </c>
      <c r="DS11" s="680"/>
      <c r="DT11" s="680"/>
      <c r="DU11" s="676" t="s">
        <v>415</v>
      </c>
      <c r="DV11" s="676" t="s">
        <v>1188</v>
      </c>
      <c r="DW11" s="676" t="s">
        <v>1134</v>
      </c>
      <c r="DX11" s="676" t="s">
        <v>1134</v>
      </c>
      <c r="DY11" s="677" t="s">
        <v>1255</v>
      </c>
      <c r="DZ11" s="676" t="s">
        <v>1134</v>
      </c>
      <c r="EA11" s="678" t="s">
        <v>234</v>
      </c>
      <c r="EB11" s="676" t="s">
        <v>1135</v>
      </c>
      <c r="EC11" s="676" t="s">
        <v>1134</v>
      </c>
      <c r="ED11" s="676" t="s">
        <v>1136</v>
      </c>
    </row>
    <row r="12" spans="1:135" x14ac:dyDescent="0.2">
      <c r="A12" s="430" t="s">
        <v>556</v>
      </c>
      <c r="B12" s="633">
        <v>5</v>
      </c>
      <c r="C12" s="891">
        <v>0</v>
      </c>
      <c r="D12" s="891">
        <v>0</v>
      </c>
      <c r="E12" s="891">
        <v>0</v>
      </c>
      <c r="F12" s="866">
        <v>0</v>
      </c>
      <c r="G12" s="891">
        <v>0</v>
      </c>
      <c r="H12" s="891">
        <v>0</v>
      </c>
      <c r="I12" s="828">
        <f t="shared" si="0"/>
        <v>0</v>
      </c>
      <c r="J12" s="892">
        <v>0</v>
      </c>
      <c r="K12" s="892">
        <v>0</v>
      </c>
      <c r="L12" s="891">
        <v>0</v>
      </c>
      <c r="M12" s="802">
        <v>0</v>
      </c>
      <c r="N12" s="892">
        <v>0</v>
      </c>
      <c r="O12" s="893">
        <v>0</v>
      </c>
      <c r="P12" s="892">
        <v>0</v>
      </c>
      <c r="Q12" s="892">
        <v>0</v>
      </c>
      <c r="R12" s="781">
        <v>0</v>
      </c>
      <c r="S12" s="891">
        <v>0</v>
      </c>
      <c r="T12" s="891">
        <v>0</v>
      </c>
      <c r="U12" s="893">
        <v>0</v>
      </c>
      <c r="V12" s="892">
        <v>0</v>
      </c>
      <c r="W12" s="891">
        <v>0</v>
      </c>
      <c r="X12" s="783">
        <v>0</v>
      </c>
      <c r="Y12" s="891">
        <v>0</v>
      </c>
      <c r="Z12" s="893">
        <v>0</v>
      </c>
      <c r="AA12" s="802">
        <v>0</v>
      </c>
      <c r="AB12" s="891">
        <v>0</v>
      </c>
      <c r="AC12" s="894">
        <v>0</v>
      </c>
      <c r="AD12" s="893">
        <v>0</v>
      </c>
      <c r="AE12" s="894">
        <v>0</v>
      </c>
      <c r="AF12" s="894">
        <v>0</v>
      </c>
      <c r="AG12" s="827">
        <f t="shared" si="1"/>
        <v>0</v>
      </c>
      <c r="AH12" s="827">
        <f t="shared" si="2"/>
        <v>0</v>
      </c>
      <c r="AI12" s="476">
        <f t="shared" si="3"/>
        <v>0</v>
      </c>
      <c r="AJ12" s="467" t="str">
        <f t="shared" si="4"/>
        <v xml:space="preserve"> </v>
      </c>
      <c r="AS12" s="130" t="s">
        <v>505</v>
      </c>
      <c r="AT12" s="130" t="s">
        <v>506</v>
      </c>
      <c r="DS12" s="680"/>
      <c r="DT12" s="680"/>
      <c r="DU12" s="676" t="s">
        <v>415</v>
      </c>
      <c r="DV12" s="676" t="s">
        <v>1188</v>
      </c>
      <c r="DW12" s="676" t="s">
        <v>1134</v>
      </c>
      <c r="DX12" s="676" t="s">
        <v>1134</v>
      </c>
      <c r="DY12" s="677" t="s">
        <v>1255</v>
      </c>
      <c r="DZ12" s="676" t="s">
        <v>1134</v>
      </c>
      <c r="EA12" s="678" t="s">
        <v>505</v>
      </c>
      <c r="EB12" s="676" t="s">
        <v>1135</v>
      </c>
      <c r="EC12" s="676" t="s">
        <v>1134</v>
      </c>
      <c r="ED12" s="676" t="s">
        <v>1136</v>
      </c>
    </row>
    <row r="13" spans="1:135" x14ac:dyDescent="0.2">
      <c r="A13" s="430" t="s">
        <v>116</v>
      </c>
      <c r="B13" s="633">
        <v>6</v>
      </c>
      <c r="C13" s="891">
        <v>0</v>
      </c>
      <c r="D13" s="891">
        <v>0</v>
      </c>
      <c r="E13" s="891">
        <v>0</v>
      </c>
      <c r="F13" s="866">
        <v>0</v>
      </c>
      <c r="G13" s="891">
        <v>0</v>
      </c>
      <c r="H13" s="891">
        <v>0</v>
      </c>
      <c r="I13" s="828">
        <f t="shared" si="0"/>
        <v>0</v>
      </c>
      <c r="J13" s="892">
        <v>0</v>
      </c>
      <c r="K13" s="892">
        <v>0</v>
      </c>
      <c r="L13" s="891">
        <v>0</v>
      </c>
      <c r="M13" s="802">
        <v>0</v>
      </c>
      <c r="N13" s="892">
        <v>0</v>
      </c>
      <c r="O13" s="893">
        <v>0</v>
      </c>
      <c r="P13" s="892">
        <v>0</v>
      </c>
      <c r="Q13" s="892">
        <v>0</v>
      </c>
      <c r="R13" s="781">
        <v>0</v>
      </c>
      <c r="S13" s="891">
        <v>0</v>
      </c>
      <c r="T13" s="891">
        <v>0</v>
      </c>
      <c r="U13" s="893">
        <v>0</v>
      </c>
      <c r="V13" s="892">
        <v>0</v>
      </c>
      <c r="W13" s="891">
        <v>0</v>
      </c>
      <c r="X13" s="783">
        <v>0</v>
      </c>
      <c r="Y13" s="891">
        <v>0</v>
      </c>
      <c r="Z13" s="893">
        <v>0</v>
      </c>
      <c r="AA13" s="802">
        <v>0</v>
      </c>
      <c r="AB13" s="891">
        <v>0</v>
      </c>
      <c r="AC13" s="894">
        <v>0</v>
      </c>
      <c r="AD13" s="893">
        <v>0</v>
      </c>
      <c r="AE13" s="894">
        <v>0</v>
      </c>
      <c r="AF13" s="894">
        <v>0</v>
      </c>
      <c r="AG13" s="827">
        <f t="shared" si="1"/>
        <v>0</v>
      </c>
      <c r="AH13" s="827">
        <f t="shared" si="2"/>
        <v>0</v>
      </c>
      <c r="AI13" s="476">
        <f t="shared" si="3"/>
        <v>0</v>
      </c>
      <c r="AJ13" s="467" t="str">
        <f t="shared" si="4"/>
        <v xml:space="preserve"> </v>
      </c>
      <c r="AS13" s="139" t="s">
        <v>236</v>
      </c>
      <c r="AT13" s="139" t="s">
        <v>235</v>
      </c>
      <c r="DS13" s="680"/>
      <c r="DT13" s="680"/>
      <c r="DU13" s="676" t="s">
        <v>415</v>
      </c>
      <c r="DV13" s="676" t="s">
        <v>1188</v>
      </c>
      <c r="DW13" s="676" t="s">
        <v>1134</v>
      </c>
      <c r="DX13" s="676" t="s">
        <v>1134</v>
      </c>
      <c r="DY13" s="677" t="s">
        <v>1255</v>
      </c>
      <c r="DZ13" s="676" t="s">
        <v>1134</v>
      </c>
      <c r="EA13" s="678" t="s">
        <v>236</v>
      </c>
      <c r="EB13" s="676" t="s">
        <v>1135</v>
      </c>
      <c r="EC13" s="676" t="s">
        <v>1134</v>
      </c>
      <c r="ED13" s="676" t="s">
        <v>1136</v>
      </c>
    </row>
    <row r="14" spans="1:135" x14ac:dyDescent="0.2">
      <c r="A14" s="430" t="s">
        <v>595</v>
      </c>
      <c r="B14" s="633">
        <v>7</v>
      </c>
      <c r="C14" s="891">
        <v>0</v>
      </c>
      <c r="D14" s="891">
        <v>0</v>
      </c>
      <c r="E14" s="891">
        <v>0</v>
      </c>
      <c r="F14" s="866">
        <v>0</v>
      </c>
      <c r="G14" s="891">
        <v>0</v>
      </c>
      <c r="H14" s="891">
        <v>0</v>
      </c>
      <c r="I14" s="828">
        <f t="shared" si="0"/>
        <v>0</v>
      </c>
      <c r="J14" s="892">
        <v>0</v>
      </c>
      <c r="K14" s="892">
        <v>0</v>
      </c>
      <c r="L14" s="891">
        <v>0</v>
      </c>
      <c r="M14" s="802">
        <v>0</v>
      </c>
      <c r="N14" s="892">
        <v>0</v>
      </c>
      <c r="O14" s="893">
        <v>0</v>
      </c>
      <c r="P14" s="892">
        <v>0</v>
      </c>
      <c r="Q14" s="892">
        <v>0</v>
      </c>
      <c r="R14" s="781">
        <v>0</v>
      </c>
      <c r="S14" s="891">
        <v>0</v>
      </c>
      <c r="T14" s="891">
        <v>0</v>
      </c>
      <c r="U14" s="893">
        <v>0</v>
      </c>
      <c r="V14" s="892">
        <v>0</v>
      </c>
      <c r="W14" s="891">
        <v>0</v>
      </c>
      <c r="X14" s="783">
        <v>0</v>
      </c>
      <c r="Y14" s="891">
        <v>0</v>
      </c>
      <c r="Z14" s="893">
        <v>0</v>
      </c>
      <c r="AA14" s="802">
        <v>0</v>
      </c>
      <c r="AB14" s="891">
        <v>0</v>
      </c>
      <c r="AC14" s="894">
        <v>0</v>
      </c>
      <c r="AD14" s="893">
        <v>0</v>
      </c>
      <c r="AE14" s="894">
        <v>0</v>
      </c>
      <c r="AF14" s="894">
        <v>0</v>
      </c>
      <c r="AG14" s="827">
        <f t="shared" si="1"/>
        <v>0</v>
      </c>
      <c r="AH14" s="827">
        <f t="shared" si="2"/>
        <v>0</v>
      </c>
      <c r="AI14" s="476">
        <f t="shared" si="3"/>
        <v>0</v>
      </c>
      <c r="AJ14" s="467" t="str">
        <f t="shared" si="4"/>
        <v xml:space="preserve"> </v>
      </c>
      <c r="AS14" s="139" t="s">
        <v>537</v>
      </c>
      <c r="AT14" s="139" t="s">
        <v>538</v>
      </c>
      <c r="DS14" s="680"/>
      <c r="DT14" s="680"/>
      <c r="DU14" s="676" t="s">
        <v>415</v>
      </c>
      <c r="DV14" s="676" t="s">
        <v>1188</v>
      </c>
      <c r="DW14" s="676" t="s">
        <v>1134</v>
      </c>
      <c r="DX14" s="676" t="s">
        <v>1134</v>
      </c>
      <c r="DY14" s="677" t="s">
        <v>1255</v>
      </c>
      <c r="DZ14" s="676" t="s">
        <v>1134</v>
      </c>
      <c r="EA14" s="678" t="s">
        <v>537</v>
      </c>
      <c r="EB14" s="676" t="s">
        <v>1135</v>
      </c>
      <c r="EC14" s="676" t="s">
        <v>1134</v>
      </c>
      <c r="ED14" s="676" t="s">
        <v>1136</v>
      </c>
    </row>
    <row r="15" spans="1:135" x14ac:dyDescent="0.2">
      <c r="A15" s="430" t="s">
        <v>20</v>
      </c>
      <c r="B15" s="633">
        <v>8</v>
      </c>
      <c r="C15" s="891">
        <v>0</v>
      </c>
      <c r="D15" s="891">
        <v>0</v>
      </c>
      <c r="E15" s="891">
        <v>0</v>
      </c>
      <c r="F15" s="866">
        <v>0</v>
      </c>
      <c r="G15" s="891">
        <v>0</v>
      </c>
      <c r="H15" s="891">
        <v>0</v>
      </c>
      <c r="I15" s="828">
        <f t="shared" si="0"/>
        <v>0</v>
      </c>
      <c r="J15" s="892">
        <v>0</v>
      </c>
      <c r="K15" s="892">
        <v>0</v>
      </c>
      <c r="L15" s="891">
        <v>0</v>
      </c>
      <c r="M15" s="802">
        <v>0</v>
      </c>
      <c r="N15" s="892">
        <v>0</v>
      </c>
      <c r="O15" s="893">
        <v>0</v>
      </c>
      <c r="P15" s="892">
        <v>0</v>
      </c>
      <c r="Q15" s="892">
        <v>0</v>
      </c>
      <c r="R15" s="781">
        <v>0</v>
      </c>
      <c r="S15" s="891">
        <v>0</v>
      </c>
      <c r="T15" s="891">
        <v>0</v>
      </c>
      <c r="U15" s="893">
        <v>0</v>
      </c>
      <c r="V15" s="892">
        <v>0</v>
      </c>
      <c r="W15" s="891">
        <v>0</v>
      </c>
      <c r="X15" s="783">
        <v>0</v>
      </c>
      <c r="Y15" s="891">
        <v>0</v>
      </c>
      <c r="Z15" s="893">
        <v>0</v>
      </c>
      <c r="AA15" s="802">
        <v>0</v>
      </c>
      <c r="AB15" s="891">
        <v>0</v>
      </c>
      <c r="AC15" s="894">
        <v>0</v>
      </c>
      <c r="AD15" s="893">
        <v>0</v>
      </c>
      <c r="AE15" s="894">
        <v>0</v>
      </c>
      <c r="AF15" s="894">
        <v>0</v>
      </c>
      <c r="AG15" s="827">
        <f t="shared" si="1"/>
        <v>0</v>
      </c>
      <c r="AH15" s="827">
        <f t="shared" si="2"/>
        <v>0</v>
      </c>
      <c r="AI15" s="476">
        <f t="shared" si="3"/>
        <v>0</v>
      </c>
      <c r="AJ15" s="467" t="str">
        <f t="shared" si="4"/>
        <v xml:space="preserve"> </v>
      </c>
      <c r="AS15" s="139" t="s">
        <v>433</v>
      </c>
      <c r="AT15" s="139" t="s">
        <v>434</v>
      </c>
      <c r="DS15" s="680"/>
      <c r="DT15" s="680"/>
      <c r="DU15" s="676" t="s">
        <v>415</v>
      </c>
      <c r="DV15" s="676" t="s">
        <v>1188</v>
      </c>
      <c r="DW15" s="676" t="s">
        <v>1134</v>
      </c>
      <c r="DX15" s="676" t="s">
        <v>1134</v>
      </c>
      <c r="DY15" s="677" t="s">
        <v>1255</v>
      </c>
      <c r="DZ15" s="676" t="s">
        <v>1134</v>
      </c>
      <c r="EA15" s="678" t="s">
        <v>433</v>
      </c>
      <c r="EB15" s="676" t="s">
        <v>1135</v>
      </c>
      <c r="EC15" s="676" t="s">
        <v>1134</v>
      </c>
      <c r="ED15" s="676" t="s">
        <v>1136</v>
      </c>
    </row>
    <row r="16" spans="1:135" x14ac:dyDescent="0.2">
      <c r="A16" s="430" t="s">
        <v>117</v>
      </c>
      <c r="B16" s="633">
        <v>9</v>
      </c>
      <c r="C16" s="891">
        <v>0</v>
      </c>
      <c r="D16" s="891">
        <v>0</v>
      </c>
      <c r="E16" s="891">
        <v>0</v>
      </c>
      <c r="F16" s="866">
        <v>0</v>
      </c>
      <c r="G16" s="891">
        <v>0</v>
      </c>
      <c r="H16" s="891">
        <v>0</v>
      </c>
      <c r="I16" s="828">
        <f t="shared" si="0"/>
        <v>0</v>
      </c>
      <c r="J16" s="892">
        <v>0</v>
      </c>
      <c r="K16" s="892">
        <v>0</v>
      </c>
      <c r="L16" s="894">
        <v>0</v>
      </c>
      <c r="M16" s="802">
        <v>0</v>
      </c>
      <c r="N16" s="895">
        <v>0</v>
      </c>
      <c r="O16" s="893">
        <v>0</v>
      </c>
      <c r="P16" s="892">
        <v>0</v>
      </c>
      <c r="Q16" s="892">
        <v>0</v>
      </c>
      <c r="R16" s="781">
        <v>0</v>
      </c>
      <c r="S16" s="891">
        <v>0</v>
      </c>
      <c r="T16" s="891">
        <v>0</v>
      </c>
      <c r="U16" s="893">
        <v>0</v>
      </c>
      <c r="V16" s="892">
        <v>0</v>
      </c>
      <c r="W16" s="891">
        <v>0</v>
      </c>
      <c r="X16" s="783">
        <v>0</v>
      </c>
      <c r="Y16" s="891">
        <v>0</v>
      </c>
      <c r="Z16" s="893">
        <v>0</v>
      </c>
      <c r="AA16" s="802">
        <v>0</v>
      </c>
      <c r="AB16" s="891">
        <v>0</v>
      </c>
      <c r="AC16" s="894">
        <v>0</v>
      </c>
      <c r="AD16" s="893">
        <v>0</v>
      </c>
      <c r="AE16" s="894">
        <v>0</v>
      </c>
      <c r="AF16" s="894">
        <v>0</v>
      </c>
      <c r="AG16" s="827">
        <f t="shared" si="1"/>
        <v>0</v>
      </c>
      <c r="AH16" s="827">
        <f t="shared" si="2"/>
        <v>0</v>
      </c>
      <c r="AI16" s="476">
        <f t="shared" si="3"/>
        <v>0</v>
      </c>
      <c r="AJ16" s="467" t="str">
        <f t="shared" si="4"/>
        <v xml:space="preserve"> </v>
      </c>
      <c r="AS16" s="139" t="s">
        <v>238</v>
      </c>
      <c r="AT16" s="139" t="s">
        <v>237</v>
      </c>
      <c r="DS16" s="680"/>
      <c r="DT16" s="680"/>
      <c r="DU16" s="676" t="s">
        <v>415</v>
      </c>
      <c r="DV16" s="676" t="s">
        <v>1188</v>
      </c>
      <c r="DW16" s="676" t="s">
        <v>1134</v>
      </c>
      <c r="DX16" s="676" t="s">
        <v>1134</v>
      </c>
      <c r="DY16" s="677" t="s">
        <v>1255</v>
      </c>
      <c r="DZ16" s="676" t="s">
        <v>1134</v>
      </c>
      <c r="EA16" s="678" t="s">
        <v>238</v>
      </c>
      <c r="EB16" s="676" t="s">
        <v>1135</v>
      </c>
      <c r="EC16" s="676" t="s">
        <v>1134</v>
      </c>
      <c r="ED16" s="676" t="s">
        <v>1136</v>
      </c>
    </row>
    <row r="17" spans="1:134" x14ac:dyDescent="0.2">
      <c r="A17" s="430" t="s">
        <v>613</v>
      </c>
      <c r="B17" s="633">
        <v>10</v>
      </c>
      <c r="C17" s="891">
        <v>0</v>
      </c>
      <c r="D17" s="891">
        <v>0</v>
      </c>
      <c r="E17" s="891">
        <v>0</v>
      </c>
      <c r="F17" s="866">
        <v>0</v>
      </c>
      <c r="G17" s="891">
        <v>0</v>
      </c>
      <c r="H17" s="891">
        <v>0</v>
      </c>
      <c r="I17" s="828">
        <f t="shared" si="0"/>
        <v>0</v>
      </c>
      <c r="J17" s="892">
        <v>0</v>
      </c>
      <c r="K17" s="892">
        <v>0</v>
      </c>
      <c r="L17" s="894">
        <v>0</v>
      </c>
      <c r="M17" s="802">
        <v>0</v>
      </c>
      <c r="N17" s="895">
        <v>0</v>
      </c>
      <c r="O17" s="893">
        <v>0</v>
      </c>
      <c r="P17" s="892">
        <v>0</v>
      </c>
      <c r="Q17" s="892">
        <v>0</v>
      </c>
      <c r="R17" s="781">
        <v>0</v>
      </c>
      <c r="S17" s="891">
        <v>0</v>
      </c>
      <c r="T17" s="891">
        <v>0</v>
      </c>
      <c r="U17" s="893">
        <v>0</v>
      </c>
      <c r="V17" s="892">
        <v>0</v>
      </c>
      <c r="W17" s="891">
        <v>0</v>
      </c>
      <c r="X17" s="783">
        <v>0</v>
      </c>
      <c r="Y17" s="891">
        <v>0</v>
      </c>
      <c r="Z17" s="893">
        <v>0</v>
      </c>
      <c r="AA17" s="802">
        <v>0</v>
      </c>
      <c r="AB17" s="891">
        <v>0</v>
      </c>
      <c r="AC17" s="894">
        <v>0</v>
      </c>
      <c r="AD17" s="893">
        <v>0</v>
      </c>
      <c r="AE17" s="894">
        <v>0</v>
      </c>
      <c r="AF17" s="894">
        <v>0</v>
      </c>
      <c r="AG17" s="827">
        <f t="shared" si="1"/>
        <v>0</v>
      </c>
      <c r="AH17" s="827">
        <f t="shared" si="2"/>
        <v>0</v>
      </c>
      <c r="AI17" s="476">
        <f t="shared" si="3"/>
        <v>0</v>
      </c>
      <c r="AJ17" s="467" t="str">
        <f t="shared" si="4"/>
        <v xml:space="preserve"> </v>
      </c>
      <c r="AS17" s="139" t="s">
        <v>617</v>
      </c>
      <c r="AT17" s="139" t="s">
        <v>618</v>
      </c>
      <c r="DS17" s="680"/>
      <c r="DT17" s="680"/>
      <c r="DU17" s="676" t="s">
        <v>415</v>
      </c>
      <c r="DV17" s="676" t="s">
        <v>1188</v>
      </c>
      <c r="DW17" s="676" t="s">
        <v>1134</v>
      </c>
      <c r="DX17" s="676" t="s">
        <v>1134</v>
      </c>
      <c r="DY17" s="677" t="s">
        <v>1255</v>
      </c>
      <c r="DZ17" s="676" t="s">
        <v>1134</v>
      </c>
      <c r="EA17" s="678" t="s">
        <v>617</v>
      </c>
      <c r="EB17" s="676" t="s">
        <v>1135</v>
      </c>
      <c r="EC17" s="676" t="s">
        <v>1134</v>
      </c>
      <c r="ED17" s="676" t="s">
        <v>1136</v>
      </c>
    </row>
    <row r="18" spans="1:134" x14ac:dyDescent="0.2">
      <c r="A18" s="430" t="s">
        <v>23</v>
      </c>
      <c r="B18" s="633">
        <v>11</v>
      </c>
      <c r="C18" s="891">
        <v>0</v>
      </c>
      <c r="D18" s="891">
        <v>0</v>
      </c>
      <c r="E18" s="891">
        <v>0</v>
      </c>
      <c r="F18" s="866">
        <v>0</v>
      </c>
      <c r="G18" s="891">
        <v>0</v>
      </c>
      <c r="H18" s="891">
        <v>0</v>
      </c>
      <c r="I18" s="828">
        <f t="shared" si="0"/>
        <v>0</v>
      </c>
      <c r="J18" s="892">
        <v>0</v>
      </c>
      <c r="K18" s="892">
        <v>0</v>
      </c>
      <c r="L18" s="894">
        <v>0</v>
      </c>
      <c r="M18" s="802">
        <v>0</v>
      </c>
      <c r="N18" s="895">
        <v>0</v>
      </c>
      <c r="O18" s="893">
        <v>0</v>
      </c>
      <c r="P18" s="892">
        <v>0</v>
      </c>
      <c r="Q18" s="892">
        <v>0</v>
      </c>
      <c r="R18" s="781">
        <v>0</v>
      </c>
      <c r="S18" s="891">
        <v>0</v>
      </c>
      <c r="T18" s="891">
        <v>0</v>
      </c>
      <c r="U18" s="893">
        <v>0</v>
      </c>
      <c r="V18" s="892">
        <v>0</v>
      </c>
      <c r="W18" s="891">
        <v>0</v>
      </c>
      <c r="X18" s="783">
        <v>0</v>
      </c>
      <c r="Y18" s="891">
        <v>0</v>
      </c>
      <c r="Z18" s="893">
        <v>0</v>
      </c>
      <c r="AA18" s="802">
        <v>0</v>
      </c>
      <c r="AB18" s="891">
        <v>0</v>
      </c>
      <c r="AC18" s="894">
        <v>0</v>
      </c>
      <c r="AD18" s="893">
        <v>0</v>
      </c>
      <c r="AE18" s="894">
        <v>0</v>
      </c>
      <c r="AF18" s="894">
        <v>0</v>
      </c>
      <c r="AG18" s="827">
        <f t="shared" si="1"/>
        <v>0</v>
      </c>
      <c r="AH18" s="827">
        <f t="shared" si="2"/>
        <v>0</v>
      </c>
      <c r="AI18" s="476">
        <f t="shared" si="3"/>
        <v>0</v>
      </c>
      <c r="AJ18" s="467" t="str">
        <f t="shared" si="4"/>
        <v xml:space="preserve"> </v>
      </c>
      <c r="AS18" s="130" t="s">
        <v>439</v>
      </c>
      <c r="AT18" s="130" t="s">
        <v>440</v>
      </c>
      <c r="DS18" s="680"/>
      <c r="DT18" s="680"/>
      <c r="DU18" s="676" t="s">
        <v>415</v>
      </c>
      <c r="DV18" s="676" t="s">
        <v>1188</v>
      </c>
      <c r="DW18" s="676" t="s">
        <v>1134</v>
      </c>
      <c r="DX18" s="676" t="s">
        <v>1134</v>
      </c>
      <c r="DY18" s="677" t="s">
        <v>1255</v>
      </c>
      <c r="DZ18" s="676" t="s">
        <v>1134</v>
      </c>
      <c r="EA18" s="678" t="s">
        <v>439</v>
      </c>
      <c r="EB18" s="676" t="s">
        <v>1135</v>
      </c>
      <c r="EC18" s="676" t="s">
        <v>1134</v>
      </c>
      <c r="ED18" s="676" t="s">
        <v>1136</v>
      </c>
    </row>
    <row r="19" spans="1:134" x14ac:dyDescent="0.2">
      <c r="A19" s="430" t="s">
        <v>964</v>
      </c>
      <c r="B19" s="633">
        <v>12</v>
      </c>
      <c r="C19" s="891">
        <v>0</v>
      </c>
      <c r="D19" s="891">
        <v>0</v>
      </c>
      <c r="E19" s="891">
        <v>0</v>
      </c>
      <c r="F19" s="866">
        <v>0</v>
      </c>
      <c r="G19" s="891">
        <v>0</v>
      </c>
      <c r="H19" s="891">
        <v>0</v>
      </c>
      <c r="I19" s="828">
        <f t="shared" si="0"/>
        <v>0</v>
      </c>
      <c r="J19" s="892">
        <v>0</v>
      </c>
      <c r="K19" s="892">
        <v>0</v>
      </c>
      <c r="L19" s="894">
        <v>0</v>
      </c>
      <c r="M19" s="802">
        <v>0</v>
      </c>
      <c r="N19" s="895">
        <v>0</v>
      </c>
      <c r="O19" s="893">
        <v>0</v>
      </c>
      <c r="P19" s="892">
        <v>0</v>
      </c>
      <c r="Q19" s="892">
        <v>0</v>
      </c>
      <c r="R19" s="781">
        <v>0</v>
      </c>
      <c r="S19" s="891">
        <v>0</v>
      </c>
      <c r="T19" s="891">
        <v>0</v>
      </c>
      <c r="U19" s="893">
        <v>0</v>
      </c>
      <c r="V19" s="892">
        <v>0</v>
      </c>
      <c r="W19" s="891">
        <v>0</v>
      </c>
      <c r="X19" s="783">
        <v>0</v>
      </c>
      <c r="Y19" s="891">
        <v>0</v>
      </c>
      <c r="Z19" s="893">
        <v>0</v>
      </c>
      <c r="AA19" s="802">
        <v>0</v>
      </c>
      <c r="AB19" s="891">
        <v>0</v>
      </c>
      <c r="AC19" s="894">
        <v>0</v>
      </c>
      <c r="AD19" s="893">
        <v>0</v>
      </c>
      <c r="AE19" s="894">
        <v>0</v>
      </c>
      <c r="AF19" s="894">
        <v>0</v>
      </c>
      <c r="AG19" s="827">
        <f t="shared" si="1"/>
        <v>0</v>
      </c>
      <c r="AH19" s="827">
        <f t="shared" si="2"/>
        <v>0</v>
      </c>
      <c r="AI19" s="476">
        <f t="shared" si="3"/>
        <v>0</v>
      </c>
      <c r="AJ19" s="467" t="str">
        <f t="shared" si="4"/>
        <v xml:space="preserve"> </v>
      </c>
      <c r="AS19" s="130" t="s">
        <v>1034</v>
      </c>
      <c r="AT19" s="130" t="s">
        <v>1035</v>
      </c>
      <c r="DS19" s="680"/>
      <c r="DT19" s="680"/>
      <c r="DU19" s="676" t="s">
        <v>415</v>
      </c>
      <c r="DV19" s="676" t="s">
        <v>1188</v>
      </c>
      <c r="DW19" s="676" t="s">
        <v>1134</v>
      </c>
      <c r="DX19" s="676" t="s">
        <v>1134</v>
      </c>
      <c r="DY19" s="677" t="s">
        <v>1255</v>
      </c>
      <c r="DZ19" s="676" t="s">
        <v>1134</v>
      </c>
      <c r="EA19" s="678" t="s">
        <v>1034</v>
      </c>
      <c r="EB19" s="676" t="s">
        <v>1135</v>
      </c>
      <c r="EC19" s="676" t="s">
        <v>1134</v>
      </c>
      <c r="ED19" s="676" t="s">
        <v>1136</v>
      </c>
    </row>
    <row r="20" spans="1:134" x14ac:dyDescent="0.2">
      <c r="A20" s="430" t="s">
        <v>567</v>
      </c>
      <c r="B20" s="633">
        <v>13</v>
      </c>
      <c r="C20" s="891">
        <v>0</v>
      </c>
      <c r="D20" s="891">
        <v>0</v>
      </c>
      <c r="E20" s="891">
        <v>0</v>
      </c>
      <c r="F20" s="866">
        <v>0</v>
      </c>
      <c r="G20" s="891">
        <v>0</v>
      </c>
      <c r="H20" s="891">
        <v>0</v>
      </c>
      <c r="I20" s="828">
        <f t="shared" si="0"/>
        <v>0</v>
      </c>
      <c r="J20" s="892">
        <v>0</v>
      </c>
      <c r="K20" s="892">
        <v>0</v>
      </c>
      <c r="L20" s="894">
        <v>0</v>
      </c>
      <c r="M20" s="802">
        <v>0</v>
      </c>
      <c r="N20" s="895">
        <v>0</v>
      </c>
      <c r="O20" s="893">
        <v>0</v>
      </c>
      <c r="P20" s="892">
        <v>0</v>
      </c>
      <c r="Q20" s="892">
        <v>0</v>
      </c>
      <c r="R20" s="781">
        <v>0</v>
      </c>
      <c r="S20" s="891">
        <v>0</v>
      </c>
      <c r="T20" s="891">
        <v>0</v>
      </c>
      <c r="U20" s="893">
        <v>0</v>
      </c>
      <c r="V20" s="892">
        <v>0</v>
      </c>
      <c r="W20" s="891">
        <v>0</v>
      </c>
      <c r="X20" s="783">
        <v>0</v>
      </c>
      <c r="Y20" s="891">
        <v>0</v>
      </c>
      <c r="Z20" s="893">
        <v>0</v>
      </c>
      <c r="AA20" s="802">
        <v>0</v>
      </c>
      <c r="AB20" s="891">
        <v>0</v>
      </c>
      <c r="AC20" s="894">
        <v>0</v>
      </c>
      <c r="AD20" s="893">
        <v>0</v>
      </c>
      <c r="AE20" s="894">
        <v>0</v>
      </c>
      <c r="AF20" s="894">
        <v>0</v>
      </c>
      <c r="AG20" s="827">
        <f t="shared" si="1"/>
        <v>0</v>
      </c>
      <c r="AH20" s="827">
        <f t="shared" si="2"/>
        <v>0</v>
      </c>
      <c r="AI20" s="476">
        <f t="shared" si="3"/>
        <v>0</v>
      </c>
      <c r="AJ20" s="467" t="str">
        <f t="shared" si="4"/>
        <v xml:space="preserve"> </v>
      </c>
      <c r="AS20" s="139" t="s">
        <v>539</v>
      </c>
      <c r="AT20" s="139" t="s">
        <v>540</v>
      </c>
      <c r="DS20" s="680"/>
      <c r="DT20" s="680"/>
      <c r="DU20" s="676" t="s">
        <v>415</v>
      </c>
      <c r="DV20" s="676" t="s">
        <v>1188</v>
      </c>
      <c r="DW20" s="676" t="s">
        <v>1134</v>
      </c>
      <c r="DX20" s="676" t="s">
        <v>1134</v>
      </c>
      <c r="DY20" s="677" t="s">
        <v>1255</v>
      </c>
      <c r="DZ20" s="676" t="s">
        <v>1134</v>
      </c>
      <c r="EA20" s="678" t="s">
        <v>539</v>
      </c>
      <c r="EB20" s="676" t="s">
        <v>1135</v>
      </c>
      <c r="EC20" s="676" t="s">
        <v>1134</v>
      </c>
      <c r="ED20" s="676" t="s">
        <v>1136</v>
      </c>
    </row>
    <row r="21" spans="1:134" x14ac:dyDescent="0.2">
      <c r="A21" s="430" t="s">
        <v>150</v>
      </c>
      <c r="B21" s="633">
        <v>14</v>
      </c>
      <c r="C21" s="891">
        <v>0</v>
      </c>
      <c r="D21" s="891">
        <v>0</v>
      </c>
      <c r="E21" s="891">
        <v>0</v>
      </c>
      <c r="F21" s="866">
        <v>0</v>
      </c>
      <c r="G21" s="891">
        <v>0</v>
      </c>
      <c r="H21" s="891">
        <v>0</v>
      </c>
      <c r="I21" s="828">
        <f t="shared" si="0"/>
        <v>0</v>
      </c>
      <c r="J21" s="892">
        <v>0</v>
      </c>
      <c r="K21" s="892">
        <v>0</v>
      </c>
      <c r="L21" s="894">
        <v>0</v>
      </c>
      <c r="M21" s="802">
        <v>0</v>
      </c>
      <c r="N21" s="895">
        <v>0</v>
      </c>
      <c r="O21" s="893">
        <v>0</v>
      </c>
      <c r="P21" s="892">
        <v>0</v>
      </c>
      <c r="Q21" s="892">
        <v>0</v>
      </c>
      <c r="R21" s="781">
        <v>0</v>
      </c>
      <c r="S21" s="891">
        <v>0</v>
      </c>
      <c r="T21" s="891">
        <v>0</v>
      </c>
      <c r="U21" s="893">
        <v>0</v>
      </c>
      <c r="V21" s="892">
        <v>0</v>
      </c>
      <c r="W21" s="891">
        <v>0</v>
      </c>
      <c r="X21" s="783">
        <v>0</v>
      </c>
      <c r="Y21" s="891">
        <v>0</v>
      </c>
      <c r="Z21" s="893">
        <v>0</v>
      </c>
      <c r="AA21" s="802">
        <v>0</v>
      </c>
      <c r="AB21" s="891">
        <v>0</v>
      </c>
      <c r="AC21" s="894">
        <v>0</v>
      </c>
      <c r="AD21" s="893">
        <v>0</v>
      </c>
      <c r="AE21" s="894">
        <v>0</v>
      </c>
      <c r="AF21" s="894">
        <v>0</v>
      </c>
      <c r="AG21" s="827">
        <f t="shared" si="1"/>
        <v>0</v>
      </c>
      <c r="AH21" s="827">
        <f t="shared" si="2"/>
        <v>0</v>
      </c>
      <c r="AI21" s="476">
        <f t="shared" si="3"/>
        <v>0</v>
      </c>
      <c r="AJ21" s="467" t="str">
        <f t="shared" si="4"/>
        <v xml:space="preserve"> </v>
      </c>
      <c r="AS21" s="139" t="s">
        <v>445</v>
      </c>
      <c r="AT21" s="139" t="s">
        <v>446</v>
      </c>
      <c r="DS21" s="680"/>
      <c r="DT21" s="680"/>
      <c r="DU21" s="676" t="s">
        <v>415</v>
      </c>
      <c r="DV21" s="676" t="s">
        <v>1188</v>
      </c>
      <c r="DW21" s="676" t="s">
        <v>1134</v>
      </c>
      <c r="DX21" s="676" t="s">
        <v>1134</v>
      </c>
      <c r="DY21" s="677" t="s">
        <v>1255</v>
      </c>
      <c r="DZ21" s="676" t="s">
        <v>1134</v>
      </c>
      <c r="EA21" s="678" t="s">
        <v>445</v>
      </c>
      <c r="EB21" s="676" t="s">
        <v>1135</v>
      </c>
      <c r="EC21" s="676" t="s">
        <v>1134</v>
      </c>
      <c r="ED21" s="676" t="s">
        <v>1136</v>
      </c>
    </row>
    <row r="22" spans="1:134" x14ac:dyDescent="0.2">
      <c r="A22" s="430" t="s">
        <v>25</v>
      </c>
      <c r="B22" s="633">
        <v>15</v>
      </c>
      <c r="C22" s="891">
        <v>0</v>
      </c>
      <c r="D22" s="891">
        <v>0</v>
      </c>
      <c r="E22" s="891">
        <v>0</v>
      </c>
      <c r="F22" s="866">
        <v>0</v>
      </c>
      <c r="G22" s="891">
        <v>0</v>
      </c>
      <c r="H22" s="891">
        <v>0</v>
      </c>
      <c r="I22" s="828">
        <f t="shared" si="0"/>
        <v>0</v>
      </c>
      <c r="J22" s="892">
        <v>0</v>
      </c>
      <c r="K22" s="892">
        <v>0</v>
      </c>
      <c r="L22" s="894">
        <v>0</v>
      </c>
      <c r="M22" s="802">
        <v>0</v>
      </c>
      <c r="N22" s="895">
        <v>0</v>
      </c>
      <c r="O22" s="893">
        <v>0</v>
      </c>
      <c r="P22" s="892">
        <v>0</v>
      </c>
      <c r="Q22" s="892">
        <v>0</v>
      </c>
      <c r="R22" s="781">
        <v>0</v>
      </c>
      <c r="S22" s="891">
        <v>0</v>
      </c>
      <c r="T22" s="891">
        <v>0</v>
      </c>
      <c r="U22" s="893">
        <v>0</v>
      </c>
      <c r="V22" s="892">
        <v>0</v>
      </c>
      <c r="W22" s="891">
        <v>0</v>
      </c>
      <c r="X22" s="783">
        <v>0</v>
      </c>
      <c r="Y22" s="891">
        <v>0</v>
      </c>
      <c r="Z22" s="893">
        <v>0</v>
      </c>
      <c r="AA22" s="802">
        <v>0</v>
      </c>
      <c r="AB22" s="891">
        <v>0</v>
      </c>
      <c r="AC22" s="894">
        <v>0</v>
      </c>
      <c r="AD22" s="893">
        <v>0</v>
      </c>
      <c r="AE22" s="894">
        <v>0</v>
      </c>
      <c r="AF22" s="894">
        <v>0</v>
      </c>
      <c r="AG22" s="827">
        <f t="shared" si="1"/>
        <v>0</v>
      </c>
      <c r="AH22" s="827">
        <f t="shared" si="2"/>
        <v>0</v>
      </c>
      <c r="AI22" s="476">
        <f t="shared" si="3"/>
        <v>0</v>
      </c>
      <c r="AJ22" s="467" t="str">
        <f t="shared" si="4"/>
        <v xml:space="preserve"> </v>
      </c>
      <c r="AS22" s="139" t="s">
        <v>240</v>
      </c>
      <c r="AT22" s="139" t="s">
        <v>239</v>
      </c>
      <c r="DS22" s="680"/>
      <c r="DT22" s="680"/>
      <c r="DU22" s="676" t="s">
        <v>415</v>
      </c>
      <c r="DV22" s="676" t="s">
        <v>1188</v>
      </c>
      <c r="DW22" s="676" t="s">
        <v>1134</v>
      </c>
      <c r="DX22" s="676" t="s">
        <v>1134</v>
      </c>
      <c r="DY22" s="677" t="s">
        <v>1255</v>
      </c>
      <c r="DZ22" s="676" t="s">
        <v>1134</v>
      </c>
      <c r="EA22" s="678" t="s">
        <v>240</v>
      </c>
      <c r="EB22" s="676" t="s">
        <v>1135</v>
      </c>
      <c r="EC22" s="676" t="s">
        <v>1134</v>
      </c>
      <c r="ED22" s="676" t="s">
        <v>1136</v>
      </c>
    </row>
    <row r="23" spans="1:134" x14ac:dyDescent="0.2">
      <c r="A23" s="430" t="s">
        <v>118</v>
      </c>
      <c r="B23" s="633">
        <v>16</v>
      </c>
      <c r="C23" s="891">
        <v>0</v>
      </c>
      <c r="D23" s="891">
        <v>0</v>
      </c>
      <c r="E23" s="891">
        <v>0</v>
      </c>
      <c r="F23" s="866">
        <v>0</v>
      </c>
      <c r="G23" s="891">
        <v>0</v>
      </c>
      <c r="H23" s="891">
        <v>0</v>
      </c>
      <c r="I23" s="828">
        <f t="shared" si="0"/>
        <v>0</v>
      </c>
      <c r="J23" s="892">
        <v>0</v>
      </c>
      <c r="K23" s="892">
        <v>0</v>
      </c>
      <c r="L23" s="894">
        <v>0</v>
      </c>
      <c r="M23" s="802">
        <v>0</v>
      </c>
      <c r="N23" s="895">
        <v>0</v>
      </c>
      <c r="O23" s="893">
        <v>0</v>
      </c>
      <c r="P23" s="892">
        <v>0</v>
      </c>
      <c r="Q23" s="892">
        <v>0</v>
      </c>
      <c r="R23" s="781">
        <v>0</v>
      </c>
      <c r="S23" s="891">
        <v>0</v>
      </c>
      <c r="T23" s="891">
        <v>0</v>
      </c>
      <c r="U23" s="893">
        <v>0</v>
      </c>
      <c r="V23" s="892">
        <v>0</v>
      </c>
      <c r="W23" s="891">
        <v>0</v>
      </c>
      <c r="X23" s="783">
        <v>0</v>
      </c>
      <c r="Y23" s="891">
        <v>0</v>
      </c>
      <c r="Z23" s="893">
        <v>0</v>
      </c>
      <c r="AA23" s="802">
        <v>0</v>
      </c>
      <c r="AB23" s="891">
        <v>0</v>
      </c>
      <c r="AC23" s="894">
        <v>0</v>
      </c>
      <c r="AD23" s="893">
        <v>0</v>
      </c>
      <c r="AE23" s="894">
        <v>0</v>
      </c>
      <c r="AF23" s="894">
        <v>0</v>
      </c>
      <c r="AG23" s="827">
        <f t="shared" si="1"/>
        <v>0</v>
      </c>
      <c r="AH23" s="827">
        <f t="shared" si="2"/>
        <v>0</v>
      </c>
      <c r="AI23" s="476">
        <f t="shared" si="3"/>
        <v>0</v>
      </c>
      <c r="AJ23" s="467" t="str">
        <f t="shared" si="4"/>
        <v xml:space="preserve"> </v>
      </c>
      <c r="AS23" s="139" t="s">
        <v>242</v>
      </c>
      <c r="AT23" s="139" t="s">
        <v>241</v>
      </c>
      <c r="DS23" s="680"/>
      <c r="DT23" s="680"/>
      <c r="DU23" s="676" t="s">
        <v>415</v>
      </c>
      <c r="DV23" s="676" t="s">
        <v>1188</v>
      </c>
      <c r="DW23" s="676" t="s">
        <v>1134</v>
      </c>
      <c r="DX23" s="676" t="s">
        <v>1134</v>
      </c>
      <c r="DY23" s="677" t="s">
        <v>1255</v>
      </c>
      <c r="DZ23" s="676" t="s">
        <v>1134</v>
      </c>
      <c r="EA23" s="678" t="s">
        <v>242</v>
      </c>
      <c r="EB23" s="676" t="s">
        <v>1135</v>
      </c>
      <c r="EC23" s="676" t="s">
        <v>1134</v>
      </c>
      <c r="ED23" s="676" t="s">
        <v>1136</v>
      </c>
    </row>
    <row r="24" spans="1:134" x14ac:dyDescent="0.2">
      <c r="A24" s="430" t="s">
        <v>557</v>
      </c>
      <c r="B24" s="633">
        <v>17</v>
      </c>
      <c r="C24" s="891">
        <v>0</v>
      </c>
      <c r="D24" s="891">
        <v>0</v>
      </c>
      <c r="E24" s="891">
        <v>0</v>
      </c>
      <c r="F24" s="866">
        <v>0</v>
      </c>
      <c r="G24" s="891">
        <v>0</v>
      </c>
      <c r="H24" s="891">
        <v>0</v>
      </c>
      <c r="I24" s="828">
        <f t="shared" si="0"/>
        <v>0</v>
      </c>
      <c r="J24" s="892">
        <v>0</v>
      </c>
      <c r="K24" s="892">
        <v>0</v>
      </c>
      <c r="L24" s="894">
        <v>0</v>
      </c>
      <c r="M24" s="802">
        <v>0</v>
      </c>
      <c r="N24" s="895">
        <v>0</v>
      </c>
      <c r="O24" s="893">
        <v>0</v>
      </c>
      <c r="P24" s="892">
        <v>0</v>
      </c>
      <c r="Q24" s="892">
        <v>0</v>
      </c>
      <c r="R24" s="781">
        <v>0</v>
      </c>
      <c r="S24" s="891">
        <v>0</v>
      </c>
      <c r="T24" s="891">
        <v>0</v>
      </c>
      <c r="U24" s="893">
        <v>0</v>
      </c>
      <c r="V24" s="892">
        <v>0</v>
      </c>
      <c r="W24" s="891">
        <v>0</v>
      </c>
      <c r="X24" s="783">
        <v>0</v>
      </c>
      <c r="Y24" s="891">
        <v>0</v>
      </c>
      <c r="Z24" s="893">
        <v>0</v>
      </c>
      <c r="AA24" s="802">
        <v>0</v>
      </c>
      <c r="AB24" s="891">
        <v>0</v>
      </c>
      <c r="AC24" s="894">
        <v>0</v>
      </c>
      <c r="AD24" s="893">
        <v>0</v>
      </c>
      <c r="AE24" s="894">
        <v>0</v>
      </c>
      <c r="AF24" s="894">
        <v>0</v>
      </c>
      <c r="AG24" s="827">
        <f t="shared" si="1"/>
        <v>0</v>
      </c>
      <c r="AH24" s="827">
        <f t="shared" si="2"/>
        <v>0</v>
      </c>
      <c r="AI24" s="476">
        <f t="shared" si="3"/>
        <v>0</v>
      </c>
      <c r="AJ24" s="467" t="str">
        <f t="shared" si="4"/>
        <v xml:space="preserve"> </v>
      </c>
      <c r="AS24" s="139" t="s">
        <v>507</v>
      </c>
      <c r="AT24" s="139" t="s">
        <v>508</v>
      </c>
      <c r="DS24" s="680"/>
      <c r="DT24" s="680"/>
      <c r="DU24" s="676" t="s">
        <v>415</v>
      </c>
      <c r="DV24" s="676" t="s">
        <v>1188</v>
      </c>
      <c r="DW24" s="676" t="s">
        <v>1134</v>
      </c>
      <c r="DX24" s="676" t="s">
        <v>1134</v>
      </c>
      <c r="DY24" s="677" t="s">
        <v>1255</v>
      </c>
      <c r="DZ24" s="676" t="s">
        <v>1134</v>
      </c>
      <c r="EA24" s="678" t="s">
        <v>507</v>
      </c>
      <c r="EB24" s="676" t="s">
        <v>1135</v>
      </c>
      <c r="EC24" s="676" t="s">
        <v>1134</v>
      </c>
      <c r="ED24" s="676" t="s">
        <v>1136</v>
      </c>
    </row>
    <row r="25" spans="1:134" x14ac:dyDescent="0.2">
      <c r="A25" s="430" t="s">
        <v>119</v>
      </c>
      <c r="B25" s="633">
        <v>18</v>
      </c>
      <c r="C25" s="891">
        <v>0</v>
      </c>
      <c r="D25" s="891">
        <v>0</v>
      </c>
      <c r="E25" s="891">
        <v>0</v>
      </c>
      <c r="F25" s="866">
        <v>0</v>
      </c>
      <c r="G25" s="891">
        <v>0</v>
      </c>
      <c r="H25" s="891">
        <v>0</v>
      </c>
      <c r="I25" s="828">
        <f t="shared" si="0"/>
        <v>0</v>
      </c>
      <c r="J25" s="892">
        <v>0</v>
      </c>
      <c r="K25" s="892">
        <v>0</v>
      </c>
      <c r="L25" s="894">
        <v>0</v>
      </c>
      <c r="M25" s="802">
        <v>0</v>
      </c>
      <c r="N25" s="895">
        <v>0</v>
      </c>
      <c r="O25" s="893">
        <v>0</v>
      </c>
      <c r="P25" s="892">
        <v>0</v>
      </c>
      <c r="Q25" s="892">
        <v>0</v>
      </c>
      <c r="R25" s="781">
        <v>0</v>
      </c>
      <c r="S25" s="891">
        <v>0</v>
      </c>
      <c r="T25" s="891">
        <v>0</v>
      </c>
      <c r="U25" s="893">
        <v>0</v>
      </c>
      <c r="V25" s="892">
        <v>0</v>
      </c>
      <c r="W25" s="891">
        <v>0</v>
      </c>
      <c r="X25" s="783">
        <v>0</v>
      </c>
      <c r="Y25" s="891">
        <v>0</v>
      </c>
      <c r="Z25" s="893">
        <v>0</v>
      </c>
      <c r="AA25" s="802">
        <v>0</v>
      </c>
      <c r="AB25" s="891">
        <v>0</v>
      </c>
      <c r="AC25" s="894">
        <v>0</v>
      </c>
      <c r="AD25" s="893">
        <v>0</v>
      </c>
      <c r="AE25" s="894">
        <v>0</v>
      </c>
      <c r="AF25" s="894">
        <v>0</v>
      </c>
      <c r="AG25" s="827">
        <f t="shared" si="1"/>
        <v>0</v>
      </c>
      <c r="AH25" s="827">
        <f t="shared" si="2"/>
        <v>0</v>
      </c>
      <c r="AI25" s="476">
        <f t="shared" si="3"/>
        <v>0</v>
      </c>
      <c r="AJ25" s="467" t="str">
        <f t="shared" si="4"/>
        <v xml:space="preserve"> </v>
      </c>
      <c r="AS25" s="139" t="s">
        <v>244</v>
      </c>
      <c r="AT25" s="139" t="s">
        <v>243</v>
      </c>
      <c r="DS25" s="680"/>
      <c r="DT25" s="680"/>
      <c r="DU25" s="676" t="s">
        <v>415</v>
      </c>
      <c r="DV25" s="676" t="s">
        <v>1188</v>
      </c>
      <c r="DW25" s="676" t="s">
        <v>1134</v>
      </c>
      <c r="DX25" s="676" t="s">
        <v>1134</v>
      </c>
      <c r="DY25" s="677" t="s">
        <v>1255</v>
      </c>
      <c r="DZ25" s="676" t="s">
        <v>1134</v>
      </c>
      <c r="EA25" s="678" t="s">
        <v>244</v>
      </c>
      <c r="EB25" s="676" t="s">
        <v>1135</v>
      </c>
      <c r="EC25" s="676" t="s">
        <v>1134</v>
      </c>
      <c r="ED25" s="676" t="s">
        <v>1136</v>
      </c>
    </row>
    <row r="26" spans="1:134" x14ac:dyDescent="0.2">
      <c r="A26" s="430" t="s">
        <v>30</v>
      </c>
      <c r="B26" s="633">
        <v>19</v>
      </c>
      <c r="C26" s="891">
        <v>0</v>
      </c>
      <c r="D26" s="891">
        <v>0</v>
      </c>
      <c r="E26" s="891">
        <v>0</v>
      </c>
      <c r="F26" s="866">
        <v>0</v>
      </c>
      <c r="G26" s="891">
        <v>0</v>
      </c>
      <c r="H26" s="891">
        <v>0</v>
      </c>
      <c r="I26" s="828">
        <f t="shared" si="0"/>
        <v>0</v>
      </c>
      <c r="J26" s="892">
        <v>0</v>
      </c>
      <c r="K26" s="892">
        <v>0</v>
      </c>
      <c r="L26" s="894">
        <v>0</v>
      </c>
      <c r="M26" s="802">
        <v>0</v>
      </c>
      <c r="N26" s="895">
        <v>0</v>
      </c>
      <c r="O26" s="893">
        <v>0</v>
      </c>
      <c r="P26" s="892">
        <v>0</v>
      </c>
      <c r="Q26" s="892">
        <v>0</v>
      </c>
      <c r="R26" s="781">
        <v>0</v>
      </c>
      <c r="S26" s="891">
        <v>0</v>
      </c>
      <c r="T26" s="891">
        <v>0</v>
      </c>
      <c r="U26" s="893">
        <v>0</v>
      </c>
      <c r="V26" s="892">
        <v>0</v>
      </c>
      <c r="W26" s="891">
        <v>0</v>
      </c>
      <c r="X26" s="783">
        <v>0</v>
      </c>
      <c r="Y26" s="891">
        <v>0</v>
      </c>
      <c r="Z26" s="893">
        <v>0</v>
      </c>
      <c r="AA26" s="802">
        <v>0</v>
      </c>
      <c r="AB26" s="891">
        <v>0</v>
      </c>
      <c r="AC26" s="894">
        <v>0</v>
      </c>
      <c r="AD26" s="893">
        <v>0</v>
      </c>
      <c r="AE26" s="894">
        <v>0</v>
      </c>
      <c r="AF26" s="894">
        <v>0</v>
      </c>
      <c r="AG26" s="827">
        <f t="shared" si="1"/>
        <v>0</v>
      </c>
      <c r="AH26" s="827">
        <f t="shared" si="2"/>
        <v>0</v>
      </c>
      <c r="AI26" s="476">
        <f t="shared" si="3"/>
        <v>0</v>
      </c>
      <c r="AJ26" s="467" t="str">
        <f t="shared" si="4"/>
        <v xml:space="preserve"> </v>
      </c>
      <c r="AS26" s="139" t="s">
        <v>246</v>
      </c>
      <c r="AT26" s="139" t="s">
        <v>245</v>
      </c>
      <c r="DS26" s="680"/>
      <c r="DT26" s="680"/>
      <c r="DU26" s="676" t="s">
        <v>415</v>
      </c>
      <c r="DV26" s="676" t="s">
        <v>1188</v>
      </c>
      <c r="DW26" s="676" t="s">
        <v>1134</v>
      </c>
      <c r="DX26" s="676" t="s">
        <v>1134</v>
      </c>
      <c r="DY26" s="677" t="s">
        <v>1255</v>
      </c>
      <c r="DZ26" s="676" t="s">
        <v>1134</v>
      </c>
      <c r="EA26" s="678" t="s">
        <v>246</v>
      </c>
      <c r="EB26" s="676" t="s">
        <v>1135</v>
      </c>
      <c r="EC26" s="676" t="s">
        <v>1134</v>
      </c>
      <c r="ED26" s="676" t="s">
        <v>1136</v>
      </c>
    </row>
    <row r="27" spans="1:134" x14ac:dyDescent="0.2">
      <c r="A27" s="430" t="s">
        <v>558</v>
      </c>
      <c r="B27" s="633">
        <v>20</v>
      </c>
      <c r="C27" s="891">
        <v>0</v>
      </c>
      <c r="D27" s="891">
        <v>0</v>
      </c>
      <c r="E27" s="891">
        <v>0</v>
      </c>
      <c r="F27" s="866">
        <v>0</v>
      </c>
      <c r="G27" s="891">
        <v>0</v>
      </c>
      <c r="H27" s="891">
        <v>0</v>
      </c>
      <c r="I27" s="828">
        <f t="shared" si="0"/>
        <v>0</v>
      </c>
      <c r="J27" s="892">
        <v>0</v>
      </c>
      <c r="K27" s="892">
        <v>0</v>
      </c>
      <c r="L27" s="891">
        <v>0</v>
      </c>
      <c r="M27" s="802">
        <v>0</v>
      </c>
      <c r="N27" s="892">
        <v>0</v>
      </c>
      <c r="O27" s="893">
        <v>0</v>
      </c>
      <c r="P27" s="892">
        <v>0</v>
      </c>
      <c r="Q27" s="892">
        <v>0</v>
      </c>
      <c r="R27" s="781">
        <v>0</v>
      </c>
      <c r="S27" s="891">
        <v>0</v>
      </c>
      <c r="T27" s="891">
        <v>0</v>
      </c>
      <c r="U27" s="893">
        <v>0</v>
      </c>
      <c r="V27" s="892">
        <v>0</v>
      </c>
      <c r="W27" s="891">
        <v>0</v>
      </c>
      <c r="X27" s="783">
        <v>0</v>
      </c>
      <c r="Y27" s="891">
        <v>0</v>
      </c>
      <c r="Z27" s="893">
        <v>0</v>
      </c>
      <c r="AA27" s="802">
        <v>0</v>
      </c>
      <c r="AB27" s="891">
        <v>0</v>
      </c>
      <c r="AC27" s="894">
        <v>0</v>
      </c>
      <c r="AD27" s="893">
        <v>0</v>
      </c>
      <c r="AE27" s="894">
        <v>0</v>
      </c>
      <c r="AF27" s="894">
        <v>0</v>
      </c>
      <c r="AG27" s="827">
        <f t="shared" si="1"/>
        <v>0</v>
      </c>
      <c r="AH27" s="827">
        <f t="shared" si="2"/>
        <v>0</v>
      </c>
      <c r="AI27" s="476">
        <f t="shared" si="3"/>
        <v>0</v>
      </c>
      <c r="AJ27" s="467" t="str">
        <f t="shared" si="4"/>
        <v xml:space="preserve"> </v>
      </c>
      <c r="AS27" s="139" t="s">
        <v>509</v>
      </c>
      <c r="AT27" s="139" t="s">
        <v>510</v>
      </c>
      <c r="DS27" s="680"/>
      <c r="DT27" s="680"/>
      <c r="DU27" s="676" t="s">
        <v>415</v>
      </c>
      <c r="DV27" s="676" t="s">
        <v>1188</v>
      </c>
      <c r="DW27" s="676" t="s">
        <v>1134</v>
      </c>
      <c r="DX27" s="676" t="s">
        <v>1134</v>
      </c>
      <c r="DY27" s="677" t="s">
        <v>1255</v>
      </c>
      <c r="DZ27" s="676" t="s">
        <v>1134</v>
      </c>
      <c r="EA27" s="678" t="s">
        <v>509</v>
      </c>
      <c r="EB27" s="676" t="s">
        <v>1135</v>
      </c>
      <c r="EC27" s="676" t="s">
        <v>1134</v>
      </c>
      <c r="ED27" s="676" t="s">
        <v>1136</v>
      </c>
    </row>
    <row r="28" spans="1:134" x14ac:dyDescent="0.2">
      <c r="A28" s="430" t="s">
        <v>120</v>
      </c>
      <c r="B28" s="633">
        <v>21</v>
      </c>
      <c r="C28" s="891">
        <v>0</v>
      </c>
      <c r="D28" s="891">
        <v>0</v>
      </c>
      <c r="E28" s="891">
        <v>0</v>
      </c>
      <c r="F28" s="866">
        <v>0</v>
      </c>
      <c r="G28" s="891">
        <v>0</v>
      </c>
      <c r="H28" s="891">
        <v>0</v>
      </c>
      <c r="I28" s="828">
        <f t="shared" si="0"/>
        <v>0</v>
      </c>
      <c r="J28" s="892">
        <v>0</v>
      </c>
      <c r="K28" s="892">
        <v>0</v>
      </c>
      <c r="L28" s="894">
        <v>0</v>
      </c>
      <c r="M28" s="802">
        <v>0</v>
      </c>
      <c r="N28" s="895">
        <v>0</v>
      </c>
      <c r="O28" s="893">
        <v>0</v>
      </c>
      <c r="P28" s="892">
        <v>0</v>
      </c>
      <c r="Q28" s="892">
        <v>0</v>
      </c>
      <c r="R28" s="781">
        <v>0</v>
      </c>
      <c r="S28" s="891">
        <v>0</v>
      </c>
      <c r="T28" s="891">
        <v>0</v>
      </c>
      <c r="U28" s="893">
        <v>0</v>
      </c>
      <c r="V28" s="892">
        <v>0</v>
      </c>
      <c r="W28" s="891">
        <v>0</v>
      </c>
      <c r="X28" s="783">
        <v>0</v>
      </c>
      <c r="Y28" s="891">
        <v>0</v>
      </c>
      <c r="Z28" s="893">
        <v>0</v>
      </c>
      <c r="AA28" s="802">
        <v>0</v>
      </c>
      <c r="AB28" s="891">
        <v>0</v>
      </c>
      <c r="AC28" s="894">
        <v>0</v>
      </c>
      <c r="AD28" s="893">
        <v>0</v>
      </c>
      <c r="AE28" s="894">
        <v>0</v>
      </c>
      <c r="AF28" s="894">
        <v>0</v>
      </c>
      <c r="AG28" s="827">
        <f t="shared" si="1"/>
        <v>0</v>
      </c>
      <c r="AH28" s="827">
        <f t="shared" si="2"/>
        <v>0</v>
      </c>
      <c r="AI28" s="476">
        <f t="shared" si="3"/>
        <v>0</v>
      </c>
      <c r="AJ28" s="467" t="str">
        <f t="shared" si="4"/>
        <v xml:space="preserve"> </v>
      </c>
      <c r="AS28" s="139" t="s">
        <v>248</v>
      </c>
      <c r="AT28" s="139" t="s">
        <v>247</v>
      </c>
      <c r="DS28" s="680"/>
      <c r="DT28" s="680"/>
      <c r="DU28" s="676" t="s">
        <v>415</v>
      </c>
      <c r="DV28" s="676" t="s">
        <v>1188</v>
      </c>
      <c r="DW28" s="676" t="s">
        <v>1134</v>
      </c>
      <c r="DX28" s="676" t="s">
        <v>1134</v>
      </c>
      <c r="DY28" s="677" t="s">
        <v>1255</v>
      </c>
      <c r="DZ28" s="676" t="s">
        <v>1134</v>
      </c>
      <c r="EA28" s="678" t="s">
        <v>248</v>
      </c>
      <c r="EB28" s="676" t="s">
        <v>1135</v>
      </c>
      <c r="EC28" s="676" t="s">
        <v>1134</v>
      </c>
      <c r="ED28" s="676" t="s">
        <v>1136</v>
      </c>
    </row>
    <row r="29" spans="1:134" x14ac:dyDescent="0.2">
      <c r="A29" s="430" t="s">
        <v>121</v>
      </c>
      <c r="B29" s="633">
        <v>22</v>
      </c>
      <c r="C29" s="891">
        <v>0</v>
      </c>
      <c r="D29" s="891">
        <v>0</v>
      </c>
      <c r="E29" s="891">
        <v>0</v>
      </c>
      <c r="F29" s="866">
        <v>0</v>
      </c>
      <c r="G29" s="891">
        <v>0</v>
      </c>
      <c r="H29" s="891">
        <v>0</v>
      </c>
      <c r="I29" s="828">
        <f t="shared" si="0"/>
        <v>0</v>
      </c>
      <c r="J29" s="892">
        <v>0</v>
      </c>
      <c r="K29" s="892">
        <v>0</v>
      </c>
      <c r="L29" s="894">
        <v>0</v>
      </c>
      <c r="M29" s="802">
        <v>0</v>
      </c>
      <c r="N29" s="895">
        <v>0</v>
      </c>
      <c r="O29" s="893">
        <v>0</v>
      </c>
      <c r="P29" s="892">
        <v>0</v>
      </c>
      <c r="Q29" s="892">
        <v>0</v>
      </c>
      <c r="R29" s="781">
        <v>0</v>
      </c>
      <c r="S29" s="891">
        <v>0</v>
      </c>
      <c r="T29" s="891">
        <v>0</v>
      </c>
      <c r="U29" s="893">
        <v>0</v>
      </c>
      <c r="V29" s="892">
        <v>0</v>
      </c>
      <c r="W29" s="891">
        <v>0</v>
      </c>
      <c r="X29" s="783">
        <v>0</v>
      </c>
      <c r="Y29" s="891">
        <v>0</v>
      </c>
      <c r="Z29" s="893">
        <v>0</v>
      </c>
      <c r="AA29" s="802">
        <v>0</v>
      </c>
      <c r="AB29" s="891">
        <v>0</v>
      </c>
      <c r="AC29" s="894">
        <v>0</v>
      </c>
      <c r="AD29" s="893">
        <v>0</v>
      </c>
      <c r="AE29" s="894">
        <v>0</v>
      </c>
      <c r="AF29" s="894">
        <v>0</v>
      </c>
      <c r="AG29" s="827">
        <f t="shared" si="1"/>
        <v>0</v>
      </c>
      <c r="AH29" s="827">
        <f t="shared" si="2"/>
        <v>0</v>
      </c>
      <c r="AI29" s="476">
        <f t="shared" si="3"/>
        <v>0</v>
      </c>
      <c r="AJ29" s="467" t="str">
        <f t="shared" si="4"/>
        <v xml:space="preserve"> </v>
      </c>
      <c r="AS29" s="139" t="s">
        <v>250</v>
      </c>
      <c r="AT29" s="139" t="s">
        <v>249</v>
      </c>
      <c r="DS29" s="680"/>
      <c r="DT29" s="680"/>
      <c r="DU29" s="676" t="s">
        <v>415</v>
      </c>
      <c r="DV29" s="676" t="s">
        <v>1188</v>
      </c>
      <c r="DW29" s="676" t="s">
        <v>1134</v>
      </c>
      <c r="DX29" s="676" t="s">
        <v>1134</v>
      </c>
      <c r="DY29" s="677" t="s">
        <v>1255</v>
      </c>
      <c r="DZ29" s="676" t="s">
        <v>1134</v>
      </c>
      <c r="EA29" s="678" t="s">
        <v>250</v>
      </c>
      <c r="EB29" s="676" t="s">
        <v>1135</v>
      </c>
      <c r="EC29" s="676" t="s">
        <v>1134</v>
      </c>
      <c r="ED29" s="676" t="s">
        <v>1136</v>
      </c>
    </row>
    <row r="30" spans="1:134" x14ac:dyDescent="0.2">
      <c r="A30" s="430" t="s">
        <v>122</v>
      </c>
      <c r="B30" s="633">
        <v>23</v>
      </c>
      <c r="C30" s="891">
        <v>0</v>
      </c>
      <c r="D30" s="891">
        <v>0</v>
      </c>
      <c r="E30" s="891">
        <v>0</v>
      </c>
      <c r="F30" s="866">
        <v>0</v>
      </c>
      <c r="G30" s="891">
        <v>0</v>
      </c>
      <c r="H30" s="891">
        <v>0</v>
      </c>
      <c r="I30" s="828">
        <f t="shared" si="0"/>
        <v>0</v>
      </c>
      <c r="J30" s="892">
        <v>0</v>
      </c>
      <c r="K30" s="892">
        <v>0</v>
      </c>
      <c r="L30" s="894">
        <v>0</v>
      </c>
      <c r="M30" s="802">
        <v>0</v>
      </c>
      <c r="N30" s="895">
        <v>0</v>
      </c>
      <c r="O30" s="893">
        <v>0</v>
      </c>
      <c r="P30" s="892">
        <v>0</v>
      </c>
      <c r="Q30" s="892">
        <v>0</v>
      </c>
      <c r="R30" s="781">
        <v>0</v>
      </c>
      <c r="S30" s="891">
        <v>0</v>
      </c>
      <c r="T30" s="891">
        <v>0</v>
      </c>
      <c r="U30" s="893">
        <v>0</v>
      </c>
      <c r="V30" s="892">
        <v>0</v>
      </c>
      <c r="W30" s="891">
        <v>0</v>
      </c>
      <c r="X30" s="783">
        <v>0</v>
      </c>
      <c r="Y30" s="891">
        <v>0</v>
      </c>
      <c r="Z30" s="893">
        <v>0</v>
      </c>
      <c r="AA30" s="802">
        <v>0</v>
      </c>
      <c r="AB30" s="891">
        <v>0</v>
      </c>
      <c r="AC30" s="894">
        <v>0</v>
      </c>
      <c r="AD30" s="893">
        <v>0</v>
      </c>
      <c r="AE30" s="894">
        <v>0</v>
      </c>
      <c r="AF30" s="894">
        <v>0</v>
      </c>
      <c r="AG30" s="827">
        <f t="shared" si="1"/>
        <v>0</v>
      </c>
      <c r="AH30" s="827">
        <f t="shared" si="2"/>
        <v>0</v>
      </c>
      <c r="AI30" s="476">
        <f t="shared" si="3"/>
        <v>0</v>
      </c>
      <c r="AJ30" s="467" t="str">
        <f t="shared" si="4"/>
        <v xml:space="preserve"> </v>
      </c>
      <c r="AS30" s="139" t="s">
        <v>252</v>
      </c>
      <c r="AT30" s="139" t="s">
        <v>251</v>
      </c>
      <c r="DS30" s="680"/>
      <c r="DT30" s="680"/>
      <c r="DU30" s="676" t="s">
        <v>415</v>
      </c>
      <c r="DV30" s="676" t="s">
        <v>1188</v>
      </c>
      <c r="DW30" s="676" t="s">
        <v>1134</v>
      </c>
      <c r="DX30" s="676" t="s">
        <v>1134</v>
      </c>
      <c r="DY30" s="677" t="s">
        <v>1255</v>
      </c>
      <c r="DZ30" s="676" t="s">
        <v>1134</v>
      </c>
      <c r="EA30" s="678" t="s">
        <v>252</v>
      </c>
      <c r="EB30" s="676" t="s">
        <v>1135</v>
      </c>
      <c r="EC30" s="676" t="s">
        <v>1134</v>
      </c>
      <c r="ED30" s="676" t="s">
        <v>1136</v>
      </c>
    </row>
    <row r="31" spans="1:134" x14ac:dyDescent="0.2">
      <c r="A31" s="430" t="s">
        <v>123</v>
      </c>
      <c r="B31" s="633">
        <v>24</v>
      </c>
      <c r="C31" s="891">
        <v>0</v>
      </c>
      <c r="D31" s="891">
        <v>0</v>
      </c>
      <c r="E31" s="891">
        <v>0</v>
      </c>
      <c r="F31" s="866">
        <v>0</v>
      </c>
      <c r="G31" s="891">
        <v>0</v>
      </c>
      <c r="H31" s="891">
        <v>0</v>
      </c>
      <c r="I31" s="828">
        <f t="shared" si="0"/>
        <v>0</v>
      </c>
      <c r="J31" s="892">
        <v>0</v>
      </c>
      <c r="K31" s="892">
        <v>0</v>
      </c>
      <c r="L31" s="894">
        <v>0</v>
      </c>
      <c r="M31" s="802">
        <v>0</v>
      </c>
      <c r="N31" s="895">
        <v>0</v>
      </c>
      <c r="O31" s="893">
        <v>0</v>
      </c>
      <c r="P31" s="892">
        <v>0</v>
      </c>
      <c r="Q31" s="892">
        <v>0</v>
      </c>
      <c r="R31" s="781">
        <v>0</v>
      </c>
      <c r="S31" s="891">
        <v>0</v>
      </c>
      <c r="T31" s="891">
        <v>0</v>
      </c>
      <c r="U31" s="893">
        <v>0</v>
      </c>
      <c r="V31" s="892">
        <v>0</v>
      </c>
      <c r="W31" s="891">
        <v>0</v>
      </c>
      <c r="X31" s="783">
        <v>0</v>
      </c>
      <c r="Y31" s="891">
        <v>0</v>
      </c>
      <c r="Z31" s="893">
        <v>0</v>
      </c>
      <c r="AA31" s="802">
        <v>0</v>
      </c>
      <c r="AB31" s="891">
        <v>0</v>
      </c>
      <c r="AC31" s="894">
        <v>0</v>
      </c>
      <c r="AD31" s="893">
        <v>0</v>
      </c>
      <c r="AE31" s="894">
        <v>0</v>
      </c>
      <c r="AF31" s="894">
        <v>0</v>
      </c>
      <c r="AG31" s="827">
        <f t="shared" si="1"/>
        <v>0</v>
      </c>
      <c r="AH31" s="827">
        <f t="shared" si="2"/>
        <v>0</v>
      </c>
      <c r="AI31" s="476">
        <f t="shared" si="3"/>
        <v>0</v>
      </c>
      <c r="AJ31" s="467" t="str">
        <f t="shared" si="4"/>
        <v xml:space="preserve"> </v>
      </c>
      <c r="AS31" s="139" t="s">
        <v>254</v>
      </c>
      <c r="AT31" s="139" t="s">
        <v>253</v>
      </c>
      <c r="DS31" s="680"/>
      <c r="DT31" s="680"/>
      <c r="DU31" s="676" t="s">
        <v>415</v>
      </c>
      <c r="DV31" s="676" t="s">
        <v>1188</v>
      </c>
      <c r="DW31" s="676" t="s">
        <v>1134</v>
      </c>
      <c r="DX31" s="676" t="s">
        <v>1134</v>
      </c>
      <c r="DY31" s="677" t="s">
        <v>1255</v>
      </c>
      <c r="DZ31" s="676" t="s">
        <v>1134</v>
      </c>
      <c r="EA31" s="678" t="s">
        <v>254</v>
      </c>
      <c r="EB31" s="676" t="s">
        <v>1135</v>
      </c>
      <c r="EC31" s="676" t="s">
        <v>1134</v>
      </c>
      <c r="ED31" s="676" t="s">
        <v>1136</v>
      </c>
    </row>
    <row r="32" spans="1:134" x14ac:dyDescent="0.2">
      <c r="A32" s="430" t="s">
        <v>124</v>
      </c>
      <c r="B32" s="633">
        <v>25</v>
      </c>
      <c r="C32" s="891">
        <v>0</v>
      </c>
      <c r="D32" s="891">
        <v>0</v>
      </c>
      <c r="E32" s="891">
        <v>0</v>
      </c>
      <c r="F32" s="866">
        <v>0</v>
      </c>
      <c r="G32" s="891">
        <v>0</v>
      </c>
      <c r="H32" s="891">
        <v>0</v>
      </c>
      <c r="I32" s="828">
        <f t="shared" si="0"/>
        <v>0</v>
      </c>
      <c r="J32" s="892">
        <v>0</v>
      </c>
      <c r="K32" s="892">
        <v>0</v>
      </c>
      <c r="L32" s="894">
        <v>0</v>
      </c>
      <c r="M32" s="802">
        <v>0</v>
      </c>
      <c r="N32" s="895">
        <v>0</v>
      </c>
      <c r="O32" s="893">
        <v>0</v>
      </c>
      <c r="P32" s="892">
        <v>0</v>
      </c>
      <c r="Q32" s="892">
        <v>0</v>
      </c>
      <c r="R32" s="781">
        <v>0</v>
      </c>
      <c r="S32" s="891">
        <v>0</v>
      </c>
      <c r="T32" s="891">
        <v>0</v>
      </c>
      <c r="U32" s="893">
        <v>0</v>
      </c>
      <c r="V32" s="892">
        <v>0</v>
      </c>
      <c r="W32" s="891">
        <v>0</v>
      </c>
      <c r="X32" s="783">
        <v>0</v>
      </c>
      <c r="Y32" s="891">
        <v>0</v>
      </c>
      <c r="Z32" s="893">
        <v>0</v>
      </c>
      <c r="AA32" s="802">
        <v>0</v>
      </c>
      <c r="AB32" s="891">
        <v>0</v>
      </c>
      <c r="AC32" s="894">
        <v>0</v>
      </c>
      <c r="AD32" s="893">
        <v>0</v>
      </c>
      <c r="AE32" s="894">
        <v>0</v>
      </c>
      <c r="AF32" s="894">
        <v>0</v>
      </c>
      <c r="AG32" s="827">
        <f t="shared" si="1"/>
        <v>0</v>
      </c>
      <c r="AH32" s="827">
        <f t="shared" si="2"/>
        <v>0</v>
      </c>
      <c r="AI32" s="476">
        <f t="shared" si="3"/>
        <v>0</v>
      </c>
      <c r="AJ32" s="467" t="str">
        <f t="shared" si="4"/>
        <v xml:space="preserve"> </v>
      </c>
      <c r="AS32" s="139" t="s">
        <v>256</v>
      </c>
      <c r="AT32" s="139" t="s">
        <v>255</v>
      </c>
      <c r="DS32" s="680"/>
      <c r="DT32" s="680"/>
      <c r="DU32" s="676" t="s">
        <v>415</v>
      </c>
      <c r="DV32" s="676" t="s">
        <v>1188</v>
      </c>
      <c r="DW32" s="676" t="s">
        <v>1134</v>
      </c>
      <c r="DX32" s="676" t="s">
        <v>1134</v>
      </c>
      <c r="DY32" s="677" t="s">
        <v>1255</v>
      </c>
      <c r="DZ32" s="676" t="s">
        <v>1134</v>
      </c>
      <c r="EA32" s="678" t="s">
        <v>256</v>
      </c>
      <c r="EB32" s="676" t="s">
        <v>1135</v>
      </c>
      <c r="EC32" s="676" t="s">
        <v>1134</v>
      </c>
      <c r="ED32" s="676" t="s">
        <v>1136</v>
      </c>
    </row>
    <row r="33" spans="1:134" x14ac:dyDescent="0.2">
      <c r="A33" s="430" t="s">
        <v>97</v>
      </c>
      <c r="B33" s="633">
        <v>26</v>
      </c>
      <c r="C33" s="891">
        <v>0</v>
      </c>
      <c r="D33" s="891">
        <v>0</v>
      </c>
      <c r="E33" s="891">
        <v>0</v>
      </c>
      <c r="F33" s="866">
        <v>0</v>
      </c>
      <c r="G33" s="891">
        <v>0</v>
      </c>
      <c r="H33" s="891">
        <v>0</v>
      </c>
      <c r="I33" s="828">
        <f t="shared" si="0"/>
        <v>0</v>
      </c>
      <c r="J33" s="892">
        <v>0</v>
      </c>
      <c r="K33" s="892">
        <v>0</v>
      </c>
      <c r="L33" s="894">
        <v>0</v>
      </c>
      <c r="M33" s="802">
        <v>0</v>
      </c>
      <c r="N33" s="895">
        <v>0</v>
      </c>
      <c r="O33" s="893">
        <v>0</v>
      </c>
      <c r="P33" s="892">
        <v>0</v>
      </c>
      <c r="Q33" s="892">
        <v>0</v>
      </c>
      <c r="R33" s="781">
        <v>0</v>
      </c>
      <c r="S33" s="891">
        <v>0</v>
      </c>
      <c r="T33" s="891">
        <v>0</v>
      </c>
      <c r="U33" s="893">
        <v>0</v>
      </c>
      <c r="V33" s="892">
        <v>0</v>
      </c>
      <c r="W33" s="891">
        <v>0</v>
      </c>
      <c r="X33" s="783">
        <v>0</v>
      </c>
      <c r="Y33" s="891">
        <v>0</v>
      </c>
      <c r="Z33" s="893">
        <v>0</v>
      </c>
      <c r="AA33" s="802">
        <v>0</v>
      </c>
      <c r="AB33" s="891">
        <v>0</v>
      </c>
      <c r="AC33" s="894">
        <v>0</v>
      </c>
      <c r="AD33" s="893">
        <v>0</v>
      </c>
      <c r="AE33" s="894">
        <v>0</v>
      </c>
      <c r="AF33" s="894">
        <v>0</v>
      </c>
      <c r="AG33" s="827">
        <f t="shared" si="1"/>
        <v>0</v>
      </c>
      <c r="AH33" s="827">
        <f t="shared" si="2"/>
        <v>0</v>
      </c>
      <c r="AI33" s="476">
        <f t="shared" si="3"/>
        <v>0</v>
      </c>
      <c r="AJ33" s="467" t="str">
        <f t="shared" si="4"/>
        <v xml:space="preserve"> </v>
      </c>
      <c r="AS33" s="139" t="s">
        <v>572</v>
      </c>
      <c r="AT33" s="139" t="s">
        <v>573</v>
      </c>
      <c r="DS33" s="680"/>
      <c r="DT33" s="680"/>
      <c r="DU33" s="676" t="s">
        <v>415</v>
      </c>
      <c r="DV33" s="676" t="s">
        <v>1188</v>
      </c>
      <c r="DW33" s="676" t="s">
        <v>1134</v>
      </c>
      <c r="DX33" s="676" t="s">
        <v>1134</v>
      </c>
      <c r="DY33" s="677" t="s">
        <v>1255</v>
      </c>
      <c r="DZ33" s="676" t="s">
        <v>1134</v>
      </c>
      <c r="EA33" s="678" t="s">
        <v>572</v>
      </c>
      <c r="EB33" s="676" t="s">
        <v>1135</v>
      </c>
      <c r="EC33" s="676" t="s">
        <v>1134</v>
      </c>
      <c r="ED33" s="676" t="s">
        <v>1136</v>
      </c>
    </row>
    <row r="34" spans="1:134" x14ac:dyDescent="0.2">
      <c r="A34" s="430" t="s">
        <v>125</v>
      </c>
      <c r="B34" s="633">
        <v>27</v>
      </c>
      <c r="C34" s="891">
        <v>0</v>
      </c>
      <c r="D34" s="891">
        <v>0</v>
      </c>
      <c r="E34" s="891">
        <v>0</v>
      </c>
      <c r="F34" s="866">
        <v>0</v>
      </c>
      <c r="G34" s="891">
        <v>0</v>
      </c>
      <c r="H34" s="891">
        <v>0</v>
      </c>
      <c r="I34" s="828">
        <f t="shared" si="0"/>
        <v>0</v>
      </c>
      <c r="J34" s="892">
        <v>0</v>
      </c>
      <c r="K34" s="892">
        <v>0</v>
      </c>
      <c r="L34" s="894">
        <v>0</v>
      </c>
      <c r="M34" s="802">
        <v>0</v>
      </c>
      <c r="N34" s="895">
        <v>0</v>
      </c>
      <c r="O34" s="893">
        <v>0</v>
      </c>
      <c r="P34" s="892">
        <v>0</v>
      </c>
      <c r="Q34" s="892">
        <v>0</v>
      </c>
      <c r="R34" s="781">
        <v>0</v>
      </c>
      <c r="S34" s="891">
        <v>0</v>
      </c>
      <c r="T34" s="891">
        <v>0</v>
      </c>
      <c r="U34" s="893">
        <v>0</v>
      </c>
      <c r="V34" s="892">
        <v>0</v>
      </c>
      <c r="W34" s="891">
        <v>0</v>
      </c>
      <c r="X34" s="783">
        <v>0</v>
      </c>
      <c r="Y34" s="891">
        <v>0</v>
      </c>
      <c r="Z34" s="893">
        <v>0</v>
      </c>
      <c r="AA34" s="802">
        <v>0</v>
      </c>
      <c r="AB34" s="891">
        <v>0</v>
      </c>
      <c r="AC34" s="894">
        <v>0</v>
      </c>
      <c r="AD34" s="893">
        <v>0</v>
      </c>
      <c r="AE34" s="894">
        <v>0</v>
      </c>
      <c r="AF34" s="894">
        <v>0</v>
      </c>
      <c r="AG34" s="827">
        <f t="shared" si="1"/>
        <v>0</v>
      </c>
      <c r="AH34" s="827">
        <f t="shared" si="2"/>
        <v>0</v>
      </c>
      <c r="AI34" s="476">
        <f t="shared" si="3"/>
        <v>0</v>
      </c>
      <c r="AJ34" s="467" t="str">
        <f t="shared" si="4"/>
        <v xml:space="preserve"> </v>
      </c>
      <c r="AS34" s="139" t="s">
        <v>258</v>
      </c>
      <c r="AT34" s="139" t="s">
        <v>257</v>
      </c>
      <c r="DS34" s="680"/>
      <c r="DT34" s="680"/>
      <c r="DU34" s="676" t="s">
        <v>415</v>
      </c>
      <c r="DV34" s="676" t="s">
        <v>1188</v>
      </c>
      <c r="DW34" s="676" t="s">
        <v>1134</v>
      </c>
      <c r="DX34" s="676" t="s">
        <v>1134</v>
      </c>
      <c r="DY34" s="677" t="s">
        <v>1255</v>
      </c>
      <c r="DZ34" s="676" t="s">
        <v>1134</v>
      </c>
      <c r="EA34" s="678" t="s">
        <v>258</v>
      </c>
      <c r="EB34" s="676" t="s">
        <v>1135</v>
      </c>
      <c r="EC34" s="676" t="s">
        <v>1134</v>
      </c>
      <c r="ED34" s="676" t="s">
        <v>1136</v>
      </c>
    </row>
    <row r="35" spans="1:134" x14ac:dyDescent="0.2">
      <c r="A35" s="430" t="s">
        <v>126</v>
      </c>
      <c r="B35" s="633">
        <v>28</v>
      </c>
      <c r="C35" s="891">
        <v>0</v>
      </c>
      <c r="D35" s="891">
        <v>0</v>
      </c>
      <c r="E35" s="891">
        <v>0</v>
      </c>
      <c r="F35" s="866">
        <v>0</v>
      </c>
      <c r="G35" s="891">
        <v>0</v>
      </c>
      <c r="H35" s="891">
        <v>0</v>
      </c>
      <c r="I35" s="828">
        <f t="shared" si="0"/>
        <v>0</v>
      </c>
      <c r="J35" s="892">
        <v>0</v>
      </c>
      <c r="K35" s="892">
        <v>0</v>
      </c>
      <c r="L35" s="894">
        <v>0</v>
      </c>
      <c r="M35" s="802">
        <v>0</v>
      </c>
      <c r="N35" s="895">
        <v>0</v>
      </c>
      <c r="O35" s="893">
        <v>0</v>
      </c>
      <c r="P35" s="892">
        <v>0</v>
      </c>
      <c r="Q35" s="892">
        <v>0</v>
      </c>
      <c r="R35" s="781">
        <v>0</v>
      </c>
      <c r="S35" s="891">
        <v>0</v>
      </c>
      <c r="T35" s="891">
        <v>0</v>
      </c>
      <c r="U35" s="893">
        <v>0</v>
      </c>
      <c r="V35" s="892">
        <v>0</v>
      </c>
      <c r="W35" s="891">
        <v>0</v>
      </c>
      <c r="X35" s="783">
        <v>0</v>
      </c>
      <c r="Y35" s="891">
        <v>0</v>
      </c>
      <c r="Z35" s="893">
        <v>0</v>
      </c>
      <c r="AA35" s="802">
        <v>0</v>
      </c>
      <c r="AB35" s="891">
        <v>0</v>
      </c>
      <c r="AC35" s="894">
        <v>0</v>
      </c>
      <c r="AD35" s="893">
        <v>0</v>
      </c>
      <c r="AE35" s="894">
        <v>0</v>
      </c>
      <c r="AF35" s="894">
        <v>0</v>
      </c>
      <c r="AG35" s="827">
        <f t="shared" si="1"/>
        <v>0</v>
      </c>
      <c r="AH35" s="827">
        <f t="shared" si="2"/>
        <v>0</v>
      </c>
      <c r="AI35" s="476">
        <f t="shared" si="3"/>
        <v>0</v>
      </c>
      <c r="AJ35" s="467" t="str">
        <f t="shared" si="4"/>
        <v xml:space="preserve"> </v>
      </c>
      <c r="AS35" s="139" t="s">
        <v>260</v>
      </c>
      <c r="AT35" s="139" t="s">
        <v>259</v>
      </c>
      <c r="DS35" s="680"/>
      <c r="DT35" s="680"/>
      <c r="DU35" s="676" t="s">
        <v>415</v>
      </c>
      <c r="DV35" s="676" t="s">
        <v>1188</v>
      </c>
      <c r="DW35" s="676" t="s">
        <v>1134</v>
      </c>
      <c r="DX35" s="676" t="s">
        <v>1134</v>
      </c>
      <c r="DY35" s="677" t="s">
        <v>1255</v>
      </c>
      <c r="DZ35" s="676" t="s">
        <v>1134</v>
      </c>
      <c r="EA35" s="678" t="s">
        <v>260</v>
      </c>
      <c r="EB35" s="676" t="s">
        <v>1135</v>
      </c>
      <c r="EC35" s="676" t="s">
        <v>1134</v>
      </c>
      <c r="ED35" s="676" t="s">
        <v>1136</v>
      </c>
    </row>
    <row r="36" spans="1:134" x14ac:dyDescent="0.2">
      <c r="A36" s="430" t="s">
        <v>127</v>
      </c>
      <c r="B36" s="633">
        <v>29</v>
      </c>
      <c r="C36" s="891">
        <v>0</v>
      </c>
      <c r="D36" s="891">
        <v>0</v>
      </c>
      <c r="E36" s="891">
        <v>0</v>
      </c>
      <c r="F36" s="866">
        <v>0</v>
      </c>
      <c r="G36" s="891">
        <v>0</v>
      </c>
      <c r="H36" s="891">
        <v>0</v>
      </c>
      <c r="I36" s="828">
        <f t="shared" si="0"/>
        <v>0</v>
      </c>
      <c r="J36" s="892">
        <v>0</v>
      </c>
      <c r="K36" s="892">
        <v>0</v>
      </c>
      <c r="L36" s="894">
        <v>0</v>
      </c>
      <c r="M36" s="802">
        <v>0</v>
      </c>
      <c r="N36" s="895">
        <v>0</v>
      </c>
      <c r="O36" s="893">
        <v>0</v>
      </c>
      <c r="P36" s="892">
        <v>0</v>
      </c>
      <c r="Q36" s="892">
        <v>0</v>
      </c>
      <c r="R36" s="781">
        <v>0</v>
      </c>
      <c r="S36" s="891">
        <v>0</v>
      </c>
      <c r="T36" s="891">
        <v>0</v>
      </c>
      <c r="U36" s="893">
        <v>0</v>
      </c>
      <c r="V36" s="892">
        <v>0</v>
      </c>
      <c r="W36" s="891">
        <v>0</v>
      </c>
      <c r="X36" s="783">
        <v>0</v>
      </c>
      <c r="Y36" s="891">
        <v>0</v>
      </c>
      <c r="Z36" s="893">
        <v>0</v>
      </c>
      <c r="AA36" s="802">
        <v>0</v>
      </c>
      <c r="AB36" s="891">
        <v>0</v>
      </c>
      <c r="AC36" s="894">
        <v>0</v>
      </c>
      <c r="AD36" s="893">
        <v>0</v>
      </c>
      <c r="AE36" s="894">
        <v>0</v>
      </c>
      <c r="AF36" s="894">
        <v>0</v>
      </c>
      <c r="AG36" s="827">
        <f t="shared" si="1"/>
        <v>0</v>
      </c>
      <c r="AH36" s="827">
        <f t="shared" si="2"/>
        <v>0</v>
      </c>
      <c r="AI36" s="476">
        <f t="shared" si="3"/>
        <v>0</v>
      </c>
      <c r="AJ36" s="467" t="str">
        <f t="shared" si="4"/>
        <v xml:space="preserve"> </v>
      </c>
      <c r="AS36" s="139" t="s">
        <v>262</v>
      </c>
      <c r="AT36" s="139" t="s">
        <v>261</v>
      </c>
      <c r="DS36" s="680"/>
      <c r="DT36" s="680"/>
      <c r="DU36" s="676" t="s">
        <v>415</v>
      </c>
      <c r="DV36" s="676" t="s">
        <v>1188</v>
      </c>
      <c r="DW36" s="676" t="s">
        <v>1134</v>
      </c>
      <c r="DX36" s="676" t="s">
        <v>1134</v>
      </c>
      <c r="DY36" s="677" t="s">
        <v>1255</v>
      </c>
      <c r="DZ36" s="676" t="s">
        <v>1134</v>
      </c>
      <c r="EA36" s="678" t="s">
        <v>262</v>
      </c>
      <c r="EB36" s="676" t="s">
        <v>1135</v>
      </c>
      <c r="EC36" s="676" t="s">
        <v>1134</v>
      </c>
      <c r="ED36" s="676" t="s">
        <v>1136</v>
      </c>
    </row>
    <row r="37" spans="1:134" x14ac:dyDescent="0.2">
      <c r="A37" s="430" t="s">
        <v>983</v>
      </c>
      <c r="B37" s="633">
        <v>30</v>
      </c>
      <c r="C37" s="891">
        <v>0</v>
      </c>
      <c r="D37" s="891">
        <v>0</v>
      </c>
      <c r="E37" s="891">
        <v>0</v>
      </c>
      <c r="F37" s="866">
        <v>0</v>
      </c>
      <c r="G37" s="891">
        <v>0</v>
      </c>
      <c r="H37" s="891">
        <v>0</v>
      </c>
      <c r="I37" s="828">
        <f t="shared" si="0"/>
        <v>0</v>
      </c>
      <c r="J37" s="892">
        <v>0</v>
      </c>
      <c r="K37" s="892">
        <v>0</v>
      </c>
      <c r="L37" s="891">
        <v>0</v>
      </c>
      <c r="M37" s="802">
        <v>0</v>
      </c>
      <c r="N37" s="892">
        <v>0</v>
      </c>
      <c r="O37" s="893">
        <v>0</v>
      </c>
      <c r="P37" s="892">
        <v>0</v>
      </c>
      <c r="Q37" s="892">
        <v>0</v>
      </c>
      <c r="R37" s="781">
        <v>0</v>
      </c>
      <c r="S37" s="891">
        <v>0</v>
      </c>
      <c r="T37" s="891">
        <v>0</v>
      </c>
      <c r="U37" s="893">
        <v>0</v>
      </c>
      <c r="V37" s="892">
        <v>0</v>
      </c>
      <c r="W37" s="891">
        <v>0</v>
      </c>
      <c r="X37" s="783">
        <v>0</v>
      </c>
      <c r="Y37" s="891">
        <v>0</v>
      </c>
      <c r="Z37" s="893">
        <v>0</v>
      </c>
      <c r="AA37" s="802">
        <v>0</v>
      </c>
      <c r="AB37" s="891">
        <v>0</v>
      </c>
      <c r="AC37" s="894">
        <v>0</v>
      </c>
      <c r="AD37" s="893">
        <v>0</v>
      </c>
      <c r="AE37" s="894">
        <v>0</v>
      </c>
      <c r="AF37" s="894">
        <v>0</v>
      </c>
      <c r="AG37" s="827">
        <f t="shared" si="1"/>
        <v>0</v>
      </c>
      <c r="AH37" s="827">
        <f t="shared" si="2"/>
        <v>0</v>
      </c>
      <c r="AI37" s="476">
        <f t="shared" si="3"/>
        <v>0</v>
      </c>
      <c r="AJ37" s="467" t="str">
        <f t="shared" si="4"/>
        <v xml:space="preserve"> </v>
      </c>
      <c r="AS37" s="139" t="s">
        <v>929</v>
      </c>
      <c r="AT37" s="139" t="s">
        <v>928</v>
      </c>
      <c r="DS37" s="680"/>
      <c r="DT37" s="680"/>
      <c r="DU37" s="676" t="s">
        <v>415</v>
      </c>
      <c r="DV37" s="676" t="s">
        <v>1188</v>
      </c>
      <c r="DW37" s="676" t="s">
        <v>1134</v>
      </c>
      <c r="DX37" s="676" t="s">
        <v>1134</v>
      </c>
      <c r="DY37" s="677" t="s">
        <v>1255</v>
      </c>
      <c r="DZ37" s="676" t="s">
        <v>1134</v>
      </c>
      <c r="EA37" s="678" t="s">
        <v>929</v>
      </c>
      <c r="EB37" s="676" t="s">
        <v>1135</v>
      </c>
      <c r="EC37" s="676" t="s">
        <v>1134</v>
      </c>
      <c r="ED37" s="676" t="s">
        <v>1136</v>
      </c>
    </row>
    <row r="38" spans="1:134" x14ac:dyDescent="0.2">
      <c r="A38" s="430" t="s">
        <v>561</v>
      </c>
      <c r="B38" s="633">
        <v>31</v>
      </c>
      <c r="C38" s="891">
        <v>0</v>
      </c>
      <c r="D38" s="891">
        <v>0</v>
      </c>
      <c r="E38" s="891">
        <v>0</v>
      </c>
      <c r="F38" s="866">
        <v>0</v>
      </c>
      <c r="G38" s="891">
        <v>0</v>
      </c>
      <c r="H38" s="891">
        <v>0</v>
      </c>
      <c r="I38" s="828">
        <f t="shared" si="0"/>
        <v>0</v>
      </c>
      <c r="J38" s="892">
        <v>0</v>
      </c>
      <c r="K38" s="892">
        <v>0</v>
      </c>
      <c r="L38" s="891">
        <v>0</v>
      </c>
      <c r="M38" s="802">
        <v>0</v>
      </c>
      <c r="N38" s="892">
        <v>0</v>
      </c>
      <c r="O38" s="893">
        <v>0</v>
      </c>
      <c r="P38" s="892">
        <v>0</v>
      </c>
      <c r="Q38" s="892">
        <v>0</v>
      </c>
      <c r="R38" s="781">
        <v>0</v>
      </c>
      <c r="S38" s="891">
        <v>0</v>
      </c>
      <c r="T38" s="891">
        <v>0</v>
      </c>
      <c r="U38" s="893">
        <v>0</v>
      </c>
      <c r="V38" s="892">
        <v>0</v>
      </c>
      <c r="W38" s="891">
        <v>0</v>
      </c>
      <c r="X38" s="783">
        <v>0</v>
      </c>
      <c r="Y38" s="891">
        <v>0</v>
      </c>
      <c r="Z38" s="893">
        <v>0</v>
      </c>
      <c r="AA38" s="802">
        <v>0</v>
      </c>
      <c r="AB38" s="891">
        <v>0</v>
      </c>
      <c r="AC38" s="894">
        <v>0</v>
      </c>
      <c r="AD38" s="893">
        <v>0</v>
      </c>
      <c r="AE38" s="894">
        <v>0</v>
      </c>
      <c r="AF38" s="894">
        <v>0</v>
      </c>
      <c r="AG38" s="827">
        <f t="shared" si="1"/>
        <v>0</v>
      </c>
      <c r="AH38" s="827">
        <f t="shared" si="2"/>
        <v>0</v>
      </c>
      <c r="AI38" s="476">
        <f t="shared" si="3"/>
        <v>0</v>
      </c>
      <c r="AJ38" s="467" t="str">
        <f t="shared" si="4"/>
        <v xml:space="preserve"> </v>
      </c>
      <c r="AS38" s="139" t="s">
        <v>515</v>
      </c>
      <c r="AT38" s="139" t="s">
        <v>516</v>
      </c>
      <c r="DS38" s="680"/>
      <c r="DT38" s="680"/>
      <c r="DU38" s="676" t="s">
        <v>415</v>
      </c>
      <c r="DV38" s="676" t="s">
        <v>1188</v>
      </c>
      <c r="DW38" s="676" t="s">
        <v>1134</v>
      </c>
      <c r="DX38" s="676" t="s">
        <v>1134</v>
      </c>
      <c r="DY38" s="677" t="s">
        <v>1255</v>
      </c>
      <c r="DZ38" s="676" t="s">
        <v>1134</v>
      </c>
      <c r="EA38" s="678" t="s">
        <v>515</v>
      </c>
      <c r="EB38" s="676" t="s">
        <v>1135</v>
      </c>
      <c r="EC38" s="676" t="s">
        <v>1134</v>
      </c>
      <c r="ED38" s="676" t="s">
        <v>1136</v>
      </c>
    </row>
    <row r="39" spans="1:134" x14ac:dyDescent="0.2">
      <c r="A39" s="430" t="s">
        <v>562</v>
      </c>
      <c r="B39" s="633">
        <v>32</v>
      </c>
      <c r="C39" s="891">
        <v>0</v>
      </c>
      <c r="D39" s="891">
        <v>0</v>
      </c>
      <c r="E39" s="891">
        <v>0</v>
      </c>
      <c r="F39" s="866">
        <v>0</v>
      </c>
      <c r="G39" s="891">
        <v>0</v>
      </c>
      <c r="H39" s="891">
        <v>0</v>
      </c>
      <c r="I39" s="828">
        <f t="shared" si="0"/>
        <v>0</v>
      </c>
      <c r="J39" s="892">
        <v>0</v>
      </c>
      <c r="K39" s="892">
        <v>0</v>
      </c>
      <c r="L39" s="891">
        <v>0</v>
      </c>
      <c r="M39" s="802">
        <v>0</v>
      </c>
      <c r="N39" s="892">
        <v>0</v>
      </c>
      <c r="O39" s="893">
        <v>0</v>
      </c>
      <c r="P39" s="892">
        <v>0</v>
      </c>
      <c r="Q39" s="892">
        <v>0</v>
      </c>
      <c r="R39" s="781">
        <v>0</v>
      </c>
      <c r="S39" s="891">
        <v>0</v>
      </c>
      <c r="T39" s="891">
        <v>0</v>
      </c>
      <c r="U39" s="893">
        <v>0</v>
      </c>
      <c r="V39" s="892">
        <v>0</v>
      </c>
      <c r="W39" s="891">
        <v>0</v>
      </c>
      <c r="X39" s="783">
        <v>0</v>
      </c>
      <c r="Y39" s="891">
        <v>0</v>
      </c>
      <c r="Z39" s="893">
        <v>0</v>
      </c>
      <c r="AA39" s="802">
        <v>0</v>
      </c>
      <c r="AB39" s="891">
        <v>0</v>
      </c>
      <c r="AC39" s="894">
        <v>0</v>
      </c>
      <c r="AD39" s="893">
        <v>0</v>
      </c>
      <c r="AE39" s="894">
        <v>0</v>
      </c>
      <c r="AF39" s="894">
        <v>0</v>
      </c>
      <c r="AG39" s="827">
        <f t="shared" si="1"/>
        <v>0</v>
      </c>
      <c r="AH39" s="827">
        <f t="shared" si="2"/>
        <v>0</v>
      </c>
      <c r="AI39" s="476">
        <f t="shared" si="3"/>
        <v>0</v>
      </c>
      <c r="AJ39" s="467" t="str">
        <f t="shared" si="4"/>
        <v xml:space="preserve"> </v>
      </c>
      <c r="AS39" s="139" t="s">
        <v>517</v>
      </c>
      <c r="AT39" s="139" t="s">
        <v>518</v>
      </c>
      <c r="DS39" s="680"/>
      <c r="DT39" s="680"/>
      <c r="DU39" s="676" t="s">
        <v>415</v>
      </c>
      <c r="DV39" s="676" t="s">
        <v>1188</v>
      </c>
      <c r="DW39" s="676" t="s">
        <v>1134</v>
      </c>
      <c r="DX39" s="676" t="s">
        <v>1134</v>
      </c>
      <c r="DY39" s="677" t="s">
        <v>1255</v>
      </c>
      <c r="DZ39" s="676" t="s">
        <v>1134</v>
      </c>
      <c r="EA39" s="678" t="s">
        <v>517</v>
      </c>
      <c r="EB39" s="676" t="s">
        <v>1135</v>
      </c>
      <c r="EC39" s="676" t="s">
        <v>1134</v>
      </c>
      <c r="ED39" s="676" t="s">
        <v>1136</v>
      </c>
    </row>
    <row r="40" spans="1:134" x14ac:dyDescent="0.2">
      <c r="A40" s="430" t="s">
        <v>128</v>
      </c>
      <c r="B40" s="633">
        <v>33</v>
      </c>
      <c r="C40" s="891">
        <v>0</v>
      </c>
      <c r="D40" s="891">
        <v>0</v>
      </c>
      <c r="E40" s="891">
        <v>0</v>
      </c>
      <c r="F40" s="866">
        <v>0</v>
      </c>
      <c r="G40" s="891">
        <v>0</v>
      </c>
      <c r="H40" s="891">
        <v>0</v>
      </c>
      <c r="I40" s="828">
        <f t="shared" si="0"/>
        <v>0</v>
      </c>
      <c r="J40" s="892">
        <v>0</v>
      </c>
      <c r="K40" s="892">
        <v>0</v>
      </c>
      <c r="L40" s="891">
        <v>0</v>
      </c>
      <c r="M40" s="802">
        <v>0</v>
      </c>
      <c r="N40" s="892">
        <v>0</v>
      </c>
      <c r="O40" s="893">
        <v>0</v>
      </c>
      <c r="P40" s="892">
        <v>0</v>
      </c>
      <c r="Q40" s="892">
        <v>0</v>
      </c>
      <c r="R40" s="781">
        <v>0</v>
      </c>
      <c r="S40" s="891">
        <v>0</v>
      </c>
      <c r="T40" s="891">
        <v>0</v>
      </c>
      <c r="U40" s="893">
        <v>0</v>
      </c>
      <c r="V40" s="892">
        <v>0</v>
      </c>
      <c r="W40" s="891">
        <v>0</v>
      </c>
      <c r="X40" s="783">
        <v>0</v>
      </c>
      <c r="Y40" s="891">
        <v>0</v>
      </c>
      <c r="Z40" s="893">
        <v>0</v>
      </c>
      <c r="AA40" s="802">
        <v>0</v>
      </c>
      <c r="AB40" s="891">
        <v>0</v>
      </c>
      <c r="AC40" s="894">
        <v>0</v>
      </c>
      <c r="AD40" s="893">
        <v>0</v>
      </c>
      <c r="AE40" s="894">
        <v>0</v>
      </c>
      <c r="AF40" s="894">
        <v>0</v>
      </c>
      <c r="AG40" s="827">
        <f t="shared" si="1"/>
        <v>0</v>
      </c>
      <c r="AH40" s="827">
        <f t="shared" si="2"/>
        <v>0</v>
      </c>
      <c r="AI40" s="476">
        <f t="shared" si="3"/>
        <v>0</v>
      </c>
      <c r="AJ40" s="467" t="str">
        <f t="shared" si="4"/>
        <v xml:space="preserve"> </v>
      </c>
      <c r="AS40" s="139" t="s">
        <v>264</v>
      </c>
      <c r="AT40" s="139" t="s">
        <v>263</v>
      </c>
      <c r="DS40" s="680"/>
      <c r="DT40" s="680"/>
      <c r="DU40" s="676" t="s">
        <v>415</v>
      </c>
      <c r="DV40" s="676" t="s">
        <v>1188</v>
      </c>
      <c r="DW40" s="676" t="s">
        <v>1134</v>
      </c>
      <c r="DX40" s="676" t="s">
        <v>1134</v>
      </c>
      <c r="DY40" s="677" t="s">
        <v>1255</v>
      </c>
      <c r="DZ40" s="676" t="s">
        <v>1134</v>
      </c>
      <c r="EA40" s="678" t="s">
        <v>264</v>
      </c>
      <c r="EB40" s="676" t="s">
        <v>1135</v>
      </c>
      <c r="EC40" s="676" t="s">
        <v>1134</v>
      </c>
      <c r="ED40" s="676" t="s">
        <v>1136</v>
      </c>
    </row>
    <row r="41" spans="1:134" x14ac:dyDescent="0.2">
      <c r="A41" s="430" t="s">
        <v>151</v>
      </c>
      <c r="B41" s="633">
        <v>34</v>
      </c>
      <c r="C41" s="891">
        <v>0</v>
      </c>
      <c r="D41" s="891">
        <v>0</v>
      </c>
      <c r="E41" s="891">
        <v>0</v>
      </c>
      <c r="F41" s="866">
        <v>0</v>
      </c>
      <c r="G41" s="891">
        <v>0</v>
      </c>
      <c r="H41" s="891">
        <v>0</v>
      </c>
      <c r="I41" s="828">
        <f t="shared" si="0"/>
        <v>0</v>
      </c>
      <c r="J41" s="892">
        <v>0</v>
      </c>
      <c r="K41" s="892">
        <v>0</v>
      </c>
      <c r="L41" s="891">
        <v>0</v>
      </c>
      <c r="M41" s="802">
        <v>0</v>
      </c>
      <c r="N41" s="892">
        <v>0</v>
      </c>
      <c r="O41" s="893">
        <v>0</v>
      </c>
      <c r="P41" s="892">
        <v>0</v>
      </c>
      <c r="Q41" s="892">
        <v>0</v>
      </c>
      <c r="R41" s="781">
        <v>0</v>
      </c>
      <c r="S41" s="891">
        <v>0</v>
      </c>
      <c r="T41" s="891">
        <v>0</v>
      </c>
      <c r="U41" s="893">
        <v>0</v>
      </c>
      <c r="V41" s="892">
        <v>0</v>
      </c>
      <c r="W41" s="891">
        <v>0</v>
      </c>
      <c r="X41" s="783">
        <v>0</v>
      </c>
      <c r="Y41" s="891">
        <v>0</v>
      </c>
      <c r="Z41" s="893">
        <v>0</v>
      </c>
      <c r="AA41" s="802">
        <v>0</v>
      </c>
      <c r="AB41" s="891">
        <v>0</v>
      </c>
      <c r="AC41" s="894">
        <v>0</v>
      </c>
      <c r="AD41" s="893">
        <v>0</v>
      </c>
      <c r="AE41" s="894">
        <v>0</v>
      </c>
      <c r="AF41" s="894">
        <v>0</v>
      </c>
      <c r="AG41" s="827">
        <f t="shared" si="1"/>
        <v>0</v>
      </c>
      <c r="AH41" s="827">
        <f t="shared" si="2"/>
        <v>0</v>
      </c>
      <c r="AI41" s="476">
        <f t="shared" si="3"/>
        <v>0</v>
      </c>
      <c r="AJ41" s="467" t="str">
        <f t="shared" si="4"/>
        <v xml:space="preserve"> </v>
      </c>
      <c r="AS41" s="139" t="s">
        <v>469</v>
      </c>
      <c r="AT41" s="139" t="s">
        <v>470</v>
      </c>
      <c r="DS41" s="680"/>
      <c r="DT41" s="680"/>
      <c r="DU41" s="676" t="s">
        <v>415</v>
      </c>
      <c r="DV41" s="676" t="s">
        <v>1188</v>
      </c>
      <c r="DW41" s="676" t="s">
        <v>1134</v>
      </c>
      <c r="DX41" s="676" t="s">
        <v>1134</v>
      </c>
      <c r="DY41" s="677" t="s">
        <v>1255</v>
      </c>
      <c r="DZ41" s="676" t="s">
        <v>1134</v>
      </c>
      <c r="EA41" s="678" t="s">
        <v>469</v>
      </c>
      <c r="EB41" s="676" t="s">
        <v>1135</v>
      </c>
      <c r="EC41" s="676" t="s">
        <v>1134</v>
      </c>
      <c r="ED41" s="676" t="s">
        <v>1136</v>
      </c>
    </row>
    <row r="42" spans="1:134" x14ac:dyDescent="0.2">
      <c r="A42" s="430" t="s">
        <v>129</v>
      </c>
      <c r="B42" s="633">
        <v>35</v>
      </c>
      <c r="C42" s="891">
        <v>0</v>
      </c>
      <c r="D42" s="891">
        <v>0</v>
      </c>
      <c r="E42" s="891">
        <v>0</v>
      </c>
      <c r="F42" s="866">
        <v>0</v>
      </c>
      <c r="G42" s="891">
        <v>0</v>
      </c>
      <c r="H42" s="891">
        <v>0</v>
      </c>
      <c r="I42" s="828">
        <f t="shared" si="0"/>
        <v>0</v>
      </c>
      <c r="J42" s="892">
        <v>0</v>
      </c>
      <c r="K42" s="892">
        <v>0</v>
      </c>
      <c r="L42" s="891">
        <v>0</v>
      </c>
      <c r="M42" s="802">
        <v>0</v>
      </c>
      <c r="N42" s="892">
        <v>0</v>
      </c>
      <c r="O42" s="893">
        <v>0</v>
      </c>
      <c r="P42" s="892">
        <v>0</v>
      </c>
      <c r="Q42" s="892">
        <v>0</v>
      </c>
      <c r="R42" s="781">
        <v>0</v>
      </c>
      <c r="S42" s="891">
        <v>0</v>
      </c>
      <c r="T42" s="891">
        <v>0</v>
      </c>
      <c r="U42" s="893">
        <v>0</v>
      </c>
      <c r="V42" s="892">
        <v>0</v>
      </c>
      <c r="W42" s="891">
        <v>0</v>
      </c>
      <c r="X42" s="783">
        <v>0</v>
      </c>
      <c r="Y42" s="891">
        <v>0</v>
      </c>
      <c r="Z42" s="893">
        <v>0</v>
      </c>
      <c r="AA42" s="802">
        <v>0</v>
      </c>
      <c r="AB42" s="891">
        <v>0</v>
      </c>
      <c r="AC42" s="894">
        <v>0</v>
      </c>
      <c r="AD42" s="893">
        <v>0</v>
      </c>
      <c r="AE42" s="894">
        <v>0</v>
      </c>
      <c r="AF42" s="894">
        <v>0</v>
      </c>
      <c r="AG42" s="827">
        <f t="shared" si="1"/>
        <v>0</v>
      </c>
      <c r="AH42" s="827">
        <f t="shared" si="2"/>
        <v>0</v>
      </c>
      <c r="AI42" s="476">
        <f t="shared" si="3"/>
        <v>0</v>
      </c>
      <c r="AJ42" s="467" t="str">
        <f t="shared" si="4"/>
        <v xml:space="preserve"> </v>
      </c>
      <c r="AS42" s="139" t="s">
        <v>266</v>
      </c>
      <c r="AT42" s="139" t="s">
        <v>265</v>
      </c>
      <c r="DS42" s="680"/>
      <c r="DT42" s="680"/>
      <c r="DU42" s="676" t="s">
        <v>415</v>
      </c>
      <c r="DV42" s="676" t="s">
        <v>1188</v>
      </c>
      <c r="DW42" s="676" t="s">
        <v>1134</v>
      </c>
      <c r="DX42" s="676" t="s">
        <v>1134</v>
      </c>
      <c r="DY42" s="677" t="s">
        <v>1255</v>
      </c>
      <c r="DZ42" s="676" t="s">
        <v>1134</v>
      </c>
      <c r="EA42" s="678" t="s">
        <v>266</v>
      </c>
      <c r="EB42" s="676" t="s">
        <v>1135</v>
      </c>
      <c r="EC42" s="676" t="s">
        <v>1134</v>
      </c>
      <c r="ED42" s="676" t="s">
        <v>1136</v>
      </c>
    </row>
    <row r="43" spans="1:134" x14ac:dyDescent="0.2">
      <c r="A43" s="430" t="s">
        <v>939</v>
      </c>
      <c r="B43" s="633">
        <v>36</v>
      </c>
      <c r="C43" s="891">
        <v>0</v>
      </c>
      <c r="D43" s="891">
        <v>0</v>
      </c>
      <c r="E43" s="891">
        <v>0</v>
      </c>
      <c r="F43" s="866">
        <v>0</v>
      </c>
      <c r="G43" s="891">
        <v>0</v>
      </c>
      <c r="H43" s="891">
        <v>0</v>
      </c>
      <c r="I43" s="828">
        <f t="shared" si="0"/>
        <v>0</v>
      </c>
      <c r="J43" s="892">
        <v>0</v>
      </c>
      <c r="K43" s="892">
        <v>0</v>
      </c>
      <c r="L43" s="891">
        <v>0</v>
      </c>
      <c r="M43" s="802">
        <v>0</v>
      </c>
      <c r="N43" s="892">
        <v>0</v>
      </c>
      <c r="O43" s="893">
        <v>0</v>
      </c>
      <c r="P43" s="892">
        <v>0</v>
      </c>
      <c r="Q43" s="892">
        <v>0</v>
      </c>
      <c r="R43" s="781">
        <v>0</v>
      </c>
      <c r="S43" s="891">
        <v>0</v>
      </c>
      <c r="T43" s="891">
        <v>0</v>
      </c>
      <c r="U43" s="893">
        <v>0</v>
      </c>
      <c r="V43" s="892">
        <v>0</v>
      </c>
      <c r="W43" s="891">
        <v>0</v>
      </c>
      <c r="X43" s="783">
        <v>0</v>
      </c>
      <c r="Y43" s="891">
        <v>0</v>
      </c>
      <c r="Z43" s="893">
        <v>0</v>
      </c>
      <c r="AA43" s="802">
        <v>0</v>
      </c>
      <c r="AB43" s="891">
        <v>0</v>
      </c>
      <c r="AC43" s="894">
        <v>0</v>
      </c>
      <c r="AD43" s="893">
        <v>0</v>
      </c>
      <c r="AE43" s="894">
        <v>0</v>
      </c>
      <c r="AF43" s="894">
        <v>0</v>
      </c>
      <c r="AG43" s="827">
        <f t="shared" si="1"/>
        <v>0</v>
      </c>
      <c r="AH43" s="827">
        <f t="shared" si="2"/>
        <v>0</v>
      </c>
      <c r="AI43" s="476">
        <f t="shared" si="3"/>
        <v>0</v>
      </c>
      <c r="AJ43" s="467" t="str">
        <f t="shared" si="4"/>
        <v xml:space="preserve"> </v>
      </c>
      <c r="AS43" s="139" t="s">
        <v>519</v>
      </c>
      <c r="AT43" s="139" t="s">
        <v>520</v>
      </c>
      <c r="DS43" s="680"/>
      <c r="DT43" s="680"/>
      <c r="DU43" s="676" t="s">
        <v>415</v>
      </c>
      <c r="DV43" s="676" t="s">
        <v>1188</v>
      </c>
      <c r="DW43" s="676" t="s">
        <v>1134</v>
      </c>
      <c r="DX43" s="676" t="s">
        <v>1134</v>
      </c>
      <c r="DY43" s="677" t="s">
        <v>1255</v>
      </c>
      <c r="DZ43" s="676" t="s">
        <v>1134</v>
      </c>
      <c r="EA43" s="678" t="s">
        <v>519</v>
      </c>
      <c r="EB43" s="676" t="s">
        <v>1135</v>
      </c>
      <c r="EC43" s="676" t="s">
        <v>1134</v>
      </c>
      <c r="ED43" s="676" t="s">
        <v>1136</v>
      </c>
    </row>
    <row r="44" spans="1:134" x14ac:dyDescent="0.2">
      <c r="A44" s="430" t="s">
        <v>568</v>
      </c>
      <c r="B44" s="633">
        <v>37</v>
      </c>
      <c r="C44" s="891">
        <v>0</v>
      </c>
      <c r="D44" s="891">
        <v>0</v>
      </c>
      <c r="E44" s="891">
        <v>0</v>
      </c>
      <c r="F44" s="866">
        <v>0</v>
      </c>
      <c r="G44" s="891">
        <v>0</v>
      </c>
      <c r="H44" s="891">
        <v>0</v>
      </c>
      <c r="I44" s="828">
        <f t="shared" si="0"/>
        <v>0</v>
      </c>
      <c r="J44" s="892">
        <v>0</v>
      </c>
      <c r="K44" s="892">
        <v>0</v>
      </c>
      <c r="L44" s="894">
        <v>0</v>
      </c>
      <c r="M44" s="802">
        <v>0</v>
      </c>
      <c r="N44" s="895">
        <v>0</v>
      </c>
      <c r="O44" s="893">
        <v>0</v>
      </c>
      <c r="P44" s="892">
        <v>0</v>
      </c>
      <c r="Q44" s="892">
        <v>0</v>
      </c>
      <c r="R44" s="781">
        <v>0</v>
      </c>
      <c r="S44" s="891">
        <v>0</v>
      </c>
      <c r="T44" s="891">
        <v>0</v>
      </c>
      <c r="U44" s="893">
        <v>0</v>
      </c>
      <c r="V44" s="892">
        <v>0</v>
      </c>
      <c r="W44" s="891">
        <v>0</v>
      </c>
      <c r="X44" s="783">
        <v>0</v>
      </c>
      <c r="Y44" s="891">
        <v>0</v>
      </c>
      <c r="Z44" s="893">
        <v>0</v>
      </c>
      <c r="AA44" s="802">
        <v>0</v>
      </c>
      <c r="AB44" s="891">
        <v>0</v>
      </c>
      <c r="AC44" s="894">
        <v>0</v>
      </c>
      <c r="AD44" s="893">
        <v>0</v>
      </c>
      <c r="AE44" s="894">
        <v>0</v>
      </c>
      <c r="AF44" s="894">
        <v>0</v>
      </c>
      <c r="AG44" s="827">
        <f t="shared" si="1"/>
        <v>0</v>
      </c>
      <c r="AH44" s="827">
        <f t="shared" si="2"/>
        <v>0</v>
      </c>
      <c r="AI44" s="476">
        <f t="shared" si="3"/>
        <v>0</v>
      </c>
      <c r="AJ44" s="467" t="str">
        <f t="shared" si="4"/>
        <v xml:space="preserve"> </v>
      </c>
      <c r="AS44" s="139" t="s">
        <v>542</v>
      </c>
      <c r="AT44" s="139" t="s">
        <v>543</v>
      </c>
      <c r="DS44" s="680"/>
      <c r="DT44" s="680"/>
      <c r="DU44" s="676" t="s">
        <v>415</v>
      </c>
      <c r="DV44" s="676" t="s">
        <v>1188</v>
      </c>
      <c r="DW44" s="676" t="s">
        <v>1134</v>
      </c>
      <c r="DX44" s="676" t="s">
        <v>1134</v>
      </c>
      <c r="DY44" s="677" t="s">
        <v>1255</v>
      </c>
      <c r="DZ44" s="676" t="s">
        <v>1134</v>
      </c>
      <c r="EA44" s="678" t="s">
        <v>542</v>
      </c>
      <c r="EB44" s="676" t="s">
        <v>1135</v>
      </c>
      <c r="EC44" s="676" t="s">
        <v>1134</v>
      </c>
      <c r="ED44" s="676" t="s">
        <v>1136</v>
      </c>
    </row>
    <row r="45" spans="1:134" x14ac:dyDescent="0.2">
      <c r="A45" s="430" t="s">
        <v>130</v>
      </c>
      <c r="B45" s="633">
        <v>38</v>
      </c>
      <c r="C45" s="891">
        <v>0</v>
      </c>
      <c r="D45" s="891">
        <v>0</v>
      </c>
      <c r="E45" s="891">
        <v>0</v>
      </c>
      <c r="F45" s="866">
        <v>0</v>
      </c>
      <c r="G45" s="891">
        <v>0</v>
      </c>
      <c r="H45" s="891">
        <v>0</v>
      </c>
      <c r="I45" s="828">
        <f t="shared" si="0"/>
        <v>0</v>
      </c>
      <c r="J45" s="892">
        <v>0</v>
      </c>
      <c r="K45" s="892">
        <v>0</v>
      </c>
      <c r="L45" s="894">
        <v>0</v>
      </c>
      <c r="M45" s="802">
        <v>0</v>
      </c>
      <c r="N45" s="895">
        <v>0</v>
      </c>
      <c r="O45" s="893">
        <v>0</v>
      </c>
      <c r="P45" s="892">
        <v>0</v>
      </c>
      <c r="Q45" s="892">
        <v>0</v>
      </c>
      <c r="R45" s="781">
        <v>0</v>
      </c>
      <c r="S45" s="891">
        <v>0</v>
      </c>
      <c r="T45" s="891">
        <v>0</v>
      </c>
      <c r="U45" s="893">
        <v>0</v>
      </c>
      <c r="V45" s="892">
        <v>0</v>
      </c>
      <c r="W45" s="891">
        <v>0</v>
      </c>
      <c r="X45" s="783">
        <v>0</v>
      </c>
      <c r="Y45" s="891">
        <v>0</v>
      </c>
      <c r="Z45" s="893">
        <v>0</v>
      </c>
      <c r="AA45" s="802">
        <v>0</v>
      </c>
      <c r="AB45" s="891">
        <v>0</v>
      </c>
      <c r="AC45" s="894">
        <v>0</v>
      </c>
      <c r="AD45" s="893">
        <v>0</v>
      </c>
      <c r="AE45" s="894">
        <v>0</v>
      </c>
      <c r="AF45" s="894">
        <v>0</v>
      </c>
      <c r="AG45" s="827">
        <f t="shared" si="1"/>
        <v>0</v>
      </c>
      <c r="AH45" s="827">
        <f t="shared" si="2"/>
        <v>0</v>
      </c>
      <c r="AI45" s="476">
        <f t="shared" si="3"/>
        <v>0</v>
      </c>
      <c r="AJ45" s="467" t="str">
        <f t="shared" si="4"/>
        <v xml:space="preserve"> </v>
      </c>
      <c r="AS45" s="139" t="s">
        <v>268</v>
      </c>
      <c r="AT45" s="139" t="s">
        <v>267</v>
      </c>
      <c r="DS45" s="680"/>
      <c r="DT45" s="680"/>
      <c r="DU45" s="676" t="s">
        <v>415</v>
      </c>
      <c r="DV45" s="676" t="s">
        <v>1188</v>
      </c>
      <c r="DW45" s="676" t="s">
        <v>1134</v>
      </c>
      <c r="DX45" s="676" t="s">
        <v>1134</v>
      </c>
      <c r="DY45" s="677" t="s">
        <v>1255</v>
      </c>
      <c r="DZ45" s="676" t="s">
        <v>1134</v>
      </c>
      <c r="EA45" s="678" t="s">
        <v>268</v>
      </c>
      <c r="EB45" s="676" t="s">
        <v>1135</v>
      </c>
      <c r="EC45" s="676" t="s">
        <v>1134</v>
      </c>
      <c r="ED45" s="676" t="s">
        <v>1136</v>
      </c>
    </row>
    <row r="46" spans="1:134" x14ac:dyDescent="0.2">
      <c r="A46" s="277" t="s">
        <v>131</v>
      </c>
      <c r="B46" s="633">
        <v>39</v>
      </c>
      <c r="C46" s="891">
        <v>0</v>
      </c>
      <c r="D46" s="891">
        <v>0</v>
      </c>
      <c r="E46" s="891">
        <v>0</v>
      </c>
      <c r="F46" s="866">
        <v>0</v>
      </c>
      <c r="G46" s="891">
        <v>0</v>
      </c>
      <c r="H46" s="891">
        <v>0</v>
      </c>
      <c r="I46" s="828">
        <f t="shared" si="0"/>
        <v>0</v>
      </c>
      <c r="J46" s="892">
        <v>0</v>
      </c>
      <c r="K46" s="892">
        <v>0</v>
      </c>
      <c r="L46" s="894">
        <v>0</v>
      </c>
      <c r="M46" s="802">
        <v>0</v>
      </c>
      <c r="N46" s="895">
        <v>0</v>
      </c>
      <c r="O46" s="893">
        <v>0</v>
      </c>
      <c r="P46" s="892">
        <v>0</v>
      </c>
      <c r="Q46" s="892">
        <v>0</v>
      </c>
      <c r="R46" s="781">
        <v>0</v>
      </c>
      <c r="S46" s="891">
        <v>0</v>
      </c>
      <c r="T46" s="891">
        <v>0</v>
      </c>
      <c r="U46" s="893">
        <v>0</v>
      </c>
      <c r="V46" s="892">
        <v>0</v>
      </c>
      <c r="W46" s="891">
        <v>0</v>
      </c>
      <c r="X46" s="783">
        <v>0</v>
      </c>
      <c r="Y46" s="891">
        <v>0</v>
      </c>
      <c r="Z46" s="893">
        <v>0</v>
      </c>
      <c r="AA46" s="802">
        <v>0</v>
      </c>
      <c r="AB46" s="891">
        <v>0</v>
      </c>
      <c r="AC46" s="894">
        <v>0</v>
      </c>
      <c r="AD46" s="893">
        <v>0</v>
      </c>
      <c r="AE46" s="894">
        <v>0</v>
      </c>
      <c r="AF46" s="894">
        <v>0</v>
      </c>
      <c r="AG46" s="827">
        <f t="shared" si="1"/>
        <v>0</v>
      </c>
      <c r="AH46" s="827">
        <f t="shared" si="2"/>
        <v>0</v>
      </c>
      <c r="AI46" s="476">
        <f t="shared" si="3"/>
        <v>0</v>
      </c>
      <c r="AJ46" s="467" t="str">
        <f t="shared" si="4"/>
        <v xml:space="preserve"> </v>
      </c>
      <c r="AS46" s="139" t="s">
        <v>269</v>
      </c>
      <c r="AT46" s="139" t="s">
        <v>269</v>
      </c>
      <c r="DS46" s="680"/>
      <c r="DT46" s="680"/>
      <c r="DU46" s="676" t="s">
        <v>415</v>
      </c>
      <c r="DV46" s="676" t="s">
        <v>1188</v>
      </c>
      <c r="DW46" s="676" t="s">
        <v>1134</v>
      </c>
      <c r="DX46" s="676" t="s">
        <v>1134</v>
      </c>
      <c r="DY46" s="677" t="s">
        <v>1255</v>
      </c>
      <c r="DZ46" s="676" t="s">
        <v>1134</v>
      </c>
      <c r="EA46" s="678" t="s">
        <v>269</v>
      </c>
      <c r="EB46" s="676" t="s">
        <v>1135</v>
      </c>
      <c r="EC46" s="676" t="s">
        <v>1134</v>
      </c>
      <c r="ED46" s="676" t="s">
        <v>1136</v>
      </c>
    </row>
    <row r="47" spans="1:134" x14ac:dyDescent="0.2">
      <c r="A47" s="276" t="s">
        <v>1365</v>
      </c>
      <c r="B47" s="633">
        <v>40</v>
      </c>
      <c r="C47" s="891">
        <v>0</v>
      </c>
      <c r="D47" s="891">
        <v>0</v>
      </c>
      <c r="E47" s="891">
        <v>0</v>
      </c>
      <c r="F47" s="866">
        <v>0</v>
      </c>
      <c r="G47" s="891">
        <v>0</v>
      </c>
      <c r="H47" s="891">
        <v>0</v>
      </c>
      <c r="I47" s="828">
        <f t="shared" si="0"/>
        <v>0</v>
      </c>
      <c r="J47" s="892">
        <v>0</v>
      </c>
      <c r="K47" s="892">
        <v>0</v>
      </c>
      <c r="L47" s="891">
        <v>0</v>
      </c>
      <c r="M47" s="802">
        <v>0</v>
      </c>
      <c r="N47" s="892">
        <v>0</v>
      </c>
      <c r="O47" s="893">
        <v>0</v>
      </c>
      <c r="P47" s="892">
        <v>0</v>
      </c>
      <c r="Q47" s="892">
        <v>0</v>
      </c>
      <c r="R47" s="781">
        <v>0</v>
      </c>
      <c r="S47" s="891">
        <v>0</v>
      </c>
      <c r="T47" s="891">
        <v>0</v>
      </c>
      <c r="U47" s="893">
        <v>0</v>
      </c>
      <c r="V47" s="892">
        <v>0</v>
      </c>
      <c r="W47" s="891">
        <v>0</v>
      </c>
      <c r="X47" s="783">
        <v>0</v>
      </c>
      <c r="Y47" s="891">
        <v>0</v>
      </c>
      <c r="Z47" s="893">
        <v>0</v>
      </c>
      <c r="AA47" s="802">
        <v>0</v>
      </c>
      <c r="AB47" s="891">
        <v>0</v>
      </c>
      <c r="AC47" s="894">
        <v>0</v>
      </c>
      <c r="AD47" s="893">
        <v>0</v>
      </c>
      <c r="AE47" s="894">
        <v>0</v>
      </c>
      <c r="AF47" s="894">
        <v>0</v>
      </c>
      <c r="AG47" s="827">
        <f t="shared" si="1"/>
        <v>0</v>
      </c>
      <c r="AH47" s="827">
        <f t="shared" si="2"/>
        <v>0</v>
      </c>
      <c r="AI47" s="476">
        <f t="shared" si="3"/>
        <v>0</v>
      </c>
      <c r="AJ47" s="467" t="str">
        <f t="shared" si="4"/>
        <v xml:space="preserve"> </v>
      </c>
      <c r="AS47" s="139" t="s">
        <v>541</v>
      </c>
      <c r="AT47" s="1085" t="s">
        <v>1402</v>
      </c>
      <c r="DS47" s="680"/>
      <c r="DT47" s="680"/>
      <c r="DU47" s="676" t="s">
        <v>415</v>
      </c>
      <c r="DV47" s="676" t="s">
        <v>1188</v>
      </c>
      <c r="DW47" s="676" t="s">
        <v>1134</v>
      </c>
      <c r="DX47" s="676" t="s">
        <v>1134</v>
      </c>
      <c r="DY47" s="677" t="s">
        <v>1255</v>
      </c>
      <c r="DZ47" s="676" t="s">
        <v>1134</v>
      </c>
      <c r="EA47" s="678" t="s">
        <v>541</v>
      </c>
      <c r="EB47" s="676" t="s">
        <v>1135</v>
      </c>
      <c r="EC47" s="676" t="s">
        <v>1134</v>
      </c>
      <c r="ED47" s="676" t="s">
        <v>1136</v>
      </c>
    </row>
    <row r="48" spans="1:134" x14ac:dyDescent="0.2">
      <c r="A48" s="277" t="s">
        <v>132</v>
      </c>
      <c r="B48" s="633">
        <v>41</v>
      </c>
      <c r="C48" s="891">
        <v>0</v>
      </c>
      <c r="D48" s="891">
        <v>0</v>
      </c>
      <c r="E48" s="891">
        <v>0</v>
      </c>
      <c r="F48" s="866">
        <v>0</v>
      </c>
      <c r="G48" s="891">
        <v>0</v>
      </c>
      <c r="H48" s="891">
        <v>0</v>
      </c>
      <c r="I48" s="828">
        <f t="shared" si="0"/>
        <v>0</v>
      </c>
      <c r="J48" s="892">
        <v>0</v>
      </c>
      <c r="K48" s="892">
        <v>0</v>
      </c>
      <c r="L48" s="891">
        <v>0</v>
      </c>
      <c r="M48" s="802">
        <v>0</v>
      </c>
      <c r="N48" s="892">
        <v>0</v>
      </c>
      <c r="O48" s="893">
        <v>0</v>
      </c>
      <c r="P48" s="892">
        <v>0</v>
      </c>
      <c r="Q48" s="892">
        <v>0</v>
      </c>
      <c r="R48" s="781">
        <v>0</v>
      </c>
      <c r="S48" s="891">
        <v>0</v>
      </c>
      <c r="T48" s="891">
        <v>0</v>
      </c>
      <c r="U48" s="893">
        <v>0</v>
      </c>
      <c r="V48" s="892">
        <v>0</v>
      </c>
      <c r="W48" s="891">
        <v>0</v>
      </c>
      <c r="X48" s="783">
        <v>0</v>
      </c>
      <c r="Y48" s="891">
        <v>0</v>
      </c>
      <c r="Z48" s="893">
        <v>0</v>
      </c>
      <c r="AA48" s="802">
        <v>0</v>
      </c>
      <c r="AB48" s="891">
        <v>0</v>
      </c>
      <c r="AC48" s="894">
        <v>0</v>
      </c>
      <c r="AD48" s="893">
        <v>0</v>
      </c>
      <c r="AE48" s="894">
        <v>0</v>
      </c>
      <c r="AF48" s="894">
        <v>0</v>
      </c>
      <c r="AG48" s="827">
        <f t="shared" si="1"/>
        <v>0</v>
      </c>
      <c r="AH48" s="827">
        <f t="shared" si="2"/>
        <v>0</v>
      </c>
      <c r="AI48" s="476">
        <f t="shared" si="3"/>
        <v>0</v>
      </c>
      <c r="AJ48" s="467" t="str">
        <f t="shared" si="4"/>
        <v xml:space="preserve"> </v>
      </c>
      <c r="AS48" s="139" t="s">
        <v>271</v>
      </c>
      <c r="AT48" s="139" t="s">
        <v>270</v>
      </c>
      <c r="DS48" s="680"/>
      <c r="DT48" s="680"/>
      <c r="DU48" s="676" t="s">
        <v>415</v>
      </c>
      <c r="DV48" s="676" t="s">
        <v>1188</v>
      </c>
      <c r="DW48" s="676" t="s">
        <v>1134</v>
      </c>
      <c r="DX48" s="676" t="s">
        <v>1134</v>
      </c>
      <c r="DY48" s="677" t="s">
        <v>1255</v>
      </c>
      <c r="DZ48" s="676" t="s">
        <v>1134</v>
      </c>
      <c r="EA48" s="678" t="s">
        <v>271</v>
      </c>
      <c r="EB48" s="676" t="s">
        <v>1135</v>
      </c>
      <c r="EC48" s="676" t="s">
        <v>1134</v>
      </c>
      <c r="ED48" s="676" t="s">
        <v>1136</v>
      </c>
    </row>
    <row r="49" spans="1:134" x14ac:dyDescent="0.2">
      <c r="A49" s="277" t="s">
        <v>133</v>
      </c>
      <c r="B49" s="633">
        <v>42</v>
      </c>
      <c r="C49" s="891">
        <v>0</v>
      </c>
      <c r="D49" s="891">
        <v>0</v>
      </c>
      <c r="E49" s="891">
        <v>0</v>
      </c>
      <c r="F49" s="866">
        <v>0</v>
      </c>
      <c r="G49" s="891">
        <v>0</v>
      </c>
      <c r="H49" s="891">
        <v>0</v>
      </c>
      <c r="I49" s="828">
        <f t="shared" si="0"/>
        <v>0</v>
      </c>
      <c r="J49" s="892">
        <v>0</v>
      </c>
      <c r="K49" s="892">
        <v>0</v>
      </c>
      <c r="L49" s="891">
        <v>0</v>
      </c>
      <c r="M49" s="802">
        <v>0</v>
      </c>
      <c r="N49" s="892">
        <v>0</v>
      </c>
      <c r="O49" s="893">
        <v>0</v>
      </c>
      <c r="P49" s="892">
        <v>0</v>
      </c>
      <c r="Q49" s="892">
        <v>0</v>
      </c>
      <c r="R49" s="781">
        <v>0</v>
      </c>
      <c r="S49" s="891">
        <v>0</v>
      </c>
      <c r="T49" s="891">
        <v>0</v>
      </c>
      <c r="U49" s="893">
        <v>0</v>
      </c>
      <c r="V49" s="892">
        <v>0</v>
      </c>
      <c r="W49" s="891">
        <v>0</v>
      </c>
      <c r="X49" s="783">
        <v>0</v>
      </c>
      <c r="Y49" s="891">
        <v>0</v>
      </c>
      <c r="Z49" s="893">
        <v>0</v>
      </c>
      <c r="AA49" s="802">
        <v>0</v>
      </c>
      <c r="AB49" s="891">
        <v>0</v>
      </c>
      <c r="AC49" s="894">
        <v>0</v>
      </c>
      <c r="AD49" s="893">
        <v>0</v>
      </c>
      <c r="AE49" s="894">
        <v>0</v>
      </c>
      <c r="AF49" s="894">
        <v>0</v>
      </c>
      <c r="AG49" s="827">
        <f t="shared" si="1"/>
        <v>0</v>
      </c>
      <c r="AH49" s="827">
        <f t="shared" si="2"/>
        <v>0</v>
      </c>
      <c r="AI49" s="476">
        <f t="shared" si="3"/>
        <v>0</v>
      </c>
      <c r="AJ49" s="467" t="str">
        <f t="shared" si="4"/>
        <v xml:space="preserve"> </v>
      </c>
      <c r="AS49" s="139" t="s">
        <v>273</v>
      </c>
      <c r="AT49" s="139" t="s">
        <v>272</v>
      </c>
      <c r="DS49" s="680"/>
      <c r="DT49" s="680"/>
      <c r="DU49" s="676" t="s">
        <v>415</v>
      </c>
      <c r="DV49" s="676" t="s">
        <v>1188</v>
      </c>
      <c r="DW49" s="676" t="s">
        <v>1134</v>
      </c>
      <c r="DX49" s="676" t="s">
        <v>1134</v>
      </c>
      <c r="DY49" s="677" t="s">
        <v>1255</v>
      </c>
      <c r="DZ49" s="676" t="s">
        <v>1134</v>
      </c>
      <c r="EA49" s="678" t="s">
        <v>273</v>
      </c>
      <c r="EB49" s="676" t="s">
        <v>1135</v>
      </c>
      <c r="EC49" s="676" t="s">
        <v>1134</v>
      </c>
      <c r="ED49" s="676" t="s">
        <v>1136</v>
      </c>
    </row>
    <row r="50" spans="1:134" x14ac:dyDescent="0.2">
      <c r="A50" s="277" t="s">
        <v>134</v>
      </c>
      <c r="B50" s="633">
        <v>43</v>
      </c>
      <c r="C50" s="891">
        <v>0</v>
      </c>
      <c r="D50" s="891">
        <v>0</v>
      </c>
      <c r="E50" s="891">
        <v>0</v>
      </c>
      <c r="F50" s="866">
        <v>0</v>
      </c>
      <c r="G50" s="891">
        <v>0</v>
      </c>
      <c r="H50" s="891">
        <v>0</v>
      </c>
      <c r="I50" s="828">
        <f t="shared" si="0"/>
        <v>0</v>
      </c>
      <c r="J50" s="892">
        <v>0</v>
      </c>
      <c r="K50" s="892">
        <v>0</v>
      </c>
      <c r="L50" s="891">
        <v>0</v>
      </c>
      <c r="M50" s="802">
        <v>0</v>
      </c>
      <c r="N50" s="892">
        <v>0</v>
      </c>
      <c r="O50" s="893">
        <v>0</v>
      </c>
      <c r="P50" s="892">
        <v>0</v>
      </c>
      <c r="Q50" s="892">
        <v>0</v>
      </c>
      <c r="R50" s="781">
        <v>0</v>
      </c>
      <c r="S50" s="891">
        <v>0</v>
      </c>
      <c r="T50" s="891">
        <v>0</v>
      </c>
      <c r="U50" s="893">
        <v>0</v>
      </c>
      <c r="V50" s="892">
        <v>0</v>
      </c>
      <c r="W50" s="891">
        <v>0</v>
      </c>
      <c r="X50" s="783">
        <v>0</v>
      </c>
      <c r="Y50" s="891">
        <v>0</v>
      </c>
      <c r="Z50" s="893">
        <v>0</v>
      </c>
      <c r="AA50" s="802">
        <v>0</v>
      </c>
      <c r="AB50" s="891">
        <v>0</v>
      </c>
      <c r="AC50" s="894">
        <v>0</v>
      </c>
      <c r="AD50" s="893">
        <v>0</v>
      </c>
      <c r="AE50" s="894">
        <v>0</v>
      </c>
      <c r="AF50" s="894">
        <v>0</v>
      </c>
      <c r="AG50" s="827">
        <f t="shared" si="1"/>
        <v>0</v>
      </c>
      <c r="AH50" s="827">
        <f t="shared" si="2"/>
        <v>0</v>
      </c>
      <c r="AI50" s="476">
        <f t="shared" si="3"/>
        <v>0</v>
      </c>
      <c r="AJ50" s="467" t="str">
        <f t="shared" si="4"/>
        <v xml:space="preserve"> </v>
      </c>
      <c r="AS50" s="139" t="s">
        <v>275</v>
      </c>
      <c r="AT50" s="139" t="s">
        <v>274</v>
      </c>
      <c r="DS50" s="680"/>
      <c r="DT50" s="680"/>
      <c r="DU50" s="676" t="s">
        <v>415</v>
      </c>
      <c r="DV50" s="676" t="s">
        <v>1188</v>
      </c>
      <c r="DW50" s="676" t="s">
        <v>1134</v>
      </c>
      <c r="DX50" s="676" t="s">
        <v>1134</v>
      </c>
      <c r="DY50" s="677" t="s">
        <v>1255</v>
      </c>
      <c r="DZ50" s="676" t="s">
        <v>1134</v>
      </c>
      <c r="EA50" s="678" t="s">
        <v>275</v>
      </c>
      <c r="EB50" s="676" t="s">
        <v>1135</v>
      </c>
      <c r="EC50" s="676" t="s">
        <v>1134</v>
      </c>
      <c r="ED50" s="676" t="s">
        <v>1136</v>
      </c>
    </row>
    <row r="51" spans="1:134" x14ac:dyDescent="0.2">
      <c r="A51" s="277" t="s">
        <v>59</v>
      </c>
      <c r="B51" s="633">
        <v>44</v>
      </c>
      <c r="C51" s="891">
        <v>0</v>
      </c>
      <c r="D51" s="891">
        <v>0</v>
      </c>
      <c r="E51" s="891">
        <v>0</v>
      </c>
      <c r="F51" s="866">
        <v>0</v>
      </c>
      <c r="G51" s="891">
        <v>0</v>
      </c>
      <c r="H51" s="891">
        <v>0</v>
      </c>
      <c r="I51" s="828">
        <f t="shared" si="0"/>
        <v>0</v>
      </c>
      <c r="J51" s="892">
        <v>0</v>
      </c>
      <c r="K51" s="892">
        <v>0</v>
      </c>
      <c r="L51" s="891">
        <v>0</v>
      </c>
      <c r="M51" s="802">
        <v>0</v>
      </c>
      <c r="N51" s="892">
        <v>0</v>
      </c>
      <c r="O51" s="893">
        <v>0</v>
      </c>
      <c r="P51" s="892">
        <v>0</v>
      </c>
      <c r="Q51" s="892">
        <v>0</v>
      </c>
      <c r="R51" s="781">
        <v>0</v>
      </c>
      <c r="S51" s="891">
        <v>0</v>
      </c>
      <c r="T51" s="891">
        <v>0</v>
      </c>
      <c r="U51" s="893">
        <v>0</v>
      </c>
      <c r="V51" s="892">
        <v>0</v>
      </c>
      <c r="W51" s="891">
        <v>0</v>
      </c>
      <c r="X51" s="783">
        <v>0</v>
      </c>
      <c r="Y51" s="891">
        <v>0</v>
      </c>
      <c r="Z51" s="893">
        <v>0</v>
      </c>
      <c r="AA51" s="802">
        <v>0</v>
      </c>
      <c r="AB51" s="891">
        <v>0</v>
      </c>
      <c r="AC51" s="894">
        <v>0</v>
      </c>
      <c r="AD51" s="893">
        <v>0</v>
      </c>
      <c r="AE51" s="894">
        <v>0</v>
      </c>
      <c r="AF51" s="894">
        <v>0</v>
      </c>
      <c r="AG51" s="827">
        <f t="shared" si="1"/>
        <v>0</v>
      </c>
      <c r="AH51" s="827">
        <f t="shared" si="2"/>
        <v>0</v>
      </c>
      <c r="AI51" s="476">
        <f t="shared" si="3"/>
        <v>0</v>
      </c>
      <c r="AJ51" s="467" t="str">
        <f t="shared" si="4"/>
        <v xml:space="preserve"> </v>
      </c>
      <c r="AS51" s="139" t="s">
        <v>487</v>
      </c>
      <c r="AT51" s="139" t="s">
        <v>488</v>
      </c>
      <c r="DS51" s="680"/>
      <c r="DT51" s="680"/>
      <c r="DU51" s="676" t="s">
        <v>415</v>
      </c>
      <c r="DV51" s="676" t="s">
        <v>1188</v>
      </c>
      <c r="DW51" s="676" t="s">
        <v>1134</v>
      </c>
      <c r="DX51" s="676" t="s">
        <v>1134</v>
      </c>
      <c r="DY51" s="677" t="s">
        <v>1255</v>
      </c>
      <c r="DZ51" s="676" t="s">
        <v>1134</v>
      </c>
      <c r="EA51" s="678" t="s">
        <v>487</v>
      </c>
      <c r="EB51" s="676" t="s">
        <v>1135</v>
      </c>
      <c r="EC51" s="676" t="s">
        <v>1134</v>
      </c>
      <c r="ED51" s="676" t="s">
        <v>1136</v>
      </c>
    </row>
    <row r="52" spans="1:134" x14ac:dyDescent="0.2">
      <c r="A52" s="277" t="s">
        <v>621</v>
      </c>
      <c r="B52" s="633">
        <v>45</v>
      </c>
      <c r="C52" s="891">
        <v>0</v>
      </c>
      <c r="D52" s="891">
        <v>0</v>
      </c>
      <c r="E52" s="891">
        <v>0</v>
      </c>
      <c r="F52" s="866">
        <v>0</v>
      </c>
      <c r="G52" s="891">
        <v>0</v>
      </c>
      <c r="H52" s="891">
        <v>0</v>
      </c>
      <c r="I52" s="828">
        <f t="shared" si="0"/>
        <v>0</v>
      </c>
      <c r="J52" s="892">
        <v>0</v>
      </c>
      <c r="K52" s="892">
        <v>0</v>
      </c>
      <c r="L52" s="894">
        <v>0</v>
      </c>
      <c r="M52" s="802">
        <v>0</v>
      </c>
      <c r="N52" s="895">
        <v>0</v>
      </c>
      <c r="O52" s="893">
        <v>0</v>
      </c>
      <c r="P52" s="892">
        <v>0</v>
      </c>
      <c r="Q52" s="892">
        <v>0</v>
      </c>
      <c r="R52" s="781">
        <v>0</v>
      </c>
      <c r="S52" s="891">
        <v>0</v>
      </c>
      <c r="T52" s="891">
        <v>0</v>
      </c>
      <c r="U52" s="893">
        <v>0</v>
      </c>
      <c r="V52" s="892">
        <v>0</v>
      </c>
      <c r="W52" s="891">
        <v>0</v>
      </c>
      <c r="X52" s="783">
        <v>0</v>
      </c>
      <c r="Y52" s="891">
        <v>0</v>
      </c>
      <c r="Z52" s="893">
        <v>0</v>
      </c>
      <c r="AA52" s="802">
        <v>0</v>
      </c>
      <c r="AB52" s="891">
        <v>0</v>
      </c>
      <c r="AC52" s="894">
        <v>0</v>
      </c>
      <c r="AD52" s="893">
        <v>0</v>
      </c>
      <c r="AE52" s="894">
        <v>0</v>
      </c>
      <c r="AF52" s="894">
        <v>0</v>
      </c>
      <c r="AG52" s="827">
        <f t="shared" si="1"/>
        <v>0</v>
      </c>
      <c r="AH52" s="827">
        <f t="shared" si="2"/>
        <v>0</v>
      </c>
      <c r="AI52" s="476">
        <f t="shared" si="3"/>
        <v>0</v>
      </c>
      <c r="AJ52" s="467" t="str">
        <f t="shared" si="4"/>
        <v xml:space="preserve"> </v>
      </c>
      <c r="AS52" s="139" t="s">
        <v>521</v>
      </c>
      <c r="AT52" s="139" t="s">
        <v>522</v>
      </c>
      <c r="DS52" s="680"/>
      <c r="DT52" s="680"/>
      <c r="DU52" s="676" t="s">
        <v>415</v>
      </c>
      <c r="DV52" s="676" t="s">
        <v>1188</v>
      </c>
      <c r="DW52" s="676" t="s">
        <v>1134</v>
      </c>
      <c r="DX52" s="676" t="s">
        <v>1134</v>
      </c>
      <c r="DY52" s="677" t="s">
        <v>1255</v>
      </c>
      <c r="DZ52" s="676" t="s">
        <v>1134</v>
      </c>
      <c r="EA52" s="678" t="s">
        <v>521</v>
      </c>
      <c r="EB52" s="676" t="s">
        <v>1135</v>
      </c>
      <c r="EC52" s="676" t="s">
        <v>1134</v>
      </c>
      <c r="ED52" s="676" t="s">
        <v>1136</v>
      </c>
    </row>
    <row r="53" spans="1:134" x14ac:dyDescent="0.2">
      <c r="A53" s="277" t="s">
        <v>569</v>
      </c>
      <c r="B53" s="633">
        <v>46</v>
      </c>
      <c r="C53" s="891">
        <v>0</v>
      </c>
      <c r="D53" s="891">
        <v>0</v>
      </c>
      <c r="E53" s="891">
        <v>0</v>
      </c>
      <c r="F53" s="866">
        <v>0</v>
      </c>
      <c r="G53" s="891">
        <v>0</v>
      </c>
      <c r="H53" s="891">
        <v>0</v>
      </c>
      <c r="I53" s="828">
        <f t="shared" si="0"/>
        <v>0</v>
      </c>
      <c r="J53" s="892">
        <v>0</v>
      </c>
      <c r="K53" s="892">
        <v>0</v>
      </c>
      <c r="L53" s="891">
        <v>0</v>
      </c>
      <c r="M53" s="802">
        <v>0</v>
      </c>
      <c r="N53" s="892">
        <v>0</v>
      </c>
      <c r="O53" s="893">
        <v>0</v>
      </c>
      <c r="P53" s="892">
        <v>0</v>
      </c>
      <c r="Q53" s="892">
        <v>0</v>
      </c>
      <c r="R53" s="781">
        <v>0</v>
      </c>
      <c r="S53" s="891">
        <v>0</v>
      </c>
      <c r="T53" s="891">
        <v>0</v>
      </c>
      <c r="U53" s="893">
        <v>0</v>
      </c>
      <c r="V53" s="892">
        <v>0</v>
      </c>
      <c r="W53" s="891">
        <v>0</v>
      </c>
      <c r="X53" s="783">
        <v>0</v>
      </c>
      <c r="Y53" s="891">
        <v>0</v>
      </c>
      <c r="Z53" s="893">
        <v>0</v>
      </c>
      <c r="AA53" s="802">
        <v>0</v>
      </c>
      <c r="AB53" s="891">
        <v>0</v>
      </c>
      <c r="AC53" s="894">
        <v>0</v>
      </c>
      <c r="AD53" s="893">
        <v>0</v>
      </c>
      <c r="AE53" s="894">
        <v>0</v>
      </c>
      <c r="AF53" s="894">
        <v>0</v>
      </c>
      <c r="AG53" s="827">
        <f t="shared" si="1"/>
        <v>0</v>
      </c>
      <c r="AH53" s="827">
        <f t="shared" si="2"/>
        <v>0</v>
      </c>
      <c r="AI53" s="476">
        <f t="shared" si="3"/>
        <v>0</v>
      </c>
      <c r="AJ53" s="467" t="str">
        <f t="shared" si="4"/>
        <v xml:space="preserve"> </v>
      </c>
      <c r="AS53" s="139" t="s">
        <v>544</v>
      </c>
      <c r="AT53" s="139" t="s">
        <v>545</v>
      </c>
      <c r="DS53" s="680"/>
      <c r="DT53" s="680"/>
      <c r="DU53" s="676" t="s">
        <v>415</v>
      </c>
      <c r="DV53" s="676" t="s">
        <v>1188</v>
      </c>
      <c r="DW53" s="676" t="s">
        <v>1134</v>
      </c>
      <c r="DX53" s="676" t="s">
        <v>1134</v>
      </c>
      <c r="DY53" s="677" t="s">
        <v>1255</v>
      </c>
      <c r="DZ53" s="676" t="s">
        <v>1134</v>
      </c>
      <c r="EA53" s="678" t="s">
        <v>544</v>
      </c>
      <c r="EB53" s="676" t="s">
        <v>1135</v>
      </c>
      <c r="EC53" s="676" t="s">
        <v>1134</v>
      </c>
      <c r="ED53" s="676" t="s">
        <v>1136</v>
      </c>
    </row>
    <row r="54" spans="1:134" x14ac:dyDescent="0.2">
      <c r="A54" s="277" t="s">
        <v>99</v>
      </c>
      <c r="B54" s="633">
        <v>47</v>
      </c>
      <c r="C54" s="891">
        <v>0</v>
      </c>
      <c r="D54" s="891">
        <v>0</v>
      </c>
      <c r="E54" s="891">
        <v>0</v>
      </c>
      <c r="F54" s="866">
        <v>0</v>
      </c>
      <c r="G54" s="891">
        <v>0</v>
      </c>
      <c r="H54" s="891">
        <v>0</v>
      </c>
      <c r="I54" s="828">
        <f t="shared" si="0"/>
        <v>0</v>
      </c>
      <c r="J54" s="892">
        <v>0</v>
      </c>
      <c r="K54" s="892">
        <v>0</v>
      </c>
      <c r="L54" s="891">
        <v>0</v>
      </c>
      <c r="M54" s="802">
        <v>0</v>
      </c>
      <c r="N54" s="892">
        <v>0</v>
      </c>
      <c r="O54" s="893">
        <v>0</v>
      </c>
      <c r="P54" s="892">
        <v>0</v>
      </c>
      <c r="Q54" s="892">
        <v>0</v>
      </c>
      <c r="R54" s="781">
        <v>0</v>
      </c>
      <c r="S54" s="891">
        <v>0</v>
      </c>
      <c r="T54" s="891">
        <v>0</v>
      </c>
      <c r="U54" s="893">
        <v>0</v>
      </c>
      <c r="V54" s="892">
        <v>0</v>
      </c>
      <c r="W54" s="891">
        <v>0</v>
      </c>
      <c r="X54" s="783">
        <v>0</v>
      </c>
      <c r="Y54" s="891">
        <v>0</v>
      </c>
      <c r="Z54" s="893">
        <v>0</v>
      </c>
      <c r="AA54" s="802">
        <v>0</v>
      </c>
      <c r="AB54" s="891">
        <v>0</v>
      </c>
      <c r="AC54" s="894">
        <v>0</v>
      </c>
      <c r="AD54" s="893">
        <v>0</v>
      </c>
      <c r="AE54" s="894">
        <v>0</v>
      </c>
      <c r="AF54" s="894">
        <v>0</v>
      </c>
      <c r="AG54" s="827">
        <f t="shared" si="1"/>
        <v>0</v>
      </c>
      <c r="AH54" s="827">
        <f t="shared" si="2"/>
        <v>0</v>
      </c>
      <c r="AI54" s="476">
        <f t="shared" si="3"/>
        <v>0</v>
      </c>
      <c r="AJ54" s="467" t="str">
        <f t="shared" si="4"/>
        <v xml:space="preserve"> </v>
      </c>
      <c r="AS54" s="139" t="s">
        <v>277</v>
      </c>
      <c r="AT54" s="139" t="s">
        <v>276</v>
      </c>
      <c r="DS54" s="680"/>
      <c r="DT54" s="680"/>
      <c r="DU54" s="676" t="s">
        <v>415</v>
      </c>
      <c r="DV54" s="676" t="s">
        <v>1188</v>
      </c>
      <c r="DW54" s="676" t="s">
        <v>1134</v>
      </c>
      <c r="DX54" s="676" t="s">
        <v>1134</v>
      </c>
      <c r="DY54" s="677" t="s">
        <v>1255</v>
      </c>
      <c r="DZ54" s="676" t="s">
        <v>1134</v>
      </c>
      <c r="EA54" s="678" t="s">
        <v>277</v>
      </c>
      <c r="EB54" s="676" t="s">
        <v>1135</v>
      </c>
      <c r="EC54" s="676" t="s">
        <v>1134</v>
      </c>
      <c r="ED54" s="676" t="s">
        <v>1136</v>
      </c>
    </row>
    <row r="55" spans="1:134" x14ac:dyDescent="0.2">
      <c r="A55" s="277" t="s">
        <v>570</v>
      </c>
      <c r="B55" s="633">
        <v>48</v>
      </c>
      <c r="C55" s="891">
        <v>0</v>
      </c>
      <c r="D55" s="891">
        <v>0</v>
      </c>
      <c r="E55" s="891">
        <v>0</v>
      </c>
      <c r="F55" s="866">
        <v>0</v>
      </c>
      <c r="G55" s="891">
        <v>0</v>
      </c>
      <c r="H55" s="891">
        <v>0</v>
      </c>
      <c r="I55" s="828">
        <f t="shared" si="0"/>
        <v>0</v>
      </c>
      <c r="J55" s="892">
        <v>0</v>
      </c>
      <c r="K55" s="892">
        <v>0</v>
      </c>
      <c r="L55" s="891">
        <v>0</v>
      </c>
      <c r="M55" s="802">
        <v>0</v>
      </c>
      <c r="N55" s="892">
        <v>0</v>
      </c>
      <c r="O55" s="893">
        <v>0</v>
      </c>
      <c r="P55" s="892">
        <v>0</v>
      </c>
      <c r="Q55" s="892">
        <v>0</v>
      </c>
      <c r="R55" s="781">
        <v>0</v>
      </c>
      <c r="S55" s="891">
        <v>0</v>
      </c>
      <c r="T55" s="891">
        <v>0</v>
      </c>
      <c r="U55" s="893">
        <v>0</v>
      </c>
      <c r="V55" s="892">
        <v>0</v>
      </c>
      <c r="W55" s="891">
        <v>0</v>
      </c>
      <c r="X55" s="783">
        <v>0</v>
      </c>
      <c r="Y55" s="891">
        <v>0</v>
      </c>
      <c r="Z55" s="893">
        <v>0</v>
      </c>
      <c r="AA55" s="802">
        <v>0</v>
      </c>
      <c r="AB55" s="891">
        <v>0</v>
      </c>
      <c r="AC55" s="894">
        <v>0</v>
      </c>
      <c r="AD55" s="893">
        <v>0</v>
      </c>
      <c r="AE55" s="894">
        <v>0</v>
      </c>
      <c r="AF55" s="894">
        <v>0</v>
      </c>
      <c r="AG55" s="827">
        <f t="shared" si="1"/>
        <v>0</v>
      </c>
      <c r="AH55" s="827">
        <f t="shared" si="2"/>
        <v>0</v>
      </c>
      <c r="AI55" s="476">
        <f t="shared" si="3"/>
        <v>0</v>
      </c>
      <c r="AJ55" s="467" t="str">
        <f t="shared" si="4"/>
        <v xml:space="preserve"> </v>
      </c>
      <c r="AS55" s="139" t="s">
        <v>546</v>
      </c>
      <c r="AT55" s="139" t="s">
        <v>547</v>
      </c>
      <c r="DS55" s="680"/>
      <c r="DT55" s="680"/>
      <c r="DU55" s="676" t="s">
        <v>415</v>
      </c>
      <c r="DV55" s="676" t="s">
        <v>1188</v>
      </c>
      <c r="DW55" s="676" t="s">
        <v>1134</v>
      </c>
      <c r="DX55" s="676" t="s">
        <v>1134</v>
      </c>
      <c r="DY55" s="677" t="s">
        <v>1255</v>
      </c>
      <c r="DZ55" s="676" t="s">
        <v>1134</v>
      </c>
      <c r="EA55" s="678" t="s">
        <v>546</v>
      </c>
      <c r="EB55" s="676" t="s">
        <v>1135</v>
      </c>
      <c r="EC55" s="676" t="s">
        <v>1134</v>
      </c>
      <c r="ED55" s="676" t="s">
        <v>1136</v>
      </c>
    </row>
    <row r="56" spans="1:134" x14ac:dyDescent="0.2">
      <c r="A56" s="277" t="s">
        <v>135</v>
      </c>
      <c r="B56" s="633">
        <v>49</v>
      </c>
      <c r="C56" s="891">
        <v>0</v>
      </c>
      <c r="D56" s="891">
        <v>0</v>
      </c>
      <c r="E56" s="891">
        <v>0</v>
      </c>
      <c r="F56" s="866">
        <v>0</v>
      </c>
      <c r="G56" s="891">
        <v>0</v>
      </c>
      <c r="H56" s="891">
        <v>0</v>
      </c>
      <c r="I56" s="828">
        <f t="shared" si="0"/>
        <v>0</v>
      </c>
      <c r="J56" s="892">
        <v>0</v>
      </c>
      <c r="K56" s="892">
        <v>0</v>
      </c>
      <c r="L56" s="891">
        <v>0</v>
      </c>
      <c r="M56" s="802">
        <v>0</v>
      </c>
      <c r="N56" s="892">
        <v>0</v>
      </c>
      <c r="O56" s="893">
        <v>0</v>
      </c>
      <c r="P56" s="892">
        <v>0</v>
      </c>
      <c r="Q56" s="892">
        <v>0</v>
      </c>
      <c r="R56" s="781">
        <v>0</v>
      </c>
      <c r="S56" s="891">
        <v>0</v>
      </c>
      <c r="T56" s="891">
        <v>0</v>
      </c>
      <c r="U56" s="893">
        <v>0</v>
      </c>
      <c r="V56" s="892">
        <v>0</v>
      </c>
      <c r="W56" s="891">
        <v>0</v>
      </c>
      <c r="X56" s="783">
        <v>0</v>
      </c>
      <c r="Y56" s="891">
        <v>0</v>
      </c>
      <c r="Z56" s="893">
        <v>0</v>
      </c>
      <c r="AA56" s="802">
        <v>0</v>
      </c>
      <c r="AB56" s="891">
        <v>0</v>
      </c>
      <c r="AC56" s="894">
        <v>0</v>
      </c>
      <c r="AD56" s="893">
        <v>0</v>
      </c>
      <c r="AE56" s="894">
        <v>0</v>
      </c>
      <c r="AF56" s="894">
        <v>0</v>
      </c>
      <c r="AG56" s="827">
        <f t="shared" si="1"/>
        <v>0</v>
      </c>
      <c r="AH56" s="827">
        <f t="shared" si="2"/>
        <v>0</v>
      </c>
      <c r="AI56" s="476">
        <f t="shared" si="3"/>
        <v>0</v>
      </c>
      <c r="AJ56" s="467" t="str">
        <f t="shared" si="4"/>
        <v xml:space="preserve"> </v>
      </c>
      <c r="AS56" s="139" t="s">
        <v>279</v>
      </c>
      <c r="AT56" s="139" t="s">
        <v>278</v>
      </c>
      <c r="DS56" s="680"/>
      <c r="DT56" s="680"/>
      <c r="DU56" s="676" t="s">
        <v>415</v>
      </c>
      <c r="DV56" s="676" t="s">
        <v>1188</v>
      </c>
      <c r="DW56" s="676" t="s">
        <v>1134</v>
      </c>
      <c r="DX56" s="676" t="s">
        <v>1134</v>
      </c>
      <c r="DY56" s="677" t="s">
        <v>1255</v>
      </c>
      <c r="DZ56" s="676" t="s">
        <v>1134</v>
      </c>
      <c r="EA56" s="678" t="s">
        <v>279</v>
      </c>
      <c r="EB56" s="676" t="s">
        <v>1135</v>
      </c>
      <c r="EC56" s="676" t="s">
        <v>1134</v>
      </c>
      <c r="ED56" s="676" t="s">
        <v>1136</v>
      </c>
    </row>
    <row r="57" spans="1:134" x14ac:dyDescent="0.2">
      <c r="A57" s="277" t="s">
        <v>136</v>
      </c>
      <c r="B57" s="633">
        <v>50</v>
      </c>
      <c r="C57" s="891">
        <v>0</v>
      </c>
      <c r="D57" s="891">
        <v>0</v>
      </c>
      <c r="E57" s="891">
        <v>0</v>
      </c>
      <c r="F57" s="866">
        <v>0</v>
      </c>
      <c r="G57" s="891">
        <v>0</v>
      </c>
      <c r="H57" s="891">
        <v>0</v>
      </c>
      <c r="I57" s="828">
        <f t="shared" si="0"/>
        <v>0</v>
      </c>
      <c r="J57" s="892">
        <v>0</v>
      </c>
      <c r="K57" s="892">
        <v>0</v>
      </c>
      <c r="L57" s="891">
        <v>0</v>
      </c>
      <c r="M57" s="802">
        <v>0</v>
      </c>
      <c r="N57" s="892">
        <v>0</v>
      </c>
      <c r="O57" s="893">
        <v>0</v>
      </c>
      <c r="P57" s="892">
        <v>0</v>
      </c>
      <c r="Q57" s="892">
        <v>0</v>
      </c>
      <c r="R57" s="781">
        <v>0</v>
      </c>
      <c r="S57" s="891">
        <v>0</v>
      </c>
      <c r="T57" s="891">
        <v>0</v>
      </c>
      <c r="U57" s="893">
        <v>0</v>
      </c>
      <c r="V57" s="892">
        <v>0</v>
      </c>
      <c r="W57" s="891">
        <v>0</v>
      </c>
      <c r="X57" s="783">
        <v>0</v>
      </c>
      <c r="Y57" s="891">
        <v>0</v>
      </c>
      <c r="Z57" s="893">
        <v>0</v>
      </c>
      <c r="AA57" s="802">
        <v>0</v>
      </c>
      <c r="AB57" s="891">
        <v>0</v>
      </c>
      <c r="AC57" s="894">
        <v>0</v>
      </c>
      <c r="AD57" s="893">
        <v>0</v>
      </c>
      <c r="AE57" s="894">
        <v>0</v>
      </c>
      <c r="AF57" s="894">
        <v>0</v>
      </c>
      <c r="AG57" s="827">
        <f t="shared" si="1"/>
        <v>0</v>
      </c>
      <c r="AH57" s="827">
        <f t="shared" si="2"/>
        <v>0</v>
      </c>
      <c r="AI57" s="476">
        <f t="shared" si="3"/>
        <v>0</v>
      </c>
      <c r="AJ57" s="467" t="str">
        <f t="shared" si="4"/>
        <v xml:space="preserve"> </v>
      </c>
      <c r="AS57" s="139" t="s">
        <v>281</v>
      </c>
      <c r="AT57" s="139" t="s">
        <v>280</v>
      </c>
      <c r="DS57" s="680"/>
      <c r="DT57" s="680"/>
      <c r="DU57" s="676" t="s">
        <v>415</v>
      </c>
      <c r="DV57" s="676" t="s">
        <v>1188</v>
      </c>
      <c r="DW57" s="676" t="s">
        <v>1134</v>
      </c>
      <c r="DX57" s="676" t="s">
        <v>1134</v>
      </c>
      <c r="DY57" s="677" t="s">
        <v>1255</v>
      </c>
      <c r="DZ57" s="676" t="s">
        <v>1134</v>
      </c>
      <c r="EA57" s="678" t="s">
        <v>281</v>
      </c>
      <c r="EB57" s="676" t="s">
        <v>1135</v>
      </c>
      <c r="EC57" s="676" t="s">
        <v>1134</v>
      </c>
      <c r="ED57" s="676" t="s">
        <v>1136</v>
      </c>
    </row>
    <row r="58" spans="1:134" x14ac:dyDescent="0.2">
      <c r="A58" s="277" t="s">
        <v>137</v>
      </c>
      <c r="B58" s="633">
        <v>51</v>
      </c>
      <c r="C58" s="891">
        <v>0</v>
      </c>
      <c r="D58" s="891">
        <v>0</v>
      </c>
      <c r="E58" s="891">
        <v>0</v>
      </c>
      <c r="F58" s="866">
        <v>0</v>
      </c>
      <c r="G58" s="891">
        <v>0</v>
      </c>
      <c r="H58" s="891">
        <v>0</v>
      </c>
      <c r="I58" s="828">
        <f t="shared" si="0"/>
        <v>0</v>
      </c>
      <c r="J58" s="892">
        <v>0</v>
      </c>
      <c r="K58" s="892">
        <v>0</v>
      </c>
      <c r="L58" s="891">
        <v>0</v>
      </c>
      <c r="M58" s="802">
        <v>0</v>
      </c>
      <c r="N58" s="892">
        <v>0</v>
      </c>
      <c r="O58" s="893">
        <v>0</v>
      </c>
      <c r="P58" s="892">
        <v>0</v>
      </c>
      <c r="Q58" s="892">
        <v>0</v>
      </c>
      <c r="R58" s="781">
        <v>0</v>
      </c>
      <c r="S58" s="891">
        <v>0</v>
      </c>
      <c r="T58" s="891">
        <v>0</v>
      </c>
      <c r="U58" s="893">
        <v>0</v>
      </c>
      <c r="V58" s="892">
        <v>0</v>
      </c>
      <c r="W58" s="891">
        <v>0</v>
      </c>
      <c r="X58" s="783">
        <v>0</v>
      </c>
      <c r="Y58" s="891">
        <v>0</v>
      </c>
      <c r="Z58" s="893">
        <v>0</v>
      </c>
      <c r="AA58" s="802">
        <v>0</v>
      </c>
      <c r="AB58" s="891">
        <v>0</v>
      </c>
      <c r="AC58" s="894">
        <v>0</v>
      </c>
      <c r="AD58" s="893">
        <v>0</v>
      </c>
      <c r="AE58" s="894">
        <v>0</v>
      </c>
      <c r="AF58" s="894">
        <v>0</v>
      </c>
      <c r="AG58" s="827">
        <f t="shared" si="1"/>
        <v>0</v>
      </c>
      <c r="AH58" s="827">
        <f t="shared" si="2"/>
        <v>0</v>
      </c>
      <c r="AI58" s="476">
        <f t="shared" si="3"/>
        <v>0</v>
      </c>
      <c r="AJ58" s="467" t="str">
        <f t="shared" si="4"/>
        <v xml:space="preserve"> </v>
      </c>
      <c r="AS58" s="139" t="s">
        <v>283</v>
      </c>
      <c r="AT58" s="139" t="s">
        <v>282</v>
      </c>
      <c r="DS58" s="680"/>
      <c r="DT58" s="680"/>
      <c r="DU58" s="676" t="s">
        <v>415</v>
      </c>
      <c r="DV58" s="676" t="s">
        <v>1188</v>
      </c>
      <c r="DW58" s="676" t="s">
        <v>1134</v>
      </c>
      <c r="DX58" s="676" t="s">
        <v>1134</v>
      </c>
      <c r="DY58" s="677" t="s">
        <v>1255</v>
      </c>
      <c r="DZ58" s="676" t="s">
        <v>1134</v>
      </c>
      <c r="EA58" s="678" t="s">
        <v>283</v>
      </c>
      <c r="EB58" s="676" t="s">
        <v>1135</v>
      </c>
      <c r="EC58" s="676" t="s">
        <v>1134</v>
      </c>
      <c r="ED58" s="676" t="s">
        <v>1136</v>
      </c>
    </row>
    <row r="59" spans="1:134" x14ac:dyDescent="0.2">
      <c r="A59" s="277" t="s">
        <v>138</v>
      </c>
      <c r="B59" s="633">
        <v>52</v>
      </c>
      <c r="C59" s="891">
        <v>0</v>
      </c>
      <c r="D59" s="891">
        <v>0</v>
      </c>
      <c r="E59" s="891">
        <v>0</v>
      </c>
      <c r="F59" s="866">
        <v>0</v>
      </c>
      <c r="G59" s="891">
        <v>0</v>
      </c>
      <c r="H59" s="891">
        <v>0</v>
      </c>
      <c r="I59" s="828">
        <f t="shared" si="0"/>
        <v>0</v>
      </c>
      <c r="J59" s="892">
        <v>0</v>
      </c>
      <c r="K59" s="892">
        <v>0</v>
      </c>
      <c r="L59" s="891">
        <v>0</v>
      </c>
      <c r="M59" s="802">
        <v>0</v>
      </c>
      <c r="N59" s="892">
        <v>0</v>
      </c>
      <c r="O59" s="893">
        <v>0</v>
      </c>
      <c r="P59" s="892">
        <v>0</v>
      </c>
      <c r="Q59" s="892">
        <v>0</v>
      </c>
      <c r="R59" s="781">
        <v>0</v>
      </c>
      <c r="S59" s="891">
        <v>0</v>
      </c>
      <c r="T59" s="891">
        <v>0</v>
      </c>
      <c r="U59" s="893">
        <v>0</v>
      </c>
      <c r="V59" s="892">
        <v>0</v>
      </c>
      <c r="W59" s="891">
        <v>0</v>
      </c>
      <c r="X59" s="783">
        <v>0</v>
      </c>
      <c r="Y59" s="891">
        <v>0</v>
      </c>
      <c r="Z59" s="893">
        <v>0</v>
      </c>
      <c r="AA59" s="802">
        <v>0</v>
      </c>
      <c r="AB59" s="891">
        <v>0</v>
      </c>
      <c r="AC59" s="894">
        <v>0</v>
      </c>
      <c r="AD59" s="893">
        <v>0</v>
      </c>
      <c r="AE59" s="894">
        <v>0</v>
      </c>
      <c r="AF59" s="894">
        <v>0</v>
      </c>
      <c r="AG59" s="827">
        <f t="shared" si="1"/>
        <v>0</v>
      </c>
      <c r="AH59" s="827">
        <f t="shared" si="2"/>
        <v>0</v>
      </c>
      <c r="AI59" s="476">
        <f t="shared" si="3"/>
        <v>0</v>
      </c>
      <c r="AJ59" s="467" t="str">
        <f t="shared" si="4"/>
        <v xml:space="preserve"> </v>
      </c>
      <c r="AS59" s="139" t="s">
        <v>285</v>
      </c>
      <c r="AT59" s="139" t="s">
        <v>284</v>
      </c>
      <c r="DS59" s="680"/>
      <c r="DT59" s="680"/>
      <c r="DU59" s="676" t="s">
        <v>415</v>
      </c>
      <c r="DV59" s="676" t="s">
        <v>1188</v>
      </c>
      <c r="DW59" s="676" t="s">
        <v>1134</v>
      </c>
      <c r="DX59" s="676" t="s">
        <v>1134</v>
      </c>
      <c r="DY59" s="677" t="s">
        <v>1255</v>
      </c>
      <c r="DZ59" s="676" t="s">
        <v>1134</v>
      </c>
      <c r="EA59" s="678" t="s">
        <v>285</v>
      </c>
      <c r="EB59" s="676" t="s">
        <v>1135</v>
      </c>
      <c r="EC59" s="676" t="s">
        <v>1134</v>
      </c>
      <c r="ED59" s="676" t="s">
        <v>1136</v>
      </c>
    </row>
    <row r="60" spans="1:134" x14ac:dyDescent="0.2">
      <c r="A60" s="430" t="s">
        <v>565</v>
      </c>
      <c r="B60" s="633">
        <v>53</v>
      </c>
      <c r="C60" s="891">
        <v>0</v>
      </c>
      <c r="D60" s="891">
        <v>0</v>
      </c>
      <c r="E60" s="891">
        <v>0</v>
      </c>
      <c r="F60" s="866">
        <v>0</v>
      </c>
      <c r="G60" s="891">
        <v>0</v>
      </c>
      <c r="H60" s="891">
        <v>0</v>
      </c>
      <c r="I60" s="828">
        <f t="shared" si="0"/>
        <v>0</v>
      </c>
      <c r="J60" s="892">
        <v>0</v>
      </c>
      <c r="K60" s="892">
        <v>0</v>
      </c>
      <c r="L60" s="891">
        <v>0</v>
      </c>
      <c r="M60" s="802">
        <v>0</v>
      </c>
      <c r="N60" s="892">
        <v>0</v>
      </c>
      <c r="O60" s="893">
        <v>0</v>
      </c>
      <c r="P60" s="892">
        <v>0</v>
      </c>
      <c r="Q60" s="892">
        <v>0</v>
      </c>
      <c r="R60" s="781">
        <v>0</v>
      </c>
      <c r="S60" s="891">
        <v>0</v>
      </c>
      <c r="T60" s="891">
        <v>0</v>
      </c>
      <c r="U60" s="893">
        <v>0</v>
      </c>
      <c r="V60" s="892">
        <v>0</v>
      </c>
      <c r="W60" s="891">
        <v>0</v>
      </c>
      <c r="X60" s="783">
        <v>0</v>
      </c>
      <c r="Y60" s="891">
        <v>0</v>
      </c>
      <c r="Z60" s="893">
        <v>0</v>
      </c>
      <c r="AA60" s="802">
        <v>0</v>
      </c>
      <c r="AB60" s="891">
        <v>0</v>
      </c>
      <c r="AC60" s="894">
        <v>0</v>
      </c>
      <c r="AD60" s="893">
        <v>0</v>
      </c>
      <c r="AE60" s="894">
        <v>0</v>
      </c>
      <c r="AF60" s="894">
        <v>0</v>
      </c>
      <c r="AG60" s="827">
        <f t="shared" si="1"/>
        <v>0</v>
      </c>
      <c r="AH60" s="827">
        <f t="shared" si="2"/>
        <v>0</v>
      </c>
      <c r="AI60" s="476">
        <f t="shared" si="3"/>
        <v>0</v>
      </c>
      <c r="AJ60" s="467" t="str">
        <f t="shared" si="4"/>
        <v xml:space="preserve"> </v>
      </c>
      <c r="AS60" s="139" t="s">
        <v>527</v>
      </c>
      <c r="AT60" s="139" t="s">
        <v>528</v>
      </c>
      <c r="DS60" s="680"/>
      <c r="DT60" s="680"/>
      <c r="DU60" s="676" t="s">
        <v>415</v>
      </c>
      <c r="DV60" s="676" t="s">
        <v>1188</v>
      </c>
      <c r="DW60" s="676" t="s">
        <v>1134</v>
      </c>
      <c r="DX60" s="676" t="s">
        <v>1134</v>
      </c>
      <c r="DY60" s="677" t="s">
        <v>1255</v>
      </c>
      <c r="DZ60" s="676" t="s">
        <v>1134</v>
      </c>
      <c r="EA60" s="678" t="s">
        <v>527</v>
      </c>
      <c r="EB60" s="676" t="s">
        <v>1135</v>
      </c>
      <c r="EC60" s="676" t="s">
        <v>1134</v>
      </c>
      <c r="ED60" s="676" t="s">
        <v>1136</v>
      </c>
    </row>
    <row r="61" spans="1:134" x14ac:dyDescent="0.2">
      <c r="A61" s="277" t="s">
        <v>67</v>
      </c>
      <c r="B61" s="633">
        <v>54</v>
      </c>
      <c r="C61" s="891">
        <v>0</v>
      </c>
      <c r="D61" s="891">
        <v>0</v>
      </c>
      <c r="E61" s="891">
        <v>0</v>
      </c>
      <c r="F61" s="866">
        <v>0</v>
      </c>
      <c r="G61" s="891">
        <v>0</v>
      </c>
      <c r="H61" s="891">
        <v>0</v>
      </c>
      <c r="I61" s="828">
        <f t="shared" si="0"/>
        <v>0</v>
      </c>
      <c r="J61" s="892">
        <v>0</v>
      </c>
      <c r="K61" s="892">
        <v>0</v>
      </c>
      <c r="L61" s="894">
        <v>0</v>
      </c>
      <c r="M61" s="802">
        <v>0</v>
      </c>
      <c r="N61" s="895">
        <v>0</v>
      </c>
      <c r="O61" s="893">
        <v>0</v>
      </c>
      <c r="P61" s="892">
        <v>0</v>
      </c>
      <c r="Q61" s="892">
        <v>0</v>
      </c>
      <c r="R61" s="781">
        <v>0</v>
      </c>
      <c r="S61" s="891">
        <v>0</v>
      </c>
      <c r="T61" s="891">
        <v>0</v>
      </c>
      <c r="U61" s="893">
        <v>0</v>
      </c>
      <c r="V61" s="892">
        <v>0</v>
      </c>
      <c r="W61" s="891">
        <v>0</v>
      </c>
      <c r="X61" s="783">
        <v>0</v>
      </c>
      <c r="Y61" s="891">
        <v>0</v>
      </c>
      <c r="Z61" s="893">
        <v>0</v>
      </c>
      <c r="AA61" s="802">
        <v>0</v>
      </c>
      <c r="AB61" s="891">
        <v>0</v>
      </c>
      <c r="AC61" s="894">
        <v>0</v>
      </c>
      <c r="AD61" s="893">
        <v>0</v>
      </c>
      <c r="AE61" s="894">
        <v>0</v>
      </c>
      <c r="AF61" s="894">
        <v>0</v>
      </c>
      <c r="AG61" s="827">
        <f t="shared" si="1"/>
        <v>0</v>
      </c>
      <c r="AH61" s="827">
        <f t="shared" si="2"/>
        <v>0</v>
      </c>
      <c r="AI61" s="476">
        <f t="shared" si="3"/>
        <v>0</v>
      </c>
      <c r="AJ61" s="467" t="str">
        <f t="shared" si="4"/>
        <v xml:space="preserve"> </v>
      </c>
      <c r="AS61" s="139" t="s">
        <v>287</v>
      </c>
      <c r="AT61" s="139" t="s">
        <v>286</v>
      </c>
      <c r="DS61" s="680"/>
      <c r="DT61" s="680"/>
      <c r="DU61" s="676" t="s">
        <v>415</v>
      </c>
      <c r="DV61" s="676" t="s">
        <v>1188</v>
      </c>
      <c r="DW61" s="676" t="s">
        <v>1134</v>
      </c>
      <c r="DX61" s="676" t="s">
        <v>1134</v>
      </c>
      <c r="DY61" s="677" t="s">
        <v>1255</v>
      </c>
      <c r="DZ61" s="676" t="s">
        <v>1134</v>
      </c>
      <c r="EA61" s="678" t="s">
        <v>287</v>
      </c>
      <c r="EB61" s="676" t="s">
        <v>1135</v>
      </c>
      <c r="EC61" s="676" t="s">
        <v>1134</v>
      </c>
      <c r="ED61" s="676" t="s">
        <v>1136</v>
      </c>
    </row>
    <row r="62" spans="1:134" x14ac:dyDescent="0.2">
      <c r="A62" s="277" t="s">
        <v>139</v>
      </c>
      <c r="B62" s="633">
        <v>55</v>
      </c>
      <c r="C62" s="891">
        <v>0</v>
      </c>
      <c r="D62" s="891">
        <v>0</v>
      </c>
      <c r="E62" s="891">
        <v>0</v>
      </c>
      <c r="F62" s="866">
        <v>0</v>
      </c>
      <c r="G62" s="891">
        <v>0</v>
      </c>
      <c r="H62" s="891">
        <v>0</v>
      </c>
      <c r="I62" s="828">
        <f t="shared" si="0"/>
        <v>0</v>
      </c>
      <c r="J62" s="892">
        <v>0</v>
      </c>
      <c r="K62" s="892">
        <v>0</v>
      </c>
      <c r="L62" s="894">
        <v>0</v>
      </c>
      <c r="M62" s="802">
        <v>0</v>
      </c>
      <c r="N62" s="895">
        <v>0</v>
      </c>
      <c r="O62" s="893">
        <v>0</v>
      </c>
      <c r="P62" s="892">
        <v>0</v>
      </c>
      <c r="Q62" s="892">
        <v>0</v>
      </c>
      <c r="R62" s="781">
        <v>0</v>
      </c>
      <c r="S62" s="891">
        <v>0</v>
      </c>
      <c r="T62" s="891">
        <v>0</v>
      </c>
      <c r="U62" s="893">
        <v>0</v>
      </c>
      <c r="V62" s="892">
        <v>0</v>
      </c>
      <c r="W62" s="891">
        <v>0</v>
      </c>
      <c r="X62" s="783">
        <v>0</v>
      </c>
      <c r="Y62" s="891">
        <v>0</v>
      </c>
      <c r="Z62" s="893">
        <v>0</v>
      </c>
      <c r="AA62" s="802">
        <v>0</v>
      </c>
      <c r="AB62" s="891">
        <v>0</v>
      </c>
      <c r="AC62" s="894">
        <v>0</v>
      </c>
      <c r="AD62" s="893">
        <v>0</v>
      </c>
      <c r="AE62" s="894">
        <v>0</v>
      </c>
      <c r="AF62" s="894">
        <v>0</v>
      </c>
      <c r="AG62" s="827">
        <f t="shared" si="1"/>
        <v>0</v>
      </c>
      <c r="AH62" s="827">
        <f t="shared" si="2"/>
        <v>0</v>
      </c>
      <c r="AI62" s="476">
        <f t="shared" si="3"/>
        <v>0</v>
      </c>
      <c r="AJ62" s="467" t="str">
        <f t="shared" si="4"/>
        <v xml:space="preserve"> </v>
      </c>
      <c r="AS62" s="139" t="s">
        <v>289</v>
      </c>
      <c r="AT62" s="139" t="s">
        <v>288</v>
      </c>
      <c r="DS62" s="680"/>
      <c r="DT62" s="680"/>
      <c r="DU62" s="676" t="s">
        <v>415</v>
      </c>
      <c r="DV62" s="676" t="s">
        <v>1188</v>
      </c>
      <c r="DW62" s="676" t="s">
        <v>1134</v>
      </c>
      <c r="DX62" s="676" t="s">
        <v>1134</v>
      </c>
      <c r="DY62" s="677" t="s">
        <v>1255</v>
      </c>
      <c r="DZ62" s="676" t="s">
        <v>1134</v>
      </c>
      <c r="EA62" s="678" t="s">
        <v>289</v>
      </c>
      <c r="EB62" s="676" t="s">
        <v>1135</v>
      </c>
      <c r="EC62" s="676" t="s">
        <v>1134</v>
      </c>
      <c r="ED62" s="676" t="s">
        <v>1136</v>
      </c>
    </row>
    <row r="63" spans="1:134" ht="13.5" thickBot="1" x14ac:dyDescent="0.25">
      <c r="A63" s="277" t="s">
        <v>95</v>
      </c>
      <c r="B63" s="633">
        <v>56</v>
      </c>
      <c r="C63" s="891">
        <v>0</v>
      </c>
      <c r="D63" s="891">
        <v>0</v>
      </c>
      <c r="E63" s="891">
        <v>0</v>
      </c>
      <c r="F63" s="866">
        <v>0</v>
      </c>
      <c r="G63" s="891">
        <v>0</v>
      </c>
      <c r="H63" s="891">
        <v>0</v>
      </c>
      <c r="I63" s="828">
        <f t="shared" si="0"/>
        <v>0</v>
      </c>
      <c r="J63" s="892">
        <v>0</v>
      </c>
      <c r="K63" s="892">
        <v>0</v>
      </c>
      <c r="L63" s="894">
        <v>0</v>
      </c>
      <c r="M63" s="867">
        <v>0</v>
      </c>
      <c r="N63" s="895">
        <v>0</v>
      </c>
      <c r="O63" s="893">
        <v>0</v>
      </c>
      <c r="P63" s="892">
        <v>0</v>
      </c>
      <c r="Q63" s="892">
        <v>0</v>
      </c>
      <c r="R63" s="868">
        <v>0</v>
      </c>
      <c r="S63" s="891">
        <v>0</v>
      </c>
      <c r="T63" s="891">
        <v>0</v>
      </c>
      <c r="U63" s="893">
        <v>0</v>
      </c>
      <c r="V63" s="892">
        <v>0</v>
      </c>
      <c r="W63" s="891">
        <v>0</v>
      </c>
      <c r="X63" s="869">
        <v>0</v>
      </c>
      <c r="Y63" s="891">
        <v>0</v>
      </c>
      <c r="Z63" s="893">
        <v>0</v>
      </c>
      <c r="AA63" s="867">
        <v>0</v>
      </c>
      <c r="AB63" s="891">
        <v>0</v>
      </c>
      <c r="AC63" s="894">
        <v>0</v>
      </c>
      <c r="AD63" s="893">
        <v>0</v>
      </c>
      <c r="AE63" s="894">
        <v>0</v>
      </c>
      <c r="AF63" s="894">
        <v>0</v>
      </c>
      <c r="AG63" s="827">
        <f t="shared" si="1"/>
        <v>0</v>
      </c>
      <c r="AH63" s="827">
        <f t="shared" si="2"/>
        <v>0</v>
      </c>
      <c r="AI63" s="476">
        <f t="shared" si="3"/>
        <v>0</v>
      </c>
      <c r="AJ63" s="467" t="str">
        <f t="shared" si="4"/>
        <v xml:space="preserve"> </v>
      </c>
      <c r="AS63" s="143" t="s">
        <v>609</v>
      </c>
      <c r="AT63" s="143" t="s">
        <v>588</v>
      </c>
      <c r="DS63" s="680"/>
      <c r="DT63" s="680"/>
      <c r="DU63" s="676" t="s">
        <v>415</v>
      </c>
      <c r="DV63" s="676" t="s">
        <v>1188</v>
      </c>
      <c r="DW63" s="676" t="s">
        <v>1134</v>
      </c>
      <c r="DX63" s="676" t="s">
        <v>1134</v>
      </c>
      <c r="DY63" s="677" t="s">
        <v>1255</v>
      </c>
      <c r="DZ63" s="676" t="s">
        <v>1134</v>
      </c>
      <c r="EA63" s="678" t="s">
        <v>1186</v>
      </c>
      <c r="EB63" s="676" t="s">
        <v>1135</v>
      </c>
      <c r="EC63" s="676" t="s">
        <v>1134</v>
      </c>
      <c r="ED63" s="676" t="s">
        <v>1136</v>
      </c>
    </row>
    <row r="64" spans="1:134" ht="14.25" thickBot="1" x14ac:dyDescent="0.25">
      <c r="A64" s="73" t="s">
        <v>142</v>
      </c>
      <c r="B64" s="158">
        <v>57</v>
      </c>
      <c r="C64" s="811">
        <f t="shared" ref="C64:H64" si="5">ROUND(SUM(C8:C63),3)</f>
        <v>0</v>
      </c>
      <c r="D64" s="811">
        <f t="shared" si="5"/>
        <v>0</v>
      </c>
      <c r="E64" s="811">
        <f t="shared" si="5"/>
        <v>0</v>
      </c>
      <c r="F64" s="811">
        <f t="shared" si="5"/>
        <v>0</v>
      </c>
      <c r="G64" s="811">
        <f t="shared" si="5"/>
        <v>0</v>
      </c>
      <c r="H64" s="811">
        <f t="shared" si="5"/>
        <v>0</v>
      </c>
      <c r="I64" s="812">
        <f t="shared" si="0"/>
        <v>0</v>
      </c>
      <c r="J64" s="813">
        <f t="shared" ref="J64:AF64" si="6">ROUND(SUM(J8:J63),3)</f>
        <v>0</v>
      </c>
      <c r="K64" s="811">
        <f t="shared" si="6"/>
        <v>0</v>
      </c>
      <c r="L64" s="812">
        <f t="shared" si="6"/>
        <v>0</v>
      </c>
      <c r="M64" s="870">
        <f t="shared" si="6"/>
        <v>0</v>
      </c>
      <c r="N64" s="811">
        <f t="shared" si="6"/>
        <v>0</v>
      </c>
      <c r="O64" s="812">
        <f t="shared" si="6"/>
        <v>0</v>
      </c>
      <c r="P64" s="814">
        <f t="shared" si="6"/>
        <v>0</v>
      </c>
      <c r="Q64" s="811">
        <f t="shared" si="6"/>
        <v>0</v>
      </c>
      <c r="R64" s="871">
        <f t="shared" si="6"/>
        <v>0</v>
      </c>
      <c r="S64" s="811">
        <f t="shared" si="6"/>
        <v>0</v>
      </c>
      <c r="T64" s="811">
        <f t="shared" si="6"/>
        <v>0</v>
      </c>
      <c r="U64" s="812">
        <f t="shared" si="6"/>
        <v>0</v>
      </c>
      <c r="V64" s="814">
        <f t="shared" si="6"/>
        <v>0</v>
      </c>
      <c r="W64" s="811">
        <f t="shared" si="6"/>
        <v>0</v>
      </c>
      <c r="X64" s="872">
        <f t="shared" si="6"/>
        <v>0</v>
      </c>
      <c r="Y64" s="811">
        <f t="shared" si="6"/>
        <v>0</v>
      </c>
      <c r="Z64" s="812">
        <f t="shared" si="6"/>
        <v>0</v>
      </c>
      <c r="AA64" s="870">
        <f t="shared" si="6"/>
        <v>0</v>
      </c>
      <c r="AB64" s="811">
        <f t="shared" si="6"/>
        <v>0</v>
      </c>
      <c r="AC64" s="811">
        <f t="shared" si="6"/>
        <v>0</v>
      </c>
      <c r="AD64" s="812">
        <f t="shared" si="6"/>
        <v>0</v>
      </c>
      <c r="AE64" s="811">
        <f t="shared" si="6"/>
        <v>0</v>
      </c>
      <c r="AF64" s="814">
        <f t="shared" si="6"/>
        <v>0</v>
      </c>
      <c r="AG64" s="811">
        <f t="shared" si="1"/>
        <v>0</v>
      </c>
      <c r="AH64" s="816">
        <f t="shared" si="2"/>
        <v>0</v>
      </c>
      <c r="AI64" s="476">
        <f t="shared" ref="AI64:AI66" si="7">IF(ROUND(I64-SUM(C64:F64,H64),3)=0,0,1)+IF(ROUND(AG64-SUM(J64:M64,P64:R64,U64,X64,AA64,AE64:AF64),3)=0,0,1)+IF(ROUND(AH64-SUM(AG64,I64),3)=0,0,1)</f>
        <v>0</v>
      </c>
      <c r="AJ64" s="467" t="str">
        <f t="shared" ref="AJ64" si="8">IF(AI64=0," ",IF(AI64=1,"A total is not equal to the sum of its components: ",AI64&amp;" totals are not equal to the sum of their components: "))&amp;IF(AI64=0,"",IF(I64-SUM(C64:F64,H64)=0,"","Total crude. ")&amp;IF(AG64-SUM(J64:M64,P64:R64,U64,X64,AA64,AE64:AF64)=0,"","Total products. ")&amp;IF(AH64-SUM(AG64,I64)=0,"","Total oil."))</f>
        <v xml:space="preserve"> </v>
      </c>
      <c r="AS64" s="143" t="s">
        <v>589</v>
      </c>
      <c r="AT64" s="144" t="s">
        <v>615</v>
      </c>
      <c r="DS64" s="680"/>
      <c r="DT64" s="680"/>
      <c r="DU64" s="676" t="s">
        <v>415</v>
      </c>
      <c r="DV64" s="676" t="s">
        <v>1188</v>
      </c>
      <c r="DW64" s="676" t="s">
        <v>1134</v>
      </c>
      <c r="DX64" s="676" t="s">
        <v>1134</v>
      </c>
      <c r="DY64" s="677" t="s">
        <v>1255</v>
      </c>
      <c r="DZ64" s="676" t="s">
        <v>1134</v>
      </c>
      <c r="EA64" s="676" t="s">
        <v>1177</v>
      </c>
      <c r="EB64" s="676" t="s">
        <v>1135</v>
      </c>
      <c r="EC64" s="676" t="s">
        <v>1134</v>
      </c>
      <c r="ED64" s="676" t="s">
        <v>1136</v>
      </c>
    </row>
    <row r="65" spans="1:142" ht="13.5" thickBot="1" x14ac:dyDescent="0.25">
      <c r="A65" s="243"/>
      <c r="B65" s="278"/>
      <c r="C65" s="896"/>
      <c r="D65" s="896"/>
      <c r="E65" s="896"/>
      <c r="F65" s="896"/>
      <c r="G65" s="896"/>
      <c r="H65" s="896"/>
      <c r="I65" s="896"/>
      <c r="J65" s="896"/>
      <c r="K65" s="896"/>
      <c r="L65" s="896"/>
      <c r="M65" s="896"/>
      <c r="N65" s="896"/>
      <c r="O65" s="896"/>
      <c r="P65" s="896"/>
      <c r="Q65" s="896"/>
      <c r="R65" s="896"/>
      <c r="S65" s="896"/>
      <c r="T65" s="896"/>
      <c r="U65" s="896"/>
      <c r="V65" s="896"/>
      <c r="W65" s="896"/>
      <c r="X65" s="896"/>
      <c r="Y65" s="896"/>
      <c r="Z65" s="896"/>
      <c r="AA65" s="896"/>
      <c r="AB65" s="896"/>
      <c r="AC65" s="896"/>
      <c r="AD65" s="896"/>
      <c r="AE65" s="896"/>
      <c r="AF65" s="896"/>
      <c r="AG65" s="896"/>
      <c r="AH65" s="896"/>
      <c r="AI65" s="476"/>
      <c r="AJ65" s="314"/>
      <c r="AS65" s="326"/>
      <c r="AT65" s="260"/>
    </row>
    <row r="66" spans="1:142" ht="13.5" thickBot="1" x14ac:dyDescent="0.25">
      <c r="A66" s="73" t="str">
        <f>IF(EnCMember=1,"Total EnC Contracting Parties","Total EU MS")</f>
        <v>Total EU MS</v>
      </c>
      <c r="B66" s="158">
        <v>58</v>
      </c>
      <c r="C66" s="811">
        <f>ROUND(IF('Table 1'!$G$3&gt;1,IF(EnCMember=1,C8+C14+C47+C27+C37+C43+C44+C53+C60+C11+C13+C15+C20+C21+C22+C23+C24+C25+C26+C28+C29+C30+C32+C34+C38+C39+C40+C41+C45+C49+C50+C51+C54+C55+C56+C57+C61,C11+C13+C15+C20+C21+C22+C23+C24+C25+C26+C28+C29+C30+C32+C34+C38+C39+C40+C41+C45+C49+C50+C51+C54+C55+C56+C57+C61),IF(EnCMember=1,C8+C14+C47+C27+C37+C43+C44+C53+C60+C11+C13+C15+C20+C21+C22+C23+C24+C25+C26+C28+C29+C30+C32+C34+C38+C39+C40+C41+C45+C49+C50+C51+C54+C55+C56+C57,C11+C13+C15+C20+C21+C22+C23+C24+C25+C26+C28+C29+C30+C32+C34+C38+C39+C40+C41+C45+C49+C50+C51+C54+C55+C56+C57)),3)</f>
        <v>0</v>
      </c>
      <c r="D66" s="811">
        <f>ROUND(IF('Table 1'!$G$3&gt;1,IF(EnCMember=1,D8+D14+D47+D27+D37+D43+D44+D53+D60+D11+D13+D15+D20+D21+D22+D23+D24+D25+D26+D28+D29+D30+D32+D34+D38+D39+D40+D41+D45+D49+D50+D51+D54+D55+D56+D57+D61,D11+D13+D15+D20+D21+D22+D23+D24+D25+D26+D28+D29+D30+D32+D34+D38+D39+D40+D41+D45+D49+D50+D51+D54+D55+D56+D57+D61),IF(EnCMember=1,D8+D14+D47+D27+D37+D43+D44+D53+D60+D11+D13+D15+D20+D21+D22+D23+D24+D25+D26+D28+D29+D30+D32+D34+D38+D39+D40+D41+D45+D49+D50+D51+D54+D55+D56+D57,D11+D13+D15+D20+D21+D22+D23+D24+D25+D26+D28+D29+D30+D32+D34+D38+D39+D40+D41+D45+D49+D50+D51+D54+D55+D56+D57)),3)</f>
        <v>0</v>
      </c>
      <c r="E66" s="811">
        <f>ROUND(IF('Table 1'!$G$3&gt;1,IF(EnCMember=1,E8+E14+E47+E27+E37+E43+E44+E53+E60+E11+E13+E15+E20+E21+E22+E23+E24+E25+E26+E28+E29+E30+E32+E34+E38+E39+E40+E41+E45+E49+E50+E51+E54+E55+E56+E57+E61,E11+E13+E15+E20+E21+E22+E23+E24+E25+E26+E28+E29+E30+E32+E34+E38+E39+E40+E41+E45+E49+E50+E51+E54+E55+E56+E57+E61),IF(EnCMember=1,E8+E14+E47+E27+E37+E43+E44+E53+E60+E11+E13+E15+E20+E21+E22+E23+E24+E25+E26+E28+E29+E30+E32+E34+E38+E39+E40+E41+E45+E49+E50+E51+E54+E55+E56+E57,E11+E13+E15+E20+E21+E22+E23+E24+E25+E26+E28+E29+E30+E32+E34+E38+E39+E40+E41+E45+E49+E50+E51+E54+E55+E56+E57)),3)</f>
        <v>0</v>
      </c>
      <c r="F66" s="811">
        <f>ROUND(IF('Table 1'!$G$3&gt;1,IF(EnCMember=1,F8+F14+F47+F27+F37+F43+F44+F53+F60+F11+F13+F15+F20+F21+F22+F23+F24+F25+F26+F28+F29+F30+F32+F34+F38+F39+F40+F41+F45+F49+F50+F51+F54+F55+F56+F57+F61,F11+F13+F15+F20+F21+F22+F23+F24+F25+F26+F28+F29+F30+F32+F34+F38+F39+F40+F41+F45+F49+F50+F51+F54+F55+F56+F57+F61),IF(EnCMember=1,F8+F14+F47+F27+F37+F43+F44+F53+F60+F11+F13+F15+F20+F21+F22+F23+F24+F25+F26+F28+F29+F30+F32+F34+F38+F39+F40+F41+F45+F49+F50+F51+F54+F55+F56+F57,F11+F13+F15+F20+F21+F22+F23+F24+F25+F26+F28+F29+F30+F32+F34+F38+F39+F40+F41+F45+F49+F50+F51+F54+F55+F56+F57)),3)</f>
        <v>0</v>
      </c>
      <c r="G66" s="811">
        <f>ROUND(IF('Table 1'!$G$3&gt;1,IF(EnCMember=1,G8+G14+G47+G27+G37+G43+G44+G53+G60+G11+G13+G15+G20+G21+G22+G23+G24+G25+G26+G28+G29+G30+G32+G34+G38+G39+G40+G41+G45+G49+G50+G51+G54+G55+G56+G57+G61,G11+G13+G15+G20+G21+G22+G23+G24+G25+G26+G28+G29+G30+G32+G34+G38+G39+G40+G41+G45+G49+G50+G51+G54+G55+G56+G57+G61),IF(EnCMember=1,G8+G14+G47+G27+G37+G43+G44+G53+G60+G11+G13+G15+G20+G21+G22+G23+G24+G25+G26+G28+G29+G30+G32+G34+G38+G39+G40+G41+G45+G49+G50+G51+G54+G55+G56+G57,G11+G13+G15+G20+G21+G22+G23+G24+G25+G26+G28+G29+G30+G32+G34+G38+G39+G40+G41+G45+G49+G50+G51+G54+G55+G56+G57)),3)</f>
        <v>0</v>
      </c>
      <c r="H66" s="811">
        <f>ROUND(IF('Table 1'!$G$3&gt;1,IF(EnCMember=1,H8+H14+H47+H27+H37+H43+H44+H53+H60+H11+H13+H15+H20+H21+H22+H23+H24+H25+H26+H28+H29+H30+H32+H34+H38+H39+H40+H41+H45+H49+H50+H51+H54+H55+H56+H57+H61,H11+H13+H15+H20+H21+H22+H23+H24+H25+H26+H28+H29+H30+H32+H34+H38+H39+H40+H41+H45+H49+H50+H51+H54+H55+H56+H57+H61),IF(EnCMember=1,H8+H14+H47+H27+H37+H43+H44+H53+H60+H11+H13+H15+H20+H21+H22+H23+H24+H25+H26+H28+H29+H30+H32+H34+H38+H39+H40+H41+H45+H49+H50+H51+H54+H55+H56+H57,H11+H13+H15+H20+H21+H22+H23+H24+H25+H26+H28+H29+H30+H32+H34+H38+H39+H40+H41+H45+H49+H50+H51+H54+H55+H56+H57)),3)</f>
        <v>0</v>
      </c>
      <c r="I66" s="812">
        <f>ROUND(IF('Table 1'!$G$3&gt;1,IF(EnCMember=1,I8+I14+I47+I27+I37+I43+I44+I53+I60+I11+I13+I15+I20+I21+I22+I23+I24+I25+I26+I28+I29+I30+I32+I34+I38+I39+I40+I41+I45+I49+I50+I51+I54+I55+I56+I57+I61,I11+I13+I15+I20+I21+I22+I23+I24+I25+I26+I28+I29+I30+I32+I34+I38+I39+I40+I41+I45+I49+I50+I51+I54+I55+I56+I57+I61),IF(EnCMember=1,I8+I14+I47+I27+I37+I43+I44+I53+I60+I11+I13+I15+I20+I21+I22+I23+I24+I25+I26+I28+I29+I30+I32+I34+I38+I39+I40+I41+I45+I49+I50+I51+I54+I55+I56+I57,I11+I13+I15+I20+I21+I22+I23+I24+I25+I26+I28+I29+I30+I32+I34+I38+I39+I40+I41+I45+I49+I50+I51+I54+I55+I56+I57)),3)</f>
        <v>0</v>
      </c>
      <c r="J66" s="813">
        <f>ROUND(IF('Table 1'!$G$3&gt;1,IF(EnCMember=1,J8+J14+J47+J27+J37+J43+J44+J53+J60+J11+J13+J15+J20+J21+J22+J23+J24+J25+J26+J28+J29+J30+J32+J34+J38+J39+J40+J41+J45+J49+J50+J51+J54+J55+J56+J57+J61,J11+J13+J15+J20+J21+J22+J23+J24+J25+J26+J28+J29+J30+J32+J34+J38+J39+J40+J41+J45+J49+J50+J51+J54+J55+J56+J57+J61),IF(EnCMember=1,J8+J14+J47+J27+J37+J43+J44+J53+J60+J11+J13+J15+J20+J21+J22+J23+J24+J25+J26+J28+J29+J30+J32+J34+J38+J39+J40+J41+J45+J49+J50+J51+J54+J55+J56+J57,J11+J13+J15+J20+J21+J22+J23+J24+J25+J26+J28+J29+J30+J32+J34+J38+J39+J40+J41+J45+J49+J50+J51+J54+J55+J56+J57)),3)</f>
        <v>0</v>
      </c>
      <c r="K66" s="811">
        <f>ROUND(IF('Table 1'!$G$3&gt;1,IF(EnCMember=1,K8+K14+K47+K27+K37+K43+K44+K53+K60+K11+K13+K15+K20+K21+K22+K23+K24+K25+K26+K28+K29+K30+K32+K34+K38+K39+K40+K41+K45+K49+K50+K51+K54+K55+K56+K57+K61,K11+K13+K15+K20+K21+K22+K23+K24+K25+K26+K28+K29+K30+K32+K34+K38+K39+K40+K41+K45+K49+K50+K51+K54+K55+K56+K57+K61),IF(EnCMember=1,K8+K14+K47+K27+K37+K43+K44+K53+K60+K11+K13+K15+K20+K21+K22+K23+K24+K25+K26+K28+K29+K30+K32+K34+K38+K39+K40+K41+K45+K49+K50+K51+K54+K55+K56+K57,K11+K13+K15+K20+K21+K22+K23+K24+K25+K26+K28+K29+K30+K32+K34+K38+K39+K40+K41+K45+K49+K50+K51+K54+K55+K56+K57)),3)</f>
        <v>0</v>
      </c>
      <c r="L66" s="812">
        <f>ROUND(IF('Table 1'!$G$3&gt;1,IF(EnCMember=1,L8+L14+L47+L27+L37+L43+L44+L53+L60+L11+L13+L15+L20+L21+L22+L23+L24+L25+L26+L28+L29+L30+L32+L34+L38+L39+L40+L41+L45+L49+L50+L51+L54+L55+L56+L57+L61,L11+L13+L15+L20+L21+L22+L23+L24+L25+L26+L28+L29+L30+L32+L34+L38+L39+L40+L41+L45+L49+L50+L51+L54+L55+L56+L57+L61),IF(EnCMember=1,L8+L14+L47+L27+L37+L43+L44+L53+L60+L11+L13+L15+L20+L21+L22+L23+L24+L25+L26+L28+L29+L30+L32+L34+L38+L39+L40+L41+L45+L49+L50+L51+L54+L55+L56+L57,L11+L13+L15+L20+L21+L22+L23+L24+L25+L26+L28+L29+L30+L32+L34+L38+L39+L40+L41+L45+L49+L50+L51+L54+L55+L56+L57)),3)</f>
        <v>0</v>
      </c>
      <c r="M66" s="813">
        <f>ROUND(IF('Table 1'!$G$3&gt;1,IF(EnCMember=1,M8+M14+M47+M27+M37+M43+M44+M53+M60+M11+M13+M15+M20+M21+M22+M23+M24+M25+M26+M28+M29+M30+M32+M34+M38+M39+M40+M41+M45+M49+M50+M51+M54+M55+M56+M57+M61,M11+M13+M15+M20+M21+M22+M23+M24+M25+M26+M28+M29+M30+M32+M34+M38+M39+M40+M41+M45+M49+M50+M51+M54+M55+M56+M57+M61),IF(EnCMember=1,M8+M14+M47+M27+M37+M43+M44+M53+M60+M11+M13+M15+M20+M21+M22+M23+M24+M25+M26+M28+M29+M30+M32+M34+M38+M39+M40+M41+M45+M49+M50+M51+M54+M55+M56+M57,M11+M13+M15+M20+M21+M22+M23+M24+M25+M26+M28+M29+M30+M32+M34+M38+M39+M40+M41+M45+M49+M50+M51+M54+M55+M56+M57)),3)</f>
        <v>0</v>
      </c>
      <c r="N66" s="811">
        <f>ROUND(IF('Table 1'!$G$3&gt;1,IF(EnCMember=1,N8+N14+N47+N27+N37+N43+N44+N53+N60+N11+N13+N15+N20+N21+N22+N23+N24+N25+N26+N28+N29+N30+N32+N34+N38+N39+N40+N41+N45+N49+N50+N51+N54+N55+N56+N57+N61,N11+N13+N15+N20+N21+N22+N23+N24+N25+N26+N28+N29+N30+N32+N34+N38+N39+N40+N41+N45+N49+N50+N51+N54+N55+N56+N57+N61),IF(EnCMember=1,N8+N14+N47+N27+N37+N43+N44+N53+N60+N11+N13+N15+N20+N21+N22+N23+N24+N25+N26+N28+N29+N30+N32+N34+N38+N39+N40+N41+N45+N49+N50+N51+N54+N55+N56+N57,N11+N13+N15+N20+N21+N22+N23+N24+N25+N26+N28+N29+N30+N32+N34+N38+N39+N40+N41+N45+N49+N50+N51+N54+N55+N56+N57)),3)</f>
        <v>0</v>
      </c>
      <c r="O66" s="812">
        <f>ROUND(IF('Table 1'!$G$3&gt;1,IF(EnCMember=1,O8+O14+O47+O27+O37+O43+O44+O53+O60+O11+O13+O15+O20+O21+O22+O23+O24+O25+O26+O28+O29+O30+O32+O34+O38+O39+O40+O41+O45+O49+O50+O51+O54+O55+O56+O57+O61,O11+O13+O15+O20+O21+O22+O23+O24+O25+O26+O28+O29+O30+O32+O34+O38+O39+O40+O41+O45+O49+O50+O51+O54+O55+O56+O57+O61),IF(EnCMember=1,O8+O14+O47+O27+O37+O43+O44+O53+O60+O11+O13+O15+O20+O21+O22+O23+O24+O25+O26+O28+O29+O30+O32+O34+O38+O39+O40+O41+O45+O49+O50+O51+O54+O55+O56+O57,O11+O13+O15+O20+O21+O22+O23+O24+O25+O26+O28+O29+O30+O32+O34+O38+O39+O40+O41+O45+O49+O50+O51+O54+O55+O56+O57)),3)</f>
        <v>0</v>
      </c>
      <c r="P66" s="813">
        <f>ROUND(IF('Table 1'!$G$3&gt;1,IF(EnCMember=1,P8+P14+P47+P27+P37+P43+P44+P53+P60+P11+P13+P15+P20+P21+P22+P23+P24+P25+P26+P28+P29+P30+P32+P34+P38+P39+P40+P41+P45+P49+P50+P51+P54+P55+P56+P57+P61,P11+P13+P15+P20+P21+P22+P23+P24+P25+P26+P28+P29+P30+P32+P34+P38+P39+P40+P41+P45+P49+P50+P51+P54+P55+P56+P57+P61),IF(EnCMember=1,P8+P14+P47+P27+P37+P43+P44+P53+P60+P11+P13+P15+P20+P21+P22+P23+P24+P25+P26+P28+P29+P30+P32+P34+P38+P39+P40+P41+P45+P49+P50+P51+P54+P55+P56+P57,P11+P13+P15+P20+P21+P22+P23+P24+P25+P26+P28+P29+P30+P32+P34+P38+P39+P40+P41+P45+P49+P50+P51+P54+P55+P56+P57)),3)</f>
        <v>0</v>
      </c>
      <c r="Q66" s="811">
        <f>ROUND(IF('Table 1'!$G$3&gt;1,IF(EnCMember=1,Q8+Q14+Q47+Q27+Q37+Q43+Q44+Q53+Q60+Q11+Q13+Q15+Q20+Q21+Q22+Q23+Q24+Q25+Q26+Q28+Q29+Q30+Q32+Q34+Q38+Q39+Q40+Q41+Q45+Q49+Q50+Q51+Q54+Q55+Q56+Q57+Q61,Q11+Q13+Q15+Q20+Q21+Q22+Q23+Q24+Q25+Q26+Q28+Q29+Q30+Q32+Q34+Q38+Q39+Q40+Q41+Q45+Q49+Q50+Q51+Q54+Q55+Q56+Q57+Q61),IF(EnCMember=1,Q8+Q14+Q47+Q27+Q37+Q43+Q44+Q53+Q60+Q11+Q13+Q15+Q20+Q21+Q22+Q23+Q24+Q25+Q26+Q28+Q29+Q30+Q32+Q34+Q38+Q39+Q40+Q41+Q45+Q49+Q50+Q51+Q54+Q55+Q56+Q57,Q11+Q13+Q15+Q20+Q21+Q22+Q23+Q24+Q25+Q26+Q28+Q29+Q30+Q32+Q34+Q38+Q39+Q40+Q41+Q45+Q49+Q50+Q51+Q54+Q55+Q56+Q57)),3)</f>
        <v>0</v>
      </c>
      <c r="R66" s="811">
        <f>ROUND(IF('Table 1'!$G$3&gt;1,IF(EnCMember=1,R8+R14+R47+R27+R37+R43+R44+R53+R60+R11+R13+R15+R20+R21+R22+R23+R24+R25+R26+R28+R29+R30+R32+R34+R38+R39+R40+R41+R45+R49+R50+R51+R54+R55+R56+R57+R61,R11+R13+R15+R20+R21+R22+R23+R24+R25+R26+R28+R29+R30+R32+R34+R38+R39+R40+R41+R45+R49+R50+R51+R54+R55+R56+R57+R61),IF(EnCMember=1,R8+R14+R47+R27+R37+R43+R44+R53+R60+R11+R13+R15+R20+R21+R22+R23+R24+R25+R26+R28+R29+R30+R32+R34+R38+R39+R40+R41+R45+R49+R50+R51+R54+R55+R56+R57,R11+R13+R15+R20+R21+R22+R23+R24+R25+R26+R28+R29+R30+R32+R34+R38+R39+R40+R41+R45+R49+R50+R51+R54+R55+R56+R57)),3)</f>
        <v>0</v>
      </c>
      <c r="S66" s="811">
        <f>ROUND(IF('Table 1'!$G$3&gt;1,IF(EnCMember=1,S8+S14+S47+S27+S37+S43+S44+S53+S60+S11+S13+S15+S20+S21+S22+S23+S24+S25+S26+S28+S29+S30+S32+S34+S38+S39+S40+S41+S45+S49+S50+S51+S54+S55+S56+S57+S61,S11+S13+S15+S20+S21+S22+S23+S24+S25+S26+S28+S29+S30+S32+S34+S38+S39+S40+S41+S45+S49+S50+S51+S54+S55+S56+S57+S61),IF(EnCMember=1,S8+S14+S47+S27+S37+S43+S44+S53+S60+S11+S13+S15+S20+S21+S22+S23+S24+S25+S26+S28+S29+S30+S32+S34+S38+S39+S40+S41+S45+S49+S50+S51+S54+S55+S56+S57,S11+S13+S15+S20+S21+S22+S23+S24+S25+S26+S28+S29+S30+S32+S34+S38+S39+S40+S41+S45+S49+S50+S51+S54+S55+S56+S57)),3)</f>
        <v>0</v>
      </c>
      <c r="T66" s="811">
        <f>ROUND(IF('Table 1'!$G$3&gt;1,IF(EnCMember=1,T8+T14+T47+T27+T37+T43+T44+T53+T60+T11+T13+T15+T20+T21+T22+T23+T24+T25+T26+T28+T29+T30+T32+T34+T38+T39+T40+T41+T45+T49+T50+T51+T54+T55+T56+T57+T61,T11+T13+T15+T20+T21+T22+T23+T24+T25+T26+T28+T29+T30+T32+T34+T38+T39+T40+T41+T45+T49+T50+T51+T54+T55+T56+T57+T61),IF(EnCMember=1,T8+T14+T47+T27+T37+T43+T44+T53+T60+T11+T13+T15+T20+T21+T22+T23+T24+T25+T26+T28+T29+T30+T32+T34+T38+T39+T40+T41+T45+T49+T50+T51+T54+T55+T56+T57,T11+T13+T15+T20+T21+T22+T23+T24+T25+T26+T28+T29+T30+T32+T34+T38+T39+T40+T41+T45+T49+T50+T51+T54+T55+T56+T57)),3)</f>
        <v>0</v>
      </c>
      <c r="U66" s="812">
        <f>ROUND(IF('Table 1'!$G$3&gt;1,IF(EnCMember=1,U8+U14+U47+U27+U37+U43+U44+U53+U60+U11+U13+U15+U20+U21+U22+U23+U24+U25+U26+U28+U29+U30+U32+U34+U38+U39+U40+U41+U45+U49+U50+U51+U54+U55+U56+U57+U61,U11+U13+U15+U20+U21+U22+U23+U24+U25+U26+U28+U29+U30+U32+U34+U38+U39+U40+U41+U45+U49+U50+U51+U54+U55+U56+U57+U61),IF(EnCMember=1,U8+U14+U47+U27+U37+U43+U44+U53+U60+U11+U13+U15+U20+U21+U22+U23+U24+U25+U26+U28+U29+U30+U32+U34+U38+U39+U40+U41+U45+U49+U50+U51+U54+U55+U56+U57,U11+U13+U15+U20+U21+U22+U23+U24+U25+U26+U28+U29+U30+U32+U34+U38+U39+U40+U41+U45+U49+U50+U51+U54+U55+U56+U57)),3)</f>
        <v>0</v>
      </c>
      <c r="V66" s="813">
        <f>ROUND(IF('Table 1'!$G$3&gt;1,IF(EnCMember=1,V8+V14+V47+V27+V37+V43+V44+V53+V60+V11+V13+V15+V20+V21+V22+V23+V24+V25+V26+V28+V29+V30+V32+V34+V38+V39+V40+V41+V45+V49+V50+V51+V54+V55+V56+V57+V61,V11+V13+V15+V20+V21+V22+V23+V24+V25+V26+V28+V29+V30+V32+V34+V38+V39+V40+V41+V45+V49+V50+V51+V54+V55+V56+V57+V61),IF(EnCMember=1,V8+V14+V47+V27+V37+V43+V44+V53+V60+V11+V13+V15+V20+V21+V22+V23+V24+V25+V26+V28+V29+V30+V32+V34+V38+V39+V40+V41+V45+V49+V50+V51+V54+V55+V56+V57,V11+V13+V15+V20+V21+V22+V23+V24+V25+V26+V28+V29+V30+V32+V34+V38+V39+V40+V41+V45+V49+V50+V51+V54+V55+V56+V57)),3)</f>
        <v>0</v>
      </c>
      <c r="W66" s="811">
        <f>ROUND(IF('Table 1'!$G$3&gt;1,IF(EnCMember=1,W8+W14+W47+W27+W37+W43+W44+W53+W60+W11+W13+W15+W20+W21+W22+W23+W24+W25+W26+W28+W29+W30+W32+W34+W38+W39+W40+W41+W45+W49+W50+W51+W54+W55+W56+W57+W61,W11+W13+W15+W20+W21+W22+W23+W24+W25+W26+W28+W29+W30+W32+W34+W38+W39+W40+W41+W45+W49+W50+W51+W54+W55+W56+W57+W61),IF(EnCMember=1,W8+W14+W47+W27+W37+W43+W44+W53+W60+W11+W13+W15+W20+W21+W22+W23+W24+W25+W26+W28+W29+W30+W32+W34+W38+W39+W40+W41+W45+W49+W50+W51+W54+W55+W56+W57,W11+W13+W15+W20+W21+W22+W23+W24+W25+W26+W28+W29+W30+W32+W34+W38+W39+W40+W41+W45+W49+W50+W51+W54+W55+W56+W57)),3)</f>
        <v>0</v>
      </c>
      <c r="X66" s="811">
        <f>ROUND(IF('Table 1'!$G$3&gt;1,IF(EnCMember=1,X8+X14+X47+X27+X37+X43+X44+X53+X60+X11+X13+X15+X20+X21+X22+X23+X24+X25+X26+X28+X29+X30+X32+X34+X38+X39+X40+X41+X45+X49+X50+X51+X54+X55+X56+X57+X61,X11+X13+X15+X20+X21+X22+X23+X24+X25+X26+X28+X29+X30+X32+X34+X38+X39+X40+X41+X45+X49+X50+X51+X54+X55+X56+X57+X61),IF(EnCMember=1,X8+X14+X47+X27+X37+X43+X44+X53+X60+X11+X13+X15+X20+X21+X22+X23+X24+X25+X26+X28+X29+X30+X32+X34+X38+X39+X40+X41+X45+X49+X50+X51+X54+X55+X56+X57,X11+X13+X15+X20+X21+X22+X23+X24+X25+X26+X28+X29+X30+X32+X34+X38+X39+X40+X41+X45+X49+X50+X51+X54+X55+X56+X57)),3)</f>
        <v>0</v>
      </c>
      <c r="Y66" s="811">
        <f>ROUND(IF('Table 1'!$G$3&gt;1,IF(EnCMember=1,Y8+Y14+Y47+Y27+Y37+Y43+Y44+Y53+Y60+Y11+Y13+Y15+Y20+Y21+Y22+Y23+Y24+Y25+Y26+Y28+Y29+Y30+Y32+Y34+Y38+Y39+Y40+Y41+Y45+Y49+Y50+Y51+Y54+Y55+Y56+Y57+Y61,Y11+Y13+Y15+Y20+Y21+Y22+Y23+Y24+Y25+Y26+Y28+Y29+Y30+Y32+Y34+Y38+Y39+Y40+Y41+Y45+Y49+Y50+Y51+Y54+Y55+Y56+Y57+Y61),IF(EnCMember=1,Y8+Y14+Y47+Y27+Y37+Y43+Y44+Y53+Y60+Y11+Y13+Y15+Y20+Y21+Y22+Y23+Y24+Y25+Y26+Y28+Y29+Y30+Y32+Y34+Y38+Y39+Y40+Y41+Y45+Y49+Y50+Y51+Y54+Y55+Y56+Y57,Y11+Y13+Y15+Y20+Y21+Y22+Y23+Y24+Y25+Y26+Y28+Y29+Y30+Y32+Y34+Y38+Y39+Y40+Y41+Y45+Y49+Y50+Y51+Y54+Y55+Y56+Y57)),3)</f>
        <v>0</v>
      </c>
      <c r="Z66" s="812">
        <f>ROUND(IF('Table 1'!$G$3&gt;1,IF(EnCMember=1,Z8+Z14+Z47+Z27+Z37+Z43+Z44+Z53+Z60+Z11+Z13+Z15+Z20+Z21+Z22+Z23+Z24+Z25+Z26+Z28+Z29+Z30+Z32+Z34+Z38+Z39+Z40+Z41+Z45+Z49+Z50+Z51+Z54+Z55+Z56+Z57+Z61,Z11+Z13+Z15+Z20+Z21+Z22+Z23+Z24+Z25+Z26+Z28+Z29+Z30+Z32+Z34+Z38+Z39+Z40+Z41+Z45+Z49+Z50+Z51+Z54+Z55+Z56+Z57+Z61),IF(EnCMember=1,Z8+Z14+Z47+Z27+Z37+Z43+Z44+Z53+Z60+Z11+Z13+Z15+Z20+Z21+Z22+Z23+Z24+Z25+Z26+Z28+Z29+Z30+Z32+Z34+Z38+Z39+Z40+Z41+Z45+Z49+Z50+Z51+Z54+Z55+Z56+Z57,Z11+Z13+Z15+Z20+Z21+Z22+Z23+Z24+Z25+Z26+Z28+Z29+Z30+Z32+Z34+Z38+Z39+Z40+Z41+Z45+Z49+Z50+Z51+Z54+Z55+Z56+Z57)),3)</f>
        <v>0</v>
      </c>
      <c r="AA66" s="813">
        <f>ROUND(IF('Table 1'!$G$3&gt;1,IF(EnCMember=1,AA8+AA14+AA47+AA27+AA37+AA43+AA44+AA53+AA60+AA11+AA13+AA15+AA20+AA21+AA22+AA23+AA24+AA25+AA26+AA28+AA29+AA30+AA32+AA34+AA38+AA39+AA40+AA41+AA45+AA49+AA50+AA51+AA54+AA55+AA56+AA57+AA61,AA11+AA13+AA15+AA20+AA21+AA22+AA23+AA24+AA25+AA26+AA28+AA29+AA30+AA32+AA34+AA38+AA39+AA40+AA41+AA45+AA49+AA50+AA51+AA54+AA55+AA56+AA57+AA61),IF(EnCMember=1,AA8+AA14+AA47+AA27+AA37+AA43+AA44+AA53+AA60+AA11+AA13+AA15+AA20+AA21+AA22+AA23+AA24+AA25+AA26+AA28+AA29+AA30+AA32+AA34+AA38+AA39+AA40+AA41+AA45+AA49+AA50+AA51+AA54+AA55+AA56+AA57,AA11+AA13+AA15+AA20+AA21+AA22+AA23+AA24+AA25+AA26+AA28+AA29+AA30+AA32+AA34+AA38+AA39+AA40+AA41+AA45+AA49+AA50+AA51+AA54+AA55+AA56+AA57)),3)</f>
        <v>0</v>
      </c>
      <c r="AB66" s="811">
        <f>ROUND(IF('Table 1'!$G$3&gt;1,IF(EnCMember=1,AB8+AB14+AB47+AB27+AB37+AB43+AB44+AB53+AB60+AB11+AB13+AB15+AB20+AB21+AB22+AB23+AB24+AB25+AB26+AB28+AB29+AB30+AB32+AB34+AB38+AB39+AB40+AB41+AB45+AB49+AB50+AB51+AB54+AB55+AB56+AB57+AB61,AB11+AB13+AB15+AB20+AB21+AB22+AB23+AB24+AB25+AB26+AB28+AB29+AB30+AB32+AB34+AB38+AB39+AB40+AB41+AB45+AB49+AB50+AB51+AB54+AB55+AB56+AB57+AB61),IF(EnCMember=1,AB8+AB14+AB47+AB27+AB37+AB43+AB44+AB53+AB60+AB11+AB13+AB15+AB20+AB21+AB22+AB23+AB24+AB25+AB26+AB28+AB29+AB30+AB32+AB34+AB38+AB39+AB40+AB41+AB45+AB49+AB50+AB51+AB54+AB55+AB56+AB57,AB11+AB13+AB15+AB20+AB21+AB22+AB23+AB24+AB25+AB26+AB28+AB29+AB30+AB32+AB34+AB38+AB39+AB40+AB41+AB45+AB49+AB50+AB51+AB54+AB55+AB56+AB57)),3)</f>
        <v>0</v>
      </c>
      <c r="AC66" s="811">
        <f>ROUND(IF('Table 1'!$G$3&gt;1,IF(EnCMember=1,AC8+AC14+AC47+AC27+AC37+AC43+AC44+AC53+AC60+AC11+AC13+AC15+AC20+AC21+AC22+AC23+AC24+AC25+AC26+AC28+AC29+AC30+AC32+AC34+AC38+AC39+AC40+AC41+AC45+AC49+AC50+AC51+AC54+AC55+AC56+AC57+AC61,AC11+AC13+AC15+AC20+AC21+AC22+AC23+AC24+AC25+AC26+AC28+AC29+AC30+AC32+AC34+AC38+AC39+AC40+AC41+AC45+AC49+AC50+AC51+AC54+AC55+AC56+AC57+AC61),IF(EnCMember=1,AC8+AC14+AC47+AC27+AC37+AC43+AC44+AC53+AC60+AC11+AC13+AC15+AC20+AC21+AC22+AC23+AC24+AC25+AC26+AC28+AC29+AC30+AC32+AC34+AC38+AC39+AC40+AC41+AC45+AC49+AC50+AC51+AC54+AC55+AC56+AC57,AC11+AC13+AC15+AC20+AC21+AC22+AC23+AC24+AC25+AC26+AC28+AC29+AC30+AC32+AC34+AC38+AC39+AC40+AC41+AC45+AC49+AC50+AC51+AC54+AC55+AC56+AC57)),3)</f>
        <v>0</v>
      </c>
      <c r="AD66" s="812">
        <f>ROUND(IF('Table 1'!$G$3&gt;1,IF(EnCMember=1,AD8+AD14+AD47+AD27+AD37+AD43+AD44+AD53+AD60+AD11+AD13+AD15+AD20+AD21+AD22+AD23+AD24+AD25+AD26+AD28+AD29+AD30+AD32+AD34+AD38+AD39+AD40+AD41+AD45+AD49+AD50+AD51+AD54+AD55+AD56+AD57+AD61,AD11+AD13+AD15+AD20+AD21+AD22+AD23+AD24+AD25+AD26+AD28+AD29+AD30+AD32+AD34+AD38+AD39+AD40+AD41+AD45+AD49+AD50+AD51+AD54+AD55+AD56+AD57+AD61),IF(EnCMember=1,AD8+AD14+AD47+AD27+AD37+AD43+AD44+AD53+AD60+AD11+AD13+AD15+AD20+AD21+AD22+AD23+AD24+AD25+AD26+AD28+AD29+AD30+AD32+AD34+AD38+AD39+AD40+AD41+AD45+AD49+AD50+AD51+AD54+AD55+AD56+AD57,AD11+AD13+AD15+AD20+AD21+AD22+AD23+AD24+AD25+AD26+AD28+AD29+AD30+AD32+AD34+AD38+AD39+AD40+AD41+AD45+AD49+AD50+AD51+AD54+AD55+AD56+AD57)),3)</f>
        <v>0</v>
      </c>
      <c r="AE66" s="813">
        <f>ROUND(IF('Table 1'!$G$3&gt;1,IF(EnCMember=1,AE8+AE14+AE47+AE27+AE37+AE43+AE44+AE53+AE60+AE11+AE13+AE15+AE20+AE21+AE22+AE23+AE24+AE25+AE26+AE28+AE29+AE30+AE32+AE34+AE38+AE39+AE40+AE41+AE45+AE49+AE50+AE51+AE54+AE55+AE56+AE57+AE61,AE11+AE13+AE15+AE20+AE21+AE22+AE23+AE24+AE25+AE26+AE28+AE29+AE30+AE32+AE34+AE38+AE39+AE40+AE41+AE45+AE49+AE50+AE51+AE54+AE55+AE56+AE57+AE61),IF(EnCMember=1,AE8+AE14+AE47+AE27+AE37+AE43+AE44+AE53+AE60+AE11+AE13+AE15+AE20+AE21+AE22+AE23+AE24+AE25+AE26+AE28+AE29+AE30+AE32+AE34+AE38+AE39+AE40+AE41+AE45+AE49+AE50+AE51+AE54+AE55+AE56+AE57,AE11+AE13+AE15+AE20+AE21+AE22+AE23+AE24+AE25+AE26+AE28+AE29+AE30+AE32+AE34+AE38+AE39+AE40+AE41+AE45+AE49+AE50+AE51+AE54+AE55+AE56+AE57)),3)</f>
        <v>0</v>
      </c>
      <c r="AF66" s="811">
        <f>ROUND(IF('Table 1'!$G$3&gt;1,IF(EnCMember=1,AF8+AF14+AF47+AF27+AF37+AF43+AF44+AF53+AF60+AF11+AF13+AF15+AF20+AF21+AF22+AF23+AF24+AF25+AF26+AF28+AF29+AF30+AF32+AF34+AF38+AF39+AF40+AF41+AF45+AF49+AF50+AF51+AF54+AF55+AF56+AF57+AF61,AF11+AF13+AF15+AF20+AF21+AF22+AF23+AF24+AF25+AF26+AF28+AF29+AF30+AF32+AF34+AF38+AF39+AF40+AF41+AF45+AF49+AF50+AF51+AF54+AF55+AF56+AF57+AF61),IF(EnCMember=1,AF8+AF14+AF47+AF27+AF37+AF43+AF44+AF53+AF60+AF11+AF13+AF15+AF20+AF21+AF22+AF23+AF24+AF25+AF26+AF28+AF29+AF30+AF32+AF34+AF38+AF39+AF40+AF41+AF45+AF49+AF50+AF51+AF54+AF55+AF56+AF57,AF11+AF13+AF15+AF20+AF21+AF22+AF23+AF24+AF25+AF26+AF28+AF29+AF30+AF32+AF34+AF38+AF39+AF40+AF41+AF45+AF49+AF50+AF51+AF54+AF55+AF56+AF57)),3)</f>
        <v>0</v>
      </c>
      <c r="AG66" s="811">
        <f>ROUND(IF('Table 1'!$G$3&gt;1,IF(EnCMember=1,AG8+AG14+AG47+AG27+AG37+AG43+AG44+AG53+AG60+AG11+AG13+AG15+AG20+AG21+AG22+AG23+AG24+AG25+AG26+AG28+AG29+AG30+AG32+AG34+AG38+AG39+AG40+AG41+AG45+AG49+AG50+AG51+AG54+AG55+AG56+AG57+AG61,AG11+AG13+AG15+AG20+AG21+AG22+AG23+AG24+AG25+AG26+AG28+AG29+AG30+AG32+AG34+AG38+AG39+AG40+AG41+AG45+AG49+AG50+AG51+AG54+AG55+AG56+AG57+AG61),IF(EnCMember=1,AG8+AG14+AG47+AG27+AG37+AG43+AG44+AG53+AG60+AG11+AG13+AG15+AG20+AG21+AG22+AG23+AG24+AG25+AG26+AG28+AG29+AG30+AG32+AG34+AG38+AG39+AG40+AG41+AG45+AG49+AG50+AG51+AG54+AG55+AG56+AG57,AG11+AG13+AG15+AG20+AG21+AG22+AG23+AG24+AG25+AG26+AG28+AG29+AG30+AG32+AG34+AG38+AG39+AG40+AG41+AG45+AG49+AG50+AG51+AG54+AG55+AG56+AG57)),3)</f>
        <v>0</v>
      </c>
      <c r="AH66" s="816">
        <f>ROUND(IF('Table 1'!$G$3&gt;1,IF(EnCMember=1,AH8+AH14+AH47+AH27+AH37+AH43+AH44+AH53+AH60+AH11+AH13+AH15+AH20+AH21+AH22+AH23+AH24+AH25+AH26+AH28+AH29+AH30+AH32+AH34+AH38+AH39+AH40+AH41+AH45+AH49+AH50+AH51+AH54+AH55+AH56+AH57+AH61,AH11+AH13+AH15+AH20+AH21+AH22+AH23+AH24+AH25+AH26+AH28+AH29+AH30+AH32+AH34+AH38+AH39+AH40+AH41+AH45+AH49+AH50+AH51+AH54+AH55+AH56+AH57+AH61),IF(EnCMember=1,AH8+AH14+AH47+AH27+AH37+AH43+AH44+AH53+AH60+AH11+AH13+AH15+AH20+AH21+AH22+AH23+AH24+AH25+AH26+AH28+AH29+AH30+AH32+AH34+AH38+AH39+AH40+AH41+AH45+AH49+AH50+AH51+AH54+AH55+AH56+AH57,AH11+AH13+AH15+AH20+AH21+AH22+AH23+AH24+AH25+AH26+AH28+AH29+AH30+AH32+AH34+AH38+AH39+AH40+AH41+AH45+AH49+AH50+AH51+AH54+AH55+AH56+AH57)),3)</f>
        <v>0</v>
      </c>
      <c r="AI66" s="476">
        <f t="shared" si="7"/>
        <v>0</v>
      </c>
      <c r="AJ66" s="467" t="str">
        <f>IF(AI66=0," ",IF(AI66=1,"A total is not equal to the sum of its components: ",AI66&amp;" totals are not equal to the sum of their components: "))&amp;IF(AI66=0,"",IF(I66-SUM(C66:F66,H66)=0,"","Total crude. ")&amp;IF(AG66-SUM(J66:M66,P66:R66,U66,X66,AA66,AE66:AF66)=0,"","Total products. ")&amp;IF(AH66-SUM(AG66,I66)=0,"","Total oil."))</f>
        <v xml:space="preserve"> </v>
      </c>
      <c r="AS66" s="143" t="s">
        <v>898</v>
      </c>
      <c r="AT66" s="144" t="s">
        <v>681</v>
      </c>
    </row>
    <row r="67" spans="1:142" s="1052" customFormat="1" ht="24.75" customHeight="1" x14ac:dyDescent="0.2">
      <c r="C67" s="1052" t="str">
        <f>IF(ROUND(SUM(C8:C63),3)&lt;&gt;C64,"Total not correct","")</f>
        <v/>
      </c>
      <c r="D67" s="1052" t="str">
        <f>IF(ROUND(SUM(D8:D63),3)&lt;&gt;D64,"Total not correct","")</f>
        <v/>
      </c>
      <c r="E67" s="1052" t="str">
        <f t="shared" ref="E67:AH67" si="9">IF(ROUND(SUM(E8:E63),3)&lt;&gt;E64,"Total not correct","")</f>
        <v/>
      </c>
      <c r="F67" s="1052" t="str">
        <f t="shared" si="9"/>
        <v/>
      </c>
      <c r="G67" s="1052" t="str">
        <f t="shared" si="9"/>
        <v/>
      </c>
      <c r="H67" s="1052" t="str">
        <f t="shared" si="9"/>
        <v/>
      </c>
      <c r="I67" s="1052" t="str">
        <f t="shared" si="9"/>
        <v/>
      </c>
      <c r="J67" s="1052" t="str">
        <f t="shared" si="9"/>
        <v/>
      </c>
      <c r="K67" s="1052" t="str">
        <f t="shared" si="9"/>
        <v/>
      </c>
      <c r="L67" s="1052" t="str">
        <f t="shared" si="9"/>
        <v/>
      </c>
      <c r="M67" s="1052" t="str">
        <f t="shared" si="9"/>
        <v/>
      </c>
      <c r="N67" s="1052" t="str">
        <f t="shared" si="9"/>
        <v/>
      </c>
      <c r="O67" s="1052" t="str">
        <f t="shared" si="9"/>
        <v/>
      </c>
      <c r="P67" s="1052" t="str">
        <f t="shared" si="9"/>
        <v/>
      </c>
      <c r="Q67" s="1052" t="str">
        <f t="shared" si="9"/>
        <v/>
      </c>
      <c r="R67" s="1052" t="str">
        <f t="shared" si="9"/>
        <v/>
      </c>
      <c r="S67" s="1052" t="str">
        <f t="shared" si="9"/>
        <v/>
      </c>
      <c r="T67" s="1052" t="str">
        <f t="shared" si="9"/>
        <v/>
      </c>
      <c r="U67" s="1052" t="str">
        <f t="shared" si="9"/>
        <v/>
      </c>
      <c r="V67" s="1052" t="str">
        <f t="shared" si="9"/>
        <v/>
      </c>
      <c r="W67" s="1052" t="str">
        <f t="shared" si="9"/>
        <v/>
      </c>
      <c r="X67" s="1052" t="str">
        <f t="shared" si="9"/>
        <v/>
      </c>
      <c r="Y67" s="1052" t="str">
        <f t="shared" si="9"/>
        <v/>
      </c>
      <c r="Z67" s="1052" t="str">
        <f t="shared" si="9"/>
        <v/>
      </c>
      <c r="AA67" s="1052" t="str">
        <f t="shared" si="9"/>
        <v/>
      </c>
      <c r="AB67" s="1052" t="str">
        <f t="shared" si="9"/>
        <v/>
      </c>
      <c r="AD67" s="1052" t="str">
        <f t="shared" si="9"/>
        <v/>
      </c>
      <c r="AE67" s="1052" t="str">
        <f t="shared" si="9"/>
        <v/>
      </c>
      <c r="AF67" s="1052" t="str">
        <f t="shared" si="9"/>
        <v/>
      </c>
      <c r="AG67" s="1052" t="str">
        <f t="shared" si="9"/>
        <v/>
      </c>
      <c r="AH67" s="1052" t="str">
        <f t="shared" si="9"/>
        <v/>
      </c>
      <c r="AI67" s="1053"/>
      <c r="AJ67" s="1054"/>
      <c r="AK67" s="1055"/>
      <c r="AL67" s="1055"/>
      <c r="AM67" s="1055"/>
      <c r="AN67" s="1055"/>
      <c r="AO67" s="1055"/>
      <c r="AP67" s="1055"/>
      <c r="AQ67" s="1055"/>
      <c r="AR67" s="1055"/>
      <c r="AS67" s="327"/>
      <c r="AT67" s="327"/>
      <c r="EL67" s="1055"/>
    </row>
    <row r="68" spans="1:142" s="1054" customFormat="1" ht="24.75" customHeight="1" x14ac:dyDescent="0.2">
      <c r="C68" s="1052" t="str">
        <f t="shared" ref="C68:AH68" si="10">IF(MIN(C8:C64,C66)&lt;0,"Negative number","")</f>
        <v/>
      </c>
      <c r="D68" s="1052" t="str">
        <f t="shared" si="10"/>
        <v/>
      </c>
      <c r="E68" s="1052" t="str">
        <f t="shared" si="10"/>
        <v/>
      </c>
      <c r="F68" s="1052" t="str">
        <f t="shared" si="10"/>
        <v/>
      </c>
      <c r="G68" s="1052" t="str">
        <f t="shared" si="10"/>
        <v/>
      </c>
      <c r="H68" s="1052" t="str">
        <f t="shared" si="10"/>
        <v/>
      </c>
      <c r="I68" s="1052" t="str">
        <f t="shared" si="10"/>
        <v/>
      </c>
      <c r="J68" s="1052" t="str">
        <f t="shared" si="10"/>
        <v/>
      </c>
      <c r="K68" s="1052" t="str">
        <f t="shared" si="10"/>
        <v/>
      </c>
      <c r="L68" s="1052" t="str">
        <f t="shared" si="10"/>
        <v/>
      </c>
      <c r="M68" s="1052" t="str">
        <f t="shared" si="10"/>
        <v/>
      </c>
      <c r="N68" s="1052" t="str">
        <f t="shared" si="10"/>
        <v/>
      </c>
      <c r="O68" s="1052" t="str">
        <f t="shared" si="10"/>
        <v/>
      </c>
      <c r="P68" s="1052" t="str">
        <f t="shared" si="10"/>
        <v/>
      </c>
      <c r="Q68" s="1052" t="str">
        <f t="shared" si="10"/>
        <v/>
      </c>
      <c r="R68" s="1052" t="str">
        <f t="shared" si="10"/>
        <v/>
      </c>
      <c r="S68" s="1052" t="str">
        <f t="shared" si="10"/>
        <v/>
      </c>
      <c r="T68" s="1052" t="str">
        <f t="shared" si="10"/>
        <v/>
      </c>
      <c r="U68" s="1052" t="str">
        <f t="shared" si="10"/>
        <v/>
      </c>
      <c r="V68" s="1052" t="str">
        <f t="shared" si="10"/>
        <v/>
      </c>
      <c r="W68" s="1052" t="str">
        <f t="shared" si="10"/>
        <v/>
      </c>
      <c r="X68" s="1052" t="str">
        <f t="shared" si="10"/>
        <v/>
      </c>
      <c r="Y68" s="1052" t="str">
        <f t="shared" si="10"/>
        <v/>
      </c>
      <c r="Z68" s="1052" t="str">
        <f t="shared" si="10"/>
        <v/>
      </c>
      <c r="AA68" s="1052" t="str">
        <f t="shared" si="10"/>
        <v/>
      </c>
      <c r="AB68" s="1052" t="str">
        <f t="shared" si="10"/>
        <v/>
      </c>
      <c r="AC68" s="1052"/>
      <c r="AD68" s="1052" t="str">
        <f t="shared" si="10"/>
        <v/>
      </c>
      <c r="AE68" s="1052" t="str">
        <f t="shared" si="10"/>
        <v/>
      </c>
      <c r="AF68" s="1052" t="str">
        <f t="shared" si="10"/>
        <v/>
      </c>
      <c r="AG68" s="1052" t="str">
        <f t="shared" si="10"/>
        <v/>
      </c>
      <c r="AH68" s="1052" t="str">
        <f t="shared" si="10"/>
        <v/>
      </c>
      <c r="AI68" s="1053"/>
      <c r="AS68" s="327"/>
      <c r="AT68" s="327"/>
    </row>
    <row r="69" spans="1:142" s="1054" customFormat="1" ht="24.75" customHeight="1" x14ac:dyDescent="0.2">
      <c r="C69" s="1052" t="str">
        <f>IF(ROUND(IF('Table 1'!$G$3&gt;1,IF(EnCMember=1,C8+C9+C12+C14+C47+C27+C37+C43+C44+C53+C60,C11+C13+C15+C20+C21+C22+C23+C24+C25+C26+C28+C29+C30+C32+C34+C38+C39+C40+C41+C45+C49+C50+C51+C54+C55+C56+C57+C61),IF(EnCMember=1,C8+C9+C12+C14+C47+C27+C37+C43+C44+C53+C60,C11+C13+C15+C20+C21+C22+C23+C24+C25+C26+C28+C29+C30+C32+C34+C38+C39+C40+C41+C45+C49+C50+C51+C54+C55+C56+C57)),3)&lt;&gt;C66,"Total EU MS not correct","")</f>
        <v/>
      </c>
      <c r="D69" s="1052" t="str">
        <f>IF(ROUND(IF('Table 1'!$G$3&gt;1,IF(EnCMember=1,D8+D9+D12+D14+D47+D27+D37+D43+D44+D53+D60,D11+D13+D15+D20+D21+D22+D23+D24+D25+D26+D28+D29+D30+D32+D34+D38+D39+D40+D41+D45+D49+D50+D51+D54+D55+D56+D57+D61),IF(EnCMember=1,D8+D9+D12+D14+D47+D27+D37+D43+D44+D53+D60,D11+D13+D15+D20+D21+D22+D23+D24+D25+D26+D28+D29+D30+D32+D34+D38+D39+D40+D41+D45+D49+D50+D51+D54+D55+D56+D57)),3)&lt;&gt;D66,"Total EU MS not correct","")</f>
        <v/>
      </c>
      <c r="E69" s="1052" t="str">
        <f>IF(ROUND(IF('Table 1'!$G$3&gt;1,IF(EnCMember=1,E8+E9+E12+E14+E47+E27+E37+E43+E44+E53+E60,E11+E13+E15+E20+E21+E22+E23+E24+E25+E26+E28+E29+E30+E32+E34+E38+E39+E40+E41+E45+E49+E50+E51+E54+E55+E56+E57+E61),IF(EnCMember=1,E8+E9+E12+E14+E47+E27+E37+E43+E44+E53+E60,E11+E13+E15+E20+E21+E22+E23+E24+E25+E26+E28+E29+E30+E32+E34+E38+E39+E40+E41+E45+E49+E50+E51+E54+E55+E56+E57)),3)&lt;&gt;E66,"Total EU MS not correct","")</f>
        <v/>
      </c>
      <c r="F69" s="1052" t="str">
        <f>IF(ROUND(IF('Table 1'!$G$3&gt;1,IF(EnCMember=1,F8+F9+F12+F14+F47+F27+F37+F43+F44+F53+F60,F11+F13+F15+F20+F21+F22+F23+F24+F25+F26+F28+F29+F30+F32+F34+F38+F39+F40+F41+F45+F49+F50+F51+F54+F55+F56+F57+F61),IF(EnCMember=1,F8+F9+F12+F14+F47+F27+F37+F43+F44+F53+F60,F11+F13+F15+F20+F21+F22+F23+F24+F25+F26+F28+F29+F30+F32+F34+F38+F39+F40+F41+F45+F49+F50+F51+F54+F55+F56+F57)),3)&lt;&gt;F66,"Total EU MS not correct","")</f>
        <v/>
      </c>
      <c r="G69" s="1052" t="str">
        <f>IF(ROUND(IF('Table 1'!$G$3&gt;1,IF(EnCMember=1,G8+G9+G12+G14+G47+G27+G37+G43+G44+G53+G60,G11+G13+G15+G20+G21+G22+G23+G24+G25+G26+G28+G29+G30+G32+G34+G38+G39+G40+G41+G45+G49+G50+G51+G54+G55+G56+G57+G61),IF(EnCMember=1,G8+G9+G12+G14+G47+G27+G37+G43+G44+G53+G60,G11+G13+G15+G20+G21+G22+G23+G24+G25+G26+G28+G29+G30+G32+G34+G38+G39+G40+G41+G45+G49+G50+G51+G54+G55+G56+G57)),3)&lt;&gt;G66,"Total EU MS not correct","")</f>
        <v/>
      </c>
      <c r="H69" s="1052" t="str">
        <f>IF(ROUND(IF('Table 1'!$G$3&gt;1,IF(EnCMember=1,H8+H9+H12+H14+H47+H27+H37+H43+H44+H53+H60,H11+H13+H15+H20+H21+H22+H23+H24+H25+H26+H28+H29+H30+H32+H34+H38+H39+H40+H41+H45+H49+H50+H51+H54+H55+H56+H57+H61),IF(EnCMember=1,H8+H9+H12+H14+H47+H27+H37+H43+H44+H53+H60,H11+H13+H15+H20+H21+H22+H23+H24+H25+H26+H28+H29+H30+H32+H34+H38+H39+H40+H41+H45+H49+H50+H51+H54+H55+H56+H57)),3)&lt;&gt;H66,"Total EU MS not correct","")</f>
        <v/>
      </c>
      <c r="I69" s="1052" t="str">
        <f>IF(ROUND(IF('Table 1'!$G$3&gt;1,IF(EnCMember=1,I8+I9+I12+I14+I47+I27+I37+I43+I44+I53+I60,I11+I13+I15+I20+I21+I22+I23+I24+I25+I26+I28+I29+I30+I32+I34+I38+I39+I40+I41+I45+I49+I50+I51+I54+I55+I56+I57+I61),IF(EnCMember=1,I8+I9+I12+I14+I47+I27+I37+I43+I44+I53+I60,I11+I13+I15+I20+I21+I22+I23+I24+I25+I26+I28+I29+I30+I32+I34+I38+I39+I40+I41+I45+I49+I50+I51+I54+I55+I56+I57)),3)&lt;&gt;I66,"Total EU MS not correct","")</f>
        <v/>
      </c>
      <c r="J69" s="1052" t="str">
        <f>IF(ROUND(IF('Table 1'!$G$3&gt;1,IF(EnCMember=1,J8+J9+J12+J14+J47+J27+J37+J43+J44+J53+J60,J11+J13+J15+J20+J21+J22+J23+J24+J25+J26+J28+J29+J30+J32+J34+J38+J39+J40+J41+J45+J49+J50+J51+J54+J55+J56+J57+J61),IF(EnCMember=1,J8+J9+J12+J14+J47+J27+J37+J43+J44+J53+J60,J11+J13+J15+J20+J21+J22+J23+J24+J25+J26+J28+J29+J30+J32+J34+J38+J39+J40+J41+J45+J49+J50+J51+J54+J55+J56+J57)),3)&lt;&gt;J66,"Total EU MS not correct","")</f>
        <v/>
      </c>
      <c r="K69" s="1052" t="str">
        <f>IF(ROUND(IF('Table 1'!$G$3&gt;1,IF(EnCMember=1,K8+K9+K12+K14+K47+K27+K37+K43+K44+K53+K60,K11+K13+K15+K20+K21+K22+K23+K24+K25+K26+K28+K29+K30+K32+K34+K38+K39+K40+K41+K45+K49+K50+K51+K54+K55+K56+K57+K61),IF(EnCMember=1,K8+K9+K12+K14+K47+K27+K37+K43+K44+K53+K60,K11+K13+K15+K20+K21+K22+K23+K24+K25+K26+K28+K29+K30+K32+K34+K38+K39+K40+K41+K45+K49+K50+K51+K54+K55+K56+K57)),3)&lt;&gt;K66,"Total EU MS not correct","")</f>
        <v/>
      </c>
      <c r="L69" s="1052" t="str">
        <f>IF(ROUND(IF('Table 1'!$G$3&gt;1,IF(EnCMember=1,L8+L9+L12+L14+L47+L27+L37+L43+L44+L53+L60,L11+L13+L15+L20+L21+L22+L23+L24+L25+L26+L28+L29+L30+L32+L34+L38+L39+L40+L41+L45+L49+L50+L51+L54+L55+L56+L57+L61),IF(EnCMember=1,L8+L9+L12+L14+L47+L27+L37+L43+L44+L53+L60,L11+L13+L15+L20+L21+L22+L23+L24+L25+L26+L28+L29+L30+L32+L34+L38+L39+L40+L41+L45+L49+L50+L51+L54+L55+L56+L57)),3)&lt;&gt;L66,"Total EU MS not correct","")</f>
        <v/>
      </c>
      <c r="M69" s="1052" t="str">
        <f>IF(ROUND(IF('Table 1'!$G$3&gt;1,IF(EnCMember=1,M8+M9+M12+M14+M47+M27+M37+M43+M44+M53+M60,M11+M13+M15+M20+M21+M22+M23+M24+M25+M26+M28+M29+M30+M32+M34+M38+M39+M40+M41+M45+M49+M50+M51+M54+M55+M56+M57+M61),IF(EnCMember=1,M8+M9+M12+M14+M47+M27+M37+M43+M44+M53+M60,M11+M13+M15+M20+M21+M22+M23+M24+M25+M26+M28+M29+M30+M32+M34+M38+M39+M40+M41+M45+M49+M50+M51+M54+M55+M56+M57)),3)&lt;&gt;M66,"Total EU MS not correct","")</f>
        <v/>
      </c>
      <c r="N69" s="1052" t="str">
        <f>IF(ROUND(IF('Table 1'!$G$3&gt;1,IF(EnCMember=1,N8+N9+N12+N14+N47+N27+N37+N43+N44+N53+N60,N11+N13+N15+N20+N21+N22+N23+N24+N25+N26+N28+N29+N30+N32+N34+N38+N39+N40+N41+N45+N49+N50+N51+N54+N55+N56+N57+N61),IF(EnCMember=1,N8+N9+N12+N14+N47+N27+N37+N43+N44+N53+N60,N11+N13+N15+N20+N21+N22+N23+N24+N25+N26+N28+N29+N30+N32+N34+N38+N39+N40+N41+N45+N49+N50+N51+N54+N55+N56+N57)),3)&lt;&gt;N66,"Total EU MS not correct","")</f>
        <v/>
      </c>
      <c r="O69" s="1052" t="str">
        <f>IF(ROUND(IF('Table 1'!$G$3&gt;1,IF(EnCMember=1,O8+O9+O12+O14+O47+O27+O37+O43+O44+O53+O60,O11+O13+O15+O20+O21+O22+O23+O24+O25+O26+O28+O29+O30+O32+O34+O38+O39+O40+O41+O45+O49+O50+O51+O54+O55+O56+O57+O61),IF(EnCMember=1,O8+O9+O12+O14+O47+O27+O37+O43+O44+O53+O60,O11+O13+O15+O20+O21+O22+O23+O24+O25+O26+O28+O29+O30+O32+O34+O38+O39+O40+O41+O45+O49+O50+O51+O54+O55+O56+O57)),3)&lt;&gt;O66,"Total EU MS not correct","")</f>
        <v/>
      </c>
      <c r="P69" s="1052" t="str">
        <f>IF(ROUND(IF('Table 1'!$G$3&gt;1,IF(EnCMember=1,P8+P9+P12+P14+P47+P27+P37+P43+P44+P53+P60,P11+P13+P15+P20+P21+P22+P23+P24+P25+P26+P28+P29+P30+P32+P34+P38+P39+P40+P41+P45+P49+P50+P51+P54+P55+P56+P57+P61),IF(EnCMember=1,P8+P9+P12+P14+P47+P27+P37+P43+P44+P53+P60,P11+P13+P15+P20+P21+P22+P23+P24+P25+P26+P28+P29+P30+P32+P34+P38+P39+P40+P41+P45+P49+P50+P51+P54+P55+P56+P57)),3)&lt;&gt;P66,"Total EU MS not correct","")</f>
        <v/>
      </c>
      <c r="Q69" s="1052" t="str">
        <f>IF(ROUND(IF('Table 1'!$G$3&gt;1,IF(EnCMember=1,Q8+Q9+Q12+Q14+Q47+Q27+Q37+Q43+Q44+Q53+Q60,Q11+Q13+Q15+Q20+Q21+Q22+Q23+Q24+Q25+Q26+Q28+Q29+Q30+Q32+Q34+Q38+Q39+Q40+Q41+Q45+Q49+Q50+Q51+Q54+Q55+Q56+Q57+Q61),IF(EnCMember=1,Q8+Q9+Q12+Q14+Q47+Q27+Q37+Q43+Q44+Q53+Q60,Q11+Q13+Q15+Q20+Q21+Q22+Q23+Q24+Q25+Q26+Q28+Q29+Q30+Q32+Q34+Q38+Q39+Q40+Q41+Q45+Q49+Q50+Q51+Q54+Q55+Q56+Q57)),3)&lt;&gt;Q66,"Total EU MS not correct","")</f>
        <v/>
      </c>
      <c r="R69" s="1052" t="str">
        <f>IF(ROUND(IF('Table 1'!$G$3&gt;1,IF(EnCMember=1,R8+R9+R12+R14+R47+R27+R37+R43+R44+R53+R60,R11+R13+R15+R20+R21+R22+R23+R24+R25+R26+R28+R29+R30+R32+R34+R38+R39+R40+R41+R45+R49+R50+R51+R54+R55+R56+R57+R61),IF(EnCMember=1,R8+R9+R12+R14+R47+R27+R37+R43+R44+R53+R60,R11+R13+R15+R20+R21+R22+R23+R24+R25+R26+R28+R29+R30+R32+R34+R38+R39+R40+R41+R45+R49+R50+R51+R54+R55+R56+R57)),3)&lt;&gt;R66,"Total EU MS not correct","")</f>
        <v/>
      </c>
      <c r="S69" s="1052" t="str">
        <f>IF(ROUND(IF('Table 1'!$G$3&gt;1,IF(EnCMember=1,S8+S9+S12+S14+S47+S27+S37+S43+S44+S53+S60,S11+S13+S15+S20+S21+S22+S23+S24+S25+S26+S28+S29+S30+S32+S34+S38+S39+S40+S41+S45+S49+S50+S51+S54+S55+S56+S57+S61),IF(EnCMember=1,S8+S9+S12+S14+S47+S27+S37+S43+S44+S53+S60,S11+S13+S15+S20+S21+S22+S23+S24+S25+S26+S28+S29+S30+S32+S34+S38+S39+S40+S41+S45+S49+S50+S51+S54+S55+S56+S57)),3)&lt;&gt;S66,"Total EU MS not correct","")</f>
        <v/>
      </c>
      <c r="T69" s="1052" t="str">
        <f>IF(ROUND(IF('Table 1'!$G$3&gt;1,IF(EnCMember=1,T8+T9+T12+T14+T47+T27+T37+T43+T44+T53+T60,T11+T13+T15+T20+T21+T22+T23+T24+T25+T26+T28+T29+T30+T32+T34+T38+T39+T40+T41+T45+T49+T50+T51+T54+T55+T56+T57+T61),IF(EnCMember=1,T8+T9+T12+T14+T47+T27+T37+T43+T44+T53+T60,T11+T13+T15+T20+T21+T22+T23+T24+T25+T26+T28+T29+T30+T32+T34+T38+T39+T40+T41+T45+T49+T50+T51+T54+T55+T56+T57)),3)&lt;&gt;T66,"Total EU MS not correct","")</f>
        <v/>
      </c>
      <c r="U69" s="1052" t="str">
        <f>IF(ROUND(IF('Table 1'!$G$3&gt;1,IF(EnCMember=1,U8+U9+U12+U14+U47+U27+U37+U43+U44+U53+U60,U11+U13+U15+U20+U21+U22+U23+U24+U25+U26+U28+U29+U30+U32+U34+U38+U39+U40+U41+U45+U49+U50+U51+U54+U55+U56+U57+U61),IF(EnCMember=1,U8+U9+U12+U14+U47+U27+U37+U43+U44+U53+U60,U11+U13+U15+U20+U21+U22+U23+U24+U25+U26+U28+U29+U30+U32+U34+U38+U39+U40+U41+U45+U49+U50+U51+U54+U55+U56+U57)),3)&lt;&gt;U66,"Total EU MS not correct","")</f>
        <v/>
      </c>
      <c r="V69" s="1052" t="str">
        <f>IF(ROUND(IF('Table 1'!$G$3&gt;1,IF(EnCMember=1,V8+V9+V12+V14+V47+V27+V37+V43+V44+V53+V60,V11+V13+V15+V20+V21+V22+V23+V24+V25+V26+V28+V29+V30+V32+V34+V38+V39+V40+V41+V45+V49+V50+V51+V54+V55+V56+V57+V61),IF(EnCMember=1,V8+V9+V12+V14+V47+V27+V37+V43+V44+V53+V60,V11+V13+V15+V20+V21+V22+V23+V24+V25+V26+V28+V29+V30+V32+V34+V38+V39+V40+V41+V45+V49+V50+V51+V54+V55+V56+V57)),3)&lt;&gt;V66,"Total EU MS not correct","")</f>
        <v/>
      </c>
      <c r="W69" s="1052" t="str">
        <f>IF(ROUND(IF('Table 1'!$G$3&gt;1,IF(EnCMember=1,W8+W9+W12+W14+W47+W27+W37+W43+W44+W53+W60,W11+W13+W15+W20+W21+W22+W23+W24+W25+W26+W28+W29+W30+W32+W34+W38+W39+W40+W41+W45+W49+W50+W51+W54+W55+W56+W57+W61),IF(EnCMember=1,W8+W9+W12+W14+W47+W27+W37+W43+W44+W53+W60,W11+W13+W15+W20+W21+W22+W23+W24+W25+W26+W28+W29+W30+W32+W34+W38+W39+W40+W41+W45+W49+W50+W51+W54+W55+W56+W57)),3)&lt;&gt;W66,"Total EU MS not correct","")</f>
        <v/>
      </c>
      <c r="X69" s="1052" t="str">
        <f>IF(ROUND(IF('Table 1'!$G$3&gt;1,IF(EnCMember=1,X8+X9+X12+X14+X47+X27+X37+X43+X44+X53+X60,X11+X13+X15+X20+X21+X22+X23+X24+X25+X26+X28+X29+X30+X32+X34+X38+X39+X40+X41+X45+X49+X50+X51+X54+X55+X56+X57+X61),IF(EnCMember=1,X8+X9+X12+X14+X47+X27+X37+X43+X44+X53+X60,X11+X13+X15+X20+X21+X22+X23+X24+X25+X26+X28+X29+X30+X32+X34+X38+X39+X40+X41+X45+X49+X50+X51+X54+X55+X56+X57)),3)&lt;&gt;X66,"Total EU MS not correct","")</f>
        <v/>
      </c>
      <c r="Y69" s="1052" t="str">
        <f>IF(ROUND(IF('Table 1'!$G$3&gt;1,IF(EnCMember=1,Y8+Y9+Y12+Y14+Y47+Y27+Y37+Y43+Y44+Y53+Y60,Y11+Y13+Y15+Y20+Y21+Y22+Y23+Y24+Y25+Y26+Y28+Y29+Y30+Y32+Y34+Y38+Y39+Y40+Y41+Y45+Y49+Y50+Y51+Y54+Y55+Y56+Y57+Y61),IF(EnCMember=1,Y8+Y9+Y12+Y14+Y47+Y27+Y37+Y43+Y44+Y53+Y60,Y11+Y13+Y15+Y20+Y21+Y22+Y23+Y24+Y25+Y26+Y28+Y29+Y30+Y32+Y34+Y38+Y39+Y40+Y41+Y45+Y49+Y50+Y51+Y54+Y55+Y56+Y57)),3)&lt;&gt;Y66,"Total EU MS not correct","")</f>
        <v/>
      </c>
      <c r="Z69" s="1052" t="str">
        <f>IF(ROUND(IF('Table 1'!$G$3&gt;1,IF(EnCMember=1,Z8+Z9+Z12+Z14+Z47+Z27+Z37+Z43+Z44+Z53+Z60,Z11+Z13+Z15+Z20+Z21+Z22+Z23+Z24+Z25+Z26+Z28+Z29+Z30+Z32+Z34+Z38+Z39+Z40+Z41+Z45+Z49+Z50+Z51+Z54+Z55+Z56+Z57+Z61),IF(EnCMember=1,Z8+Z9+Z12+Z14+Z47+Z27+Z37+Z43+Z44+Z53+Z60,Z11+Z13+Z15+Z20+Z21+Z22+Z23+Z24+Z25+Z26+Z28+Z29+Z30+Z32+Z34+Z38+Z39+Z40+Z41+Z45+Z49+Z50+Z51+Z54+Z55+Z56+Z57)),3)&lt;&gt;Z66,"Total EU MS not correct","")</f>
        <v/>
      </c>
      <c r="AA69" s="1052" t="str">
        <f>IF(ROUND(IF('Table 1'!$G$3&gt;1,IF(EnCMember=1,AA8+AA9+AA12+AA14+AA47+AA27+AA37+AA43+AA44+AA53+AA60,AA11+AA13+AA15+AA20+AA21+AA22+AA23+AA24+AA25+AA26+AA28+AA29+AA30+AA32+AA34+AA38+AA39+AA40+AA41+AA45+AA49+AA50+AA51+AA54+AA55+AA56+AA57+AA61),IF(EnCMember=1,AA8+AA9+AA12+AA14+AA47+AA27+AA37+AA43+AA44+AA53+AA60,AA11+AA13+AA15+AA20+AA21+AA22+AA23+AA24+AA25+AA26+AA28+AA29+AA30+AA32+AA34+AA38+AA39+AA40+AA41+AA45+AA49+AA50+AA51+AA54+AA55+AA56+AA57)),3)&lt;&gt;AA66,"Total EU MS not correct","")</f>
        <v/>
      </c>
      <c r="AB69" s="1052" t="str">
        <f>IF(ROUND(IF('Table 1'!$G$3&gt;1,IF(EnCMember=1,AB8+AB9+AB12+AB14+AB47+AB27+AB37+AB43+AB44+AB53+AB60,AB11+AB13+AB15+AB20+AB21+AB22+AB23+AB24+AB25+AB26+AB28+AB29+AB30+AB32+AB34+AB38+AB39+AB40+AB41+AB45+AB49+AB50+AB51+AB54+AB55+AB56+AB57+AB61),IF(EnCMember=1,AB8+AB9+AB12+AB14+AB47+AB27+AB37+AB43+AB44+AB53+AB60,AB11+AB13+AB15+AB20+AB21+AB22+AB23+AB24+AB25+AB26+AB28+AB29+AB30+AB32+AB34+AB38+AB39+AB40+AB41+AB45+AB49+AB50+AB51+AB54+AB55+AB56+AB57)),3)&lt;&gt;AB66,"Total EU MS not correct","")</f>
        <v/>
      </c>
      <c r="AC69" s="1052"/>
      <c r="AD69" s="1052" t="str">
        <f>IF(ROUND(IF('Table 1'!$G$3&gt;1,IF(EnCMember=1,AD8+AD9+AD12+AD14+AD47+AD27+AD37+AD43+AD44+AD53+AD60,AD11+AD13+AD15+AD20+AD21+AD22+AD23+AD24+AD25+AD26+AD28+AD29+AD30+AD32+AD34+AD38+AD39+AD40+AD41+AD45+AD49+AD50+AD51+AD54+AD55+AD56+AD57+AD61),IF(EnCMember=1,AD8+AD9+AD12+AD14+AD47+AD27+AD37+AD43+AD44+AD53+AD60,AD11+AD13+AD15+AD20+AD21+AD22+AD23+AD24+AD25+AD26+AD28+AD29+AD30+AD32+AD34+AD38+AD39+AD40+AD41+AD45+AD49+AD50+AD51+AD54+AD55+AD56+AD57)),3)&lt;&gt;AD66,"Total EU MS not correct","")</f>
        <v/>
      </c>
      <c r="AE69" s="1052" t="str">
        <f>IF(ROUND(IF('Table 1'!$G$3&gt;1,IF(EnCMember=1,AE8+AE9+AE12+AE14+AE47+AE27+AE37+AE43+AE44+AE53+AE60,AE11+AE13+AE15+AE20+AE21+AE22+AE23+AE24+AE25+AE26+AE28+AE29+AE30+AE32+AE34+AE38+AE39+AE40+AE41+AE45+AE49+AE50+AE51+AE54+AE55+AE56+AE57+AE61),IF(EnCMember=1,AE8+AE9+AE12+AE14+AE47+AE27+AE37+AE43+AE44+AE53+AE60,AE11+AE13+AE15+AE20+AE21+AE22+AE23+AE24+AE25+AE26+AE28+AE29+AE30+AE32+AE34+AE38+AE39+AE40+AE41+AE45+AE49+AE50+AE51+AE54+AE55+AE56+AE57)),3)&lt;&gt;AE66,"Total EU MS not correct","")</f>
        <v/>
      </c>
      <c r="AF69" s="1052" t="str">
        <f>IF(ROUND(IF('Table 1'!$G$3&gt;1,IF(EnCMember=1,AF8+AF9+AF12+AF14+AF47+AF27+AF37+AF43+AF44+AF53+AF60,AF11+AF13+AF15+AF20+AF21+AF22+AF23+AF24+AF25+AF26+AF28+AF29+AF30+AF32+AF34+AF38+AF39+AF40+AF41+AF45+AF49+AF50+AF51+AF54+AF55+AF56+AF57+AF61),IF(EnCMember=1,AF8+AF9+AF12+AF14+AF47+AF27+AF37+AF43+AF44+AF53+AF60,AF11+AF13+AF15+AF20+AF21+AF22+AF23+AF24+AF25+AF26+AF28+AF29+AF30+AF32+AF34+AF38+AF39+AF40+AF41+AF45+AF49+AF50+AF51+AF54+AF55+AF56+AF57)),3)&lt;&gt;AF66,"Total EU MS not correct","")</f>
        <v/>
      </c>
      <c r="AG69" s="1052" t="str">
        <f>IF(ROUND(IF('Table 1'!$G$3&gt;1,IF(EnCMember=1,AG8+AG9+AG12+AG14+AG47+AG27+AG37+AG43+AG44+AG53+AG60,AG11+AG13+AG15+AG20+AG21+AG22+AG23+AG24+AG25+AG26+AG28+AG29+AG30+AG32+AG34+AG38+AG39+AG40+AG41+AG45+AG49+AG50+AG51+AG54+AG55+AG56+AG57+AG61),IF(EnCMember=1,AG8+AG9+AG12+AG14+AG47+AG27+AG37+AG43+AG44+AG53+AG60,AG11+AG13+AG15+AG20+AG21+AG22+AG23+AG24+AG25+AG26+AG28+AG29+AG30+AG32+AG34+AG38+AG39+AG40+AG41+AG45+AG49+AG50+AG51+AG54+AG55+AG56+AG57)),3)&lt;&gt;AG66,"Total EU MS not correct","")</f>
        <v/>
      </c>
      <c r="AH69" s="1052" t="str">
        <f>IF(ROUND(IF('Table 1'!$G$3&gt;1,IF(EnCMember=1,AH8+AH9+AH12+AH14+AH47+AH27+AH37+AH43+AH44+AH53+AH60,AH11+AH13+AH15+AH20+AH21+AH22+AH23+AH24+AH25+AH26+AH28+AH29+AH30+AH32+AH34+AH38+AH39+AH40+AH41+AH45+AH49+AH50+AH51+AH54+AH55+AH56+AH57+AH61),IF(EnCMember=1,AH8+AH9+AH12+AH14+AH47+AH27+AH37+AH43+AH44+AH53+AH60,AH11+AH13+AH15+AH20+AH21+AH22+AH23+AH24+AH25+AH26+AH28+AH29+AH30+AH32+AH34+AH38+AH39+AH40+AH41+AH45+AH49+AH50+AH51+AH54+AH55+AH56+AH57)),3)&lt;&gt;AH66,"Total EU MS not correct","")</f>
        <v/>
      </c>
      <c r="AI69" s="1052" t="str">
        <f>IF(ROUND(IF('Table 1'!$G$3&gt;1,IF(EnCMember=1,AI8+AI9+AI12+AI14+AI47+AI27+AI37+AI43+AI44+AI53+AI60,AI11+AI13+AI15+AI20+AI21+AI22+AI23+AI24+AI25+AI26+AI28+AI29+AI30+AI32+AI34+AI38+AI39+AI40+AI41+AI45+AI49+AI50+AI51+AI54+AI55+AI56+AI57+AI61),IF(EnCMember=1,AI8+AI9+AI12+AI14+AI47+AI27+AI37+AI43+AI44+AI53+AI60,AI11+AI13+AI15+AI20+AI21+AI22+AI23+AI24+AI25+AI26+AI28+AI29+AI30+AI32+AI34+AI38+AI39+AI40+AI41+AI45+AI49+AI50+AI51+AI54+AI55+AI56+AI57)),3)&lt;&gt;AI66,"Total EU MS not correct","")</f>
        <v/>
      </c>
      <c r="AS69" s="327"/>
      <c r="AT69" s="327"/>
    </row>
    <row r="70" spans="1:142" s="1057" customFormat="1" ht="11.25" x14ac:dyDescent="0.2">
      <c r="C70" s="1052" t="str">
        <f>IF(NOT(ROUND(C64-'Table 8'!C64,3)&lt;=0),"Total greater than in Table 8","")</f>
        <v/>
      </c>
      <c r="D70" s="1052" t="str">
        <f>IF(NOT(ROUND(D64-'Table 8'!D64,3)&lt;=0),"Total greater than in Table 8","")</f>
        <v/>
      </c>
      <c r="E70" s="1052" t="str">
        <f>IF(NOT(ROUND(E64-'Table 8'!E64,3)&lt;=0),"Total greater than in Table 8","")</f>
        <v/>
      </c>
      <c r="F70" s="1052" t="str">
        <f>IF(NOT(ROUND(F64-'Table 8'!F64,3)&lt;=0),"Total greater than in Table 8","")</f>
        <v/>
      </c>
      <c r="G70" s="1052" t="str">
        <f>IF(NOT(ROUND(G64-'Table 8'!G64,3)&lt;=0),"Total greater than in Table 8","")</f>
        <v/>
      </c>
      <c r="H70" s="1052" t="str">
        <f>IF(NOT(ROUND(H64-'Table 8'!H64,3)&lt;=0),"Total greater than in Table 8","")</f>
        <v/>
      </c>
      <c r="I70" s="1052" t="str">
        <f>IF(NOT(ROUND(I64-'Table 8'!I64,3)&lt;=0),"Total greater than in Table 8","")</f>
        <v/>
      </c>
      <c r="J70" s="1052" t="str">
        <f>IF(NOT(ROUND(J64-'Table 8'!J64,3)&lt;=0),"Total greater than in Table 8","")</f>
        <v/>
      </c>
      <c r="K70" s="1052" t="str">
        <f>IF(NOT(ROUND(K64-'Table 8'!K64,3)&lt;=0),"Total greater than in Table 8","")</f>
        <v/>
      </c>
      <c r="L70" s="1052" t="str">
        <f>IF(NOT(ROUND(L64-'Table 8'!L64,3)&lt;=0),"Total greater than in Table 8","")</f>
        <v/>
      </c>
      <c r="M70" s="1052" t="str">
        <f>IF(NOT(ROUND(M64-'Table 8'!M64,3)&lt;=0),"Total greater than in Table 8","")</f>
        <v/>
      </c>
      <c r="N70" s="1052" t="str">
        <f>IF(NOT(ROUND(N64-'Table 8'!N64,3)&lt;=0),"Total greater than in Table 8","")</f>
        <v/>
      </c>
      <c r="O70" s="1052" t="str">
        <f>IF(NOT(ROUND(O64-'Table 8'!O64,3)&lt;=0),"Total greater than in Table 8","")</f>
        <v/>
      </c>
      <c r="P70" s="1052" t="str">
        <f>IF(NOT(ROUND(P64-'Table 8'!P64,3)&lt;=0),"Total greater than in Table 8","")</f>
        <v/>
      </c>
      <c r="Q70" s="1052" t="str">
        <f>IF(NOT(ROUND(Q64-'Table 8'!Q64,3)&lt;=0),"Total greater than in Table 8","")</f>
        <v/>
      </c>
      <c r="R70" s="1052" t="str">
        <f>IF(NOT(ROUND(R64-'Table 8'!R64,3)&lt;=0),"Total greater than in Table 8","")</f>
        <v/>
      </c>
      <c r="S70" s="1052" t="str">
        <f>IF(NOT(ROUND(S64-'Table 8'!S64,3)&lt;=0),"Total greater than in Table 8","")</f>
        <v/>
      </c>
      <c r="T70" s="1052" t="str">
        <f>IF(NOT(ROUND(T64-'Table 8'!T64,3)&lt;=0),"Total greater than in Table 8","")</f>
        <v/>
      </c>
      <c r="U70" s="1052" t="str">
        <f>IF(NOT(ROUND(U64-'Table 8'!U64,3)&lt;=0),"Total greater than in Table 8","")</f>
        <v/>
      </c>
      <c r="V70" s="1052" t="str">
        <f>IF(NOT(ROUND(V64-'Table 8'!V64,3)&lt;=0),"Total greater than in Table 8","")</f>
        <v/>
      </c>
      <c r="W70" s="1052" t="str">
        <f>IF(NOT(ROUND(W64-'Table 8'!W64,3)&lt;=0),"Total greater than in Table 8","")</f>
        <v/>
      </c>
      <c r="X70" s="1052" t="str">
        <f>IF(NOT(ROUND(X64-'Table 8'!X64,3)&lt;=0),"Total greater than in Table 8","")</f>
        <v/>
      </c>
      <c r="Y70" s="1052" t="str">
        <f>IF(NOT(ROUND(Y64-'Table 8'!Y64,3)&lt;=0),"Total greater than in Table 8","")</f>
        <v/>
      </c>
      <c r="Z70" s="1052" t="str">
        <f>IF(NOT(ROUND(Z64-'Table 8'!Z64,3)&lt;=0),"Total greater than in Table 8","")</f>
        <v/>
      </c>
      <c r="AA70" s="1052" t="str">
        <f>IF(NOT(ROUND(AA64-'Table 8'!AA64,3)&lt;=0),"Total greater than in Table 8","")</f>
        <v/>
      </c>
      <c r="AB70" s="1052" t="str">
        <f>IF(NOT(ROUND(AB64-'Table 8'!AB64,3)&lt;=0),"Total greater than in Table 8","")</f>
        <v/>
      </c>
      <c r="AC70" s="1052"/>
      <c r="AD70" s="1052" t="str">
        <f>IF(NOT(ROUND(AD64-'Table 8'!AD64,3)&lt;=0),"Total greater than in Table 8","")</f>
        <v/>
      </c>
      <c r="AE70" s="1052" t="str">
        <f>IF(NOT(ROUND(AE64-'Table 8'!AE64,3)&lt;=0),"Total greater than in Table 8","")</f>
        <v/>
      </c>
      <c r="AF70" s="1052" t="str">
        <f>IF(NOT(ROUND(AF64-'Table 8'!AF64,3)&lt;=0),"Total greater than in Table 8","")</f>
        <v/>
      </c>
      <c r="AG70" s="1052" t="str">
        <f>IF(NOT(ROUND(AG64-'Table 8'!AG64,3)&lt;=0),"Total greater than in Table 8","")</f>
        <v/>
      </c>
      <c r="AH70" s="1052" t="str">
        <f>IF(NOT(ROUND(AH64-'Table 8'!AH64,3)&lt;=0),"Total greater than in Table 8","")</f>
        <v/>
      </c>
      <c r="AS70" s="327"/>
      <c r="AT70" s="327"/>
    </row>
    <row r="71" spans="1:142" s="327" customFormat="1" x14ac:dyDescent="0.2">
      <c r="A71" s="280" t="s">
        <v>1404</v>
      </c>
      <c r="B71" s="328"/>
      <c r="C71" s="279"/>
      <c r="D71" s="279"/>
      <c r="E71" s="735">
        <f>COUNTIF(C70:AH70,"")-COUNTA(C66:AH66)</f>
        <v>0</v>
      </c>
      <c r="F71" s="260" t="str">
        <f>IF(E71=0,"OK","Total greater than in Table 8")</f>
        <v>OK</v>
      </c>
      <c r="G71" s="279"/>
      <c r="H71" s="279"/>
      <c r="I71" s="279"/>
      <c r="J71" s="279"/>
      <c r="K71" s="279"/>
      <c r="L71" s="279"/>
      <c r="M71" s="279"/>
      <c r="N71" s="279"/>
      <c r="O71" s="279"/>
      <c r="P71" s="279"/>
      <c r="Q71" s="279"/>
      <c r="R71" s="279"/>
      <c r="S71" s="279"/>
      <c r="T71" s="279"/>
      <c r="U71" s="279"/>
      <c r="V71" s="279"/>
      <c r="W71" s="279"/>
      <c r="X71" s="279"/>
      <c r="Y71" s="279"/>
      <c r="Z71" s="279"/>
      <c r="AA71" s="279"/>
      <c r="AB71" s="279"/>
      <c r="AC71" s="279"/>
      <c r="AD71" s="279"/>
      <c r="AE71" s="279"/>
      <c r="AF71" s="279"/>
      <c r="AG71" s="279"/>
      <c r="AH71" s="279"/>
      <c r="AI71" s="301"/>
      <c r="AJ71" s="301"/>
    </row>
    <row r="72" spans="1:142" x14ac:dyDescent="0.2">
      <c r="A72" s="280" t="s">
        <v>1387</v>
      </c>
      <c r="E72" s="735">
        <f ca="1">IF(MAX(IFERROR(OFFSET(C7,MATCH(CountryCode,$AT$8:$AT$64,0),0,1,30),0))&gt;0,1,0)+IF(CountryCode=Param!$D$67,MAX(C62:AE62),0)</f>
        <v>0</v>
      </c>
      <c r="F72" s="260" t="str">
        <f ca="1">IF(E72=0,"OK","Country is reporting itself")</f>
        <v>OK</v>
      </c>
    </row>
    <row r="73" spans="1:142" x14ac:dyDescent="0.2">
      <c r="A73" s="400" t="s">
        <v>1112</v>
      </c>
    </row>
    <row r="138" spans="2:34" x14ac:dyDescent="0.2">
      <c r="B138" s="618" t="s">
        <v>923</v>
      </c>
      <c r="C138" s="373" t="s">
        <v>330</v>
      </c>
      <c r="D138" s="373" t="s">
        <v>6</v>
      </c>
      <c r="E138" s="373" t="s">
        <v>331</v>
      </c>
      <c r="F138" s="373" t="s">
        <v>332</v>
      </c>
      <c r="G138" s="373" t="s">
        <v>333</v>
      </c>
      <c r="H138" s="373" t="s">
        <v>334</v>
      </c>
      <c r="I138" s="373" t="s">
        <v>335</v>
      </c>
      <c r="J138" s="373" t="s">
        <v>353</v>
      </c>
      <c r="K138" s="156" t="s">
        <v>9</v>
      </c>
      <c r="L138" s="156" t="s">
        <v>354</v>
      </c>
      <c r="M138" s="156" t="s">
        <v>355</v>
      </c>
      <c r="N138" s="156" t="s">
        <v>356</v>
      </c>
      <c r="O138" s="156" t="s">
        <v>891</v>
      </c>
      <c r="P138" s="156" t="s">
        <v>357</v>
      </c>
      <c r="Q138" s="156" t="s">
        <v>358</v>
      </c>
      <c r="R138" s="156" t="s">
        <v>359</v>
      </c>
      <c r="S138" s="156" t="s">
        <v>878</v>
      </c>
      <c r="T138" s="156" t="s">
        <v>879</v>
      </c>
      <c r="U138" s="156" t="s">
        <v>360</v>
      </c>
      <c r="V138" s="156" t="s">
        <v>361</v>
      </c>
      <c r="W138" s="156" t="s">
        <v>363</v>
      </c>
      <c r="X138" s="156" t="s">
        <v>364</v>
      </c>
      <c r="Y138" s="156" t="s">
        <v>362</v>
      </c>
      <c r="Z138" s="156" t="s">
        <v>880</v>
      </c>
      <c r="AA138" s="156" t="s">
        <v>367</v>
      </c>
      <c r="AB138" s="156" t="s">
        <v>365</v>
      </c>
      <c r="AC138" s="156" t="s">
        <v>1412</v>
      </c>
      <c r="AD138" s="156" t="s">
        <v>366</v>
      </c>
      <c r="AE138" s="156" t="s">
        <v>368</v>
      </c>
      <c r="AF138" s="156" t="s">
        <v>606</v>
      </c>
      <c r="AG138" s="156" t="s">
        <v>369</v>
      </c>
      <c r="AH138" s="156" t="s">
        <v>416</v>
      </c>
    </row>
    <row r="1000" spans="1:39" ht="22.5" hidden="1" x14ac:dyDescent="0.2">
      <c r="A1000" s="681" t="s">
        <v>1113</v>
      </c>
      <c r="C1000" s="682" t="s">
        <v>1114</v>
      </c>
      <c r="D1000" s="682" t="s">
        <v>1115</v>
      </c>
      <c r="E1000" s="682" t="s">
        <v>1116</v>
      </c>
      <c r="F1000" s="682" t="s">
        <v>1117</v>
      </c>
      <c r="G1000" s="682" t="s">
        <v>1118</v>
      </c>
      <c r="H1000" s="682" t="s">
        <v>1119</v>
      </c>
      <c r="I1000" s="682" t="s">
        <v>1120</v>
      </c>
      <c r="J1000" s="682" t="s">
        <v>1143</v>
      </c>
      <c r="K1000" s="682" t="s">
        <v>1144</v>
      </c>
      <c r="L1000" s="682" t="s">
        <v>1145</v>
      </c>
      <c r="M1000" s="682" t="s">
        <v>1146</v>
      </c>
      <c r="N1000" s="682" t="s">
        <v>1147</v>
      </c>
      <c r="O1000" s="682" t="s">
        <v>1148</v>
      </c>
      <c r="P1000" s="682" t="s">
        <v>1149</v>
      </c>
      <c r="Q1000" s="682" t="s">
        <v>1150</v>
      </c>
      <c r="R1000" s="682" t="s">
        <v>1151</v>
      </c>
      <c r="S1000" s="682" t="s">
        <v>1152</v>
      </c>
      <c r="T1000" s="682" t="s">
        <v>1153</v>
      </c>
      <c r="U1000" s="682" t="s">
        <v>1154</v>
      </c>
      <c r="V1000" s="682" t="s">
        <v>1155</v>
      </c>
      <c r="W1000" s="682" t="s">
        <v>1156</v>
      </c>
      <c r="X1000" s="682" t="s">
        <v>1157</v>
      </c>
      <c r="Y1000" s="682" t="s">
        <v>1158</v>
      </c>
      <c r="Z1000" s="682" t="s">
        <v>1159</v>
      </c>
      <c r="AA1000" s="682" t="s">
        <v>1160</v>
      </c>
      <c r="AB1000" s="682" t="s">
        <v>1161</v>
      </c>
      <c r="AC1000" s="682" t="s">
        <v>1414</v>
      </c>
      <c r="AD1000" s="682" t="s">
        <v>1162</v>
      </c>
      <c r="AE1000" s="682" t="s">
        <v>1163</v>
      </c>
      <c r="AF1000" s="682" t="s">
        <v>1406</v>
      </c>
      <c r="AG1000" s="682" t="s">
        <v>1178</v>
      </c>
      <c r="AH1000" s="682" t="s">
        <v>1164</v>
      </c>
      <c r="AL1000" s="260"/>
      <c r="AM1000" s="260"/>
    </row>
  </sheetData>
  <sheetProtection algorithmName="SHA-512" hashValue="x0Pd0X0Du4bQ3JNdL9C0MHL8WfPPByVFd6gmir/jeG8TeNd55RwfQCSxLUO7UL+B8ctEOIL+mAsyoYSY5Lpw8Q==" saltValue="l9SBdKlEPO8Xc7GEYdpY+Q==" spinCount="100000" sheet="1" objects="1" scenarios="1"/>
  <mergeCells count="22">
    <mergeCell ref="AH5:AH6"/>
    <mergeCell ref="AJ5:AJ6"/>
    <mergeCell ref="R5:R6"/>
    <mergeCell ref="U5:U6"/>
    <mergeCell ref="X5:X6"/>
    <mergeCell ref="AA5:AA6"/>
    <mergeCell ref="H5:H6"/>
    <mergeCell ref="AE5:AE6"/>
    <mergeCell ref="AF5:AF6"/>
    <mergeCell ref="C1:AH3"/>
    <mergeCell ref="C5:C6"/>
    <mergeCell ref="D5:D6"/>
    <mergeCell ref="E5:E6"/>
    <mergeCell ref="F5:F6"/>
    <mergeCell ref="I5:I6"/>
    <mergeCell ref="J5:J6"/>
    <mergeCell ref="M5:M6"/>
    <mergeCell ref="P5:P6"/>
    <mergeCell ref="Q5:Q6"/>
    <mergeCell ref="AG5:AG6"/>
    <mergeCell ref="K5:K6"/>
    <mergeCell ref="L5:L6"/>
  </mergeCells>
  <conditionalFormatting sqref="I13 I28:I36 I61:I63 I44:I57 I15:I26">
    <cfRule type="cellIs" dxfId="506" priority="340" stopIfTrue="1" operator="notEqual">
      <formula>SUM(C13:F13,H13)</formula>
    </cfRule>
  </conditionalFormatting>
  <conditionalFormatting sqref="AG28:AG36 AG61:AG63 AG44:AG57 AG15:AG26">
    <cfRule type="cellIs" dxfId="505" priority="342" stopIfTrue="1" operator="notEqual">
      <formula>SUM(J15:L15,M15,P15:R15,U15,X15,AA15,AE15:AF15)</formula>
    </cfRule>
  </conditionalFormatting>
  <conditionalFormatting sqref="AH28:AH36 AH61:AH63 AH44:AH57 AH15:AH26">
    <cfRule type="cellIs" dxfId="504" priority="341" stopIfTrue="1" operator="notEqual">
      <formula>I15+AG15</formula>
    </cfRule>
  </conditionalFormatting>
  <conditionalFormatting sqref="X11:X13 X28:X36 X61:X63 X15:X26 X44:X57">
    <cfRule type="expression" dxfId="503" priority="351" stopIfTrue="1">
      <formula>OR(AND(OR(V11&lt;&gt;0,W11&lt;&gt;0),X11&lt;&gt;V11+W11),AND(OR(Y11&lt;&gt;0,Z11&lt;&gt;0),X11&lt;&gt;Y11+Z11))</formula>
    </cfRule>
    <cfRule type="expression" dxfId="502" priority="352" stopIfTrue="1">
      <formula>OR(AND(V11+W11=0,X11&lt;&gt;0),AND(Y11+Z11=0,X11&lt;&gt;0))</formula>
    </cfRule>
  </conditionalFormatting>
  <conditionalFormatting sqref="AA11:AA13 AA28:AA36 AA61:AA63 AA15:AA26 AA44:AA57">
    <cfRule type="expression" dxfId="501" priority="349" stopIfTrue="1">
      <formula>AND(AB11+AD11=0,AA11&lt;&gt;0)</formula>
    </cfRule>
    <cfRule type="cellIs" dxfId="500" priority="350" stopIfTrue="1" operator="notEqual">
      <formula>AB11+AD11</formula>
    </cfRule>
  </conditionalFormatting>
  <conditionalFormatting sqref="R11:R13 R28:R36 M28:M36 M61:M63 R61:R63 M26 M44:M57 R15:R26 R44:R57">
    <cfRule type="expression" dxfId="499" priority="347" stopIfTrue="1">
      <formula>AND(N11+O11=0,M11&lt;&gt;0)</formula>
    </cfRule>
    <cfRule type="cellIs" dxfId="498" priority="348" stopIfTrue="1" operator="notEqual">
      <formula>N11+O11</formula>
    </cfRule>
  </conditionalFormatting>
  <conditionalFormatting sqref="G11:G13 G28:G36 G61:G63 G15:G26 G44:G57">
    <cfRule type="cellIs" dxfId="497" priority="344" stopIfTrue="1" operator="greaterThan">
      <formula>F11</formula>
    </cfRule>
  </conditionalFormatting>
  <conditionalFormatting sqref="C13:AF13 D28:AH36 C61:AH63 C53:AH57 D44:AH52 D20:AH26 C20:C52 C11:H12 J11:AF12 C15:AH19">
    <cfRule type="cellIs" dxfId="496" priority="343" stopIfTrue="1" operator="lessThan">
      <formula>0</formula>
    </cfRule>
  </conditionalFormatting>
  <conditionalFormatting sqref="M11:M13 M15:M25">
    <cfRule type="expression" dxfId="495" priority="345" stopIfTrue="1">
      <formula>AND(N11+O11=0,M11&lt;&gt;0)</formula>
    </cfRule>
    <cfRule type="cellIs" dxfId="494" priority="346" stopIfTrue="1" operator="notEqual">
      <formula>N11+O11</formula>
    </cfRule>
  </conditionalFormatting>
  <conditionalFormatting sqref="C10:H10 J10:AF10">
    <cfRule type="cellIs" dxfId="493" priority="315" stopIfTrue="1" operator="lessThan">
      <formula>0</formula>
    </cfRule>
  </conditionalFormatting>
  <conditionalFormatting sqref="X10">
    <cfRule type="expression" dxfId="492" priority="323" stopIfTrue="1">
      <formula>OR(AND(OR(V10&lt;&gt;0,W10&lt;&gt;0),X10&lt;&gt;V10+W10),AND(OR(Y10&lt;&gt;0,Z10&lt;&gt;0),X10&lt;&gt;Y10+Z10))</formula>
    </cfRule>
    <cfRule type="expression" dxfId="491" priority="324" stopIfTrue="1">
      <formula>OR(AND(V10+W10=0,X10&lt;&gt;0),AND(Y10+Z10=0,X10&lt;&gt;0))</formula>
    </cfRule>
  </conditionalFormatting>
  <conditionalFormatting sqref="AA10">
    <cfRule type="expression" dxfId="490" priority="321" stopIfTrue="1">
      <formula>AND(AB10+AD10=0,AA10&lt;&gt;0)</formula>
    </cfRule>
    <cfRule type="cellIs" dxfId="489" priority="322" stopIfTrue="1" operator="notEqual">
      <formula>AB10+AD10</formula>
    </cfRule>
  </conditionalFormatting>
  <conditionalFormatting sqref="R10">
    <cfRule type="expression" dxfId="488" priority="319" stopIfTrue="1">
      <formula>AND(S10+T10=0,R10&lt;&gt;0)</formula>
    </cfRule>
    <cfRule type="cellIs" dxfId="487" priority="320" stopIfTrue="1" operator="notEqual">
      <formula>S10+T10</formula>
    </cfRule>
  </conditionalFormatting>
  <conditionalFormatting sqref="G10">
    <cfRule type="cellIs" dxfId="486" priority="316" stopIfTrue="1" operator="greaterThan">
      <formula>F10</formula>
    </cfRule>
  </conditionalFormatting>
  <conditionalFormatting sqref="M10">
    <cfRule type="expression" dxfId="485" priority="317" stopIfTrue="1">
      <formula>AND(N10+O10=0,M10&lt;&gt;0)</formula>
    </cfRule>
    <cfRule type="cellIs" dxfId="484" priority="318" stopIfTrue="1" operator="notEqual">
      <formula>N10+O10</formula>
    </cfRule>
  </conditionalFormatting>
  <conditionalFormatting sqref="I8:I12">
    <cfRule type="cellIs" dxfId="483" priority="286" stopIfTrue="1" operator="notEqual">
      <formula>SUM(C8:F8,H8)</formula>
    </cfRule>
  </conditionalFormatting>
  <conditionalFormatting sqref="X8:X9">
    <cfRule type="expression" dxfId="482" priority="297" stopIfTrue="1">
      <formula>OR(AND(OR(V8&lt;&gt;0,W8&lt;&gt;0),X8&lt;&gt;V8+W8),AND(OR(Y8&lt;&gt;0,Z8&lt;&gt;0),X8&lt;&gt;Y8+Z8))</formula>
    </cfRule>
    <cfRule type="expression" dxfId="481" priority="298" stopIfTrue="1">
      <formula>OR(AND(V8+W8=0,X8&lt;&gt;0),AND(Y8+Z8=0,X8&lt;&gt;0))</formula>
    </cfRule>
  </conditionalFormatting>
  <conditionalFormatting sqref="AA8:AA9">
    <cfRule type="expression" dxfId="480" priority="295" stopIfTrue="1">
      <formula>AND(AB8+AD8=0,AA8&lt;&gt;0)</formula>
    </cfRule>
    <cfRule type="cellIs" dxfId="479" priority="296" stopIfTrue="1" operator="notEqual">
      <formula>AB8+AD8</formula>
    </cfRule>
  </conditionalFormatting>
  <conditionalFormatting sqref="R8:R9">
    <cfRule type="expression" dxfId="478" priority="293" stopIfTrue="1">
      <formula>AND(S8+T8=0,R8&lt;&gt;0)</formula>
    </cfRule>
    <cfRule type="cellIs" dxfId="477" priority="294" stopIfTrue="1" operator="notEqual">
      <formula>S8+T8</formula>
    </cfRule>
  </conditionalFormatting>
  <conditionalFormatting sqref="G8:G9">
    <cfRule type="cellIs" dxfId="476" priority="290" stopIfTrue="1" operator="greaterThan">
      <formula>F8</formula>
    </cfRule>
  </conditionalFormatting>
  <conditionalFormatting sqref="D8:AH8 D9:H9 J9:AF9 I9:I12 AG9:AH13">
    <cfRule type="cellIs" dxfId="475" priority="289" stopIfTrue="1" operator="lessThan">
      <formula>0</formula>
    </cfRule>
  </conditionalFormatting>
  <conditionalFormatting sqref="M8:M9">
    <cfRule type="expression" dxfId="474" priority="291" stopIfTrue="1">
      <formula>AND(N8+O8=0,M8&lt;&gt;0)</formula>
    </cfRule>
    <cfRule type="cellIs" dxfId="473" priority="292" stopIfTrue="1" operator="notEqual">
      <formula>N8+O8</formula>
    </cfRule>
  </conditionalFormatting>
  <conditionalFormatting sqref="AG8:AG13">
    <cfRule type="cellIs" dxfId="472" priority="288" stopIfTrue="1" operator="notEqual">
      <formula>SUM(J8:L8,M8,P8:R8,U8,X8,AA8,AE8:AF8)</formula>
    </cfRule>
  </conditionalFormatting>
  <conditionalFormatting sqref="AH8:AH13">
    <cfRule type="cellIs" dxfId="471" priority="287" stopIfTrue="1" operator="notEqual">
      <formula>I8+AG8</formula>
    </cfRule>
  </conditionalFormatting>
  <conditionalFormatting sqref="I14">
    <cfRule type="cellIs" dxfId="470" priority="218" stopIfTrue="1" operator="notEqual">
      <formula>SUM(C14:F14,H14)</formula>
    </cfRule>
  </conditionalFormatting>
  <conditionalFormatting sqref="AG14">
    <cfRule type="cellIs" dxfId="469" priority="220" stopIfTrue="1" operator="notEqual">
      <formula>SUM(J14:L14,M14,P14:R14,U14,X14,AA14,AE14:AF14)</formula>
    </cfRule>
  </conditionalFormatting>
  <conditionalFormatting sqref="AH14">
    <cfRule type="cellIs" dxfId="468" priority="219" stopIfTrue="1" operator="notEqual">
      <formula>I14+AG14</formula>
    </cfRule>
  </conditionalFormatting>
  <conditionalFormatting sqref="X14">
    <cfRule type="expression" dxfId="467" priority="229" stopIfTrue="1">
      <formula>OR(AND(OR(V14&lt;&gt;0,W14&lt;&gt;0),X14&lt;&gt;V14+W14),AND(OR(Y14&lt;&gt;0,Z14&lt;&gt;0),X14&lt;&gt;Y14+Z14))</formula>
    </cfRule>
    <cfRule type="expression" dxfId="466" priority="230" stopIfTrue="1">
      <formula>OR(AND(V14+W14=0,X14&lt;&gt;0),AND(Y14+Z14=0,X14&lt;&gt;0))</formula>
    </cfRule>
  </conditionalFormatting>
  <conditionalFormatting sqref="AA14">
    <cfRule type="expression" dxfId="465" priority="227" stopIfTrue="1">
      <formula>AND(AB14+AD14=0,AA14&lt;&gt;0)</formula>
    </cfRule>
    <cfRule type="cellIs" dxfId="464" priority="228" stopIfTrue="1" operator="notEqual">
      <formula>AB14+AD14</formula>
    </cfRule>
  </conditionalFormatting>
  <conditionalFormatting sqref="R14">
    <cfRule type="expression" dxfId="463" priority="225" stopIfTrue="1">
      <formula>AND(S14+T14=0,R14&lt;&gt;0)</formula>
    </cfRule>
    <cfRule type="cellIs" dxfId="462" priority="226" stopIfTrue="1" operator="notEqual">
      <formula>S14+T14</formula>
    </cfRule>
  </conditionalFormatting>
  <conditionalFormatting sqref="G14">
    <cfRule type="cellIs" dxfId="461" priority="222" stopIfTrue="1" operator="greaterThan">
      <formula>F14</formula>
    </cfRule>
  </conditionalFormatting>
  <conditionalFormatting sqref="C14:AH14">
    <cfRule type="cellIs" dxfId="460" priority="221" stopIfTrue="1" operator="lessThan">
      <formula>0</formula>
    </cfRule>
  </conditionalFormatting>
  <conditionalFormatting sqref="M14">
    <cfRule type="expression" dxfId="459" priority="223" stopIfTrue="1">
      <formula>AND(N14+O14=0,M14&lt;&gt;0)</formula>
    </cfRule>
    <cfRule type="cellIs" dxfId="458" priority="224" stopIfTrue="1" operator="notEqual">
      <formula>N14+O14</formula>
    </cfRule>
  </conditionalFormatting>
  <conditionalFormatting sqref="I27">
    <cfRule type="cellIs" dxfId="457" priority="205" stopIfTrue="1" operator="notEqual">
      <formula>SUM(C27:F27,H27)</formula>
    </cfRule>
  </conditionalFormatting>
  <conditionalFormatting sqref="AG27">
    <cfRule type="cellIs" dxfId="456" priority="207" stopIfTrue="1" operator="notEqual">
      <formula>SUM(J27:L27,M27,P27:R27,U27,X27,AA27,AE27:AF27)</formula>
    </cfRule>
  </conditionalFormatting>
  <conditionalFormatting sqref="AH27">
    <cfRule type="cellIs" dxfId="455" priority="206" stopIfTrue="1" operator="notEqual">
      <formula>I27+AG27</formula>
    </cfRule>
  </conditionalFormatting>
  <conditionalFormatting sqref="X27">
    <cfRule type="expression" dxfId="454" priority="216" stopIfTrue="1">
      <formula>OR(AND(OR(V27&lt;&gt;0,W27&lt;&gt;0),X27&lt;&gt;V27+W27),AND(OR(Y27&lt;&gt;0,Z27&lt;&gt;0),X27&lt;&gt;Y27+Z27))</formula>
    </cfRule>
    <cfRule type="expression" dxfId="453" priority="217" stopIfTrue="1">
      <formula>OR(AND(V27+W27=0,X27&lt;&gt;0),AND(Y27+Z27=0,X27&lt;&gt;0))</formula>
    </cfRule>
  </conditionalFormatting>
  <conditionalFormatting sqref="AA27">
    <cfRule type="expression" dxfId="452" priority="214" stopIfTrue="1">
      <formula>AND(AB27+AD27=0,AA27&lt;&gt;0)</formula>
    </cfRule>
    <cfRule type="cellIs" dxfId="451" priority="215" stopIfTrue="1" operator="notEqual">
      <formula>AB27+AD27</formula>
    </cfRule>
  </conditionalFormatting>
  <conditionalFormatting sqref="R27">
    <cfRule type="expression" dxfId="450" priority="212" stopIfTrue="1">
      <formula>AND(S27+T27=0,R27&lt;&gt;0)</formula>
    </cfRule>
    <cfRule type="cellIs" dxfId="449" priority="213" stopIfTrue="1" operator="notEqual">
      <formula>S27+T27</formula>
    </cfRule>
  </conditionalFormatting>
  <conditionalFormatting sqref="G27">
    <cfRule type="cellIs" dxfId="448" priority="209" stopIfTrue="1" operator="greaterThan">
      <formula>F27</formula>
    </cfRule>
  </conditionalFormatting>
  <conditionalFormatting sqref="D27:AH27">
    <cfRule type="cellIs" dxfId="447" priority="208" stopIfTrue="1" operator="lessThan">
      <formula>0</formula>
    </cfRule>
  </conditionalFormatting>
  <conditionalFormatting sqref="M27">
    <cfRule type="expression" dxfId="446" priority="210" stopIfTrue="1">
      <formula>AND(N27+O27=0,M27&lt;&gt;0)</formula>
    </cfRule>
    <cfRule type="cellIs" dxfId="445" priority="211" stopIfTrue="1" operator="notEqual">
      <formula>N27+O27</formula>
    </cfRule>
  </conditionalFormatting>
  <conditionalFormatting sqref="I37:I43">
    <cfRule type="cellIs" dxfId="444" priority="192" stopIfTrue="1" operator="notEqual">
      <formula>SUM(C37:F37,H37)</formula>
    </cfRule>
  </conditionalFormatting>
  <conditionalFormatting sqref="AG37:AG43">
    <cfRule type="cellIs" dxfId="443" priority="194" stopIfTrue="1" operator="notEqual">
      <formula>SUM(J37:L37,M37,P37:R37,U37,X37,AA37,AE37:AF37)</formula>
    </cfRule>
  </conditionalFormatting>
  <conditionalFormatting sqref="AH37:AH43">
    <cfRule type="cellIs" dxfId="442" priority="193" stopIfTrue="1" operator="notEqual">
      <formula>I37+AG37</formula>
    </cfRule>
  </conditionalFormatting>
  <conditionalFormatting sqref="X37:X43">
    <cfRule type="expression" dxfId="441" priority="203" stopIfTrue="1">
      <formula>OR(AND(OR(V37&lt;&gt;0,W37&lt;&gt;0),X37&lt;&gt;V37+W37),AND(OR(Y37&lt;&gt;0,Z37&lt;&gt;0),X37&lt;&gt;Y37+Z37))</formula>
    </cfRule>
    <cfRule type="expression" dxfId="440" priority="204" stopIfTrue="1">
      <formula>OR(AND(V37+W37=0,X37&lt;&gt;0),AND(Y37+Z37=0,X37&lt;&gt;0))</formula>
    </cfRule>
  </conditionalFormatting>
  <conditionalFormatting sqref="AA37:AA43">
    <cfRule type="expression" dxfId="439" priority="201" stopIfTrue="1">
      <formula>AND(AB37+AD37=0,AA37&lt;&gt;0)</formula>
    </cfRule>
    <cfRule type="cellIs" dxfId="438" priority="202" stopIfTrue="1" operator="notEqual">
      <formula>AB37+AD37</formula>
    </cfRule>
  </conditionalFormatting>
  <conditionalFormatting sqref="R37:R43">
    <cfRule type="expression" dxfId="437" priority="199" stopIfTrue="1">
      <formula>AND(S37+T37=0,R37&lt;&gt;0)</formula>
    </cfRule>
    <cfRule type="cellIs" dxfId="436" priority="200" stopIfTrue="1" operator="notEqual">
      <formula>S37+T37</formula>
    </cfRule>
  </conditionalFormatting>
  <conditionalFormatting sqref="G37:G43">
    <cfRule type="cellIs" dxfId="435" priority="196" stopIfTrue="1" operator="greaterThan">
      <formula>F37</formula>
    </cfRule>
  </conditionalFormatting>
  <conditionalFormatting sqref="D37:AH43">
    <cfRule type="cellIs" dxfId="434" priority="195" stopIfTrue="1" operator="lessThan">
      <formula>0</formula>
    </cfRule>
  </conditionalFormatting>
  <conditionalFormatting sqref="M37:M43">
    <cfRule type="expression" dxfId="433" priority="197" stopIfTrue="1">
      <formula>AND(N37+O37=0,M37&lt;&gt;0)</formula>
    </cfRule>
    <cfRule type="cellIs" dxfId="432" priority="198" stopIfTrue="1" operator="notEqual">
      <formula>N37+O37</formula>
    </cfRule>
  </conditionalFormatting>
  <conditionalFormatting sqref="I59">
    <cfRule type="cellIs" dxfId="431" priority="134" stopIfTrue="1" operator="notEqual">
      <formula>SUM(C59:F59,H59)</formula>
    </cfRule>
  </conditionalFormatting>
  <conditionalFormatting sqref="I58">
    <cfRule type="cellIs" dxfId="430" priority="156" stopIfTrue="1" operator="notEqual">
      <formula>SUM(C58:F58,H58)</formula>
    </cfRule>
  </conditionalFormatting>
  <conditionalFormatting sqref="AG58">
    <cfRule type="cellIs" dxfId="429" priority="158" stopIfTrue="1" operator="notEqual">
      <formula>SUM(J58:L58,M58,P58:R58,U58,X58,AA58,AE58:AF58)</formula>
    </cfRule>
  </conditionalFormatting>
  <conditionalFormatting sqref="AH58">
    <cfRule type="cellIs" dxfId="428" priority="157" stopIfTrue="1" operator="notEqual">
      <formula>I58+AG58</formula>
    </cfRule>
  </conditionalFormatting>
  <conditionalFormatting sqref="X58">
    <cfRule type="expression" dxfId="427" priority="165" stopIfTrue="1">
      <formula>OR(AND(OR(V58&lt;&gt;0,W58&lt;&gt;0),X58&lt;&gt;V58+W58),AND(OR(Y58&lt;&gt;0,Z58&lt;&gt;0),X58&lt;&gt;Y58+Z58))</formula>
    </cfRule>
    <cfRule type="expression" dxfId="426" priority="166" stopIfTrue="1">
      <formula>OR(AND(V58+W58=0,X58&lt;&gt;0),AND(Y58+Z58=0,X58&lt;&gt;0))</formula>
    </cfRule>
  </conditionalFormatting>
  <conditionalFormatting sqref="AA58">
    <cfRule type="expression" dxfId="425" priority="163" stopIfTrue="1">
      <formula>AND(AB58+AD58=0,AA58&lt;&gt;0)</formula>
    </cfRule>
    <cfRule type="cellIs" dxfId="424" priority="164" stopIfTrue="1" operator="notEqual">
      <formula>AB58+AD58</formula>
    </cfRule>
  </conditionalFormatting>
  <conditionalFormatting sqref="R58 M58">
    <cfRule type="expression" dxfId="423" priority="161" stopIfTrue="1">
      <formula>AND(N58+O58=0,M58&lt;&gt;0)</formula>
    </cfRule>
    <cfRule type="cellIs" dxfId="422" priority="162" stopIfTrue="1" operator="notEqual">
      <formula>N58+O58</formula>
    </cfRule>
  </conditionalFormatting>
  <conditionalFormatting sqref="G58">
    <cfRule type="cellIs" dxfId="421" priority="160" stopIfTrue="1" operator="greaterThan">
      <formula>F58</formula>
    </cfRule>
  </conditionalFormatting>
  <conditionalFormatting sqref="C58:AH58">
    <cfRule type="cellIs" dxfId="420" priority="159" stopIfTrue="1" operator="lessThan">
      <formula>0</formula>
    </cfRule>
  </conditionalFormatting>
  <conditionalFormatting sqref="I60">
    <cfRule type="cellIs" dxfId="419" priority="145" stopIfTrue="1" operator="notEqual">
      <formula>SUM(C60:F60,H60)</formula>
    </cfRule>
  </conditionalFormatting>
  <conditionalFormatting sqref="AG60">
    <cfRule type="cellIs" dxfId="418" priority="147" stopIfTrue="1" operator="notEqual">
      <formula>SUM(J60:L60,M60,P60:R60,U60,X60,AA60,AE60:AF60)</formula>
    </cfRule>
  </conditionalFormatting>
  <conditionalFormatting sqref="AH60">
    <cfRule type="cellIs" dxfId="417" priority="146" stopIfTrue="1" operator="notEqual">
      <formula>I60+AG60</formula>
    </cfRule>
  </conditionalFormatting>
  <conditionalFormatting sqref="X60">
    <cfRule type="expression" dxfId="416" priority="154" stopIfTrue="1">
      <formula>OR(AND(OR(V60&lt;&gt;0,W60&lt;&gt;0),X60&lt;&gt;V60+W60),AND(OR(Y60&lt;&gt;0,Z60&lt;&gt;0),X60&lt;&gt;Y60+Z60))</formula>
    </cfRule>
    <cfRule type="expression" dxfId="415" priority="155" stopIfTrue="1">
      <formula>OR(AND(V60+W60=0,X60&lt;&gt;0),AND(Y60+Z60=0,X60&lt;&gt;0))</formula>
    </cfRule>
  </conditionalFormatting>
  <conditionalFormatting sqref="AA60">
    <cfRule type="expression" dxfId="414" priority="152" stopIfTrue="1">
      <formula>AND(AB60+AD60=0,AA60&lt;&gt;0)</formula>
    </cfRule>
    <cfRule type="cellIs" dxfId="413" priority="153" stopIfTrue="1" operator="notEqual">
      <formula>AB60+AD60</formula>
    </cfRule>
  </conditionalFormatting>
  <conditionalFormatting sqref="R60 M60">
    <cfRule type="expression" dxfId="412" priority="150" stopIfTrue="1">
      <formula>AND(N60+O60=0,M60&lt;&gt;0)</formula>
    </cfRule>
    <cfRule type="cellIs" dxfId="411" priority="151" stopIfTrue="1" operator="notEqual">
      <formula>N60+O60</formula>
    </cfRule>
  </conditionalFormatting>
  <conditionalFormatting sqref="G60">
    <cfRule type="cellIs" dxfId="410" priority="149" stopIfTrue="1" operator="greaterThan">
      <formula>F60</formula>
    </cfRule>
  </conditionalFormatting>
  <conditionalFormatting sqref="C60:AH60">
    <cfRule type="cellIs" dxfId="409" priority="148" stopIfTrue="1" operator="lessThan">
      <formula>0</formula>
    </cfRule>
  </conditionalFormatting>
  <conditionalFormatting sqref="AG59">
    <cfRule type="cellIs" dxfId="408" priority="136" stopIfTrue="1" operator="notEqual">
      <formula>SUM(J59:L59,M59,P59:R59,U59,X59,AA59,AE59:AF59)</formula>
    </cfRule>
  </conditionalFormatting>
  <conditionalFormatting sqref="AH59">
    <cfRule type="cellIs" dxfId="407" priority="135" stopIfTrue="1" operator="notEqual">
      <formula>I59+AG59</formula>
    </cfRule>
  </conditionalFormatting>
  <conditionalFormatting sqref="X59">
    <cfRule type="expression" dxfId="406" priority="143" stopIfTrue="1">
      <formula>OR(AND(OR(V59&lt;&gt;0,W59&lt;&gt;0),X59&lt;&gt;V59+W59),AND(OR(Y59&lt;&gt;0,Z59&lt;&gt;0),X59&lt;&gt;Y59+Z59))</formula>
    </cfRule>
    <cfRule type="expression" dxfId="405" priority="144" stopIfTrue="1">
      <formula>OR(AND(V59+W59=0,X59&lt;&gt;0),AND(Y59+Z59=0,X59&lt;&gt;0))</formula>
    </cfRule>
  </conditionalFormatting>
  <conditionalFormatting sqref="AA59">
    <cfRule type="expression" dxfId="404" priority="141" stopIfTrue="1">
      <formula>AND(AB59+AD59=0,AA59&lt;&gt;0)</formula>
    </cfRule>
    <cfRule type="cellIs" dxfId="403" priority="142" stopIfTrue="1" operator="notEqual">
      <formula>AB59+AD59</formula>
    </cfRule>
  </conditionalFormatting>
  <conditionalFormatting sqref="R59 M59">
    <cfRule type="expression" dxfId="402" priority="139" stopIfTrue="1">
      <formula>AND(N59+O59=0,M59&lt;&gt;0)</formula>
    </cfRule>
    <cfRule type="cellIs" dxfId="401" priority="140" stopIfTrue="1" operator="notEqual">
      <formula>N59+O59</formula>
    </cfRule>
  </conditionalFormatting>
  <conditionalFormatting sqref="G59">
    <cfRule type="cellIs" dxfId="400" priority="138" stopIfTrue="1" operator="greaterThan">
      <formula>F59</formula>
    </cfRule>
  </conditionalFormatting>
  <conditionalFormatting sqref="C59:AH59">
    <cfRule type="cellIs" dxfId="399" priority="137" stopIfTrue="1" operator="lessThan">
      <formula>0</formula>
    </cfRule>
  </conditionalFormatting>
  <conditionalFormatting sqref="I64">
    <cfRule type="cellIs" dxfId="398" priority="22" stopIfTrue="1" operator="notEqual">
      <formula>SUM(C64:F64,H64)</formula>
    </cfRule>
  </conditionalFormatting>
  <conditionalFormatting sqref="AG64">
    <cfRule type="cellIs" dxfId="397" priority="23" stopIfTrue="1" operator="notEqual">
      <formula>SUM(J64:L64,M64,P64:R64,U64,X64,AA64,AE64:AF64)</formula>
    </cfRule>
  </conditionalFormatting>
  <conditionalFormatting sqref="AH64">
    <cfRule type="cellIs" dxfId="396" priority="24" stopIfTrue="1" operator="notEqual">
      <formula>I64+AG64</formula>
    </cfRule>
  </conditionalFormatting>
  <conditionalFormatting sqref="X64">
    <cfRule type="expression" dxfId="395" priority="34" stopIfTrue="1">
      <formula>OR(AND(OR(V64&lt;&gt;0,W64&lt;&gt;0),X64&lt;&gt;V64+W64),AND(OR(Y64&lt;&gt;0,Z64&lt;&gt;0),X64&lt;&gt;Y64+Z64))</formula>
    </cfRule>
    <cfRule type="expression" dxfId="394" priority="35" stopIfTrue="1">
      <formula>OR(AND(V64+W64=0,X64&lt;&gt;0),AND(Y64+Z64=0,X64&lt;&gt;0))</formula>
    </cfRule>
  </conditionalFormatting>
  <conditionalFormatting sqref="AA64">
    <cfRule type="expression" dxfId="393" priority="32" stopIfTrue="1">
      <formula>AND(AB64+AD64=0,AA64&lt;&gt;0)</formula>
    </cfRule>
    <cfRule type="cellIs" dxfId="392" priority="33" stopIfTrue="1" operator="notEqual">
      <formula>AB64+AD64</formula>
    </cfRule>
  </conditionalFormatting>
  <conditionalFormatting sqref="R64">
    <cfRule type="expression" dxfId="391" priority="30" stopIfTrue="1">
      <formula>AND(S64+T64=0,R64&lt;&gt;0)</formula>
    </cfRule>
    <cfRule type="cellIs" dxfId="390" priority="31" stopIfTrue="1" operator="notEqual">
      <formula>S64+T64</formula>
    </cfRule>
  </conditionalFormatting>
  <conditionalFormatting sqref="G64">
    <cfRule type="cellIs" dxfId="389" priority="27" stopIfTrue="1" operator="greaterThan">
      <formula>F64</formula>
    </cfRule>
  </conditionalFormatting>
  <conditionalFormatting sqref="C64:AH64">
    <cfRule type="cellIs" dxfId="388" priority="26" stopIfTrue="1" operator="lessThan">
      <formula>0</formula>
    </cfRule>
  </conditionalFormatting>
  <conditionalFormatting sqref="C64:AH64">
    <cfRule type="cellIs" dxfId="387" priority="25" stopIfTrue="1" operator="notEqual">
      <formula>ROUND(SUM(C8:C63),3)</formula>
    </cfRule>
  </conditionalFormatting>
  <conditionalFormatting sqref="M64">
    <cfRule type="expression" dxfId="386" priority="28" stopIfTrue="1">
      <formula>AND(N64+O64=0,M64&lt;&gt;0)</formula>
    </cfRule>
    <cfRule type="cellIs" dxfId="385" priority="29" stopIfTrue="1" operator="notEqual">
      <formula>N64+O64</formula>
    </cfRule>
  </conditionalFormatting>
  <conditionalFormatting sqref="C8:C9">
    <cfRule type="cellIs" dxfId="384" priority="21" stopIfTrue="1" operator="lessThan">
      <formula>0</formula>
    </cfRule>
  </conditionalFormatting>
  <conditionalFormatting sqref="F71:F72">
    <cfRule type="cellIs" dxfId="383" priority="14" stopIfTrue="1" operator="notEqual">
      <formula>"OK"</formula>
    </cfRule>
  </conditionalFormatting>
  <conditionalFormatting sqref="I66">
    <cfRule type="cellIs" dxfId="382" priority="1" stopIfTrue="1" operator="notEqual">
      <formula>SUM(C66:F66,H66)</formula>
    </cfRule>
  </conditionalFormatting>
  <conditionalFormatting sqref="AG66">
    <cfRule type="cellIs" dxfId="381" priority="2" stopIfTrue="1" operator="notEqual">
      <formula>SUM(J66:L66,M66,P66:R66,U66,X66,AA66,AE66:AF66)</formula>
    </cfRule>
  </conditionalFormatting>
  <conditionalFormatting sqref="AH66">
    <cfRule type="cellIs" dxfId="380" priority="3" stopIfTrue="1" operator="notEqual">
      <formula>I66+AG66</formula>
    </cfRule>
  </conditionalFormatting>
  <conditionalFormatting sqref="X66">
    <cfRule type="expression" dxfId="379" priority="12" stopIfTrue="1">
      <formula>OR(AND(OR(V66&lt;&gt;0,W66&lt;&gt;0),X66&lt;&gt;V66+W66),AND(OR(Y66&lt;&gt;0,Z66&lt;&gt;0),X66&lt;&gt;Y66+Z66))</formula>
    </cfRule>
    <cfRule type="expression" dxfId="378" priority="13" stopIfTrue="1">
      <formula>OR(AND(V66+W66=0,X66&lt;&gt;0),AND(Y66+Z66=0,X66&lt;&gt;0))</formula>
    </cfRule>
  </conditionalFormatting>
  <conditionalFormatting sqref="AA66">
    <cfRule type="expression" dxfId="377" priority="10" stopIfTrue="1">
      <formula>AND(AB66+AD66=0,AA66&lt;&gt;0)</formula>
    </cfRule>
    <cfRule type="cellIs" dxfId="376" priority="11" stopIfTrue="1" operator="notEqual">
      <formula>AB66+AD66</formula>
    </cfRule>
  </conditionalFormatting>
  <conditionalFormatting sqref="R66">
    <cfRule type="expression" dxfId="375" priority="8" stopIfTrue="1">
      <formula>AND(S66+T66=0,R66&lt;&gt;0)</formula>
    </cfRule>
    <cfRule type="cellIs" dxfId="374" priority="9" stopIfTrue="1" operator="notEqual">
      <formula>S66+T66</formula>
    </cfRule>
  </conditionalFormatting>
  <conditionalFormatting sqref="G66">
    <cfRule type="cellIs" dxfId="373" priority="5" stopIfTrue="1" operator="greaterThan">
      <formula>F66</formula>
    </cfRule>
  </conditionalFormatting>
  <conditionalFormatting sqref="C66:AH66">
    <cfRule type="cellIs" dxfId="372" priority="4" stopIfTrue="1" operator="lessThan">
      <formula>0</formula>
    </cfRule>
  </conditionalFormatting>
  <conditionalFormatting sqref="M66">
    <cfRule type="expression" dxfId="371" priority="6" stopIfTrue="1">
      <formula>AND(N66+O66=0,M66&lt;&gt;0)</formula>
    </cfRule>
    <cfRule type="cellIs" dxfId="370" priority="7" stopIfTrue="1" operator="notEqual">
      <formula>N66+O66</formula>
    </cfRule>
  </conditionalFormatting>
  <dataValidations count="1">
    <dataValidation type="decimal" operator="greaterThanOrEqual" allowBlank="1" showErrorMessage="1" errorTitle="Input error" error="Numbers only!" sqref="C8:AH66" xr:uid="{00000000-0002-0000-0C00-000000000000}">
      <formula1>-10000000</formula1>
    </dataValidation>
  </dataValidations>
  <pageMargins left="0.39370078740157483" right="0.39370078740157483" top="0.78740157480314965" bottom="0.78740157480314965" header="0.39370078740157483" footer="0.39370078740157483"/>
  <pageSetup paperSize="9" scale="44" orientation="landscape" r:id="rId1"/>
  <headerFooter>
    <oddHeader>&amp;A</oddHeader>
    <oddFooter>Page &amp;P</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EE1000"/>
  <sheetViews>
    <sheetView zoomScaleNormal="100" workbookViewId="0">
      <pane xSplit="2" ySplit="7" topLeftCell="C8" activePane="bottomRight" state="frozen"/>
      <selection activeCell="H62" sqref="H62"/>
      <selection pane="topRight" activeCell="H62" sqref="H62"/>
      <selection pane="bottomLeft" activeCell="H62" sqref="H62"/>
      <selection pane="bottomRight" activeCell="C8" sqref="C8"/>
    </sheetView>
  </sheetViews>
  <sheetFormatPr defaultColWidth="9.140625" defaultRowHeight="12.75" x14ac:dyDescent="0.2"/>
  <cols>
    <col min="1" max="1" width="31.28515625" style="211" customWidth="1"/>
    <col min="2" max="2" width="3.5703125" style="211" customWidth="1"/>
    <col min="3" max="28" width="9.28515625" style="211" customWidth="1"/>
    <col min="29" max="29" width="10.140625" style="211" customWidth="1"/>
    <col min="30" max="34" width="9.28515625" style="211" customWidth="1"/>
    <col min="35" max="35" width="2" style="2" customWidth="1"/>
    <col min="36" max="36" width="76.140625" style="211" customWidth="1"/>
    <col min="37" max="37" width="9.140625" style="211"/>
    <col min="38" max="38" width="3.5703125" style="212" customWidth="1"/>
    <col min="39" max="39" width="12.140625" style="212" customWidth="1"/>
    <col min="40" max="44" width="9.140625" style="211"/>
    <col min="45" max="45" width="3.7109375" style="211" hidden="1" customWidth="1"/>
    <col min="46" max="46" width="13.42578125" style="211" hidden="1" customWidth="1"/>
    <col min="47" max="122" width="9.140625" style="211"/>
    <col min="123" max="135" width="9.140625" style="211" hidden="1" customWidth="1"/>
    <col min="136" max="16384" width="9.140625" style="211"/>
  </cols>
  <sheetData>
    <row r="1" spans="1:135" s="2" customFormat="1" x14ac:dyDescent="0.2">
      <c r="A1" s="1" t="s">
        <v>611</v>
      </c>
      <c r="B1" s="1"/>
      <c r="AL1" s="141"/>
      <c r="AM1" s="141"/>
      <c r="AS1" s="141"/>
      <c r="AT1" s="303" t="s">
        <v>351</v>
      </c>
    </row>
    <row r="2" spans="1:135" s="2" customFormat="1" x14ac:dyDescent="0.2">
      <c r="A2" s="24" t="str">
        <f>IF('Table 1'!D2=0,"",'Table 1'!D2)</f>
        <v>Netherlands</v>
      </c>
      <c r="B2" s="28"/>
      <c r="AL2" s="141"/>
      <c r="AM2" s="141"/>
      <c r="AS2" s="141"/>
      <c r="AT2" s="338" t="s">
        <v>415</v>
      </c>
    </row>
    <row r="3" spans="1:135" s="2" customFormat="1" x14ac:dyDescent="0.2">
      <c r="A3" s="24" t="str">
        <f>IF('Table 1'!D3=0,"",'Table 1'!D3 &amp; " " &amp; QuestYear)</f>
        <v>September 2026</v>
      </c>
      <c r="B3" s="24"/>
      <c r="AL3" s="141"/>
      <c r="AM3" s="141"/>
      <c r="AS3" s="141"/>
      <c r="AT3" s="303" t="s">
        <v>586</v>
      </c>
    </row>
    <row r="4" spans="1:135" s="2" customFormat="1" x14ac:dyDescent="0.2">
      <c r="A4" s="5" t="s">
        <v>889</v>
      </c>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H4" s="25" t="s">
        <v>108</v>
      </c>
      <c r="AL4" s="141"/>
      <c r="AM4" s="141"/>
      <c r="AS4" s="141"/>
      <c r="AT4" s="425" t="s">
        <v>594</v>
      </c>
    </row>
    <row r="5" spans="1:135" s="2" customFormat="1" ht="12.75" customHeight="1" x14ac:dyDescent="0.2">
      <c r="A5" s="242"/>
      <c r="B5" s="203"/>
      <c r="C5" s="1106" t="s">
        <v>656</v>
      </c>
      <c r="D5" s="1106" t="s">
        <v>657</v>
      </c>
      <c r="E5" s="1106" t="s">
        <v>647</v>
      </c>
      <c r="F5" s="1158" t="s">
        <v>666</v>
      </c>
      <c r="G5" s="281"/>
      <c r="H5" s="1150" t="s">
        <v>885</v>
      </c>
      <c r="I5" s="1110" t="s">
        <v>645</v>
      </c>
      <c r="J5" s="1122" t="s">
        <v>8</v>
      </c>
      <c r="K5" s="1124" t="s">
        <v>9</v>
      </c>
      <c r="L5" s="1126" t="s">
        <v>10</v>
      </c>
      <c r="M5" s="1114" t="s">
        <v>659</v>
      </c>
      <c r="N5" s="329"/>
      <c r="O5" s="190"/>
      <c r="P5" s="1122" t="s">
        <v>660</v>
      </c>
      <c r="Q5" s="1124" t="s">
        <v>661</v>
      </c>
      <c r="R5" s="1116" t="s">
        <v>668</v>
      </c>
      <c r="S5" s="191"/>
      <c r="T5" s="192"/>
      <c r="U5" s="1126" t="s">
        <v>664</v>
      </c>
      <c r="V5" s="193"/>
      <c r="W5" s="190"/>
      <c r="X5" s="1118" t="s">
        <v>670</v>
      </c>
      <c r="Y5" s="190"/>
      <c r="Z5" s="190"/>
      <c r="AA5" s="1114" t="s">
        <v>628</v>
      </c>
      <c r="AB5" s="190"/>
      <c r="AC5" s="190"/>
      <c r="AD5" s="190"/>
      <c r="AE5" s="1122" t="s">
        <v>629</v>
      </c>
      <c r="AF5" s="1150" t="s">
        <v>630</v>
      </c>
      <c r="AG5" s="1120" t="s">
        <v>631</v>
      </c>
      <c r="AH5" s="1120" t="s">
        <v>679</v>
      </c>
      <c r="AJ5" s="1139" t="s">
        <v>350</v>
      </c>
      <c r="AL5" s="141"/>
      <c r="AM5" s="141"/>
      <c r="AS5" s="141"/>
      <c r="AT5" s="141"/>
    </row>
    <row r="6" spans="1:135" s="2" customFormat="1" ht="45" customHeight="1" x14ac:dyDescent="0.25">
      <c r="A6" s="201"/>
      <c r="B6" s="202"/>
      <c r="C6" s="1107"/>
      <c r="D6" s="1107"/>
      <c r="E6" s="1107"/>
      <c r="F6" s="1159"/>
      <c r="G6" s="99" t="s">
        <v>667</v>
      </c>
      <c r="H6" s="1138"/>
      <c r="I6" s="1111"/>
      <c r="J6" s="1123"/>
      <c r="K6" s="1125"/>
      <c r="L6" s="1127"/>
      <c r="M6" s="1115"/>
      <c r="N6" s="184" t="s">
        <v>623</v>
      </c>
      <c r="O6" s="185" t="s">
        <v>626</v>
      </c>
      <c r="P6" s="1123"/>
      <c r="Q6" s="1125"/>
      <c r="R6" s="1117"/>
      <c r="S6" s="186" t="s">
        <v>662</v>
      </c>
      <c r="T6" s="187" t="s">
        <v>663</v>
      </c>
      <c r="U6" s="1127"/>
      <c r="V6" s="188" t="s">
        <v>627</v>
      </c>
      <c r="W6" s="189" t="s">
        <v>669</v>
      </c>
      <c r="X6" s="1119"/>
      <c r="Y6" s="184" t="s">
        <v>624</v>
      </c>
      <c r="Z6" s="186" t="s">
        <v>671</v>
      </c>
      <c r="AA6" s="1115"/>
      <c r="AB6" s="187" t="s">
        <v>674</v>
      </c>
      <c r="AC6" s="186" t="s">
        <v>1411</v>
      </c>
      <c r="AD6" s="196" t="s">
        <v>872</v>
      </c>
      <c r="AE6" s="1123"/>
      <c r="AF6" s="1138"/>
      <c r="AG6" s="1121"/>
      <c r="AH6" s="1121"/>
      <c r="AI6" s="27"/>
      <c r="AJ6" s="1140"/>
      <c r="AL6" s="141"/>
      <c r="AM6" s="141"/>
      <c r="AS6" s="141"/>
      <c r="AT6" s="141"/>
      <c r="DS6" s="650" t="s">
        <v>1121</v>
      </c>
      <c r="DT6" s="644"/>
      <c r="DU6" s="645"/>
      <c r="DV6" s="645"/>
      <c r="DW6" s="645"/>
      <c r="DX6" s="645"/>
      <c r="DY6" s="645"/>
      <c r="DZ6" s="645"/>
      <c r="EA6" s="645"/>
      <c r="EB6" s="645"/>
      <c r="EC6" s="645"/>
      <c r="ED6" s="645"/>
    </row>
    <row r="7" spans="1:135" s="2" customFormat="1" ht="12.75" customHeight="1" x14ac:dyDescent="0.2">
      <c r="A7" s="97"/>
      <c r="B7" s="98"/>
      <c r="C7" s="87" t="s">
        <v>152</v>
      </c>
      <c r="D7" s="86" t="s">
        <v>153</v>
      </c>
      <c r="E7" s="86" t="s">
        <v>154</v>
      </c>
      <c r="F7" s="180" t="s">
        <v>155</v>
      </c>
      <c r="G7" s="198" t="s">
        <v>156</v>
      </c>
      <c r="H7" s="198" t="s">
        <v>157</v>
      </c>
      <c r="I7" s="199" t="s">
        <v>158</v>
      </c>
      <c r="J7" s="87" t="s">
        <v>159</v>
      </c>
      <c r="K7" s="87" t="s">
        <v>160</v>
      </c>
      <c r="L7" s="96" t="s">
        <v>161</v>
      </c>
      <c r="M7" s="179" t="s">
        <v>162</v>
      </c>
      <c r="N7" s="198" t="s">
        <v>163</v>
      </c>
      <c r="O7" s="89" t="s">
        <v>164</v>
      </c>
      <c r="P7" s="95" t="s">
        <v>165</v>
      </c>
      <c r="Q7" s="177" t="s">
        <v>166</v>
      </c>
      <c r="R7" s="180" t="s">
        <v>167</v>
      </c>
      <c r="S7" s="198" t="s">
        <v>168</v>
      </c>
      <c r="T7" s="86" t="s">
        <v>169</v>
      </c>
      <c r="U7" s="94" t="s">
        <v>170</v>
      </c>
      <c r="V7" s="87" t="s">
        <v>171</v>
      </c>
      <c r="W7" s="101" t="s">
        <v>172</v>
      </c>
      <c r="X7" s="176" t="s">
        <v>173</v>
      </c>
      <c r="Y7" s="200" t="s">
        <v>174</v>
      </c>
      <c r="Z7" s="89" t="s">
        <v>175</v>
      </c>
      <c r="AA7" s="179" t="s">
        <v>176</v>
      </c>
      <c r="AB7" s="200" t="s">
        <v>177</v>
      </c>
      <c r="AC7" s="200" t="s">
        <v>181</v>
      </c>
      <c r="AD7" s="89" t="s">
        <v>417</v>
      </c>
      <c r="AE7" s="178" t="s">
        <v>672</v>
      </c>
      <c r="AF7" s="89" t="s">
        <v>678</v>
      </c>
      <c r="AG7" s="90" t="s">
        <v>499</v>
      </c>
      <c r="AH7" s="90" t="s">
        <v>680</v>
      </c>
      <c r="AI7" s="27"/>
      <c r="AJ7" s="90" t="s">
        <v>1413</v>
      </c>
      <c r="AL7" s="141"/>
      <c r="AM7" s="141"/>
      <c r="AS7" s="141"/>
      <c r="AT7" s="303" t="s">
        <v>553</v>
      </c>
      <c r="DS7" s="646" t="s">
        <v>1122</v>
      </c>
      <c r="DT7" s="646" t="s">
        <v>1113</v>
      </c>
      <c r="DU7" s="646" t="s">
        <v>1123</v>
      </c>
      <c r="DV7" s="646" t="s">
        <v>1124</v>
      </c>
      <c r="DW7" s="646" t="s">
        <v>1125</v>
      </c>
      <c r="DX7" s="646" t="s">
        <v>1126</v>
      </c>
      <c r="DY7" s="646" t="s">
        <v>415</v>
      </c>
      <c r="DZ7" s="646" t="s">
        <v>1127</v>
      </c>
      <c r="EA7" s="646" t="s">
        <v>1128</v>
      </c>
      <c r="EB7" s="646" t="s">
        <v>1129</v>
      </c>
      <c r="EC7" s="646" t="s">
        <v>1130</v>
      </c>
      <c r="ED7" s="646" t="s">
        <v>1131</v>
      </c>
      <c r="EE7" s="646" t="s">
        <v>1244</v>
      </c>
    </row>
    <row r="8" spans="1:135" s="2" customFormat="1" x14ac:dyDescent="0.2">
      <c r="A8" s="225" t="s">
        <v>930</v>
      </c>
      <c r="B8" s="632">
        <v>1</v>
      </c>
      <c r="C8" s="770">
        <v>0</v>
      </c>
      <c r="D8" s="830">
        <v>0</v>
      </c>
      <c r="E8" s="830">
        <v>0</v>
      </c>
      <c r="F8" s="866">
        <v>0</v>
      </c>
      <c r="G8" s="830">
        <v>0</v>
      </c>
      <c r="H8" s="830">
        <v>0</v>
      </c>
      <c r="I8" s="828">
        <f t="shared" ref="I8:I64" si="0">ROUND(SUM(C8:F8,H8),3)</f>
        <v>0</v>
      </c>
      <c r="J8" s="832">
        <v>0</v>
      </c>
      <c r="K8" s="832">
        <v>0</v>
      </c>
      <c r="L8" s="830">
        <v>0</v>
      </c>
      <c r="M8" s="802">
        <v>0</v>
      </c>
      <c r="N8" s="832">
        <v>0</v>
      </c>
      <c r="O8" s="833">
        <v>0</v>
      </c>
      <c r="P8" s="832">
        <v>0</v>
      </c>
      <c r="Q8" s="832">
        <v>0</v>
      </c>
      <c r="R8" s="781">
        <v>0</v>
      </c>
      <c r="S8" s="830">
        <v>0</v>
      </c>
      <c r="T8" s="830">
        <v>0</v>
      </c>
      <c r="U8" s="834">
        <v>0</v>
      </c>
      <c r="V8" s="832">
        <v>0</v>
      </c>
      <c r="W8" s="831">
        <v>0</v>
      </c>
      <c r="X8" s="783">
        <v>0</v>
      </c>
      <c r="Y8" s="830">
        <v>0</v>
      </c>
      <c r="Z8" s="833">
        <v>0</v>
      </c>
      <c r="AA8" s="802">
        <v>0</v>
      </c>
      <c r="AB8" s="835">
        <v>0</v>
      </c>
      <c r="AC8" s="1094">
        <v>0</v>
      </c>
      <c r="AD8" s="833">
        <v>0</v>
      </c>
      <c r="AE8" s="836">
        <v>0</v>
      </c>
      <c r="AF8" s="836">
        <v>0</v>
      </c>
      <c r="AG8" s="827">
        <f t="shared" ref="AG8:AG64" si="1">ROUND(SUM(J8:M8,P8:R8,U8,X8,AA8,AE8:AF8),3)</f>
        <v>0</v>
      </c>
      <c r="AH8" s="827">
        <f t="shared" ref="AH8:AH64" si="2">ROUND(SUM(I8,AG8),3)</f>
        <v>0</v>
      </c>
      <c r="AI8" s="466">
        <f>IF(ROUND(I8-SUM(C8:F8,H8),3)=0,0,1)+IF(ROUND(AG8-SUM(J8:M8,P8:R8,U8,X8,AA8,AE8:AF8),3)=0,0,1)+IF(ROUND(AH8-SUM(AG8,I8),3)=0,0,1)</f>
        <v>0</v>
      </c>
      <c r="AJ8" s="467" t="str">
        <f>IF(AI8=0," ",IF(AI8=1,"A total is not equal to the sum of its components: ",AI8&amp;" totals are not equal to the sum of their components: "))&amp;IF(AI8=0,"",IF(I8-SUM(C8:F8,H8)=0,"","Total crude. ")&amp;IF(AG8-SUM(J8:M8,P8:R8,U8,X8,AA8,AE8:AF8)=0,"","Total products. ")&amp;IF(AH8-SUM(AG8,I8)=0,"","Total oil."))</f>
        <v xml:space="preserve"> </v>
      </c>
      <c r="AL8" s="141"/>
      <c r="AM8" s="141"/>
      <c r="AS8" s="130" t="s">
        <v>932</v>
      </c>
      <c r="AT8" s="130" t="s">
        <v>931</v>
      </c>
      <c r="DS8" s="647" t="str">
        <f>VLOOKUP(CountryUser, Param!$C$9:$E$67, 3, 0)</f>
        <v>NL</v>
      </c>
      <c r="DT8" s="647" t="s">
        <v>1132</v>
      </c>
      <c r="DU8" s="667" t="s">
        <v>415</v>
      </c>
      <c r="DV8" s="667" t="s">
        <v>1188</v>
      </c>
      <c r="DW8" s="667" t="s">
        <v>1134</v>
      </c>
      <c r="DX8" s="667" t="s">
        <v>1134</v>
      </c>
      <c r="DY8" s="669" t="s">
        <v>1198</v>
      </c>
      <c r="DZ8" s="667" t="s">
        <v>1134</v>
      </c>
      <c r="EA8" s="670" t="s">
        <v>932</v>
      </c>
      <c r="EB8" s="667" t="s">
        <v>1135</v>
      </c>
      <c r="EC8" s="667" t="s">
        <v>1134</v>
      </c>
      <c r="ED8" s="667" t="s">
        <v>1136</v>
      </c>
      <c r="EE8" s="667" t="str">
        <f>QuestYear&amp;"-"&amp;TEXT(MATCH(FirstMonth, Param!C71:C82,0), "00")</f>
        <v>2026-09</v>
      </c>
    </row>
    <row r="9" spans="1:135" s="2" customFormat="1" x14ac:dyDescent="0.2">
      <c r="A9" s="225" t="s">
        <v>554</v>
      </c>
      <c r="B9" s="632">
        <v>2</v>
      </c>
      <c r="C9" s="770">
        <v>0</v>
      </c>
      <c r="D9" s="830">
        <v>0</v>
      </c>
      <c r="E9" s="830">
        <v>0</v>
      </c>
      <c r="F9" s="866">
        <v>0</v>
      </c>
      <c r="G9" s="830">
        <v>0</v>
      </c>
      <c r="H9" s="830">
        <v>0</v>
      </c>
      <c r="I9" s="828">
        <f t="shared" si="0"/>
        <v>0</v>
      </c>
      <c r="J9" s="832">
        <v>0</v>
      </c>
      <c r="K9" s="832">
        <v>0</v>
      </c>
      <c r="L9" s="830">
        <v>0</v>
      </c>
      <c r="M9" s="802">
        <v>0</v>
      </c>
      <c r="N9" s="832">
        <v>0</v>
      </c>
      <c r="O9" s="833">
        <v>0</v>
      </c>
      <c r="P9" s="832">
        <v>0</v>
      </c>
      <c r="Q9" s="832">
        <v>0</v>
      </c>
      <c r="R9" s="781">
        <v>0</v>
      </c>
      <c r="S9" s="830">
        <v>0</v>
      </c>
      <c r="T9" s="830">
        <v>0</v>
      </c>
      <c r="U9" s="834">
        <v>0</v>
      </c>
      <c r="V9" s="832">
        <v>0</v>
      </c>
      <c r="W9" s="831">
        <v>0</v>
      </c>
      <c r="X9" s="783">
        <v>0</v>
      </c>
      <c r="Y9" s="830">
        <v>0</v>
      </c>
      <c r="Z9" s="833">
        <v>0</v>
      </c>
      <c r="AA9" s="802">
        <v>0</v>
      </c>
      <c r="AB9" s="835">
        <v>0</v>
      </c>
      <c r="AC9" s="1094">
        <v>0</v>
      </c>
      <c r="AD9" s="833">
        <v>0</v>
      </c>
      <c r="AE9" s="836">
        <v>0</v>
      </c>
      <c r="AF9" s="836">
        <v>0</v>
      </c>
      <c r="AG9" s="827">
        <f t="shared" si="1"/>
        <v>0</v>
      </c>
      <c r="AH9" s="827">
        <f t="shared" si="2"/>
        <v>0</v>
      </c>
      <c r="AI9" s="466">
        <f t="shared" ref="AI9:AI63" si="3">IF(ROUND(I9-SUM(C9:F9,H9),3)=0,0,1)+IF(ROUND(AG9-SUM(J9:M9,P9:R9,U9,X9,AA9,AE9:AF9),3)=0,0,1)+IF(ROUND(AH9-SUM(AG9,I9),3)=0,0,1)</f>
        <v>0</v>
      </c>
      <c r="AJ9" s="467" t="str">
        <f t="shared" ref="AJ9:AJ63" si="4">IF(AI9=0," ",IF(AI9=1,"A total is not equal to the sum of its components: ",AI9&amp;" totals are not equal to the sum of their components: "))&amp;IF(AI9=0,"",IF(I9-SUM(C9:F9,H9)=0,"","Total crude. ")&amp;IF(AG9-SUM(J9:M9,P9:R9,U9,X9,AA9,AE9:AF9)=0,"","Total products. ")&amp;IF(AH9-SUM(AG9,I9)=0,"","Total oil."))</f>
        <v xml:space="preserve"> </v>
      </c>
      <c r="AL9" s="141"/>
      <c r="AM9" s="141"/>
      <c r="AS9" s="130" t="s">
        <v>501</v>
      </c>
      <c r="AT9" s="130" t="s">
        <v>502</v>
      </c>
      <c r="DS9" s="647"/>
      <c r="DT9" s="647"/>
      <c r="DU9" s="667" t="s">
        <v>415</v>
      </c>
      <c r="DV9" s="667" t="s">
        <v>1188</v>
      </c>
      <c r="DW9" s="667" t="s">
        <v>1134</v>
      </c>
      <c r="DX9" s="667" t="s">
        <v>1134</v>
      </c>
      <c r="DY9" s="669" t="s">
        <v>1198</v>
      </c>
      <c r="DZ9" s="667" t="s">
        <v>1134</v>
      </c>
      <c r="EA9" s="670" t="s">
        <v>501</v>
      </c>
      <c r="EB9" s="667" t="s">
        <v>1135</v>
      </c>
      <c r="EC9" s="667" t="s">
        <v>1134</v>
      </c>
      <c r="ED9" s="667" t="s">
        <v>1136</v>
      </c>
      <c r="EE9" s="1077"/>
    </row>
    <row r="10" spans="1:135" s="2" customFormat="1" x14ac:dyDescent="0.2">
      <c r="A10" s="225" t="s">
        <v>115</v>
      </c>
      <c r="B10" s="632">
        <v>3</v>
      </c>
      <c r="C10" s="770">
        <v>0</v>
      </c>
      <c r="D10" s="830">
        <v>0</v>
      </c>
      <c r="E10" s="830">
        <v>0</v>
      </c>
      <c r="F10" s="866">
        <v>0</v>
      </c>
      <c r="G10" s="830">
        <v>0</v>
      </c>
      <c r="H10" s="830">
        <v>0</v>
      </c>
      <c r="I10" s="828">
        <f t="shared" si="0"/>
        <v>0</v>
      </c>
      <c r="J10" s="832">
        <v>0</v>
      </c>
      <c r="K10" s="832">
        <v>0</v>
      </c>
      <c r="L10" s="830">
        <v>0</v>
      </c>
      <c r="M10" s="802">
        <v>0</v>
      </c>
      <c r="N10" s="832">
        <v>0</v>
      </c>
      <c r="O10" s="833">
        <v>0</v>
      </c>
      <c r="P10" s="832">
        <v>0</v>
      </c>
      <c r="Q10" s="832">
        <v>0</v>
      </c>
      <c r="R10" s="781">
        <v>0</v>
      </c>
      <c r="S10" s="830">
        <v>0</v>
      </c>
      <c r="T10" s="830">
        <v>0</v>
      </c>
      <c r="U10" s="834">
        <v>0</v>
      </c>
      <c r="V10" s="832">
        <v>0</v>
      </c>
      <c r="W10" s="831">
        <v>0</v>
      </c>
      <c r="X10" s="783">
        <v>0</v>
      </c>
      <c r="Y10" s="830">
        <v>0</v>
      </c>
      <c r="Z10" s="833">
        <v>0</v>
      </c>
      <c r="AA10" s="802">
        <v>0</v>
      </c>
      <c r="AB10" s="835">
        <v>0</v>
      </c>
      <c r="AC10" s="1094">
        <v>0</v>
      </c>
      <c r="AD10" s="833">
        <v>0</v>
      </c>
      <c r="AE10" s="836">
        <v>0</v>
      </c>
      <c r="AF10" s="836">
        <v>0</v>
      </c>
      <c r="AG10" s="827">
        <f t="shared" si="1"/>
        <v>0</v>
      </c>
      <c r="AH10" s="827">
        <f t="shared" si="2"/>
        <v>0</v>
      </c>
      <c r="AI10" s="466">
        <f t="shared" si="3"/>
        <v>0</v>
      </c>
      <c r="AJ10" s="467" t="str">
        <f t="shared" si="4"/>
        <v xml:space="preserve"> </v>
      </c>
      <c r="AL10" s="141"/>
      <c r="AM10" s="141"/>
      <c r="AS10" s="139" t="s">
        <v>232</v>
      </c>
      <c r="AT10" s="139" t="s">
        <v>231</v>
      </c>
      <c r="DS10" s="668"/>
      <c r="DT10" s="668"/>
      <c r="DU10" s="667" t="s">
        <v>415</v>
      </c>
      <c r="DV10" s="667" t="s">
        <v>1188</v>
      </c>
      <c r="DW10" s="667" t="s">
        <v>1134</v>
      </c>
      <c r="DX10" s="667" t="s">
        <v>1134</v>
      </c>
      <c r="DY10" s="669" t="s">
        <v>1198</v>
      </c>
      <c r="DZ10" s="667" t="s">
        <v>1134</v>
      </c>
      <c r="EA10" s="670" t="s">
        <v>232</v>
      </c>
      <c r="EB10" s="667" t="s">
        <v>1135</v>
      </c>
      <c r="EC10" s="667" t="s">
        <v>1134</v>
      </c>
      <c r="ED10" s="667" t="s">
        <v>1136</v>
      </c>
    </row>
    <row r="11" spans="1:135" s="2" customFormat="1" x14ac:dyDescent="0.2">
      <c r="A11" s="225" t="s">
        <v>15</v>
      </c>
      <c r="B11" s="632">
        <v>4</v>
      </c>
      <c r="C11" s="770">
        <v>0</v>
      </c>
      <c r="D11" s="830">
        <v>0</v>
      </c>
      <c r="E11" s="830">
        <v>0</v>
      </c>
      <c r="F11" s="866">
        <v>0</v>
      </c>
      <c r="G11" s="830">
        <v>0</v>
      </c>
      <c r="H11" s="830">
        <v>0</v>
      </c>
      <c r="I11" s="828">
        <f t="shared" si="0"/>
        <v>0</v>
      </c>
      <c r="J11" s="832">
        <v>0</v>
      </c>
      <c r="K11" s="832">
        <v>0</v>
      </c>
      <c r="L11" s="830">
        <v>0</v>
      </c>
      <c r="M11" s="802">
        <v>0</v>
      </c>
      <c r="N11" s="832">
        <v>0</v>
      </c>
      <c r="O11" s="833">
        <v>0</v>
      </c>
      <c r="P11" s="832">
        <v>0</v>
      </c>
      <c r="Q11" s="832">
        <v>0</v>
      </c>
      <c r="R11" s="781">
        <v>0</v>
      </c>
      <c r="S11" s="830">
        <v>0</v>
      </c>
      <c r="T11" s="830">
        <v>0</v>
      </c>
      <c r="U11" s="834">
        <v>0</v>
      </c>
      <c r="V11" s="832">
        <v>0</v>
      </c>
      <c r="W11" s="831">
        <v>0</v>
      </c>
      <c r="X11" s="783">
        <v>0</v>
      </c>
      <c r="Y11" s="830">
        <v>0</v>
      </c>
      <c r="Z11" s="833">
        <v>0</v>
      </c>
      <c r="AA11" s="802">
        <v>0</v>
      </c>
      <c r="AB11" s="835">
        <v>0</v>
      </c>
      <c r="AC11" s="1094">
        <v>0</v>
      </c>
      <c r="AD11" s="833">
        <v>0</v>
      </c>
      <c r="AE11" s="836">
        <v>0</v>
      </c>
      <c r="AF11" s="836">
        <v>0</v>
      </c>
      <c r="AG11" s="827">
        <f t="shared" si="1"/>
        <v>0</v>
      </c>
      <c r="AH11" s="827">
        <f t="shared" si="2"/>
        <v>0</v>
      </c>
      <c r="AI11" s="466">
        <f t="shared" si="3"/>
        <v>0</v>
      </c>
      <c r="AJ11" s="467" t="str">
        <f t="shared" si="4"/>
        <v xml:space="preserve"> </v>
      </c>
      <c r="AL11" s="141"/>
      <c r="AM11" s="141"/>
      <c r="AS11" s="139" t="s">
        <v>234</v>
      </c>
      <c r="AT11" s="139" t="s">
        <v>233</v>
      </c>
      <c r="DS11" s="648"/>
      <c r="DT11" s="648"/>
      <c r="DU11" s="667" t="s">
        <v>415</v>
      </c>
      <c r="DV11" s="667" t="s">
        <v>1188</v>
      </c>
      <c r="DW11" s="667" t="s">
        <v>1134</v>
      </c>
      <c r="DX11" s="667" t="s">
        <v>1134</v>
      </c>
      <c r="DY11" s="669" t="s">
        <v>1198</v>
      </c>
      <c r="DZ11" s="667" t="s">
        <v>1134</v>
      </c>
      <c r="EA11" s="670" t="s">
        <v>234</v>
      </c>
      <c r="EB11" s="667" t="s">
        <v>1135</v>
      </c>
      <c r="EC11" s="667" t="s">
        <v>1134</v>
      </c>
      <c r="ED11" s="667" t="s">
        <v>1136</v>
      </c>
    </row>
    <row r="12" spans="1:135" s="2" customFormat="1" x14ac:dyDescent="0.2">
      <c r="A12" s="225" t="s">
        <v>556</v>
      </c>
      <c r="B12" s="632">
        <v>5</v>
      </c>
      <c r="C12" s="770">
        <v>0</v>
      </c>
      <c r="D12" s="830">
        <v>0</v>
      </c>
      <c r="E12" s="830">
        <v>0</v>
      </c>
      <c r="F12" s="866">
        <v>0</v>
      </c>
      <c r="G12" s="830">
        <v>0</v>
      </c>
      <c r="H12" s="830">
        <v>0</v>
      </c>
      <c r="I12" s="828">
        <f t="shared" si="0"/>
        <v>0</v>
      </c>
      <c r="J12" s="832">
        <v>0</v>
      </c>
      <c r="K12" s="832">
        <v>0</v>
      </c>
      <c r="L12" s="830">
        <v>0</v>
      </c>
      <c r="M12" s="802">
        <v>0</v>
      </c>
      <c r="N12" s="832">
        <v>0</v>
      </c>
      <c r="O12" s="833">
        <v>0</v>
      </c>
      <c r="P12" s="832">
        <v>0</v>
      </c>
      <c r="Q12" s="832">
        <v>0</v>
      </c>
      <c r="R12" s="781">
        <v>0</v>
      </c>
      <c r="S12" s="830">
        <v>0</v>
      </c>
      <c r="T12" s="830">
        <v>0</v>
      </c>
      <c r="U12" s="834">
        <v>0</v>
      </c>
      <c r="V12" s="832">
        <v>0</v>
      </c>
      <c r="W12" s="831">
        <v>0</v>
      </c>
      <c r="X12" s="783">
        <v>0</v>
      </c>
      <c r="Y12" s="830">
        <v>0</v>
      </c>
      <c r="Z12" s="833">
        <v>0</v>
      </c>
      <c r="AA12" s="802">
        <v>0</v>
      </c>
      <c r="AB12" s="835">
        <v>0</v>
      </c>
      <c r="AC12" s="1094">
        <v>0</v>
      </c>
      <c r="AD12" s="833">
        <v>0</v>
      </c>
      <c r="AE12" s="836">
        <v>0</v>
      </c>
      <c r="AF12" s="836">
        <v>0</v>
      </c>
      <c r="AG12" s="827">
        <f t="shared" si="1"/>
        <v>0</v>
      </c>
      <c r="AH12" s="827">
        <f t="shared" si="2"/>
        <v>0</v>
      </c>
      <c r="AI12" s="466">
        <f t="shared" si="3"/>
        <v>0</v>
      </c>
      <c r="AJ12" s="467" t="str">
        <f t="shared" si="4"/>
        <v xml:space="preserve"> </v>
      </c>
      <c r="AL12" s="141"/>
      <c r="AM12" s="141"/>
      <c r="AS12" s="130" t="s">
        <v>505</v>
      </c>
      <c r="AT12" s="130" t="s">
        <v>506</v>
      </c>
      <c r="DS12" s="648"/>
      <c r="DT12" s="648"/>
      <c r="DU12" s="667" t="s">
        <v>415</v>
      </c>
      <c r="DV12" s="667" t="s">
        <v>1188</v>
      </c>
      <c r="DW12" s="667" t="s">
        <v>1134</v>
      </c>
      <c r="DX12" s="667" t="s">
        <v>1134</v>
      </c>
      <c r="DY12" s="669" t="s">
        <v>1198</v>
      </c>
      <c r="DZ12" s="667" t="s">
        <v>1134</v>
      </c>
      <c r="EA12" s="670" t="s">
        <v>505</v>
      </c>
      <c r="EB12" s="667" t="s">
        <v>1135</v>
      </c>
      <c r="EC12" s="667" t="s">
        <v>1134</v>
      </c>
      <c r="ED12" s="667" t="s">
        <v>1136</v>
      </c>
    </row>
    <row r="13" spans="1:135" s="2" customFormat="1" x14ac:dyDescent="0.2">
      <c r="A13" s="225" t="s">
        <v>116</v>
      </c>
      <c r="B13" s="632">
        <v>6</v>
      </c>
      <c r="C13" s="770">
        <v>0</v>
      </c>
      <c r="D13" s="830">
        <v>0</v>
      </c>
      <c r="E13" s="830">
        <v>0</v>
      </c>
      <c r="F13" s="866">
        <v>0</v>
      </c>
      <c r="G13" s="830">
        <v>0</v>
      </c>
      <c r="H13" s="830">
        <v>0</v>
      </c>
      <c r="I13" s="828">
        <f t="shared" si="0"/>
        <v>0</v>
      </c>
      <c r="J13" s="832">
        <v>0</v>
      </c>
      <c r="K13" s="832">
        <v>0</v>
      </c>
      <c r="L13" s="830">
        <v>0</v>
      </c>
      <c r="M13" s="802">
        <v>0</v>
      </c>
      <c r="N13" s="832">
        <v>0</v>
      </c>
      <c r="O13" s="833">
        <v>0</v>
      </c>
      <c r="P13" s="832">
        <v>0</v>
      </c>
      <c r="Q13" s="832">
        <v>0</v>
      </c>
      <c r="R13" s="781">
        <v>0</v>
      </c>
      <c r="S13" s="830">
        <v>0</v>
      </c>
      <c r="T13" s="830">
        <v>0</v>
      </c>
      <c r="U13" s="834">
        <v>0</v>
      </c>
      <c r="V13" s="832">
        <v>0</v>
      </c>
      <c r="W13" s="831">
        <v>0</v>
      </c>
      <c r="X13" s="783">
        <v>0</v>
      </c>
      <c r="Y13" s="830">
        <v>0</v>
      </c>
      <c r="Z13" s="833">
        <v>0</v>
      </c>
      <c r="AA13" s="802">
        <v>0</v>
      </c>
      <c r="AB13" s="835">
        <v>0</v>
      </c>
      <c r="AC13" s="1094">
        <v>0</v>
      </c>
      <c r="AD13" s="833">
        <v>0</v>
      </c>
      <c r="AE13" s="836">
        <v>0</v>
      </c>
      <c r="AF13" s="836">
        <v>0</v>
      </c>
      <c r="AG13" s="827">
        <f t="shared" si="1"/>
        <v>0</v>
      </c>
      <c r="AH13" s="827">
        <f t="shared" si="2"/>
        <v>0</v>
      </c>
      <c r="AI13" s="466">
        <f t="shared" si="3"/>
        <v>0</v>
      </c>
      <c r="AJ13" s="467" t="str">
        <f t="shared" si="4"/>
        <v xml:space="preserve"> </v>
      </c>
      <c r="AL13" s="141"/>
      <c r="AM13" s="141"/>
      <c r="AS13" s="139" t="s">
        <v>236</v>
      </c>
      <c r="AT13" s="139" t="s">
        <v>235</v>
      </c>
      <c r="DS13" s="648"/>
      <c r="DT13" s="648"/>
      <c r="DU13" s="667" t="s">
        <v>415</v>
      </c>
      <c r="DV13" s="667" t="s">
        <v>1188</v>
      </c>
      <c r="DW13" s="667" t="s">
        <v>1134</v>
      </c>
      <c r="DX13" s="667" t="s">
        <v>1134</v>
      </c>
      <c r="DY13" s="669" t="s">
        <v>1198</v>
      </c>
      <c r="DZ13" s="667" t="s">
        <v>1134</v>
      </c>
      <c r="EA13" s="670" t="s">
        <v>236</v>
      </c>
      <c r="EB13" s="667" t="s">
        <v>1135</v>
      </c>
      <c r="EC13" s="667" t="s">
        <v>1134</v>
      </c>
      <c r="ED13" s="667" t="s">
        <v>1136</v>
      </c>
    </row>
    <row r="14" spans="1:135" s="2" customFormat="1" x14ac:dyDescent="0.2">
      <c r="A14" s="225" t="s">
        <v>595</v>
      </c>
      <c r="B14" s="632">
        <v>7</v>
      </c>
      <c r="C14" s="770">
        <v>0</v>
      </c>
      <c r="D14" s="830">
        <v>0</v>
      </c>
      <c r="E14" s="830">
        <v>0</v>
      </c>
      <c r="F14" s="866">
        <v>0</v>
      </c>
      <c r="G14" s="830">
        <v>0</v>
      </c>
      <c r="H14" s="830">
        <v>0</v>
      </c>
      <c r="I14" s="828">
        <f t="shared" si="0"/>
        <v>0</v>
      </c>
      <c r="J14" s="832">
        <v>0</v>
      </c>
      <c r="K14" s="832">
        <v>0</v>
      </c>
      <c r="L14" s="830">
        <v>0</v>
      </c>
      <c r="M14" s="802">
        <v>0</v>
      </c>
      <c r="N14" s="832">
        <v>0</v>
      </c>
      <c r="O14" s="833">
        <v>0</v>
      </c>
      <c r="P14" s="832">
        <v>0</v>
      </c>
      <c r="Q14" s="832">
        <v>0</v>
      </c>
      <c r="R14" s="781">
        <v>0</v>
      </c>
      <c r="S14" s="830">
        <v>0</v>
      </c>
      <c r="T14" s="830">
        <v>0</v>
      </c>
      <c r="U14" s="834">
        <v>0</v>
      </c>
      <c r="V14" s="832">
        <v>0</v>
      </c>
      <c r="W14" s="831">
        <v>0</v>
      </c>
      <c r="X14" s="783">
        <v>0</v>
      </c>
      <c r="Y14" s="830">
        <v>0</v>
      </c>
      <c r="Z14" s="833">
        <v>0</v>
      </c>
      <c r="AA14" s="802">
        <v>0</v>
      </c>
      <c r="AB14" s="835">
        <v>0</v>
      </c>
      <c r="AC14" s="1094">
        <v>0</v>
      </c>
      <c r="AD14" s="833">
        <v>0</v>
      </c>
      <c r="AE14" s="836">
        <v>0</v>
      </c>
      <c r="AF14" s="836">
        <v>0</v>
      </c>
      <c r="AG14" s="827">
        <f t="shared" si="1"/>
        <v>0</v>
      </c>
      <c r="AH14" s="827">
        <f t="shared" si="2"/>
        <v>0</v>
      </c>
      <c r="AI14" s="466">
        <f t="shared" si="3"/>
        <v>0</v>
      </c>
      <c r="AJ14" s="467" t="str">
        <f t="shared" si="4"/>
        <v xml:space="preserve"> </v>
      </c>
      <c r="AL14" s="141"/>
      <c r="AM14" s="141"/>
      <c r="AS14" s="139" t="s">
        <v>537</v>
      </c>
      <c r="AT14" s="139" t="s">
        <v>538</v>
      </c>
      <c r="DS14" s="648"/>
      <c r="DT14" s="648"/>
      <c r="DU14" s="667" t="s">
        <v>415</v>
      </c>
      <c r="DV14" s="667" t="s">
        <v>1188</v>
      </c>
      <c r="DW14" s="667" t="s">
        <v>1134</v>
      </c>
      <c r="DX14" s="667" t="s">
        <v>1134</v>
      </c>
      <c r="DY14" s="669" t="s">
        <v>1198</v>
      </c>
      <c r="DZ14" s="667" t="s">
        <v>1134</v>
      </c>
      <c r="EA14" s="670" t="s">
        <v>537</v>
      </c>
      <c r="EB14" s="667" t="s">
        <v>1135</v>
      </c>
      <c r="EC14" s="667" t="s">
        <v>1134</v>
      </c>
      <c r="ED14" s="667" t="s">
        <v>1136</v>
      </c>
    </row>
    <row r="15" spans="1:135" s="2" customFormat="1" x14ac:dyDescent="0.2">
      <c r="A15" s="225" t="s">
        <v>20</v>
      </c>
      <c r="B15" s="632">
        <v>8</v>
      </c>
      <c r="C15" s="770">
        <v>0</v>
      </c>
      <c r="D15" s="830">
        <v>0</v>
      </c>
      <c r="E15" s="830">
        <v>0</v>
      </c>
      <c r="F15" s="866">
        <v>0</v>
      </c>
      <c r="G15" s="830">
        <v>0</v>
      </c>
      <c r="H15" s="830">
        <v>0</v>
      </c>
      <c r="I15" s="828">
        <f t="shared" si="0"/>
        <v>0</v>
      </c>
      <c r="J15" s="832">
        <v>0</v>
      </c>
      <c r="K15" s="832">
        <v>0</v>
      </c>
      <c r="L15" s="830">
        <v>0</v>
      </c>
      <c r="M15" s="802">
        <v>0</v>
      </c>
      <c r="N15" s="832">
        <v>0</v>
      </c>
      <c r="O15" s="833">
        <v>0</v>
      </c>
      <c r="P15" s="832">
        <v>0</v>
      </c>
      <c r="Q15" s="832">
        <v>0</v>
      </c>
      <c r="R15" s="781">
        <v>0</v>
      </c>
      <c r="S15" s="830">
        <v>0</v>
      </c>
      <c r="T15" s="830">
        <v>0</v>
      </c>
      <c r="U15" s="834">
        <v>0</v>
      </c>
      <c r="V15" s="832">
        <v>0</v>
      </c>
      <c r="W15" s="831">
        <v>0</v>
      </c>
      <c r="X15" s="783">
        <v>0</v>
      </c>
      <c r="Y15" s="830">
        <v>0</v>
      </c>
      <c r="Z15" s="833">
        <v>0</v>
      </c>
      <c r="AA15" s="802">
        <v>0</v>
      </c>
      <c r="AB15" s="835">
        <v>0</v>
      </c>
      <c r="AC15" s="1094">
        <v>0</v>
      </c>
      <c r="AD15" s="833">
        <v>0</v>
      </c>
      <c r="AE15" s="836">
        <v>0</v>
      </c>
      <c r="AF15" s="836">
        <v>0</v>
      </c>
      <c r="AG15" s="827">
        <f t="shared" si="1"/>
        <v>0</v>
      </c>
      <c r="AH15" s="827">
        <f t="shared" si="2"/>
        <v>0</v>
      </c>
      <c r="AI15" s="466">
        <f t="shared" si="3"/>
        <v>0</v>
      </c>
      <c r="AJ15" s="467" t="str">
        <f t="shared" si="4"/>
        <v xml:space="preserve"> </v>
      </c>
      <c r="AL15" s="141"/>
      <c r="AM15" s="141"/>
      <c r="AS15" s="139" t="s">
        <v>433</v>
      </c>
      <c r="AT15" s="139" t="s">
        <v>434</v>
      </c>
      <c r="DS15" s="648"/>
      <c r="DT15" s="648"/>
      <c r="DU15" s="667" t="s">
        <v>415</v>
      </c>
      <c r="DV15" s="667" t="s">
        <v>1188</v>
      </c>
      <c r="DW15" s="667" t="s">
        <v>1134</v>
      </c>
      <c r="DX15" s="667" t="s">
        <v>1134</v>
      </c>
      <c r="DY15" s="669" t="s">
        <v>1198</v>
      </c>
      <c r="DZ15" s="667" t="s">
        <v>1134</v>
      </c>
      <c r="EA15" s="670" t="s">
        <v>433</v>
      </c>
      <c r="EB15" s="667" t="s">
        <v>1135</v>
      </c>
      <c r="EC15" s="667" t="s">
        <v>1134</v>
      </c>
      <c r="ED15" s="667" t="s">
        <v>1136</v>
      </c>
    </row>
    <row r="16" spans="1:135" s="2" customFormat="1" x14ac:dyDescent="0.2">
      <c r="A16" s="225" t="s">
        <v>117</v>
      </c>
      <c r="B16" s="632">
        <v>9</v>
      </c>
      <c r="C16" s="770">
        <v>0</v>
      </c>
      <c r="D16" s="830">
        <v>0</v>
      </c>
      <c r="E16" s="830">
        <v>0</v>
      </c>
      <c r="F16" s="866">
        <v>0</v>
      </c>
      <c r="G16" s="830">
        <v>0</v>
      </c>
      <c r="H16" s="830">
        <v>0</v>
      </c>
      <c r="I16" s="828">
        <f t="shared" si="0"/>
        <v>0</v>
      </c>
      <c r="J16" s="832">
        <v>0</v>
      </c>
      <c r="K16" s="832">
        <v>0</v>
      </c>
      <c r="L16" s="830">
        <v>0</v>
      </c>
      <c r="M16" s="802">
        <v>0</v>
      </c>
      <c r="N16" s="832">
        <v>0</v>
      </c>
      <c r="O16" s="833">
        <v>0</v>
      </c>
      <c r="P16" s="832">
        <v>0</v>
      </c>
      <c r="Q16" s="832">
        <v>0</v>
      </c>
      <c r="R16" s="781">
        <v>0</v>
      </c>
      <c r="S16" s="830">
        <v>0</v>
      </c>
      <c r="T16" s="830">
        <v>0</v>
      </c>
      <c r="U16" s="834">
        <v>0</v>
      </c>
      <c r="V16" s="832">
        <v>0</v>
      </c>
      <c r="W16" s="831">
        <v>0</v>
      </c>
      <c r="X16" s="783">
        <v>0</v>
      </c>
      <c r="Y16" s="830">
        <v>0</v>
      </c>
      <c r="Z16" s="833">
        <v>0</v>
      </c>
      <c r="AA16" s="802">
        <v>0</v>
      </c>
      <c r="AB16" s="835">
        <v>0</v>
      </c>
      <c r="AC16" s="1094">
        <v>0</v>
      </c>
      <c r="AD16" s="833">
        <v>0</v>
      </c>
      <c r="AE16" s="836">
        <v>0</v>
      </c>
      <c r="AF16" s="836">
        <v>0</v>
      </c>
      <c r="AG16" s="827">
        <f t="shared" si="1"/>
        <v>0</v>
      </c>
      <c r="AH16" s="827">
        <f t="shared" si="2"/>
        <v>0</v>
      </c>
      <c r="AI16" s="466">
        <f t="shared" si="3"/>
        <v>0</v>
      </c>
      <c r="AJ16" s="467" t="str">
        <f t="shared" si="4"/>
        <v xml:space="preserve"> </v>
      </c>
      <c r="AL16" s="141"/>
      <c r="AM16" s="141"/>
      <c r="AS16" s="139" t="s">
        <v>238</v>
      </c>
      <c r="AT16" s="139" t="s">
        <v>237</v>
      </c>
      <c r="DS16" s="648"/>
      <c r="DT16" s="648"/>
      <c r="DU16" s="667" t="s">
        <v>415</v>
      </c>
      <c r="DV16" s="667" t="s">
        <v>1188</v>
      </c>
      <c r="DW16" s="667" t="s">
        <v>1134</v>
      </c>
      <c r="DX16" s="667" t="s">
        <v>1134</v>
      </c>
      <c r="DY16" s="669" t="s">
        <v>1198</v>
      </c>
      <c r="DZ16" s="667" t="s">
        <v>1134</v>
      </c>
      <c r="EA16" s="670" t="s">
        <v>238</v>
      </c>
      <c r="EB16" s="667" t="s">
        <v>1135</v>
      </c>
      <c r="EC16" s="667" t="s">
        <v>1134</v>
      </c>
      <c r="ED16" s="667" t="s">
        <v>1136</v>
      </c>
    </row>
    <row r="17" spans="1:134" s="2" customFormat="1" x14ac:dyDescent="0.2">
      <c r="A17" s="225" t="s">
        <v>613</v>
      </c>
      <c r="B17" s="632">
        <v>10</v>
      </c>
      <c r="C17" s="770">
        <v>0</v>
      </c>
      <c r="D17" s="830">
        <v>0</v>
      </c>
      <c r="E17" s="830">
        <v>0</v>
      </c>
      <c r="F17" s="866">
        <v>0</v>
      </c>
      <c r="G17" s="830">
        <v>0</v>
      </c>
      <c r="H17" s="830">
        <v>0</v>
      </c>
      <c r="I17" s="828">
        <f t="shared" si="0"/>
        <v>0</v>
      </c>
      <c r="J17" s="832">
        <v>0</v>
      </c>
      <c r="K17" s="832">
        <v>0</v>
      </c>
      <c r="L17" s="830">
        <v>0</v>
      </c>
      <c r="M17" s="802">
        <v>0</v>
      </c>
      <c r="N17" s="832">
        <v>0</v>
      </c>
      <c r="O17" s="833">
        <v>0</v>
      </c>
      <c r="P17" s="832">
        <v>0</v>
      </c>
      <c r="Q17" s="832">
        <v>0</v>
      </c>
      <c r="R17" s="781">
        <v>0</v>
      </c>
      <c r="S17" s="830">
        <v>0</v>
      </c>
      <c r="T17" s="830">
        <v>0</v>
      </c>
      <c r="U17" s="834">
        <v>0</v>
      </c>
      <c r="V17" s="832">
        <v>0</v>
      </c>
      <c r="W17" s="831">
        <v>0</v>
      </c>
      <c r="X17" s="783">
        <v>0</v>
      </c>
      <c r="Y17" s="830">
        <v>0</v>
      </c>
      <c r="Z17" s="833">
        <v>0</v>
      </c>
      <c r="AA17" s="802">
        <v>0</v>
      </c>
      <c r="AB17" s="835">
        <v>0</v>
      </c>
      <c r="AC17" s="1094">
        <v>0</v>
      </c>
      <c r="AD17" s="833">
        <v>0</v>
      </c>
      <c r="AE17" s="836">
        <v>0</v>
      </c>
      <c r="AF17" s="836">
        <v>0</v>
      </c>
      <c r="AG17" s="827">
        <f t="shared" si="1"/>
        <v>0</v>
      </c>
      <c r="AH17" s="827">
        <f t="shared" si="2"/>
        <v>0</v>
      </c>
      <c r="AI17" s="466">
        <f t="shared" si="3"/>
        <v>0</v>
      </c>
      <c r="AJ17" s="467" t="str">
        <f t="shared" si="4"/>
        <v xml:space="preserve"> </v>
      </c>
      <c r="AL17" s="141"/>
      <c r="AM17" s="141"/>
      <c r="AS17" s="139" t="s">
        <v>617</v>
      </c>
      <c r="AT17" s="139" t="s">
        <v>618</v>
      </c>
      <c r="DS17" s="648"/>
      <c r="DT17" s="648"/>
      <c r="DU17" s="667" t="s">
        <v>415</v>
      </c>
      <c r="DV17" s="667" t="s">
        <v>1188</v>
      </c>
      <c r="DW17" s="667" t="s">
        <v>1134</v>
      </c>
      <c r="DX17" s="667" t="s">
        <v>1134</v>
      </c>
      <c r="DY17" s="669" t="s">
        <v>1198</v>
      </c>
      <c r="DZ17" s="667" t="s">
        <v>1134</v>
      </c>
      <c r="EA17" s="670" t="s">
        <v>617</v>
      </c>
      <c r="EB17" s="667" t="s">
        <v>1135</v>
      </c>
      <c r="EC17" s="667" t="s">
        <v>1134</v>
      </c>
      <c r="ED17" s="667" t="s">
        <v>1136</v>
      </c>
    </row>
    <row r="18" spans="1:134" s="2" customFormat="1" x14ac:dyDescent="0.2">
      <c r="A18" s="225" t="s">
        <v>23</v>
      </c>
      <c r="B18" s="632">
        <v>11</v>
      </c>
      <c r="C18" s="770">
        <v>0</v>
      </c>
      <c r="D18" s="830">
        <v>0</v>
      </c>
      <c r="E18" s="830">
        <v>0</v>
      </c>
      <c r="F18" s="866">
        <v>0</v>
      </c>
      <c r="G18" s="830">
        <v>0</v>
      </c>
      <c r="H18" s="830">
        <v>0</v>
      </c>
      <c r="I18" s="828">
        <f t="shared" si="0"/>
        <v>0</v>
      </c>
      <c r="J18" s="832">
        <v>0</v>
      </c>
      <c r="K18" s="832">
        <v>0</v>
      </c>
      <c r="L18" s="830">
        <v>0</v>
      </c>
      <c r="M18" s="802">
        <v>0</v>
      </c>
      <c r="N18" s="832">
        <v>0</v>
      </c>
      <c r="O18" s="833">
        <v>0</v>
      </c>
      <c r="P18" s="832">
        <v>0</v>
      </c>
      <c r="Q18" s="832">
        <v>0</v>
      </c>
      <c r="R18" s="781">
        <v>0</v>
      </c>
      <c r="S18" s="830">
        <v>0</v>
      </c>
      <c r="T18" s="830">
        <v>0</v>
      </c>
      <c r="U18" s="834">
        <v>0</v>
      </c>
      <c r="V18" s="832">
        <v>0</v>
      </c>
      <c r="W18" s="831">
        <v>0</v>
      </c>
      <c r="X18" s="783">
        <v>0</v>
      </c>
      <c r="Y18" s="830">
        <v>0</v>
      </c>
      <c r="Z18" s="833">
        <v>0</v>
      </c>
      <c r="AA18" s="802">
        <v>0</v>
      </c>
      <c r="AB18" s="835">
        <v>0</v>
      </c>
      <c r="AC18" s="1094">
        <v>0</v>
      </c>
      <c r="AD18" s="833">
        <v>0</v>
      </c>
      <c r="AE18" s="836">
        <v>0</v>
      </c>
      <c r="AF18" s="836">
        <v>0</v>
      </c>
      <c r="AG18" s="827">
        <f t="shared" si="1"/>
        <v>0</v>
      </c>
      <c r="AH18" s="827">
        <f t="shared" si="2"/>
        <v>0</v>
      </c>
      <c r="AI18" s="466">
        <f t="shared" si="3"/>
        <v>0</v>
      </c>
      <c r="AJ18" s="467" t="str">
        <f t="shared" si="4"/>
        <v xml:space="preserve"> </v>
      </c>
      <c r="AL18" s="141"/>
      <c r="AM18" s="141"/>
      <c r="AS18" s="130" t="s">
        <v>439</v>
      </c>
      <c r="AT18" s="130" t="s">
        <v>440</v>
      </c>
      <c r="DS18" s="648"/>
      <c r="DT18" s="648"/>
      <c r="DU18" s="667" t="s">
        <v>415</v>
      </c>
      <c r="DV18" s="667" t="s">
        <v>1188</v>
      </c>
      <c r="DW18" s="667" t="s">
        <v>1134</v>
      </c>
      <c r="DX18" s="667" t="s">
        <v>1134</v>
      </c>
      <c r="DY18" s="669" t="s">
        <v>1198</v>
      </c>
      <c r="DZ18" s="667" t="s">
        <v>1134</v>
      </c>
      <c r="EA18" s="670" t="s">
        <v>439</v>
      </c>
      <c r="EB18" s="667" t="s">
        <v>1135</v>
      </c>
      <c r="EC18" s="667" t="s">
        <v>1134</v>
      </c>
      <c r="ED18" s="667" t="s">
        <v>1136</v>
      </c>
    </row>
    <row r="19" spans="1:134" s="2" customFormat="1" x14ac:dyDescent="0.2">
      <c r="A19" s="225" t="s">
        <v>964</v>
      </c>
      <c r="B19" s="632">
        <v>12</v>
      </c>
      <c r="C19" s="770">
        <v>0</v>
      </c>
      <c r="D19" s="830">
        <v>0</v>
      </c>
      <c r="E19" s="830">
        <v>0</v>
      </c>
      <c r="F19" s="866">
        <v>0</v>
      </c>
      <c r="G19" s="830">
        <v>0</v>
      </c>
      <c r="H19" s="830">
        <v>0</v>
      </c>
      <c r="I19" s="828">
        <f t="shared" si="0"/>
        <v>0</v>
      </c>
      <c r="J19" s="832">
        <v>0</v>
      </c>
      <c r="K19" s="832">
        <v>0</v>
      </c>
      <c r="L19" s="830">
        <v>0</v>
      </c>
      <c r="M19" s="802">
        <v>0</v>
      </c>
      <c r="N19" s="832">
        <v>0</v>
      </c>
      <c r="O19" s="833">
        <v>0</v>
      </c>
      <c r="P19" s="832">
        <v>0</v>
      </c>
      <c r="Q19" s="832">
        <v>0</v>
      </c>
      <c r="R19" s="781">
        <v>0</v>
      </c>
      <c r="S19" s="830">
        <v>0</v>
      </c>
      <c r="T19" s="830">
        <v>0</v>
      </c>
      <c r="U19" s="834">
        <v>0</v>
      </c>
      <c r="V19" s="832">
        <v>0</v>
      </c>
      <c r="W19" s="831">
        <v>0</v>
      </c>
      <c r="X19" s="783">
        <v>0</v>
      </c>
      <c r="Y19" s="830">
        <v>0</v>
      </c>
      <c r="Z19" s="833">
        <v>0</v>
      </c>
      <c r="AA19" s="802">
        <v>0</v>
      </c>
      <c r="AB19" s="835">
        <v>0</v>
      </c>
      <c r="AC19" s="1094">
        <v>0</v>
      </c>
      <c r="AD19" s="833">
        <v>0</v>
      </c>
      <c r="AE19" s="836">
        <v>0</v>
      </c>
      <c r="AF19" s="836">
        <v>0</v>
      </c>
      <c r="AG19" s="827">
        <f t="shared" si="1"/>
        <v>0</v>
      </c>
      <c r="AH19" s="827">
        <f t="shared" si="2"/>
        <v>0</v>
      </c>
      <c r="AI19" s="466">
        <f t="shared" si="3"/>
        <v>0</v>
      </c>
      <c r="AJ19" s="467" t="str">
        <f t="shared" si="4"/>
        <v xml:space="preserve"> </v>
      </c>
      <c r="AL19" s="141"/>
      <c r="AM19" s="141"/>
      <c r="AS19" s="130" t="s">
        <v>1034</v>
      </c>
      <c r="AT19" s="130" t="s">
        <v>1035</v>
      </c>
      <c r="DS19" s="648"/>
      <c r="DT19" s="648"/>
      <c r="DU19" s="667" t="s">
        <v>415</v>
      </c>
      <c r="DV19" s="667" t="s">
        <v>1188</v>
      </c>
      <c r="DW19" s="667" t="s">
        <v>1134</v>
      </c>
      <c r="DX19" s="667" t="s">
        <v>1134</v>
      </c>
      <c r="DY19" s="669" t="s">
        <v>1198</v>
      </c>
      <c r="DZ19" s="667" t="s">
        <v>1134</v>
      </c>
      <c r="EA19" s="670" t="s">
        <v>1034</v>
      </c>
      <c r="EB19" s="667" t="s">
        <v>1135</v>
      </c>
      <c r="EC19" s="667" t="s">
        <v>1134</v>
      </c>
      <c r="ED19" s="667" t="s">
        <v>1136</v>
      </c>
    </row>
    <row r="20" spans="1:134" s="2" customFormat="1" x14ac:dyDescent="0.2">
      <c r="A20" s="225" t="s">
        <v>567</v>
      </c>
      <c r="B20" s="632">
        <v>13</v>
      </c>
      <c r="C20" s="770">
        <v>0</v>
      </c>
      <c r="D20" s="830">
        <v>0</v>
      </c>
      <c r="E20" s="830">
        <v>0</v>
      </c>
      <c r="F20" s="866">
        <v>0</v>
      </c>
      <c r="G20" s="830">
        <v>0</v>
      </c>
      <c r="H20" s="830">
        <v>0</v>
      </c>
      <c r="I20" s="828">
        <f t="shared" si="0"/>
        <v>0</v>
      </c>
      <c r="J20" s="832">
        <v>0</v>
      </c>
      <c r="K20" s="832">
        <v>0</v>
      </c>
      <c r="L20" s="830">
        <v>0</v>
      </c>
      <c r="M20" s="802">
        <v>0</v>
      </c>
      <c r="N20" s="832">
        <v>0</v>
      </c>
      <c r="O20" s="833">
        <v>0</v>
      </c>
      <c r="P20" s="832">
        <v>0</v>
      </c>
      <c r="Q20" s="832">
        <v>0</v>
      </c>
      <c r="R20" s="781">
        <v>0</v>
      </c>
      <c r="S20" s="830">
        <v>0</v>
      </c>
      <c r="T20" s="830">
        <v>0</v>
      </c>
      <c r="U20" s="834">
        <v>0</v>
      </c>
      <c r="V20" s="832">
        <v>0</v>
      </c>
      <c r="W20" s="831">
        <v>0</v>
      </c>
      <c r="X20" s="783">
        <v>0</v>
      </c>
      <c r="Y20" s="830">
        <v>0</v>
      </c>
      <c r="Z20" s="833">
        <v>0</v>
      </c>
      <c r="AA20" s="802">
        <v>0</v>
      </c>
      <c r="AB20" s="835">
        <v>0</v>
      </c>
      <c r="AC20" s="1094">
        <v>0</v>
      </c>
      <c r="AD20" s="833">
        <v>0</v>
      </c>
      <c r="AE20" s="836">
        <v>0</v>
      </c>
      <c r="AF20" s="836">
        <v>0</v>
      </c>
      <c r="AG20" s="827">
        <f t="shared" si="1"/>
        <v>0</v>
      </c>
      <c r="AH20" s="827">
        <f t="shared" si="2"/>
        <v>0</v>
      </c>
      <c r="AI20" s="466">
        <f t="shared" si="3"/>
        <v>0</v>
      </c>
      <c r="AJ20" s="467" t="str">
        <f t="shared" si="4"/>
        <v xml:space="preserve"> </v>
      </c>
      <c r="AL20" s="141"/>
      <c r="AM20" s="141"/>
      <c r="AS20" s="139" t="s">
        <v>539</v>
      </c>
      <c r="AT20" s="139" t="s">
        <v>540</v>
      </c>
      <c r="DS20" s="648"/>
      <c r="DT20" s="648"/>
      <c r="DU20" s="667" t="s">
        <v>415</v>
      </c>
      <c r="DV20" s="667" t="s">
        <v>1188</v>
      </c>
      <c r="DW20" s="667" t="s">
        <v>1134</v>
      </c>
      <c r="DX20" s="667" t="s">
        <v>1134</v>
      </c>
      <c r="DY20" s="669" t="s">
        <v>1198</v>
      </c>
      <c r="DZ20" s="667" t="s">
        <v>1134</v>
      </c>
      <c r="EA20" s="670" t="s">
        <v>539</v>
      </c>
      <c r="EB20" s="667" t="s">
        <v>1135</v>
      </c>
      <c r="EC20" s="667" t="s">
        <v>1134</v>
      </c>
      <c r="ED20" s="667" t="s">
        <v>1136</v>
      </c>
    </row>
    <row r="21" spans="1:134" s="2" customFormat="1" x14ac:dyDescent="0.2">
      <c r="A21" s="225" t="s">
        <v>150</v>
      </c>
      <c r="B21" s="632">
        <v>14</v>
      </c>
      <c r="C21" s="770">
        <v>0</v>
      </c>
      <c r="D21" s="830">
        <v>0</v>
      </c>
      <c r="E21" s="830">
        <v>0</v>
      </c>
      <c r="F21" s="866">
        <v>0</v>
      </c>
      <c r="G21" s="830">
        <v>0</v>
      </c>
      <c r="H21" s="830">
        <v>0</v>
      </c>
      <c r="I21" s="828">
        <f t="shared" si="0"/>
        <v>0</v>
      </c>
      <c r="J21" s="832">
        <v>0</v>
      </c>
      <c r="K21" s="832">
        <v>0</v>
      </c>
      <c r="L21" s="830">
        <v>0</v>
      </c>
      <c r="M21" s="802">
        <v>0</v>
      </c>
      <c r="N21" s="832">
        <v>0</v>
      </c>
      <c r="O21" s="833">
        <v>0</v>
      </c>
      <c r="P21" s="832">
        <v>0</v>
      </c>
      <c r="Q21" s="832">
        <v>0</v>
      </c>
      <c r="R21" s="781">
        <v>0</v>
      </c>
      <c r="S21" s="830">
        <v>0</v>
      </c>
      <c r="T21" s="830">
        <v>0</v>
      </c>
      <c r="U21" s="834">
        <v>0</v>
      </c>
      <c r="V21" s="832">
        <v>0</v>
      </c>
      <c r="W21" s="831">
        <v>0</v>
      </c>
      <c r="X21" s="783">
        <v>0</v>
      </c>
      <c r="Y21" s="830">
        <v>0</v>
      </c>
      <c r="Z21" s="833">
        <v>0</v>
      </c>
      <c r="AA21" s="802">
        <v>0</v>
      </c>
      <c r="AB21" s="835">
        <v>0</v>
      </c>
      <c r="AC21" s="1094">
        <v>0</v>
      </c>
      <c r="AD21" s="833">
        <v>0</v>
      </c>
      <c r="AE21" s="836">
        <v>0</v>
      </c>
      <c r="AF21" s="836">
        <v>0</v>
      </c>
      <c r="AG21" s="827">
        <f t="shared" si="1"/>
        <v>0</v>
      </c>
      <c r="AH21" s="827">
        <f t="shared" si="2"/>
        <v>0</v>
      </c>
      <c r="AI21" s="466">
        <f t="shared" si="3"/>
        <v>0</v>
      </c>
      <c r="AJ21" s="467" t="str">
        <f t="shared" si="4"/>
        <v xml:space="preserve"> </v>
      </c>
      <c r="AL21" s="141"/>
      <c r="AM21" s="141"/>
      <c r="AS21" s="139" t="s">
        <v>445</v>
      </c>
      <c r="AT21" s="139" t="s">
        <v>446</v>
      </c>
      <c r="DS21" s="648"/>
      <c r="DT21" s="648"/>
      <c r="DU21" s="667" t="s">
        <v>415</v>
      </c>
      <c r="DV21" s="667" t="s">
        <v>1188</v>
      </c>
      <c r="DW21" s="667" t="s">
        <v>1134</v>
      </c>
      <c r="DX21" s="667" t="s">
        <v>1134</v>
      </c>
      <c r="DY21" s="669" t="s">
        <v>1198</v>
      </c>
      <c r="DZ21" s="667" t="s">
        <v>1134</v>
      </c>
      <c r="EA21" s="670" t="s">
        <v>445</v>
      </c>
      <c r="EB21" s="667" t="s">
        <v>1135</v>
      </c>
      <c r="EC21" s="667" t="s">
        <v>1134</v>
      </c>
      <c r="ED21" s="667" t="s">
        <v>1136</v>
      </c>
    </row>
    <row r="22" spans="1:134" s="2" customFormat="1" x14ac:dyDescent="0.2">
      <c r="A22" s="225" t="s">
        <v>25</v>
      </c>
      <c r="B22" s="632">
        <v>15</v>
      </c>
      <c r="C22" s="770">
        <v>0</v>
      </c>
      <c r="D22" s="830">
        <v>0</v>
      </c>
      <c r="E22" s="830">
        <v>0</v>
      </c>
      <c r="F22" s="866">
        <v>0</v>
      </c>
      <c r="G22" s="830">
        <v>0</v>
      </c>
      <c r="H22" s="830">
        <v>0</v>
      </c>
      <c r="I22" s="828">
        <f t="shared" si="0"/>
        <v>0</v>
      </c>
      <c r="J22" s="832">
        <v>0</v>
      </c>
      <c r="K22" s="832">
        <v>0</v>
      </c>
      <c r="L22" s="830">
        <v>0</v>
      </c>
      <c r="M22" s="802">
        <v>0</v>
      </c>
      <c r="N22" s="832">
        <v>0</v>
      </c>
      <c r="O22" s="833">
        <v>0</v>
      </c>
      <c r="P22" s="832">
        <v>0</v>
      </c>
      <c r="Q22" s="832">
        <v>0</v>
      </c>
      <c r="R22" s="781">
        <v>0</v>
      </c>
      <c r="S22" s="830">
        <v>0</v>
      </c>
      <c r="T22" s="830">
        <v>0</v>
      </c>
      <c r="U22" s="834">
        <v>0</v>
      </c>
      <c r="V22" s="832">
        <v>0</v>
      </c>
      <c r="W22" s="831">
        <v>0</v>
      </c>
      <c r="X22" s="783">
        <v>0</v>
      </c>
      <c r="Y22" s="830">
        <v>0</v>
      </c>
      <c r="Z22" s="833">
        <v>0</v>
      </c>
      <c r="AA22" s="802">
        <v>0</v>
      </c>
      <c r="AB22" s="835">
        <v>0</v>
      </c>
      <c r="AC22" s="1094">
        <v>0</v>
      </c>
      <c r="AD22" s="833">
        <v>0</v>
      </c>
      <c r="AE22" s="836">
        <v>0</v>
      </c>
      <c r="AF22" s="836">
        <v>0</v>
      </c>
      <c r="AG22" s="827">
        <f t="shared" si="1"/>
        <v>0</v>
      </c>
      <c r="AH22" s="827">
        <f t="shared" si="2"/>
        <v>0</v>
      </c>
      <c r="AI22" s="466">
        <f t="shared" si="3"/>
        <v>0</v>
      </c>
      <c r="AJ22" s="467" t="str">
        <f t="shared" si="4"/>
        <v xml:space="preserve"> </v>
      </c>
      <c r="AL22" s="141"/>
      <c r="AM22" s="141"/>
      <c r="AS22" s="139" t="s">
        <v>240</v>
      </c>
      <c r="AT22" s="139" t="s">
        <v>239</v>
      </c>
      <c r="DS22" s="648"/>
      <c r="DT22" s="648"/>
      <c r="DU22" s="667" t="s">
        <v>415</v>
      </c>
      <c r="DV22" s="667" t="s">
        <v>1188</v>
      </c>
      <c r="DW22" s="667" t="s">
        <v>1134</v>
      </c>
      <c r="DX22" s="667" t="s">
        <v>1134</v>
      </c>
      <c r="DY22" s="669" t="s">
        <v>1198</v>
      </c>
      <c r="DZ22" s="667" t="s">
        <v>1134</v>
      </c>
      <c r="EA22" s="670" t="s">
        <v>240</v>
      </c>
      <c r="EB22" s="667" t="s">
        <v>1135</v>
      </c>
      <c r="EC22" s="667" t="s">
        <v>1134</v>
      </c>
      <c r="ED22" s="667" t="s">
        <v>1136</v>
      </c>
    </row>
    <row r="23" spans="1:134" s="2" customFormat="1" x14ac:dyDescent="0.2">
      <c r="A23" s="225" t="s">
        <v>118</v>
      </c>
      <c r="B23" s="632">
        <v>16</v>
      </c>
      <c r="C23" s="770">
        <v>0</v>
      </c>
      <c r="D23" s="830">
        <v>0</v>
      </c>
      <c r="E23" s="830">
        <v>0</v>
      </c>
      <c r="F23" s="866">
        <v>0</v>
      </c>
      <c r="G23" s="830">
        <v>0</v>
      </c>
      <c r="H23" s="830">
        <v>0</v>
      </c>
      <c r="I23" s="828">
        <f t="shared" si="0"/>
        <v>0</v>
      </c>
      <c r="J23" s="832">
        <v>0</v>
      </c>
      <c r="K23" s="832">
        <v>0</v>
      </c>
      <c r="L23" s="830">
        <v>0</v>
      </c>
      <c r="M23" s="802">
        <v>0</v>
      </c>
      <c r="N23" s="832">
        <v>0</v>
      </c>
      <c r="O23" s="833">
        <v>0</v>
      </c>
      <c r="P23" s="832">
        <v>0</v>
      </c>
      <c r="Q23" s="832">
        <v>0</v>
      </c>
      <c r="R23" s="781">
        <v>0</v>
      </c>
      <c r="S23" s="830">
        <v>0</v>
      </c>
      <c r="T23" s="830">
        <v>0</v>
      </c>
      <c r="U23" s="834">
        <v>0</v>
      </c>
      <c r="V23" s="832">
        <v>0</v>
      </c>
      <c r="W23" s="831">
        <v>0</v>
      </c>
      <c r="X23" s="783">
        <v>0</v>
      </c>
      <c r="Y23" s="830">
        <v>0</v>
      </c>
      <c r="Z23" s="833">
        <v>0</v>
      </c>
      <c r="AA23" s="802">
        <v>0</v>
      </c>
      <c r="AB23" s="835">
        <v>0</v>
      </c>
      <c r="AC23" s="1094">
        <v>0</v>
      </c>
      <c r="AD23" s="833">
        <v>0</v>
      </c>
      <c r="AE23" s="836">
        <v>0</v>
      </c>
      <c r="AF23" s="836">
        <v>0</v>
      </c>
      <c r="AG23" s="827">
        <f t="shared" si="1"/>
        <v>0</v>
      </c>
      <c r="AH23" s="827">
        <f t="shared" si="2"/>
        <v>0</v>
      </c>
      <c r="AI23" s="466">
        <f t="shared" si="3"/>
        <v>0</v>
      </c>
      <c r="AJ23" s="467" t="str">
        <f t="shared" si="4"/>
        <v xml:space="preserve"> </v>
      </c>
      <c r="AL23" s="141"/>
      <c r="AM23" s="141"/>
      <c r="AS23" s="139" t="s">
        <v>242</v>
      </c>
      <c r="AT23" s="139" t="s">
        <v>241</v>
      </c>
      <c r="DS23" s="648"/>
      <c r="DT23" s="648"/>
      <c r="DU23" s="667" t="s">
        <v>415</v>
      </c>
      <c r="DV23" s="667" t="s">
        <v>1188</v>
      </c>
      <c r="DW23" s="667" t="s">
        <v>1134</v>
      </c>
      <c r="DX23" s="667" t="s">
        <v>1134</v>
      </c>
      <c r="DY23" s="669" t="s">
        <v>1198</v>
      </c>
      <c r="DZ23" s="667" t="s">
        <v>1134</v>
      </c>
      <c r="EA23" s="670" t="s">
        <v>242</v>
      </c>
      <c r="EB23" s="667" t="s">
        <v>1135</v>
      </c>
      <c r="EC23" s="667" t="s">
        <v>1134</v>
      </c>
      <c r="ED23" s="667" t="s">
        <v>1136</v>
      </c>
    </row>
    <row r="24" spans="1:134" s="2" customFormat="1" x14ac:dyDescent="0.2">
      <c r="A24" s="225" t="s">
        <v>557</v>
      </c>
      <c r="B24" s="632">
        <v>17</v>
      </c>
      <c r="C24" s="770">
        <v>0</v>
      </c>
      <c r="D24" s="830">
        <v>0</v>
      </c>
      <c r="E24" s="830">
        <v>0</v>
      </c>
      <c r="F24" s="866">
        <v>0</v>
      </c>
      <c r="G24" s="830">
        <v>0</v>
      </c>
      <c r="H24" s="830">
        <v>0</v>
      </c>
      <c r="I24" s="828">
        <f t="shared" si="0"/>
        <v>0</v>
      </c>
      <c r="J24" s="832">
        <v>0</v>
      </c>
      <c r="K24" s="832">
        <v>0</v>
      </c>
      <c r="L24" s="830">
        <v>0</v>
      </c>
      <c r="M24" s="802">
        <v>0</v>
      </c>
      <c r="N24" s="832">
        <v>0</v>
      </c>
      <c r="O24" s="833">
        <v>0</v>
      </c>
      <c r="P24" s="832">
        <v>0</v>
      </c>
      <c r="Q24" s="832">
        <v>0</v>
      </c>
      <c r="R24" s="781">
        <v>0</v>
      </c>
      <c r="S24" s="830">
        <v>0</v>
      </c>
      <c r="T24" s="830">
        <v>0</v>
      </c>
      <c r="U24" s="834">
        <v>0</v>
      </c>
      <c r="V24" s="832">
        <v>0</v>
      </c>
      <c r="W24" s="831">
        <v>0</v>
      </c>
      <c r="X24" s="783">
        <v>0</v>
      </c>
      <c r="Y24" s="830">
        <v>0</v>
      </c>
      <c r="Z24" s="833">
        <v>0</v>
      </c>
      <c r="AA24" s="802">
        <v>0</v>
      </c>
      <c r="AB24" s="835">
        <v>0</v>
      </c>
      <c r="AC24" s="1094">
        <v>0</v>
      </c>
      <c r="AD24" s="833">
        <v>0</v>
      </c>
      <c r="AE24" s="836">
        <v>0</v>
      </c>
      <c r="AF24" s="836">
        <v>0</v>
      </c>
      <c r="AG24" s="827">
        <f t="shared" si="1"/>
        <v>0</v>
      </c>
      <c r="AH24" s="827">
        <f t="shared" si="2"/>
        <v>0</v>
      </c>
      <c r="AI24" s="466">
        <f t="shared" si="3"/>
        <v>0</v>
      </c>
      <c r="AJ24" s="467" t="str">
        <f t="shared" si="4"/>
        <v xml:space="preserve"> </v>
      </c>
      <c r="AL24" s="141"/>
      <c r="AM24" s="141"/>
      <c r="AS24" s="139" t="s">
        <v>507</v>
      </c>
      <c r="AT24" s="139" t="s">
        <v>508</v>
      </c>
      <c r="DS24" s="648"/>
      <c r="DT24" s="648"/>
      <c r="DU24" s="667" t="s">
        <v>415</v>
      </c>
      <c r="DV24" s="667" t="s">
        <v>1188</v>
      </c>
      <c r="DW24" s="667" t="s">
        <v>1134</v>
      </c>
      <c r="DX24" s="667" t="s">
        <v>1134</v>
      </c>
      <c r="DY24" s="669" t="s">
        <v>1198</v>
      </c>
      <c r="DZ24" s="667" t="s">
        <v>1134</v>
      </c>
      <c r="EA24" s="670" t="s">
        <v>507</v>
      </c>
      <c r="EB24" s="667" t="s">
        <v>1135</v>
      </c>
      <c r="EC24" s="667" t="s">
        <v>1134</v>
      </c>
      <c r="ED24" s="667" t="s">
        <v>1136</v>
      </c>
    </row>
    <row r="25" spans="1:134" s="2" customFormat="1" x14ac:dyDescent="0.2">
      <c r="A25" s="225" t="s">
        <v>119</v>
      </c>
      <c r="B25" s="632">
        <v>18</v>
      </c>
      <c r="C25" s="770">
        <v>0</v>
      </c>
      <c r="D25" s="830">
        <v>0</v>
      </c>
      <c r="E25" s="830">
        <v>0</v>
      </c>
      <c r="F25" s="866">
        <v>0</v>
      </c>
      <c r="G25" s="830">
        <v>0</v>
      </c>
      <c r="H25" s="830">
        <v>0</v>
      </c>
      <c r="I25" s="828">
        <f t="shared" si="0"/>
        <v>0</v>
      </c>
      <c r="J25" s="832">
        <v>0</v>
      </c>
      <c r="K25" s="832">
        <v>0</v>
      </c>
      <c r="L25" s="830">
        <v>0</v>
      </c>
      <c r="M25" s="802">
        <v>0</v>
      </c>
      <c r="N25" s="832">
        <v>0</v>
      </c>
      <c r="O25" s="833">
        <v>0</v>
      </c>
      <c r="P25" s="832">
        <v>0</v>
      </c>
      <c r="Q25" s="832">
        <v>0</v>
      </c>
      <c r="R25" s="781">
        <v>0</v>
      </c>
      <c r="S25" s="830">
        <v>0</v>
      </c>
      <c r="T25" s="830">
        <v>0</v>
      </c>
      <c r="U25" s="834">
        <v>0</v>
      </c>
      <c r="V25" s="832">
        <v>0</v>
      </c>
      <c r="W25" s="831">
        <v>0</v>
      </c>
      <c r="X25" s="783">
        <v>0</v>
      </c>
      <c r="Y25" s="830">
        <v>0</v>
      </c>
      <c r="Z25" s="833">
        <v>0</v>
      </c>
      <c r="AA25" s="802">
        <v>0</v>
      </c>
      <c r="AB25" s="835">
        <v>0</v>
      </c>
      <c r="AC25" s="1094">
        <v>0</v>
      </c>
      <c r="AD25" s="833">
        <v>0</v>
      </c>
      <c r="AE25" s="836">
        <v>0</v>
      </c>
      <c r="AF25" s="836">
        <v>0</v>
      </c>
      <c r="AG25" s="827">
        <f t="shared" si="1"/>
        <v>0</v>
      </c>
      <c r="AH25" s="827">
        <f t="shared" si="2"/>
        <v>0</v>
      </c>
      <c r="AI25" s="466">
        <f t="shared" si="3"/>
        <v>0</v>
      </c>
      <c r="AJ25" s="467" t="str">
        <f t="shared" si="4"/>
        <v xml:space="preserve"> </v>
      </c>
      <c r="AL25" s="141"/>
      <c r="AM25" s="141"/>
      <c r="AS25" s="139" t="s">
        <v>244</v>
      </c>
      <c r="AT25" s="139" t="s">
        <v>243</v>
      </c>
      <c r="DS25" s="648"/>
      <c r="DT25" s="648"/>
      <c r="DU25" s="667" t="s">
        <v>415</v>
      </c>
      <c r="DV25" s="667" t="s">
        <v>1188</v>
      </c>
      <c r="DW25" s="667" t="s">
        <v>1134</v>
      </c>
      <c r="DX25" s="667" t="s">
        <v>1134</v>
      </c>
      <c r="DY25" s="669" t="s">
        <v>1198</v>
      </c>
      <c r="DZ25" s="667" t="s">
        <v>1134</v>
      </c>
      <c r="EA25" s="670" t="s">
        <v>244</v>
      </c>
      <c r="EB25" s="667" t="s">
        <v>1135</v>
      </c>
      <c r="EC25" s="667" t="s">
        <v>1134</v>
      </c>
      <c r="ED25" s="667" t="s">
        <v>1136</v>
      </c>
    </row>
    <row r="26" spans="1:134" s="2" customFormat="1" x14ac:dyDescent="0.2">
      <c r="A26" s="225" t="s">
        <v>30</v>
      </c>
      <c r="B26" s="632">
        <v>19</v>
      </c>
      <c r="C26" s="770">
        <v>0</v>
      </c>
      <c r="D26" s="830">
        <v>0</v>
      </c>
      <c r="E26" s="830">
        <v>0</v>
      </c>
      <c r="F26" s="866">
        <v>0</v>
      </c>
      <c r="G26" s="830">
        <v>0</v>
      </c>
      <c r="H26" s="830">
        <v>0</v>
      </c>
      <c r="I26" s="828">
        <f t="shared" si="0"/>
        <v>0</v>
      </c>
      <c r="J26" s="832">
        <v>0</v>
      </c>
      <c r="K26" s="832">
        <v>0</v>
      </c>
      <c r="L26" s="830">
        <v>0</v>
      </c>
      <c r="M26" s="802">
        <v>0</v>
      </c>
      <c r="N26" s="832">
        <v>0</v>
      </c>
      <c r="O26" s="833">
        <v>0</v>
      </c>
      <c r="P26" s="832">
        <v>0</v>
      </c>
      <c r="Q26" s="832">
        <v>0</v>
      </c>
      <c r="R26" s="781">
        <v>0</v>
      </c>
      <c r="S26" s="830">
        <v>0</v>
      </c>
      <c r="T26" s="830">
        <v>0</v>
      </c>
      <c r="U26" s="834">
        <v>0</v>
      </c>
      <c r="V26" s="832">
        <v>0</v>
      </c>
      <c r="W26" s="831">
        <v>0</v>
      </c>
      <c r="X26" s="783">
        <v>0</v>
      </c>
      <c r="Y26" s="830">
        <v>0</v>
      </c>
      <c r="Z26" s="833">
        <v>0</v>
      </c>
      <c r="AA26" s="802">
        <v>0</v>
      </c>
      <c r="AB26" s="835">
        <v>0</v>
      </c>
      <c r="AC26" s="1094">
        <v>0</v>
      </c>
      <c r="AD26" s="833">
        <v>0</v>
      </c>
      <c r="AE26" s="836">
        <v>0</v>
      </c>
      <c r="AF26" s="836">
        <v>0</v>
      </c>
      <c r="AG26" s="827">
        <f t="shared" si="1"/>
        <v>0</v>
      </c>
      <c r="AH26" s="827">
        <f t="shared" si="2"/>
        <v>0</v>
      </c>
      <c r="AI26" s="466">
        <f t="shared" si="3"/>
        <v>0</v>
      </c>
      <c r="AJ26" s="467" t="str">
        <f t="shared" si="4"/>
        <v xml:space="preserve"> </v>
      </c>
      <c r="AL26" s="141"/>
      <c r="AM26" s="141"/>
      <c r="AS26" s="139" t="s">
        <v>246</v>
      </c>
      <c r="AT26" s="139" t="s">
        <v>245</v>
      </c>
      <c r="DS26" s="648"/>
      <c r="DT26" s="648"/>
      <c r="DU26" s="667" t="s">
        <v>415</v>
      </c>
      <c r="DV26" s="667" t="s">
        <v>1188</v>
      </c>
      <c r="DW26" s="667" t="s">
        <v>1134</v>
      </c>
      <c r="DX26" s="667" t="s">
        <v>1134</v>
      </c>
      <c r="DY26" s="669" t="s">
        <v>1198</v>
      </c>
      <c r="DZ26" s="667" t="s">
        <v>1134</v>
      </c>
      <c r="EA26" s="670" t="s">
        <v>246</v>
      </c>
      <c r="EB26" s="667" t="s">
        <v>1135</v>
      </c>
      <c r="EC26" s="667" t="s">
        <v>1134</v>
      </c>
      <c r="ED26" s="667" t="s">
        <v>1136</v>
      </c>
    </row>
    <row r="27" spans="1:134" s="2" customFormat="1" x14ac:dyDescent="0.2">
      <c r="A27" s="225" t="s">
        <v>558</v>
      </c>
      <c r="B27" s="632">
        <v>20</v>
      </c>
      <c r="C27" s="770">
        <v>0</v>
      </c>
      <c r="D27" s="830">
        <v>0</v>
      </c>
      <c r="E27" s="830">
        <v>0</v>
      </c>
      <c r="F27" s="866">
        <v>0</v>
      </c>
      <c r="G27" s="830">
        <v>0</v>
      </c>
      <c r="H27" s="830">
        <v>0</v>
      </c>
      <c r="I27" s="828">
        <f t="shared" si="0"/>
        <v>0</v>
      </c>
      <c r="J27" s="832">
        <v>0</v>
      </c>
      <c r="K27" s="832">
        <v>0</v>
      </c>
      <c r="L27" s="830">
        <v>0</v>
      </c>
      <c r="M27" s="802">
        <v>0</v>
      </c>
      <c r="N27" s="832">
        <v>0</v>
      </c>
      <c r="O27" s="833">
        <v>0</v>
      </c>
      <c r="P27" s="832">
        <v>0</v>
      </c>
      <c r="Q27" s="832">
        <v>0</v>
      </c>
      <c r="R27" s="781">
        <v>0</v>
      </c>
      <c r="S27" s="830">
        <v>0</v>
      </c>
      <c r="T27" s="830">
        <v>0</v>
      </c>
      <c r="U27" s="834">
        <v>0</v>
      </c>
      <c r="V27" s="832">
        <v>0</v>
      </c>
      <c r="W27" s="831">
        <v>0</v>
      </c>
      <c r="X27" s="783">
        <v>0</v>
      </c>
      <c r="Y27" s="830">
        <v>0</v>
      </c>
      <c r="Z27" s="833">
        <v>0</v>
      </c>
      <c r="AA27" s="802">
        <v>0</v>
      </c>
      <c r="AB27" s="835">
        <v>0</v>
      </c>
      <c r="AC27" s="1094">
        <v>0</v>
      </c>
      <c r="AD27" s="833">
        <v>0</v>
      </c>
      <c r="AE27" s="836">
        <v>0</v>
      </c>
      <c r="AF27" s="836">
        <v>0</v>
      </c>
      <c r="AG27" s="827">
        <f t="shared" si="1"/>
        <v>0</v>
      </c>
      <c r="AH27" s="827">
        <f t="shared" si="2"/>
        <v>0</v>
      </c>
      <c r="AI27" s="466">
        <f t="shared" si="3"/>
        <v>0</v>
      </c>
      <c r="AJ27" s="467" t="str">
        <f t="shared" si="4"/>
        <v xml:space="preserve"> </v>
      </c>
      <c r="AL27" s="141"/>
      <c r="AM27" s="141"/>
      <c r="AS27" s="139" t="s">
        <v>509</v>
      </c>
      <c r="AT27" s="139" t="s">
        <v>510</v>
      </c>
      <c r="DS27" s="648"/>
      <c r="DT27" s="648"/>
      <c r="DU27" s="667" t="s">
        <v>415</v>
      </c>
      <c r="DV27" s="667" t="s">
        <v>1188</v>
      </c>
      <c r="DW27" s="667" t="s">
        <v>1134</v>
      </c>
      <c r="DX27" s="667" t="s">
        <v>1134</v>
      </c>
      <c r="DY27" s="669" t="s">
        <v>1198</v>
      </c>
      <c r="DZ27" s="667" t="s">
        <v>1134</v>
      </c>
      <c r="EA27" s="670" t="s">
        <v>509</v>
      </c>
      <c r="EB27" s="667" t="s">
        <v>1135</v>
      </c>
      <c r="EC27" s="667" t="s">
        <v>1134</v>
      </c>
      <c r="ED27" s="667" t="s">
        <v>1136</v>
      </c>
    </row>
    <row r="28" spans="1:134" s="2" customFormat="1" x14ac:dyDescent="0.2">
      <c r="A28" s="225" t="s">
        <v>120</v>
      </c>
      <c r="B28" s="632">
        <v>21</v>
      </c>
      <c r="C28" s="770">
        <v>0</v>
      </c>
      <c r="D28" s="830">
        <v>0</v>
      </c>
      <c r="E28" s="830">
        <v>0</v>
      </c>
      <c r="F28" s="866">
        <v>0</v>
      </c>
      <c r="G28" s="830">
        <v>0</v>
      </c>
      <c r="H28" s="830">
        <v>0</v>
      </c>
      <c r="I28" s="828">
        <f t="shared" si="0"/>
        <v>0</v>
      </c>
      <c r="J28" s="832">
        <v>0</v>
      </c>
      <c r="K28" s="832">
        <v>0</v>
      </c>
      <c r="L28" s="830">
        <v>0</v>
      </c>
      <c r="M28" s="802">
        <v>0</v>
      </c>
      <c r="N28" s="832">
        <v>0</v>
      </c>
      <c r="O28" s="833">
        <v>0</v>
      </c>
      <c r="P28" s="832">
        <v>0</v>
      </c>
      <c r="Q28" s="832">
        <v>0</v>
      </c>
      <c r="R28" s="781">
        <v>0</v>
      </c>
      <c r="S28" s="830">
        <v>0</v>
      </c>
      <c r="T28" s="830">
        <v>0</v>
      </c>
      <c r="U28" s="834">
        <v>0</v>
      </c>
      <c r="V28" s="832">
        <v>0</v>
      </c>
      <c r="W28" s="831">
        <v>0</v>
      </c>
      <c r="X28" s="783">
        <v>0</v>
      </c>
      <c r="Y28" s="830">
        <v>0</v>
      </c>
      <c r="Z28" s="833">
        <v>0</v>
      </c>
      <c r="AA28" s="802">
        <v>0</v>
      </c>
      <c r="AB28" s="835">
        <v>0</v>
      </c>
      <c r="AC28" s="1094">
        <v>0</v>
      </c>
      <c r="AD28" s="833">
        <v>0</v>
      </c>
      <c r="AE28" s="836">
        <v>0</v>
      </c>
      <c r="AF28" s="836">
        <v>0</v>
      </c>
      <c r="AG28" s="827">
        <f t="shared" si="1"/>
        <v>0</v>
      </c>
      <c r="AH28" s="827">
        <f t="shared" si="2"/>
        <v>0</v>
      </c>
      <c r="AI28" s="466">
        <f t="shared" si="3"/>
        <v>0</v>
      </c>
      <c r="AJ28" s="467" t="str">
        <f t="shared" si="4"/>
        <v xml:space="preserve"> </v>
      </c>
      <c r="AL28" s="141"/>
      <c r="AM28" s="141"/>
      <c r="AS28" s="139" t="s">
        <v>248</v>
      </c>
      <c r="AT28" s="139" t="s">
        <v>247</v>
      </c>
      <c r="DS28" s="648"/>
      <c r="DT28" s="648"/>
      <c r="DU28" s="667" t="s">
        <v>415</v>
      </c>
      <c r="DV28" s="667" t="s">
        <v>1188</v>
      </c>
      <c r="DW28" s="667" t="s">
        <v>1134</v>
      </c>
      <c r="DX28" s="667" t="s">
        <v>1134</v>
      </c>
      <c r="DY28" s="669" t="s">
        <v>1198</v>
      </c>
      <c r="DZ28" s="667" t="s">
        <v>1134</v>
      </c>
      <c r="EA28" s="670" t="s">
        <v>248</v>
      </c>
      <c r="EB28" s="667" t="s">
        <v>1135</v>
      </c>
      <c r="EC28" s="667" t="s">
        <v>1134</v>
      </c>
      <c r="ED28" s="667" t="s">
        <v>1136</v>
      </c>
    </row>
    <row r="29" spans="1:134" s="2" customFormat="1" x14ac:dyDescent="0.2">
      <c r="A29" s="225" t="s">
        <v>121</v>
      </c>
      <c r="B29" s="632">
        <v>22</v>
      </c>
      <c r="C29" s="770">
        <v>0</v>
      </c>
      <c r="D29" s="830">
        <v>0</v>
      </c>
      <c r="E29" s="830">
        <v>0</v>
      </c>
      <c r="F29" s="866">
        <v>0</v>
      </c>
      <c r="G29" s="830">
        <v>0</v>
      </c>
      <c r="H29" s="830">
        <v>0</v>
      </c>
      <c r="I29" s="828">
        <f t="shared" si="0"/>
        <v>0</v>
      </c>
      <c r="J29" s="832">
        <v>0</v>
      </c>
      <c r="K29" s="832">
        <v>0</v>
      </c>
      <c r="L29" s="830">
        <v>0</v>
      </c>
      <c r="M29" s="802">
        <v>0</v>
      </c>
      <c r="N29" s="832">
        <v>0</v>
      </c>
      <c r="O29" s="833">
        <v>0</v>
      </c>
      <c r="P29" s="832">
        <v>0</v>
      </c>
      <c r="Q29" s="832">
        <v>0</v>
      </c>
      <c r="R29" s="781">
        <v>0</v>
      </c>
      <c r="S29" s="830">
        <v>0</v>
      </c>
      <c r="T29" s="830">
        <v>0</v>
      </c>
      <c r="U29" s="834">
        <v>0</v>
      </c>
      <c r="V29" s="832">
        <v>0</v>
      </c>
      <c r="W29" s="831">
        <v>0</v>
      </c>
      <c r="X29" s="783">
        <v>0</v>
      </c>
      <c r="Y29" s="830">
        <v>0</v>
      </c>
      <c r="Z29" s="833">
        <v>0</v>
      </c>
      <c r="AA29" s="802">
        <v>0</v>
      </c>
      <c r="AB29" s="835">
        <v>0</v>
      </c>
      <c r="AC29" s="1094">
        <v>0</v>
      </c>
      <c r="AD29" s="833">
        <v>0</v>
      </c>
      <c r="AE29" s="836">
        <v>0</v>
      </c>
      <c r="AF29" s="836">
        <v>0</v>
      </c>
      <c r="AG29" s="827">
        <f t="shared" si="1"/>
        <v>0</v>
      </c>
      <c r="AH29" s="827">
        <f t="shared" si="2"/>
        <v>0</v>
      </c>
      <c r="AI29" s="466">
        <f t="shared" si="3"/>
        <v>0</v>
      </c>
      <c r="AJ29" s="467" t="str">
        <f t="shared" si="4"/>
        <v xml:space="preserve"> </v>
      </c>
      <c r="AL29" s="141"/>
      <c r="AM29" s="141"/>
      <c r="AS29" s="139" t="s">
        <v>250</v>
      </c>
      <c r="AT29" s="139" t="s">
        <v>249</v>
      </c>
      <c r="DS29" s="648"/>
      <c r="DT29" s="648"/>
      <c r="DU29" s="667" t="s">
        <v>415</v>
      </c>
      <c r="DV29" s="667" t="s">
        <v>1188</v>
      </c>
      <c r="DW29" s="667" t="s">
        <v>1134</v>
      </c>
      <c r="DX29" s="667" t="s">
        <v>1134</v>
      </c>
      <c r="DY29" s="669" t="s">
        <v>1198</v>
      </c>
      <c r="DZ29" s="667" t="s">
        <v>1134</v>
      </c>
      <c r="EA29" s="670" t="s">
        <v>250</v>
      </c>
      <c r="EB29" s="667" t="s">
        <v>1135</v>
      </c>
      <c r="EC29" s="667" t="s">
        <v>1134</v>
      </c>
      <c r="ED29" s="667" t="s">
        <v>1136</v>
      </c>
    </row>
    <row r="30" spans="1:134" s="2" customFormat="1" x14ac:dyDescent="0.2">
      <c r="A30" s="225" t="s">
        <v>122</v>
      </c>
      <c r="B30" s="632">
        <v>23</v>
      </c>
      <c r="C30" s="770">
        <v>0</v>
      </c>
      <c r="D30" s="830">
        <v>0</v>
      </c>
      <c r="E30" s="830">
        <v>0</v>
      </c>
      <c r="F30" s="866">
        <v>0</v>
      </c>
      <c r="G30" s="830">
        <v>0</v>
      </c>
      <c r="H30" s="830">
        <v>0</v>
      </c>
      <c r="I30" s="828">
        <f t="shared" si="0"/>
        <v>0</v>
      </c>
      <c r="J30" s="832">
        <v>0</v>
      </c>
      <c r="K30" s="832">
        <v>0</v>
      </c>
      <c r="L30" s="830">
        <v>0</v>
      </c>
      <c r="M30" s="802">
        <v>0</v>
      </c>
      <c r="N30" s="832">
        <v>0</v>
      </c>
      <c r="O30" s="833">
        <v>0</v>
      </c>
      <c r="P30" s="832">
        <v>0</v>
      </c>
      <c r="Q30" s="832">
        <v>0</v>
      </c>
      <c r="R30" s="781">
        <v>0</v>
      </c>
      <c r="S30" s="830">
        <v>0</v>
      </c>
      <c r="T30" s="830">
        <v>0</v>
      </c>
      <c r="U30" s="834">
        <v>0</v>
      </c>
      <c r="V30" s="832">
        <v>0</v>
      </c>
      <c r="W30" s="831">
        <v>0</v>
      </c>
      <c r="X30" s="783">
        <v>0</v>
      </c>
      <c r="Y30" s="830">
        <v>0</v>
      </c>
      <c r="Z30" s="833">
        <v>0</v>
      </c>
      <c r="AA30" s="802">
        <v>0</v>
      </c>
      <c r="AB30" s="835">
        <v>0</v>
      </c>
      <c r="AC30" s="1094">
        <v>0</v>
      </c>
      <c r="AD30" s="833">
        <v>0</v>
      </c>
      <c r="AE30" s="836">
        <v>0</v>
      </c>
      <c r="AF30" s="836">
        <v>0</v>
      </c>
      <c r="AG30" s="827">
        <f t="shared" si="1"/>
        <v>0</v>
      </c>
      <c r="AH30" s="827">
        <f t="shared" si="2"/>
        <v>0</v>
      </c>
      <c r="AI30" s="466">
        <f t="shared" si="3"/>
        <v>0</v>
      </c>
      <c r="AJ30" s="467" t="str">
        <f t="shared" si="4"/>
        <v xml:space="preserve"> </v>
      </c>
      <c r="AL30" s="141"/>
      <c r="AM30" s="141"/>
      <c r="AS30" s="139" t="s">
        <v>252</v>
      </c>
      <c r="AT30" s="139" t="s">
        <v>251</v>
      </c>
      <c r="DS30" s="648"/>
      <c r="DT30" s="648"/>
      <c r="DU30" s="667" t="s">
        <v>415</v>
      </c>
      <c r="DV30" s="667" t="s">
        <v>1188</v>
      </c>
      <c r="DW30" s="667" t="s">
        <v>1134</v>
      </c>
      <c r="DX30" s="667" t="s">
        <v>1134</v>
      </c>
      <c r="DY30" s="669" t="s">
        <v>1198</v>
      </c>
      <c r="DZ30" s="667" t="s">
        <v>1134</v>
      </c>
      <c r="EA30" s="670" t="s">
        <v>252</v>
      </c>
      <c r="EB30" s="667" t="s">
        <v>1135</v>
      </c>
      <c r="EC30" s="667" t="s">
        <v>1134</v>
      </c>
      <c r="ED30" s="667" t="s">
        <v>1136</v>
      </c>
    </row>
    <row r="31" spans="1:134" s="2" customFormat="1" x14ac:dyDescent="0.2">
      <c r="A31" s="225" t="s">
        <v>123</v>
      </c>
      <c r="B31" s="632">
        <v>24</v>
      </c>
      <c r="C31" s="770">
        <v>0</v>
      </c>
      <c r="D31" s="830">
        <v>0</v>
      </c>
      <c r="E31" s="830">
        <v>0</v>
      </c>
      <c r="F31" s="866">
        <v>0</v>
      </c>
      <c r="G31" s="830">
        <v>0</v>
      </c>
      <c r="H31" s="830">
        <v>0</v>
      </c>
      <c r="I31" s="828">
        <f t="shared" si="0"/>
        <v>0</v>
      </c>
      <c r="J31" s="832">
        <v>0</v>
      </c>
      <c r="K31" s="832">
        <v>0</v>
      </c>
      <c r="L31" s="830">
        <v>0</v>
      </c>
      <c r="M31" s="802">
        <v>0</v>
      </c>
      <c r="N31" s="832">
        <v>0</v>
      </c>
      <c r="O31" s="833">
        <v>0</v>
      </c>
      <c r="P31" s="832">
        <v>0</v>
      </c>
      <c r="Q31" s="832">
        <v>0</v>
      </c>
      <c r="R31" s="781">
        <v>0</v>
      </c>
      <c r="S31" s="830">
        <v>0</v>
      </c>
      <c r="T31" s="830">
        <v>0</v>
      </c>
      <c r="U31" s="834">
        <v>0</v>
      </c>
      <c r="V31" s="832">
        <v>0</v>
      </c>
      <c r="W31" s="831">
        <v>0</v>
      </c>
      <c r="X31" s="783">
        <v>0</v>
      </c>
      <c r="Y31" s="830">
        <v>0</v>
      </c>
      <c r="Z31" s="833">
        <v>0</v>
      </c>
      <c r="AA31" s="802">
        <v>0</v>
      </c>
      <c r="AB31" s="835">
        <v>0</v>
      </c>
      <c r="AC31" s="1094">
        <v>0</v>
      </c>
      <c r="AD31" s="833">
        <v>0</v>
      </c>
      <c r="AE31" s="836">
        <v>0</v>
      </c>
      <c r="AF31" s="836">
        <v>0</v>
      </c>
      <c r="AG31" s="827">
        <f t="shared" si="1"/>
        <v>0</v>
      </c>
      <c r="AH31" s="827">
        <f t="shared" si="2"/>
        <v>0</v>
      </c>
      <c r="AI31" s="466">
        <f t="shared" si="3"/>
        <v>0</v>
      </c>
      <c r="AJ31" s="467" t="str">
        <f t="shared" si="4"/>
        <v xml:space="preserve"> </v>
      </c>
      <c r="AL31" s="141"/>
      <c r="AM31" s="141"/>
      <c r="AS31" s="139" t="s">
        <v>254</v>
      </c>
      <c r="AT31" s="139" t="s">
        <v>253</v>
      </c>
      <c r="DS31" s="648"/>
      <c r="DT31" s="648"/>
      <c r="DU31" s="667" t="s">
        <v>415</v>
      </c>
      <c r="DV31" s="667" t="s">
        <v>1188</v>
      </c>
      <c r="DW31" s="667" t="s">
        <v>1134</v>
      </c>
      <c r="DX31" s="667" t="s">
        <v>1134</v>
      </c>
      <c r="DY31" s="669" t="s">
        <v>1198</v>
      </c>
      <c r="DZ31" s="667" t="s">
        <v>1134</v>
      </c>
      <c r="EA31" s="670" t="s">
        <v>254</v>
      </c>
      <c r="EB31" s="667" t="s">
        <v>1135</v>
      </c>
      <c r="EC31" s="667" t="s">
        <v>1134</v>
      </c>
      <c r="ED31" s="667" t="s">
        <v>1136</v>
      </c>
    </row>
    <row r="32" spans="1:134" s="2" customFormat="1" x14ac:dyDescent="0.2">
      <c r="A32" s="225" t="s">
        <v>124</v>
      </c>
      <c r="B32" s="632">
        <v>25</v>
      </c>
      <c r="C32" s="770">
        <v>0</v>
      </c>
      <c r="D32" s="830">
        <v>0</v>
      </c>
      <c r="E32" s="830">
        <v>0</v>
      </c>
      <c r="F32" s="866">
        <v>0</v>
      </c>
      <c r="G32" s="830">
        <v>0</v>
      </c>
      <c r="H32" s="830">
        <v>0</v>
      </c>
      <c r="I32" s="828">
        <f t="shared" si="0"/>
        <v>0</v>
      </c>
      <c r="J32" s="832">
        <v>0</v>
      </c>
      <c r="K32" s="832">
        <v>0</v>
      </c>
      <c r="L32" s="830">
        <v>0</v>
      </c>
      <c r="M32" s="802">
        <v>0</v>
      </c>
      <c r="N32" s="832">
        <v>0</v>
      </c>
      <c r="O32" s="833">
        <v>0</v>
      </c>
      <c r="P32" s="832">
        <v>0</v>
      </c>
      <c r="Q32" s="832">
        <v>0</v>
      </c>
      <c r="R32" s="781">
        <v>0</v>
      </c>
      <c r="S32" s="830">
        <v>0</v>
      </c>
      <c r="T32" s="830">
        <v>0</v>
      </c>
      <c r="U32" s="834">
        <v>0</v>
      </c>
      <c r="V32" s="832">
        <v>0</v>
      </c>
      <c r="W32" s="831">
        <v>0</v>
      </c>
      <c r="X32" s="783">
        <v>0</v>
      </c>
      <c r="Y32" s="830">
        <v>0</v>
      </c>
      <c r="Z32" s="833">
        <v>0</v>
      </c>
      <c r="AA32" s="802">
        <v>0</v>
      </c>
      <c r="AB32" s="835">
        <v>0</v>
      </c>
      <c r="AC32" s="1094">
        <v>0</v>
      </c>
      <c r="AD32" s="833">
        <v>0</v>
      </c>
      <c r="AE32" s="836">
        <v>0</v>
      </c>
      <c r="AF32" s="836">
        <v>0</v>
      </c>
      <c r="AG32" s="827">
        <f t="shared" si="1"/>
        <v>0</v>
      </c>
      <c r="AH32" s="827">
        <f t="shared" si="2"/>
        <v>0</v>
      </c>
      <c r="AI32" s="466">
        <f t="shared" si="3"/>
        <v>0</v>
      </c>
      <c r="AJ32" s="467" t="str">
        <f t="shared" si="4"/>
        <v xml:space="preserve"> </v>
      </c>
      <c r="AL32" s="141"/>
      <c r="AM32" s="141"/>
      <c r="AS32" s="139" t="s">
        <v>256</v>
      </c>
      <c r="AT32" s="139" t="s">
        <v>255</v>
      </c>
      <c r="DS32" s="648"/>
      <c r="DT32" s="648"/>
      <c r="DU32" s="667" t="s">
        <v>415</v>
      </c>
      <c r="DV32" s="667" t="s">
        <v>1188</v>
      </c>
      <c r="DW32" s="667" t="s">
        <v>1134</v>
      </c>
      <c r="DX32" s="667" t="s">
        <v>1134</v>
      </c>
      <c r="DY32" s="669" t="s">
        <v>1198</v>
      </c>
      <c r="DZ32" s="667" t="s">
        <v>1134</v>
      </c>
      <c r="EA32" s="670" t="s">
        <v>256</v>
      </c>
      <c r="EB32" s="667" t="s">
        <v>1135</v>
      </c>
      <c r="EC32" s="667" t="s">
        <v>1134</v>
      </c>
      <c r="ED32" s="667" t="s">
        <v>1136</v>
      </c>
    </row>
    <row r="33" spans="1:134" s="2" customFormat="1" x14ac:dyDescent="0.2">
      <c r="A33" s="225" t="s">
        <v>97</v>
      </c>
      <c r="B33" s="632">
        <v>26</v>
      </c>
      <c r="C33" s="770">
        <v>0</v>
      </c>
      <c r="D33" s="830">
        <v>0</v>
      </c>
      <c r="E33" s="830">
        <v>0</v>
      </c>
      <c r="F33" s="866">
        <v>0</v>
      </c>
      <c r="G33" s="830">
        <v>0</v>
      </c>
      <c r="H33" s="830">
        <v>0</v>
      </c>
      <c r="I33" s="828">
        <f t="shared" si="0"/>
        <v>0</v>
      </c>
      <c r="J33" s="832">
        <v>0</v>
      </c>
      <c r="K33" s="832">
        <v>0</v>
      </c>
      <c r="L33" s="830">
        <v>0</v>
      </c>
      <c r="M33" s="802">
        <v>0</v>
      </c>
      <c r="N33" s="832">
        <v>0</v>
      </c>
      <c r="O33" s="833">
        <v>0</v>
      </c>
      <c r="P33" s="832">
        <v>0</v>
      </c>
      <c r="Q33" s="832">
        <v>0</v>
      </c>
      <c r="R33" s="781">
        <v>0</v>
      </c>
      <c r="S33" s="830">
        <v>0</v>
      </c>
      <c r="T33" s="830">
        <v>0</v>
      </c>
      <c r="U33" s="834">
        <v>0</v>
      </c>
      <c r="V33" s="832">
        <v>0</v>
      </c>
      <c r="W33" s="831">
        <v>0</v>
      </c>
      <c r="X33" s="783">
        <v>0</v>
      </c>
      <c r="Y33" s="830">
        <v>0</v>
      </c>
      <c r="Z33" s="833">
        <v>0</v>
      </c>
      <c r="AA33" s="802">
        <v>0</v>
      </c>
      <c r="AB33" s="835">
        <v>0</v>
      </c>
      <c r="AC33" s="1094">
        <v>0</v>
      </c>
      <c r="AD33" s="833">
        <v>0</v>
      </c>
      <c r="AE33" s="836">
        <v>0</v>
      </c>
      <c r="AF33" s="836">
        <v>0</v>
      </c>
      <c r="AG33" s="827">
        <f t="shared" si="1"/>
        <v>0</v>
      </c>
      <c r="AH33" s="827">
        <f t="shared" si="2"/>
        <v>0</v>
      </c>
      <c r="AI33" s="466">
        <f t="shared" si="3"/>
        <v>0</v>
      </c>
      <c r="AJ33" s="467" t="str">
        <f t="shared" si="4"/>
        <v xml:space="preserve"> </v>
      </c>
      <c r="AL33" s="141"/>
      <c r="AM33" s="141"/>
      <c r="AS33" s="139" t="s">
        <v>572</v>
      </c>
      <c r="AT33" s="139" t="s">
        <v>573</v>
      </c>
      <c r="DS33" s="648"/>
      <c r="DT33" s="648"/>
      <c r="DU33" s="667" t="s">
        <v>415</v>
      </c>
      <c r="DV33" s="667" t="s">
        <v>1188</v>
      </c>
      <c r="DW33" s="667" t="s">
        <v>1134</v>
      </c>
      <c r="DX33" s="667" t="s">
        <v>1134</v>
      </c>
      <c r="DY33" s="669" t="s">
        <v>1198</v>
      </c>
      <c r="DZ33" s="667" t="s">
        <v>1134</v>
      </c>
      <c r="EA33" s="670" t="s">
        <v>572</v>
      </c>
      <c r="EB33" s="667" t="s">
        <v>1135</v>
      </c>
      <c r="EC33" s="667" t="s">
        <v>1134</v>
      </c>
      <c r="ED33" s="667" t="s">
        <v>1136</v>
      </c>
    </row>
    <row r="34" spans="1:134" s="2" customFormat="1" x14ac:dyDescent="0.2">
      <c r="A34" s="225" t="s">
        <v>125</v>
      </c>
      <c r="B34" s="632">
        <v>27</v>
      </c>
      <c r="C34" s="770">
        <v>0</v>
      </c>
      <c r="D34" s="830">
        <v>0</v>
      </c>
      <c r="E34" s="830">
        <v>0</v>
      </c>
      <c r="F34" s="866">
        <v>0</v>
      </c>
      <c r="G34" s="830">
        <v>0</v>
      </c>
      <c r="H34" s="830">
        <v>0</v>
      </c>
      <c r="I34" s="828">
        <f t="shared" si="0"/>
        <v>0</v>
      </c>
      <c r="J34" s="832">
        <v>0</v>
      </c>
      <c r="K34" s="832">
        <v>0</v>
      </c>
      <c r="L34" s="830">
        <v>0</v>
      </c>
      <c r="M34" s="802">
        <v>0</v>
      </c>
      <c r="N34" s="832">
        <v>0</v>
      </c>
      <c r="O34" s="833">
        <v>0</v>
      </c>
      <c r="P34" s="832">
        <v>0</v>
      </c>
      <c r="Q34" s="832">
        <v>0</v>
      </c>
      <c r="R34" s="781">
        <v>0</v>
      </c>
      <c r="S34" s="830">
        <v>0</v>
      </c>
      <c r="T34" s="830">
        <v>0</v>
      </c>
      <c r="U34" s="834">
        <v>0</v>
      </c>
      <c r="V34" s="832">
        <v>0</v>
      </c>
      <c r="W34" s="831">
        <v>0</v>
      </c>
      <c r="X34" s="783">
        <v>0</v>
      </c>
      <c r="Y34" s="830">
        <v>0</v>
      </c>
      <c r="Z34" s="833">
        <v>0</v>
      </c>
      <c r="AA34" s="802">
        <v>0</v>
      </c>
      <c r="AB34" s="835">
        <v>0</v>
      </c>
      <c r="AC34" s="1094">
        <v>0</v>
      </c>
      <c r="AD34" s="833">
        <v>0</v>
      </c>
      <c r="AE34" s="836">
        <v>0</v>
      </c>
      <c r="AF34" s="836">
        <v>0</v>
      </c>
      <c r="AG34" s="827">
        <f t="shared" si="1"/>
        <v>0</v>
      </c>
      <c r="AH34" s="827">
        <f t="shared" si="2"/>
        <v>0</v>
      </c>
      <c r="AI34" s="466">
        <f t="shared" si="3"/>
        <v>0</v>
      </c>
      <c r="AJ34" s="467" t="str">
        <f t="shared" si="4"/>
        <v xml:space="preserve"> </v>
      </c>
      <c r="AL34" s="141"/>
      <c r="AM34" s="141"/>
      <c r="AS34" s="139" t="s">
        <v>258</v>
      </c>
      <c r="AT34" s="139" t="s">
        <v>257</v>
      </c>
      <c r="DS34" s="648"/>
      <c r="DT34" s="648"/>
      <c r="DU34" s="667" t="s">
        <v>415</v>
      </c>
      <c r="DV34" s="667" t="s">
        <v>1188</v>
      </c>
      <c r="DW34" s="667" t="s">
        <v>1134</v>
      </c>
      <c r="DX34" s="667" t="s">
        <v>1134</v>
      </c>
      <c r="DY34" s="669" t="s">
        <v>1198</v>
      </c>
      <c r="DZ34" s="667" t="s">
        <v>1134</v>
      </c>
      <c r="EA34" s="670" t="s">
        <v>258</v>
      </c>
      <c r="EB34" s="667" t="s">
        <v>1135</v>
      </c>
      <c r="EC34" s="667" t="s">
        <v>1134</v>
      </c>
      <c r="ED34" s="667" t="s">
        <v>1136</v>
      </c>
    </row>
    <row r="35" spans="1:134" s="2" customFormat="1" x14ac:dyDescent="0.2">
      <c r="A35" s="225" t="s">
        <v>126</v>
      </c>
      <c r="B35" s="632">
        <v>28</v>
      </c>
      <c r="C35" s="770">
        <v>0</v>
      </c>
      <c r="D35" s="830">
        <v>0</v>
      </c>
      <c r="E35" s="830">
        <v>0</v>
      </c>
      <c r="F35" s="866">
        <v>0</v>
      </c>
      <c r="G35" s="830">
        <v>0</v>
      </c>
      <c r="H35" s="830">
        <v>0</v>
      </c>
      <c r="I35" s="828">
        <f t="shared" si="0"/>
        <v>0</v>
      </c>
      <c r="J35" s="832">
        <v>0</v>
      </c>
      <c r="K35" s="832">
        <v>0</v>
      </c>
      <c r="L35" s="830">
        <v>0</v>
      </c>
      <c r="M35" s="802">
        <v>0</v>
      </c>
      <c r="N35" s="832">
        <v>0</v>
      </c>
      <c r="O35" s="833">
        <v>0</v>
      </c>
      <c r="P35" s="832">
        <v>0</v>
      </c>
      <c r="Q35" s="832">
        <v>0</v>
      </c>
      <c r="R35" s="781">
        <v>0</v>
      </c>
      <c r="S35" s="830">
        <v>0</v>
      </c>
      <c r="T35" s="830">
        <v>0</v>
      </c>
      <c r="U35" s="834">
        <v>0</v>
      </c>
      <c r="V35" s="832">
        <v>0</v>
      </c>
      <c r="W35" s="831">
        <v>0</v>
      </c>
      <c r="X35" s="783">
        <v>0</v>
      </c>
      <c r="Y35" s="830">
        <v>0</v>
      </c>
      <c r="Z35" s="833">
        <v>0</v>
      </c>
      <c r="AA35" s="802">
        <v>0</v>
      </c>
      <c r="AB35" s="835">
        <v>0</v>
      </c>
      <c r="AC35" s="1094">
        <v>0</v>
      </c>
      <c r="AD35" s="833">
        <v>0</v>
      </c>
      <c r="AE35" s="836">
        <v>0</v>
      </c>
      <c r="AF35" s="836">
        <v>0</v>
      </c>
      <c r="AG35" s="827">
        <f t="shared" si="1"/>
        <v>0</v>
      </c>
      <c r="AH35" s="827">
        <f t="shared" si="2"/>
        <v>0</v>
      </c>
      <c r="AI35" s="466">
        <f t="shared" si="3"/>
        <v>0</v>
      </c>
      <c r="AJ35" s="467" t="str">
        <f t="shared" si="4"/>
        <v xml:space="preserve"> </v>
      </c>
      <c r="AL35" s="141"/>
      <c r="AM35" s="141"/>
      <c r="AS35" s="139" t="s">
        <v>260</v>
      </c>
      <c r="AT35" s="139" t="s">
        <v>259</v>
      </c>
      <c r="DS35" s="648"/>
      <c r="DT35" s="648"/>
      <c r="DU35" s="667" t="s">
        <v>415</v>
      </c>
      <c r="DV35" s="667" t="s">
        <v>1188</v>
      </c>
      <c r="DW35" s="667" t="s">
        <v>1134</v>
      </c>
      <c r="DX35" s="667" t="s">
        <v>1134</v>
      </c>
      <c r="DY35" s="669" t="s">
        <v>1198</v>
      </c>
      <c r="DZ35" s="667" t="s">
        <v>1134</v>
      </c>
      <c r="EA35" s="670" t="s">
        <v>260</v>
      </c>
      <c r="EB35" s="667" t="s">
        <v>1135</v>
      </c>
      <c r="EC35" s="667" t="s">
        <v>1134</v>
      </c>
      <c r="ED35" s="667" t="s">
        <v>1136</v>
      </c>
    </row>
    <row r="36" spans="1:134" s="2" customFormat="1" x14ac:dyDescent="0.2">
      <c r="A36" s="225" t="s">
        <v>127</v>
      </c>
      <c r="B36" s="632">
        <v>29</v>
      </c>
      <c r="C36" s="770">
        <v>0</v>
      </c>
      <c r="D36" s="830">
        <v>0</v>
      </c>
      <c r="E36" s="830">
        <v>0</v>
      </c>
      <c r="F36" s="866">
        <v>0</v>
      </c>
      <c r="G36" s="830">
        <v>0</v>
      </c>
      <c r="H36" s="830">
        <v>0</v>
      </c>
      <c r="I36" s="828">
        <f t="shared" si="0"/>
        <v>0</v>
      </c>
      <c r="J36" s="832">
        <v>0</v>
      </c>
      <c r="K36" s="832">
        <v>0</v>
      </c>
      <c r="L36" s="830">
        <v>0</v>
      </c>
      <c r="M36" s="802">
        <v>0</v>
      </c>
      <c r="N36" s="832">
        <v>0</v>
      </c>
      <c r="O36" s="833">
        <v>0</v>
      </c>
      <c r="P36" s="832">
        <v>0</v>
      </c>
      <c r="Q36" s="832">
        <v>0</v>
      </c>
      <c r="R36" s="781">
        <v>0</v>
      </c>
      <c r="S36" s="830">
        <v>0</v>
      </c>
      <c r="T36" s="830">
        <v>0</v>
      </c>
      <c r="U36" s="834">
        <v>0</v>
      </c>
      <c r="V36" s="832">
        <v>0</v>
      </c>
      <c r="W36" s="831">
        <v>0</v>
      </c>
      <c r="X36" s="783">
        <v>0</v>
      </c>
      <c r="Y36" s="830">
        <v>0</v>
      </c>
      <c r="Z36" s="833">
        <v>0</v>
      </c>
      <c r="AA36" s="802">
        <v>0</v>
      </c>
      <c r="AB36" s="835">
        <v>0</v>
      </c>
      <c r="AC36" s="1094">
        <v>0</v>
      </c>
      <c r="AD36" s="833">
        <v>0</v>
      </c>
      <c r="AE36" s="836">
        <v>0</v>
      </c>
      <c r="AF36" s="836">
        <v>0</v>
      </c>
      <c r="AG36" s="827">
        <f t="shared" si="1"/>
        <v>0</v>
      </c>
      <c r="AH36" s="827">
        <f t="shared" si="2"/>
        <v>0</v>
      </c>
      <c r="AI36" s="466">
        <f t="shared" si="3"/>
        <v>0</v>
      </c>
      <c r="AJ36" s="467" t="str">
        <f t="shared" si="4"/>
        <v xml:space="preserve"> </v>
      </c>
      <c r="AL36" s="141"/>
      <c r="AM36" s="141"/>
      <c r="AS36" s="139" t="s">
        <v>262</v>
      </c>
      <c r="AT36" s="139" t="s">
        <v>261</v>
      </c>
      <c r="DS36" s="648"/>
      <c r="DT36" s="648"/>
      <c r="DU36" s="667" t="s">
        <v>415</v>
      </c>
      <c r="DV36" s="667" t="s">
        <v>1188</v>
      </c>
      <c r="DW36" s="667" t="s">
        <v>1134</v>
      </c>
      <c r="DX36" s="667" t="s">
        <v>1134</v>
      </c>
      <c r="DY36" s="669" t="s">
        <v>1198</v>
      </c>
      <c r="DZ36" s="667" t="s">
        <v>1134</v>
      </c>
      <c r="EA36" s="670" t="s">
        <v>262</v>
      </c>
      <c r="EB36" s="667" t="s">
        <v>1135</v>
      </c>
      <c r="EC36" s="667" t="s">
        <v>1134</v>
      </c>
      <c r="ED36" s="667" t="s">
        <v>1136</v>
      </c>
    </row>
    <row r="37" spans="1:134" s="2" customFormat="1" x14ac:dyDescent="0.2">
      <c r="A37" s="225" t="s">
        <v>983</v>
      </c>
      <c r="B37" s="632">
        <v>30</v>
      </c>
      <c r="C37" s="770">
        <v>0</v>
      </c>
      <c r="D37" s="830">
        <v>0</v>
      </c>
      <c r="E37" s="830">
        <v>0</v>
      </c>
      <c r="F37" s="866">
        <v>0</v>
      </c>
      <c r="G37" s="830">
        <v>0</v>
      </c>
      <c r="H37" s="830">
        <v>0</v>
      </c>
      <c r="I37" s="828">
        <f t="shared" si="0"/>
        <v>0</v>
      </c>
      <c r="J37" s="832">
        <v>0</v>
      </c>
      <c r="K37" s="832">
        <v>0</v>
      </c>
      <c r="L37" s="830">
        <v>0</v>
      </c>
      <c r="M37" s="802">
        <v>0</v>
      </c>
      <c r="N37" s="832">
        <v>0</v>
      </c>
      <c r="O37" s="833">
        <v>0</v>
      </c>
      <c r="P37" s="832">
        <v>0</v>
      </c>
      <c r="Q37" s="832">
        <v>0</v>
      </c>
      <c r="R37" s="781">
        <v>0</v>
      </c>
      <c r="S37" s="830">
        <v>0</v>
      </c>
      <c r="T37" s="830">
        <v>0</v>
      </c>
      <c r="U37" s="834">
        <v>0</v>
      </c>
      <c r="V37" s="832">
        <v>0</v>
      </c>
      <c r="W37" s="831">
        <v>0</v>
      </c>
      <c r="X37" s="783">
        <v>0</v>
      </c>
      <c r="Y37" s="830">
        <v>0</v>
      </c>
      <c r="Z37" s="833">
        <v>0</v>
      </c>
      <c r="AA37" s="802">
        <v>0</v>
      </c>
      <c r="AB37" s="835">
        <v>0</v>
      </c>
      <c r="AC37" s="1094">
        <v>0</v>
      </c>
      <c r="AD37" s="833">
        <v>0</v>
      </c>
      <c r="AE37" s="836">
        <v>0</v>
      </c>
      <c r="AF37" s="836">
        <v>0</v>
      </c>
      <c r="AG37" s="827">
        <f t="shared" si="1"/>
        <v>0</v>
      </c>
      <c r="AH37" s="827">
        <f t="shared" si="2"/>
        <v>0</v>
      </c>
      <c r="AI37" s="466">
        <f t="shared" si="3"/>
        <v>0</v>
      </c>
      <c r="AJ37" s="467" t="str">
        <f t="shared" si="4"/>
        <v xml:space="preserve"> </v>
      </c>
      <c r="AL37" s="141"/>
      <c r="AM37" s="141"/>
      <c r="AS37" s="139" t="s">
        <v>929</v>
      </c>
      <c r="AT37" s="139" t="s">
        <v>928</v>
      </c>
      <c r="DS37" s="648"/>
      <c r="DT37" s="648"/>
      <c r="DU37" s="667" t="s">
        <v>415</v>
      </c>
      <c r="DV37" s="667" t="s">
        <v>1188</v>
      </c>
      <c r="DW37" s="667" t="s">
        <v>1134</v>
      </c>
      <c r="DX37" s="667" t="s">
        <v>1134</v>
      </c>
      <c r="DY37" s="669" t="s">
        <v>1198</v>
      </c>
      <c r="DZ37" s="667" t="s">
        <v>1134</v>
      </c>
      <c r="EA37" s="670" t="s">
        <v>929</v>
      </c>
      <c r="EB37" s="667" t="s">
        <v>1135</v>
      </c>
      <c r="EC37" s="667" t="s">
        <v>1134</v>
      </c>
      <c r="ED37" s="667" t="s">
        <v>1136</v>
      </c>
    </row>
    <row r="38" spans="1:134" s="2" customFormat="1" x14ac:dyDescent="0.2">
      <c r="A38" s="225" t="s">
        <v>561</v>
      </c>
      <c r="B38" s="632">
        <v>31</v>
      </c>
      <c r="C38" s="770">
        <v>0</v>
      </c>
      <c r="D38" s="830">
        <v>0</v>
      </c>
      <c r="E38" s="830">
        <v>0</v>
      </c>
      <c r="F38" s="866">
        <v>0</v>
      </c>
      <c r="G38" s="830">
        <v>0</v>
      </c>
      <c r="H38" s="830">
        <v>0</v>
      </c>
      <c r="I38" s="828">
        <f t="shared" si="0"/>
        <v>0</v>
      </c>
      <c r="J38" s="832">
        <v>0</v>
      </c>
      <c r="K38" s="832">
        <v>0</v>
      </c>
      <c r="L38" s="830">
        <v>0</v>
      </c>
      <c r="M38" s="802">
        <v>0</v>
      </c>
      <c r="N38" s="832">
        <v>0</v>
      </c>
      <c r="O38" s="833">
        <v>0</v>
      </c>
      <c r="P38" s="832">
        <v>0</v>
      </c>
      <c r="Q38" s="832">
        <v>0</v>
      </c>
      <c r="R38" s="781">
        <v>0</v>
      </c>
      <c r="S38" s="830">
        <v>0</v>
      </c>
      <c r="T38" s="830">
        <v>0</v>
      </c>
      <c r="U38" s="834">
        <v>0</v>
      </c>
      <c r="V38" s="832">
        <v>0</v>
      </c>
      <c r="W38" s="831">
        <v>0</v>
      </c>
      <c r="X38" s="783">
        <v>0</v>
      </c>
      <c r="Y38" s="830">
        <v>0</v>
      </c>
      <c r="Z38" s="833">
        <v>0</v>
      </c>
      <c r="AA38" s="802">
        <v>0</v>
      </c>
      <c r="AB38" s="835">
        <v>0</v>
      </c>
      <c r="AC38" s="1094">
        <v>0</v>
      </c>
      <c r="AD38" s="833">
        <v>0</v>
      </c>
      <c r="AE38" s="836">
        <v>0</v>
      </c>
      <c r="AF38" s="836">
        <v>0</v>
      </c>
      <c r="AG38" s="827">
        <f t="shared" si="1"/>
        <v>0</v>
      </c>
      <c r="AH38" s="827">
        <f t="shared" si="2"/>
        <v>0</v>
      </c>
      <c r="AI38" s="466">
        <f t="shared" si="3"/>
        <v>0</v>
      </c>
      <c r="AJ38" s="467" t="str">
        <f t="shared" si="4"/>
        <v xml:space="preserve"> </v>
      </c>
      <c r="AL38" s="141"/>
      <c r="AM38" s="141"/>
      <c r="AS38" s="139" t="s">
        <v>515</v>
      </c>
      <c r="AT38" s="139" t="s">
        <v>516</v>
      </c>
      <c r="DS38" s="648"/>
      <c r="DT38" s="648"/>
      <c r="DU38" s="667" t="s">
        <v>415</v>
      </c>
      <c r="DV38" s="667" t="s">
        <v>1188</v>
      </c>
      <c r="DW38" s="667" t="s">
        <v>1134</v>
      </c>
      <c r="DX38" s="667" t="s">
        <v>1134</v>
      </c>
      <c r="DY38" s="669" t="s">
        <v>1198</v>
      </c>
      <c r="DZ38" s="667" t="s">
        <v>1134</v>
      </c>
      <c r="EA38" s="670" t="s">
        <v>515</v>
      </c>
      <c r="EB38" s="667" t="s">
        <v>1135</v>
      </c>
      <c r="EC38" s="667" t="s">
        <v>1134</v>
      </c>
      <c r="ED38" s="667" t="s">
        <v>1136</v>
      </c>
    </row>
    <row r="39" spans="1:134" s="2" customFormat="1" x14ac:dyDescent="0.2">
      <c r="A39" s="225" t="s">
        <v>562</v>
      </c>
      <c r="B39" s="632">
        <v>32</v>
      </c>
      <c r="C39" s="770">
        <v>0</v>
      </c>
      <c r="D39" s="830">
        <v>0</v>
      </c>
      <c r="E39" s="830">
        <v>0</v>
      </c>
      <c r="F39" s="866">
        <v>0</v>
      </c>
      <c r="G39" s="830">
        <v>0</v>
      </c>
      <c r="H39" s="830">
        <v>0</v>
      </c>
      <c r="I39" s="828">
        <f t="shared" si="0"/>
        <v>0</v>
      </c>
      <c r="J39" s="832">
        <v>0</v>
      </c>
      <c r="K39" s="832">
        <v>0</v>
      </c>
      <c r="L39" s="830">
        <v>0</v>
      </c>
      <c r="M39" s="802">
        <v>0</v>
      </c>
      <c r="N39" s="832">
        <v>0</v>
      </c>
      <c r="O39" s="833">
        <v>0</v>
      </c>
      <c r="P39" s="832">
        <v>0</v>
      </c>
      <c r="Q39" s="832">
        <v>0</v>
      </c>
      <c r="R39" s="781">
        <v>0</v>
      </c>
      <c r="S39" s="830">
        <v>0</v>
      </c>
      <c r="T39" s="830">
        <v>0</v>
      </c>
      <c r="U39" s="834">
        <v>0</v>
      </c>
      <c r="V39" s="832">
        <v>0</v>
      </c>
      <c r="W39" s="831">
        <v>0</v>
      </c>
      <c r="X39" s="783">
        <v>0</v>
      </c>
      <c r="Y39" s="830">
        <v>0</v>
      </c>
      <c r="Z39" s="833">
        <v>0</v>
      </c>
      <c r="AA39" s="802">
        <v>0</v>
      </c>
      <c r="AB39" s="835">
        <v>0</v>
      </c>
      <c r="AC39" s="1094">
        <v>0</v>
      </c>
      <c r="AD39" s="833">
        <v>0</v>
      </c>
      <c r="AE39" s="836">
        <v>0</v>
      </c>
      <c r="AF39" s="836">
        <v>0</v>
      </c>
      <c r="AG39" s="827">
        <f t="shared" si="1"/>
        <v>0</v>
      </c>
      <c r="AH39" s="827">
        <f t="shared" si="2"/>
        <v>0</v>
      </c>
      <c r="AI39" s="466">
        <f t="shared" si="3"/>
        <v>0</v>
      </c>
      <c r="AJ39" s="467" t="str">
        <f t="shared" si="4"/>
        <v xml:space="preserve"> </v>
      </c>
      <c r="AL39" s="141"/>
      <c r="AM39" s="141"/>
      <c r="AS39" s="139" t="s">
        <v>517</v>
      </c>
      <c r="AT39" s="139" t="s">
        <v>518</v>
      </c>
      <c r="DS39" s="648"/>
      <c r="DT39" s="648"/>
      <c r="DU39" s="667" t="s">
        <v>415</v>
      </c>
      <c r="DV39" s="667" t="s">
        <v>1188</v>
      </c>
      <c r="DW39" s="667" t="s">
        <v>1134</v>
      </c>
      <c r="DX39" s="667" t="s">
        <v>1134</v>
      </c>
      <c r="DY39" s="669" t="s">
        <v>1198</v>
      </c>
      <c r="DZ39" s="667" t="s">
        <v>1134</v>
      </c>
      <c r="EA39" s="670" t="s">
        <v>517</v>
      </c>
      <c r="EB39" s="667" t="s">
        <v>1135</v>
      </c>
      <c r="EC39" s="667" t="s">
        <v>1134</v>
      </c>
      <c r="ED39" s="667" t="s">
        <v>1136</v>
      </c>
    </row>
    <row r="40" spans="1:134" s="2" customFormat="1" x14ac:dyDescent="0.2">
      <c r="A40" s="225" t="s">
        <v>128</v>
      </c>
      <c r="B40" s="632">
        <v>33</v>
      </c>
      <c r="C40" s="770">
        <v>0</v>
      </c>
      <c r="D40" s="830">
        <v>0</v>
      </c>
      <c r="E40" s="830">
        <v>0</v>
      </c>
      <c r="F40" s="866">
        <v>0</v>
      </c>
      <c r="G40" s="830">
        <v>0</v>
      </c>
      <c r="H40" s="830">
        <v>0</v>
      </c>
      <c r="I40" s="828">
        <f t="shared" si="0"/>
        <v>0</v>
      </c>
      <c r="J40" s="832">
        <v>0</v>
      </c>
      <c r="K40" s="832">
        <v>0</v>
      </c>
      <c r="L40" s="830">
        <v>0</v>
      </c>
      <c r="M40" s="802">
        <v>0</v>
      </c>
      <c r="N40" s="832">
        <v>0</v>
      </c>
      <c r="O40" s="833">
        <v>0</v>
      </c>
      <c r="P40" s="832">
        <v>0</v>
      </c>
      <c r="Q40" s="832">
        <v>0</v>
      </c>
      <c r="R40" s="781">
        <v>0</v>
      </c>
      <c r="S40" s="830">
        <v>0</v>
      </c>
      <c r="T40" s="830">
        <v>0</v>
      </c>
      <c r="U40" s="834">
        <v>0</v>
      </c>
      <c r="V40" s="832">
        <v>0</v>
      </c>
      <c r="W40" s="831">
        <v>0</v>
      </c>
      <c r="X40" s="783">
        <v>0</v>
      </c>
      <c r="Y40" s="830">
        <v>0</v>
      </c>
      <c r="Z40" s="833">
        <v>0</v>
      </c>
      <c r="AA40" s="802">
        <v>0</v>
      </c>
      <c r="AB40" s="835">
        <v>0</v>
      </c>
      <c r="AC40" s="1094">
        <v>0</v>
      </c>
      <c r="AD40" s="833">
        <v>0</v>
      </c>
      <c r="AE40" s="836">
        <v>0</v>
      </c>
      <c r="AF40" s="836">
        <v>0</v>
      </c>
      <c r="AG40" s="827">
        <f t="shared" si="1"/>
        <v>0</v>
      </c>
      <c r="AH40" s="827">
        <f t="shared" si="2"/>
        <v>0</v>
      </c>
      <c r="AI40" s="466">
        <f t="shared" si="3"/>
        <v>0</v>
      </c>
      <c r="AJ40" s="467" t="str">
        <f t="shared" si="4"/>
        <v xml:space="preserve"> </v>
      </c>
      <c r="AL40" s="141"/>
      <c r="AM40" s="141"/>
      <c r="AS40" s="139" t="s">
        <v>264</v>
      </c>
      <c r="AT40" s="139" t="s">
        <v>263</v>
      </c>
      <c r="DS40" s="648"/>
      <c r="DT40" s="648"/>
      <c r="DU40" s="667" t="s">
        <v>415</v>
      </c>
      <c r="DV40" s="667" t="s">
        <v>1188</v>
      </c>
      <c r="DW40" s="667" t="s">
        <v>1134</v>
      </c>
      <c r="DX40" s="667" t="s">
        <v>1134</v>
      </c>
      <c r="DY40" s="669" t="s">
        <v>1198</v>
      </c>
      <c r="DZ40" s="667" t="s">
        <v>1134</v>
      </c>
      <c r="EA40" s="670" t="s">
        <v>264</v>
      </c>
      <c r="EB40" s="667" t="s">
        <v>1135</v>
      </c>
      <c r="EC40" s="667" t="s">
        <v>1134</v>
      </c>
      <c r="ED40" s="667" t="s">
        <v>1136</v>
      </c>
    </row>
    <row r="41" spans="1:134" s="2" customFormat="1" x14ac:dyDescent="0.2">
      <c r="A41" s="225" t="s">
        <v>151</v>
      </c>
      <c r="B41" s="632">
        <v>34</v>
      </c>
      <c r="C41" s="770">
        <v>0</v>
      </c>
      <c r="D41" s="830">
        <v>0</v>
      </c>
      <c r="E41" s="830">
        <v>0</v>
      </c>
      <c r="F41" s="866">
        <v>0</v>
      </c>
      <c r="G41" s="830">
        <v>0</v>
      </c>
      <c r="H41" s="830">
        <v>0</v>
      </c>
      <c r="I41" s="828">
        <f t="shared" si="0"/>
        <v>0</v>
      </c>
      <c r="J41" s="832">
        <v>0</v>
      </c>
      <c r="K41" s="832">
        <v>0</v>
      </c>
      <c r="L41" s="830">
        <v>0</v>
      </c>
      <c r="M41" s="802">
        <v>0</v>
      </c>
      <c r="N41" s="832">
        <v>0</v>
      </c>
      <c r="O41" s="833">
        <v>0</v>
      </c>
      <c r="P41" s="832">
        <v>0</v>
      </c>
      <c r="Q41" s="832">
        <v>0</v>
      </c>
      <c r="R41" s="781">
        <v>0</v>
      </c>
      <c r="S41" s="830">
        <v>0</v>
      </c>
      <c r="T41" s="830">
        <v>0</v>
      </c>
      <c r="U41" s="834">
        <v>0</v>
      </c>
      <c r="V41" s="832">
        <v>0</v>
      </c>
      <c r="W41" s="831">
        <v>0</v>
      </c>
      <c r="X41" s="783">
        <v>0</v>
      </c>
      <c r="Y41" s="830">
        <v>0</v>
      </c>
      <c r="Z41" s="833">
        <v>0</v>
      </c>
      <c r="AA41" s="802">
        <v>0</v>
      </c>
      <c r="AB41" s="835">
        <v>0</v>
      </c>
      <c r="AC41" s="1094">
        <v>0</v>
      </c>
      <c r="AD41" s="833">
        <v>0</v>
      </c>
      <c r="AE41" s="836">
        <v>0</v>
      </c>
      <c r="AF41" s="836">
        <v>0</v>
      </c>
      <c r="AG41" s="827">
        <f t="shared" si="1"/>
        <v>0</v>
      </c>
      <c r="AH41" s="827">
        <f t="shared" si="2"/>
        <v>0</v>
      </c>
      <c r="AI41" s="466">
        <f t="shared" si="3"/>
        <v>0</v>
      </c>
      <c r="AJ41" s="467" t="str">
        <f t="shared" si="4"/>
        <v xml:space="preserve"> </v>
      </c>
      <c r="AL41" s="141"/>
      <c r="AM41" s="141"/>
      <c r="AS41" s="139" t="s">
        <v>469</v>
      </c>
      <c r="AT41" s="139" t="s">
        <v>470</v>
      </c>
      <c r="DS41" s="648"/>
      <c r="DT41" s="648"/>
      <c r="DU41" s="667" t="s">
        <v>415</v>
      </c>
      <c r="DV41" s="667" t="s">
        <v>1188</v>
      </c>
      <c r="DW41" s="667" t="s">
        <v>1134</v>
      </c>
      <c r="DX41" s="667" t="s">
        <v>1134</v>
      </c>
      <c r="DY41" s="669" t="s">
        <v>1198</v>
      </c>
      <c r="DZ41" s="667" t="s">
        <v>1134</v>
      </c>
      <c r="EA41" s="670" t="s">
        <v>469</v>
      </c>
      <c r="EB41" s="667" t="s">
        <v>1135</v>
      </c>
      <c r="EC41" s="667" t="s">
        <v>1134</v>
      </c>
      <c r="ED41" s="667" t="s">
        <v>1136</v>
      </c>
    </row>
    <row r="42" spans="1:134" s="2" customFormat="1" x14ac:dyDescent="0.2">
      <c r="A42" s="225" t="s">
        <v>129</v>
      </c>
      <c r="B42" s="632">
        <v>35</v>
      </c>
      <c r="C42" s="770">
        <v>0</v>
      </c>
      <c r="D42" s="830">
        <v>0</v>
      </c>
      <c r="E42" s="830">
        <v>0</v>
      </c>
      <c r="F42" s="866">
        <v>0</v>
      </c>
      <c r="G42" s="830">
        <v>0</v>
      </c>
      <c r="H42" s="830">
        <v>0</v>
      </c>
      <c r="I42" s="828">
        <f t="shared" si="0"/>
        <v>0</v>
      </c>
      <c r="J42" s="832">
        <v>0</v>
      </c>
      <c r="K42" s="832">
        <v>0</v>
      </c>
      <c r="L42" s="830">
        <v>0</v>
      </c>
      <c r="M42" s="802">
        <v>0</v>
      </c>
      <c r="N42" s="832">
        <v>0</v>
      </c>
      <c r="O42" s="833">
        <v>0</v>
      </c>
      <c r="P42" s="832">
        <v>0</v>
      </c>
      <c r="Q42" s="832">
        <v>0</v>
      </c>
      <c r="R42" s="781">
        <v>0</v>
      </c>
      <c r="S42" s="830">
        <v>0</v>
      </c>
      <c r="T42" s="830">
        <v>0</v>
      </c>
      <c r="U42" s="834">
        <v>0</v>
      </c>
      <c r="V42" s="832">
        <v>0</v>
      </c>
      <c r="W42" s="831">
        <v>0</v>
      </c>
      <c r="X42" s="783">
        <v>0</v>
      </c>
      <c r="Y42" s="830">
        <v>0</v>
      </c>
      <c r="Z42" s="833">
        <v>0</v>
      </c>
      <c r="AA42" s="802">
        <v>0</v>
      </c>
      <c r="AB42" s="835">
        <v>0</v>
      </c>
      <c r="AC42" s="1094">
        <v>0</v>
      </c>
      <c r="AD42" s="833">
        <v>0</v>
      </c>
      <c r="AE42" s="836">
        <v>0</v>
      </c>
      <c r="AF42" s="836">
        <v>0</v>
      </c>
      <c r="AG42" s="827">
        <f t="shared" si="1"/>
        <v>0</v>
      </c>
      <c r="AH42" s="827">
        <f t="shared" si="2"/>
        <v>0</v>
      </c>
      <c r="AI42" s="466">
        <f t="shared" si="3"/>
        <v>0</v>
      </c>
      <c r="AJ42" s="467" t="str">
        <f t="shared" si="4"/>
        <v xml:space="preserve"> </v>
      </c>
      <c r="AL42" s="141"/>
      <c r="AM42" s="141"/>
      <c r="AS42" s="139" t="s">
        <v>266</v>
      </c>
      <c r="AT42" s="139" t="s">
        <v>265</v>
      </c>
      <c r="DS42" s="648"/>
      <c r="DT42" s="648"/>
      <c r="DU42" s="667" t="s">
        <v>415</v>
      </c>
      <c r="DV42" s="667" t="s">
        <v>1188</v>
      </c>
      <c r="DW42" s="667" t="s">
        <v>1134</v>
      </c>
      <c r="DX42" s="667" t="s">
        <v>1134</v>
      </c>
      <c r="DY42" s="669" t="s">
        <v>1198</v>
      </c>
      <c r="DZ42" s="667" t="s">
        <v>1134</v>
      </c>
      <c r="EA42" s="670" t="s">
        <v>266</v>
      </c>
      <c r="EB42" s="667" t="s">
        <v>1135</v>
      </c>
      <c r="EC42" s="667" t="s">
        <v>1134</v>
      </c>
      <c r="ED42" s="667" t="s">
        <v>1136</v>
      </c>
    </row>
    <row r="43" spans="1:134" s="2" customFormat="1" x14ac:dyDescent="0.2">
      <c r="A43" s="225" t="s">
        <v>939</v>
      </c>
      <c r="B43" s="632">
        <v>36</v>
      </c>
      <c r="C43" s="770">
        <v>0</v>
      </c>
      <c r="D43" s="830">
        <v>0</v>
      </c>
      <c r="E43" s="830">
        <v>0</v>
      </c>
      <c r="F43" s="866">
        <v>0</v>
      </c>
      <c r="G43" s="830">
        <v>0</v>
      </c>
      <c r="H43" s="830">
        <v>0</v>
      </c>
      <c r="I43" s="828">
        <f t="shared" si="0"/>
        <v>0</v>
      </c>
      <c r="J43" s="832">
        <v>0</v>
      </c>
      <c r="K43" s="832">
        <v>0</v>
      </c>
      <c r="L43" s="830">
        <v>0</v>
      </c>
      <c r="M43" s="802">
        <v>0</v>
      </c>
      <c r="N43" s="832">
        <v>0</v>
      </c>
      <c r="O43" s="833">
        <v>0</v>
      </c>
      <c r="P43" s="832">
        <v>0</v>
      </c>
      <c r="Q43" s="832">
        <v>0</v>
      </c>
      <c r="R43" s="781">
        <v>0</v>
      </c>
      <c r="S43" s="830">
        <v>0</v>
      </c>
      <c r="T43" s="830">
        <v>0</v>
      </c>
      <c r="U43" s="834">
        <v>0</v>
      </c>
      <c r="V43" s="832">
        <v>0</v>
      </c>
      <c r="W43" s="831">
        <v>0</v>
      </c>
      <c r="X43" s="783">
        <v>0</v>
      </c>
      <c r="Y43" s="830">
        <v>0</v>
      </c>
      <c r="Z43" s="833">
        <v>0</v>
      </c>
      <c r="AA43" s="802">
        <v>0</v>
      </c>
      <c r="AB43" s="835">
        <v>0</v>
      </c>
      <c r="AC43" s="1094">
        <v>0</v>
      </c>
      <c r="AD43" s="833">
        <v>0</v>
      </c>
      <c r="AE43" s="836">
        <v>0</v>
      </c>
      <c r="AF43" s="836">
        <v>0</v>
      </c>
      <c r="AG43" s="827">
        <f t="shared" si="1"/>
        <v>0</v>
      </c>
      <c r="AH43" s="827">
        <f t="shared" si="2"/>
        <v>0</v>
      </c>
      <c r="AI43" s="466">
        <f t="shared" si="3"/>
        <v>0</v>
      </c>
      <c r="AJ43" s="467" t="str">
        <f t="shared" si="4"/>
        <v xml:space="preserve"> </v>
      </c>
      <c r="AL43" s="141"/>
      <c r="AM43" s="141"/>
      <c r="AS43" s="139" t="s">
        <v>519</v>
      </c>
      <c r="AT43" s="139" t="s">
        <v>520</v>
      </c>
      <c r="DS43" s="648"/>
      <c r="DT43" s="648"/>
      <c r="DU43" s="667" t="s">
        <v>415</v>
      </c>
      <c r="DV43" s="667" t="s">
        <v>1188</v>
      </c>
      <c r="DW43" s="667" t="s">
        <v>1134</v>
      </c>
      <c r="DX43" s="667" t="s">
        <v>1134</v>
      </c>
      <c r="DY43" s="669" t="s">
        <v>1198</v>
      </c>
      <c r="DZ43" s="667" t="s">
        <v>1134</v>
      </c>
      <c r="EA43" s="670" t="s">
        <v>519</v>
      </c>
      <c r="EB43" s="667" t="s">
        <v>1135</v>
      </c>
      <c r="EC43" s="667" t="s">
        <v>1134</v>
      </c>
      <c r="ED43" s="667" t="s">
        <v>1136</v>
      </c>
    </row>
    <row r="44" spans="1:134" s="2" customFormat="1" x14ac:dyDescent="0.2">
      <c r="A44" s="225" t="s">
        <v>568</v>
      </c>
      <c r="B44" s="632">
        <v>37</v>
      </c>
      <c r="C44" s="770">
        <v>0</v>
      </c>
      <c r="D44" s="830">
        <v>0</v>
      </c>
      <c r="E44" s="830">
        <v>0</v>
      </c>
      <c r="F44" s="866">
        <v>0</v>
      </c>
      <c r="G44" s="830">
        <v>0</v>
      </c>
      <c r="H44" s="830">
        <v>0</v>
      </c>
      <c r="I44" s="828">
        <f t="shared" si="0"/>
        <v>0</v>
      </c>
      <c r="J44" s="832">
        <v>0</v>
      </c>
      <c r="K44" s="832">
        <v>0</v>
      </c>
      <c r="L44" s="830">
        <v>0</v>
      </c>
      <c r="M44" s="802">
        <v>0</v>
      </c>
      <c r="N44" s="832">
        <v>0</v>
      </c>
      <c r="O44" s="833">
        <v>0</v>
      </c>
      <c r="P44" s="832">
        <v>0</v>
      </c>
      <c r="Q44" s="832">
        <v>0</v>
      </c>
      <c r="R44" s="781">
        <v>0</v>
      </c>
      <c r="S44" s="830">
        <v>0</v>
      </c>
      <c r="T44" s="830">
        <v>0</v>
      </c>
      <c r="U44" s="834">
        <v>0</v>
      </c>
      <c r="V44" s="832">
        <v>0</v>
      </c>
      <c r="W44" s="831">
        <v>0</v>
      </c>
      <c r="X44" s="783">
        <v>0</v>
      </c>
      <c r="Y44" s="830">
        <v>0</v>
      </c>
      <c r="Z44" s="833">
        <v>0</v>
      </c>
      <c r="AA44" s="802">
        <v>0</v>
      </c>
      <c r="AB44" s="835">
        <v>0</v>
      </c>
      <c r="AC44" s="1094">
        <v>0</v>
      </c>
      <c r="AD44" s="833">
        <v>0</v>
      </c>
      <c r="AE44" s="836">
        <v>0</v>
      </c>
      <c r="AF44" s="836">
        <v>0</v>
      </c>
      <c r="AG44" s="827">
        <f t="shared" si="1"/>
        <v>0</v>
      </c>
      <c r="AH44" s="827">
        <f t="shared" si="2"/>
        <v>0</v>
      </c>
      <c r="AI44" s="466">
        <f t="shared" si="3"/>
        <v>0</v>
      </c>
      <c r="AJ44" s="467" t="str">
        <f t="shared" si="4"/>
        <v xml:space="preserve"> </v>
      </c>
      <c r="AL44" s="141"/>
      <c r="AM44" s="141"/>
      <c r="AS44" s="139" t="s">
        <v>542</v>
      </c>
      <c r="AT44" s="139" t="s">
        <v>543</v>
      </c>
      <c r="DS44" s="648"/>
      <c r="DT44" s="648"/>
      <c r="DU44" s="667" t="s">
        <v>415</v>
      </c>
      <c r="DV44" s="667" t="s">
        <v>1188</v>
      </c>
      <c r="DW44" s="667" t="s">
        <v>1134</v>
      </c>
      <c r="DX44" s="667" t="s">
        <v>1134</v>
      </c>
      <c r="DY44" s="669" t="s">
        <v>1198</v>
      </c>
      <c r="DZ44" s="667" t="s">
        <v>1134</v>
      </c>
      <c r="EA44" s="670" t="s">
        <v>542</v>
      </c>
      <c r="EB44" s="667" t="s">
        <v>1135</v>
      </c>
      <c r="EC44" s="667" t="s">
        <v>1134</v>
      </c>
      <c r="ED44" s="667" t="s">
        <v>1136</v>
      </c>
    </row>
    <row r="45" spans="1:134" s="2" customFormat="1" x14ac:dyDescent="0.2">
      <c r="A45" s="225" t="s">
        <v>130</v>
      </c>
      <c r="B45" s="632">
        <v>38</v>
      </c>
      <c r="C45" s="770">
        <v>0</v>
      </c>
      <c r="D45" s="830">
        <v>0</v>
      </c>
      <c r="E45" s="830">
        <v>0</v>
      </c>
      <c r="F45" s="866">
        <v>0</v>
      </c>
      <c r="G45" s="830">
        <v>0</v>
      </c>
      <c r="H45" s="830">
        <v>0</v>
      </c>
      <c r="I45" s="828">
        <f t="shared" si="0"/>
        <v>0</v>
      </c>
      <c r="J45" s="832">
        <v>0</v>
      </c>
      <c r="K45" s="832">
        <v>0</v>
      </c>
      <c r="L45" s="830">
        <v>0</v>
      </c>
      <c r="M45" s="802">
        <v>0</v>
      </c>
      <c r="N45" s="832">
        <v>0</v>
      </c>
      <c r="O45" s="833">
        <v>0</v>
      </c>
      <c r="P45" s="832">
        <v>0</v>
      </c>
      <c r="Q45" s="832">
        <v>0</v>
      </c>
      <c r="R45" s="781">
        <v>0</v>
      </c>
      <c r="S45" s="830">
        <v>0</v>
      </c>
      <c r="T45" s="830">
        <v>0</v>
      </c>
      <c r="U45" s="834">
        <v>0</v>
      </c>
      <c r="V45" s="832">
        <v>0</v>
      </c>
      <c r="W45" s="831">
        <v>0</v>
      </c>
      <c r="X45" s="783">
        <v>0</v>
      </c>
      <c r="Y45" s="830">
        <v>0</v>
      </c>
      <c r="Z45" s="833">
        <v>0</v>
      </c>
      <c r="AA45" s="802">
        <v>0</v>
      </c>
      <c r="AB45" s="835">
        <v>0</v>
      </c>
      <c r="AC45" s="1094">
        <v>0</v>
      </c>
      <c r="AD45" s="833">
        <v>0</v>
      </c>
      <c r="AE45" s="836">
        <v>0</v>
      </c>
      <c r="AF45" s="836">
        <v>0</v>
      </c>
      <c r="AG45" s="827">
        <f t="shared" si="1"/>
        <v>0</v>
      </c>
      <c r="AH45" s="827">
        <f t="shared" si="2"/>
        <v>0</v>
      </c>
      <c r="AI45" s="466">
        <f t="shared" si="3"/>
        <v>0</v>
      </c>
      <c r="AJ45" s="467" t="str">
        <f t="shared" si="4"/>
        <v xml:space="preserve"> </v>
      </c>
      <c r="AL45" s="141"/>
      <c r="AM45" s="141"/>
      <c r="AS45" s="139" t="s">
        <v>268</v>
      </c>
      <c r="AT45" s="139" t="s">
        <v>267</v>
      </c>
      <c r="DS45" s="648"/>
      <c r="DT45" s="648"/>
      <c r="DU45" s="667" t="s">
        <v>415</v>
      </c>
      <c r="DV45" s="667" t="s">
        <v>1188</v>
      </c>
      <c r="DW45" s="667" t="s">
        <v>1134</v>
      </c>
      <c r="DX45" s="667" t="s">
        <v>1134</v>
      </c>
      <c r="DY45" s="669" t="s">
        <v>1198</v>
      </c>
      <c r="DZ45" s="667" t="s">
        <v>1134</v>
      </c>
      <c r="EA45" s="670" t="s">
        <v>268</v>
      </c>
      <c r="EB45" s="667" t="s">
        <v>1135</v>
      </c>
      <c r="EC45" s="667" t="s">
        <v>1134</v>
      </c>
      <c r="ED45" s="667" t="s">
        <v>1136</v>
      </c>
    </row>
    <row r="46" spans="1:134" s="2" customFormat="1" x14ac:dyDescent="0.2">
      <c r="A46" s="427" t="s">
        <v>131</v>
      </c>
      <c r="B46" s="632">
        <v>39</v>
      </c>
      <c r="C46" s="770">
        <v>0</v>
      </c>
      <c r="D46" s="830">
        <v>0</v>
      </c>
      <c r="E46" s="830">
        <v>0</v>
      </c>
      <c r="F46" s="866">
        <v>0</v>
      </c>
      <c r="G46" s="830">
        <v>0</v>
      </c>
      <c r="H46" s="830">
        <v>0</v>
      </c>
      <c r="I46" s="828">
        <f t="shared" si="0"/>
        <v>0</v>
      </c>
      <c r="J46" s="832">
        <v>0</v>
      </c>
      <c r="K46" s="832">
        <v>0</v>
      </c>
      <c r="L46" s="830">
        <v>0</v>
      </c>
      <c r="M46" s="802">
        <v>0</v>
      </c>
      <c r="N46" s="832">
        <v>0</v>
      </c>
      <c r="O46" s="833">
        <v>0</v>
      </c>
      <c r="P46" s="832">
        <v>0</v>
      </c>
      <c r="Q46" s="832">
        <v>0</v>
      </c>
      <c r="R46" s="781">
        <v>0</v>
      </c>
      <c r="S46" s="830">
        <v>0</v>
      </c>
      <c r="T46" s="830">
        <v>0</v>
      </c>
      <c r="U46" s="834">
        <v>0</v>
      </c>
      <c r="V46" s="832">
        <v>0</v>
      </c>
      <c r="W46" s="831">
        <v>0</v>
      </c>
      <c r="X46" s="783">
        <v>0</v>
      </c>
      <c r="Y46" s="830">
        <v>0</v>
      </c>
      <c r="Z46" s="833">
        <v>0</v>
      </c>
      <c r="AA46" s="802">
        <v>0</v>
      </c>
      <c r="AB46" s="835">
        <v>0</v>
      </c>
      <c r="AC46" s="1094">
        <v>0</v>
      </c>
      <c r="AD46" s="833">
        <v>0</v>
      </c>
      <c r="AE46" s="836">
        <v>0</v>
      </c>
      <c r="AF46" s="836">
        <v>0</v>
      </c>
      <c r="AG46" s="827">
        <f t="shared" si="1"/>
        <v>0</v>
      </c>
      <c r="AH46" s="827">
        <f t="shared" si="2"/>
        <v>0</v>
      </c>
      <c r="AI46" s="466">
        <f t="shared" si="3"/>
        <v>0</v>
      </c>
      <c r="AJ46" s="467" t="str">
        <f t="shared" si="4"/>
        <v xml:space="preserve"> </v>
      </c>
      <c r="AL46" s="141"/>
      <c r="AM46" s="141"/>
      <c r="AS46" s="139" t="s">
        <v>269</v>
      </c>
      <c r="AT46" s="139" t="s">
        <v>269</v>
      </c>
      <c r="DS46" s="648"/>
      <c r="DT46" s="648"/>
      <c r="DU46" s="667" t="s">
        <v>415</v>
      </c>
      <c r="DV46" s="667" t="s">
        <v>1188</v>
      </c>
      <c r="DW46" s="667" t="s">
        <v>1134</v>
      </c>
      <c r="DX46" s="667" t="s">
        <v>1134</v>
      </c>
      <c r="DY46" s="669" t="s">
        <v>1198</v>
      </c>
      <c r="DZ46" s="667" t="s">
        <v>1134</v>
      </c>
      <c r="EA46" s="670" t="s">
        <v>269</v>
      </c>
      <c r="EB46" s="667" t="s">
        <v>1135</v>
      </c>
      <c r="EC46" s="667" t="s">
        <v>1134</v>
      </c>
      <c r="ED46" s="667" t="s">
        <v>1136</v>
      </c>
    </row>
    <row r="47" spans="1:134" s="2" customFormat="1" x14ac:dyDescent="0.2">
      <c r="A47" s="74" t="s">
        <v>1365</v>
      </c>
      <c r="B47" s="632">
        <v>40</v>
      </c>
      <c r="C47" s="770">
        <v>0</v>
      </c>
      <c r="D47" s="830">
        <v>0</v>
      </c>
      <c r="E47" s="830">
        <v>0</v>
      </c>
      <c r="F47" s="866">
        <v>0</v>
      </c>
      <c r="G47" s="830">
        <v>0</v>
      </c>
      <c r="H47" s="830">
        <v>0</v>
      </c>
      <c r="I47" s="828">
        <f t="shared" si="0"/>
        <v>0</v>
      </c>
      <c r="J47" s="832">
        <v>0</v>
      </c>
      <c r="K47" s="832">
        <v>0</v>
      </c>
      <c r="L47" s="830">
        <v>0</v>
      </c>
      <c r="M47" s="802">
        <v>0</v>
      </c>
      <c r="N47" s="832">
        <v>0</v>
      </c>
      <c r="O47" s="833">
        <v>0</v>
      </c>
      <c r="P47" s="832">
        <v>0</v>
      </c>
      <c r="Q47" s="832">
        <v>0</v>
      </c>
      <c r="R47" s="781">
        <v>0</v>
      </c>
      <c r="S47" s="830">
        <v>0</v>
      </c>
      <c r="T47" s="830">
        <v>0</v>
      </c>
      <c r="U47" s="834">
        <v>0</v>
      </c>
      <c r="V47" s="832">
        <v>0</v>
      </c>
      <c r="W47" s="831">
        <v>0</v>
      </c>
      <c r="X47" s="783">
        <v>0</v>
      </c>
      <c r="Y47" s="830">
        <v>0</v>
      </c>
      <c r="Z47" s="833">
        <v>0</v>
      </c>
      <c r="AA47" s="802">
        <v>0</v>
      </c>
      <c r="AB47" s="835">
        <v>0</v>
      </c>
      <c r="AC47" s="1094">
        <v>0</v>
      </c>
      <c r="AD47" s="833">
        <v>0</v>
      </c>
      <c r="AE47" s="836">
        <v>0</v>
      </c>
      <c r="AF47" s="836">
        <v>0</v>
      </c>
      <c r="AG47" s="827">
        <f t="shared" si="1"/>
        <v>0</v>
      </c>
      <c r="AH47" s="827">
        <f t="shared" si="2"/>
        <v>0</v>
      </c>
      <c r="AI47" s="466">
        <f t="shared" si="3"/>
        <v>0</v>
      </c>
      <c r="AJ47" s="467" t="str">
        <f t="shared" si="4"/>
        <v xml:space="preserve"> </v>
      </c>
      <c r="AL47" s="141"/>
      <c r="AM47" s="141"/>
      <c r="AS47" s="139" t="s">
        <v>541</v>
      </c>
      <c r="AT47" s="1085" t="s">
        <v>1402</v>
      </c>
      <c r="DS47" s="648"/>
      <c r="DT47" s="648"/>
      <c r="DU47" s="667" t="s">
        <v>415</v>
      </c>
      <c r="DV47" s="667" t="s">
        <v>1188</v>
      </c>
      <c r="DW47" s="667" t="s">
        <v>1134</v>
      </c>
      <c r="DX47" s="667" t="s">
        <v>1134</v>
      </c>
      <c r="DY47" s="669" t="s">
        <v>1198</v>
      </c>
      <c r="DZ47" s="667" t="s">
        <v>1134</v>
      </c>
      <c r="EA47" s="670" t="s">
        <v>541</v>
      </c>
      <c r="EB47" s="667" t="s">
        <v>1135</v>
      </c>
      <c r="EC47" s="667" t="s">
        <v>1134</v>
      </c>
      <c r="ED47" s="667" t="s">
        <v>1136</v>
      </c>
    </row>
    <row r="48" spans="1:134" s="2" customFormat="1" x14ac:dyDescent="0.2">
      <c r="A48" s="427" t="s">
        <v>132</v>
      </c>
      <c r="B48" s="632">
        <v>41</v>
      </c>
      <c r="C48" s="770">
        <v>0</v>
      </c>
      <c r="D48" s="830">
        <v>0</v>
      </c>
      <c r="E48" s="830">
        <v>0</v>
      </c>
      <c r="F48" s="866">
        <v>0</v>
      </c>
      <c r="G48" s="830">
        <v>0</v>
      </c>
      <c r="H48" s="830">
        <v>0</v>
      </c>
      <c r="I48" s="828">
        <f t="shared" si="0"/>
        <v>0</v>
      </c>
      <c r="J48" s="832">
        <v>0</v>
      </c>
      <c r="K48" s="832">
        <v>0</v>
      </c>
      <c r="L48" s="830">
        <v>0</v>
      </c>
      <c r="M48" s="802">
        <v>0</v>
      </c>
      <c r="N48" s="832">
        <v>0</v>
      </c>
      <c r="O48" s="833">
        <v>0</v>
      </c>
      <c r="P48" s="832">
        <v>0</v>
      </c>
      <c r="Q48" s="832">
        <v>0</v>
      </c>
      <c r="R48" s="781">
        <v>0</v>
      </c>
      <c r="S48" s="830">
        <v>0</v>
      </c>
      <c r="T48" s="830">
        <v>0</v>
      </c>
      <c r="U48" s="834">
        <v>0</v>
      </c>
      <c r="V48" s="832">
        <v>0</v>
      </c>
      <c r="W48" s="831">
        <v>0</v>
      </c>
      <c r="X48" s="783">
        <v>0</v>
      </c>
      <c r="Y48" s="830">
        <v>0</v>
      </c>
      <c r="Z48" s="833">
        <v>0</v>
      </c>
      <c r="AA48" s="802">
        <v>0</v>
      </c>
      <c r="AB48" s="835">
        <v>0</v>
      </c>
      <c r="AC48" s="1094">
        <v>0</v>
      </c>
      <c r="AD48" s="833">
        <v>0</v>
      </c>
      <c r="AE48" s="836">
        <v>0</v>
      </c>
      <c r="AF48" s="836">
        <v>0</v>
      </c>
      <c r="AG48" s="827">
        <f t="shared" si="1"/>
        <v>0</v>
      </c>
      <c r="AH48" s="827">
        <f t="shared" si="2"/>
        <v>0</v>
      </c>
      <c r="AI48" s="466">
        <f t="shared" si="3"/>
        <v>0</v>
      </c>
      <c r="AJ48" s="467" t="str">
        <f t="shared" si="4"/>
        <v xml:space="preserve"> </v>
      </c>
      <c r="AL48" s="141"/>
      <c r="AM48" s="141"/>
      <c r="AS48" s="139" t="s">
        <v>271</v>
      </c>
      <c r="AT48" s="139" t="s">
        <v>270</v>
      </c>
      <c r="DS48" s="648"/>
      <c r="DT48" s="648"/>
      <c r="DU48" s="667" t="s">
        <v>415</v>
      </c>
      <c r="DV48" s="667" t="s">
        <v>1188</v>
      </c>
      <c r="DW48" s="667" t="s">
        <v>1134</v>
      </c>
      <c r="DX48" s="667" t="s">
        <v>1134</v>
      </c>
      <c r="DY48" s="669" t="s">
        <v>1198</v>
      </c>
      <c r="DZ48" s="667" t="s">
        <v>1134</v>
      </c>
      <c r="EA48" s="670" t="s">
        <v>271</v>
      </c>
      <c r="EB48" s="667" t="s">
        <v>1135</v>
      </c>
      <c r="EC48" s="667" t="s">
        <v>1134</v>
      </c>
      <c r="ED48" s="667" t="s">
        <v>1136</v>
      </c>
    </row>
    <row r="49" spans="1:134" s="2" customFormat="1" x14ac:dyDescent="0.2">
      <c r="A49" s="427" t="s">
        <v>133</v>
      </c>
      <c r="B49" s="632">
        <v>42</v>
      </c>
      <c r="C49" s="770">
        <v>0</v>
      </c>
      <c r="D49" s="830">
        <v>0</v>
      </c>
      <c r="E49" s="830">
        <v>0</v>
      </c>
      <c r="F49" s="866">
        <v>0</v>
      </c>
      <c r="G49" s="830">
        <v>0</v>
      </c>
      <c r="H49" s="830">
        <v>0</v>
      </c>
      <c r="I49" s="828">
        <f t="shared" si="0"/>
        <v>0</v>
      </c>
      <c r="J49" s="832">
        <v>0</v>
      </c>
      <c r="K49" s="832">
        <v>0</v>
      </c>
      <c r="L49" s="830">
        <v>0</v>
      </c>
      <c r="M49" s="802">
        <v>0</v>
      </c>
      <c r="N49" s="832">
        <v>0</v>
      </c>
      <c r="O49" s="833">
        <v>0</v>
      </c>
      <c r="P49" s="832">
        <v>0</v>
      </c>
      <c r="Q49" s="832">
        <v>0</v>
      </c>
      <c r="R49" s="781">
        <v>0</v>
      </c>
      <c r="S49" s="830">
        <v>0</v>
      </c>
      <c r="T49" s="830">
        <v>0</v>
      </c>
      <c r="U49" s="834">
        <v>0</v>
      </c>
      <c r="V49" s="832">
        <v>0</v>
      </c>
      <c r="W49" s="831">
        <v>0</v>
      </c>
      <c r="X49" s="783">
        <v>0</v>
      </c>
      <c r="Y49" s="830">
        <v>0</v>
      </c>
      <c r="Z49" s="833">
        <v>0</v>
      </c>
      <c r="AA49" s="802">
        <v>0</v>
      </c>
      <c r="AB49" s="835">
        <v>0</v>
      </c>
      <c r="AC49" s="1094">
        <v>0</v>
      </c>
      <c r="AD49" s="833">
        <v>0</v>
      </c>
      <c r="AE49" s="836">
        <v>0</v>
      </c>
      <c r="AF49" s="836">
        <v>0</v>
      </c>
      <c r="AG49" s="827">
        <f t="shared" si="1"/>
        <v>0</v>
      </c>
      <c r="AH49" s="827">
        <f t="shared" si="2"/>
        <v>0</v>
      </c>
      <c r="AI49" s="466">
        <f t="shared" si="3"/>
        <v>0</v>
      </c>
      <c r="AJ49" s="467" t="str">
        <f t="shared" si="4"/>
        <v xml:space="preserve"> </v>
      </c>
      <c r="AL49" s="141"/>
      <c r="AM49" s="141"/>
      <c r="AS49" s="139" t="s">
        <v>273</v>
      </c>
      <c r="AT49" s="139" t="s">
        <v>272</v>
      </c>
      <c r="DS49" s="648"/>
      <c r="DT49" s="648"/>
      <c r="DU49" s="667" t="s">
        <v>415</v>
      </c>
      <c r="DV49" s="667" t="s">
        <v>1188</v>
      </c>
      <c r="DW49" s="667" t="s">
        <v>1134</v>
      </c>
      <c r="DX49" s="667" t="s">
        <v>1134</v>
      </c>
      <c r="DY49" s="669" t="s">
        <v>1198</v>
      </c>
      <c r="DZ49" s="667" t="s">
        <v>1134</v>
      </c>
      <c r="EA49" s="670" t="s">
        <v>273</v>
      </c>
      <c r="EB49" s="667" t="s">
        <v>1135</v>
      </c>
      <c r="EC49" s="667" t="s">
        <v>1134</v>
      </c>
      <c r="ED49" s="667" t="s">
        <v>1136</v>
      </c>
    </row>
    <row r="50" spans="1:134" s="2" customFormat="1" x14ac:dyDescent="0.2">
      <c r="A50" s="427" t="s">
        <v>134</v>
      </c>
      <c r="B50" s="632">
        <v>43</v>
      </c>
      <c r="C50" s="770">
        <v>0</v>
      </c>
      <c r="D50" s="830">
        <v>0</v>
      </c>
      <c r="E50" s="830">
        <v>0</v>
      </c>
      <c r="F50" s="866">
        <v>0</v>
      </c>
      <c r="G50" s="830">
        <v>0</v>
      </c>
      <c r="H50" s="830">
        <v>0</v>
      </c>
      <c r="I50" s="828">
        <f t="shared" si="0"/>
        <v>0</v>
      </c>
      <c r="J50" s="832">
        <v>0</v>
      </c>
      <c r="K50" s="832">
        <v>0</v>
      </c>
      <c r="L50" s="830">
        <v>0</v>
      </c>
      <c r="M50" s="802">
        <v>0</v>
      </c>
      <c r="N50" s="832">
        <v>0</v>
      </c>
      <c r="O50" s="833">
        <v>0</v>
      </c>
      <c r="P50" s="832">
        <v>0</v>
      </c>
      <c r="Q50" s="832">
        <v>0</v>
      </c>
      <c r="R50" s="781">
        <v>0</v>
      </c>
      <c r="S50" s="830">
        <v>0</v>
      </c>
      <c r="T50" s="830">
        <v>0</v>
      </c>
      <c r="U50" s="834">
        <v>0</v>
      </c>
      <c r="V50" s="832">
        <v>0</v>
      </c>
      <c r="W50" s="831">
        <v>0</v>
      </c>
      <c r="X50" s="783">
        <v>0</v>
      </c>
      <c r="Y50" s="830">
        <v>0</v>
      </c>
      <c r="Z50" s="833">
        <v>0</v>
      </c>
      <c r="AA50" s="802">
        <v>0</v>
      </c>
      <c r="AB50" s="835">
        <v>0</v>
      </c>
      <c r="AC50" s="1094">
        <v>0</v>
      </c>
      <c r="AD50" s="833">
        <v>0</v>
      </c>
      <c r="AE50" s="836">
        <v>0</v>
      </c>
      <c r="AF50" s="836">
        <v>0</v>
      </c>
      <c r="AG50" s="827">
        <f t="shared" si="1"/>
        <v>0</v>
      </c>
      <c r="AH50" s="827">
        <f t="shared" si="2"/>
        <v>0</v>
      </c>
      <c r="AI50" s="466">
        <f t="shared" si="3"/>
        <v>0</v>
      </c>
      <c r="AJ50" s="467" t="str">
        <f t="shared" si="4"/>
        <v xml:space="preserve"> </v>
      </c>
      <c r="AL50" s="141"/>
      <c r="AM50" s="141"/>
      <c r="AS50" s="139" t="s">
        <v>275</v>
      </c>
      <c r="AT50" s="139" t="s">
        <v>274</v>
      </c>
      <c r="DS50" s="648"/>
      <c r="DT50" s="648"/>
      <c r="DU50" s="667" t="s">
        <v>415</v>
      </c>
      <c r="DV50" s="667" t="s">
        <v>1188</v>
      </c>
      <c r="DW50" s="667" t="s">
        <v>1134</v>
      </c>
      <c r="DX50" s="667" t="s">
        <v>1134</v>
      </c>
      <c r="DY50" s="669" t="s">
        <v>1198</v>
      </c>
      <c r="DZ50" s="667" t="s">
        <v>1134</v>
      </c>
      <c r="EA50" s="670" t="s">
        <v>275</v>
      </c>
      <c r="EB50" s="667" t="s">
        <v>1135</v>
      </c>
      <c r="EC50" s="667" t="s">
        <v>1134</v>
      </c>
      <c r="ED50" s="667" t="s">
        <v>1136</v>
      </c>
    </row>
    <row r="51" spans="1:134" s="2" customFormat="1" x14ac:dyDescent="0.2">
      <c r="A51" s="427" t="s">
        <v>59</v>
      </c>
      <c r="B51" s="632">
        <v>44</v>
      </c>
      <c r="C51" s="770">
        <v>0</v>
      </c>
      <c r="D51" s="830">
        <v>0</v>
      </c>
      <c r="E51" s="830">
        <v>0</v>
      </c>
      <c r="F51" s="866">
        <v>0</v>
      </c>
      <c r="G51" s="830">
        <v>0</v>
      </c>
      <c r="H51" s="830">
        <v>0</v>
      </c>
      <c r="I51" s="828">
        <f t="shared" si="0"/>
        <v>0</v>
      </c>
      <c r="J51" s="832">
        <v>0</v>
      </c>
      <c r="K51" s="832">
        <v>0</v>
      </c>
      <c r="L51" s="830">
        <v>0</v>
      </c>
      <c r="M51" s="802">
        <v>0</v>
      </c>
      <c r="N51" s="832">
        <v>0</v>
      </c>
      <c r="O51" s="833">
        <v>0</v>
      </c>
      <c r="P51" s="832">
        <v>0</v>
      </c>
      <c r="Q51" s="832">
        <v>0</v>
      </c>
      <c r="R51" s="781">
        <v>0</v>
      </c>
      <c r="S51" s="830">
        <v>0</v>
      </c>
      <c r="T51" s="830">
        <v>0</v>
      </c>
      <c r="U51" s="834">
        <v>0</v>
      </c>
      <c r="V51" s="832">
        <v>0</v>
      </c>
      <c r="W51" s="831">
        <v>0</v>
      </c>
      <c r="X51" s="783">
        <v>0</v>
      </c>
      <c r="Y51" s="830">
        <v>0</v>
      </c>
      <c r="Z51" s="833">
        <v>0</v>
      </c>
      <c r="AA51" s="802">
        <v>0</v>
      </c>
      <c r="AB51" s="835">
        <v>0</v>
      </c>
      <c r="AC51" s="1094">
        <v>0</v>
      </c>
      <c r="AD51" s="833">
        <v>0</v>
      </c>
      <c r="AE51" s="836">
        <v>0</v>
      </c>
      <c r="AF51" s="836">
        <v>0</v>
      </c>
      <c r="AG51" s="827">
        <f t="shared" si="1"/>
        <v>0</v>
      </c>
      <c r="AH51" s="827">
        <f t="shared" si="2"/>
        <v>0</v>
      </c>
      <c r="AI51" s="466">
        <f t="shared" si="3"/>
        <v>0</v>
      </c>
      <c r="AJ51" s="467" t="str">
        <f t="shared" si="4"/>
        <v xml:space="preserve"> </v>
      </c>
      <c r="AL51" s="141"/>
      <c r="AM51" s="141"/>
      <c r="AS51" s="139" t="s">
        <v>487</v>
      </c>
      <c r="AT51" s="139" t="s">
        <v>488</v>
      </c>
      <c r="DS51" s="648"/>
      <c r="DT51" s="648"/>
      <c r="DU51" s="667" t="s">
        <v>415</v>
      </c>
      <c r="DV51" s="667" t="s">
        <v>1188</v>
      </c>
      <c r="DW51" s="667" t="s">
        <v>1134</v>
      </c>
      <c r="DX51" s="667" t="s">
        <v>1134</v>
      </c>
      <c r="DY51" s="669" t="s">
        <v>1198</v>
      </c>
      <c r="DZ51" s="667" t="s">
        <v>1134</v>
      </c>
      <c r="EA51" s="670" t="s">
        <v>487</v>
      </c>
      <c r="EB51" s="667" t="s">
        <v>1135</v>
      </c>
      <c r="EC51" s="667" t="s">
        <v>1134</v>
      </c>
      <c r="ED51" s="667" t="s">
        <v>1136</v>
      </c>
    </row>
    <row r="52" spans="1:134" s="2" customFormat="1" x14ac:dyDescent="0.2">
      <c r="A52" s="427" t="s">
        <v>621</v>
      </c>
      <c r="B52" s="632">
        <v>45</v>
      </c>
      <c r="C52" s="770">
        <v>0</v>
      </c>
      <c r="D52" s="830">
        <v>0</v>
      </c>
      <c r="E52" s="830">
        <v>0</v>
      </c>
      <c r="F52" s="866">
        <v>0</v>
      </c>
      <c r="G52" s="830">
        <v>0</v>
      </c>
      <c r="H52" s="830">
        <v>0</v>
      </c>
      <c r="I52" s="828">
        <f t="shared" si="0"/>
        <v>0</v>
      </c>
      <c r="J52" s="832">
        <v>0</v>
      </c>
      <c r="K52" s="832">
        <v>0</v>
      </c>
      <c r="L52" s="830">
        <v>0</v>
      </c>
      <c r="M52" s="802">
        <v>0</v>
      </c>
      <c r="N52" s="832">
        <v>0</v>
      </c>
      <c r="O52" s="833">
        <v>0</v>
      </c>
      <c r="P52" s="832">
        <v>0</v>
      </c>
      <c r="Q52" s="832">
        <v>0</v>
      </c>
      <c r="R52" s="781">
        <v>0</v>
      </c>
      <c r="S52" s="830">
        <v>0</v>
      </c>
      <c r="T52" s="830">
        <v>0</v>
      </c>
      <c r="U52" s="834">
        <v>0</v>
      </c>
      <c r="V52" s="832">
        <v>0</v>
      </c>
      <c r="W52" s="831">
        <v>0</v>
      </c>
      <c r="X52" s="783">
        <v>0</v>
      </c>
      <c r="Y52" s="830">
        <v>0</v>
      </c>
      <c r="Z52" s="833">
        <v>0</v>
      </c>
      <c r="AA52" s="802">
        <v>0</v>
      </c>
      <c r="AB52" s="835">
        <v>0</v>
      </c>
      <c r="AC52" s="1094">
        <v>0</v>
      </c>
      <c r="AD52" s="833">
        <v>0</v>
      </c>
      <c r="AE52" s="836">
        <v>0</v>
      </c>
      <c r="AF52" s="836">
        <v>0</v>
      </c>
      <c r="AG52" s="827">
        <f t="shared" si="1"/>
        <v>0</v>
      </c>
      <c r="AH52" s="827">
        <f t="shared" si="2"/>
        <v>0</v>
      </c>
      <c r="AI52" s="466">
        <f t="shared" si="3"/>
        <v>0</v>
      </c>
      <c r="AJ52" s="467" t="str">
        <f t="shared" si="4"/>
        <v xml:space="preserve"> </v>
      </c>
      <c r="AL52" s="141"/>
      <c r="AM52" s="141"/>
      <c r="AS52" s="139" t="s">
        <v>521</v>
      </c>
      <c r="AT52" s="139" t="s">
        <v>522</v>
      </c>
      <c r="DS52" s="648"/>
      <c r="DT52" s="648"/>
      <c r="DU52" s="667" t="s">
        <v>415</v>
      </c>
      <c r="DV52" s="667" t="s">
        <v>1188</v>
      </c>
      <c r="DW52" s="667" t="s">
        <v>1134</v>
      </c>
      <c r="DX52" s="667" t="s">
        <v>1134</v>
      </c>
      <c r="DY52" s="669" t="s">
        <v>1198</v>
      </c>
      <c r="DZ52" s="667" t="s">
        <v>1134</v>
      </c>
      <c r="EA52" s="670" t="s">
        <v>521</v>
      </c>
      <c r="EB52" s="667" t="s">
        <v>1135</v>
      </c>
      <c r="EC52" s="667" t="s">
        <v>1134</v>
      </c>
      <c r="ED52" s="667" t="s">
        <v>1136</v>
      </c>
    </row>
    <row r="53" spans="1:134" s="2" customFormat="1" x14ac:dyDescent="0.2">
      <c r="A53" s="427" t="s">
        <v>569</v>
      </c>
      <c r="B53" s="632">
        <v>46</v>
      </c>
      <c r="C53" s="770">
        <v>0</v>
      </c>
      <c r="D53" s="830">
        <v>0</v>
      </c>
      <c r="E53" s="830">
        <v>0</v>
      </c>
      <c r="F53" s="866">
        <v>0</v>
      </c>
      <c r="G53" s="830">
        <v>0</v>
      </c>
      <c r="H53" s="830">
        <v>0</v>
      </c>
      <c r="I53" s="828">
        <f t="shared" si="0"/>
        <v>0</v>
      </c>
      <c r="J53" s="832">
        <v>0</v>
      </c>
      <c r="K53" s="832">
        <v>0</v>
      </c>
      <c r="L53" s="830">
        <v>0</v>
      </c>
      <c r="M53" s="802">
        <v>0</v>
      </c>
      <c r="N53" s="832">
        <v>0</v>
      </c>
      <c r="O53" s="833">
        <v>0</v>
      </c>
      <c r="P53" s="832">
        <v>0</v>
      </c>
      <c r="Q53" s="832">
        <v>0</v>
      </c>
      <c r="R53" s="781">
        <v>0</v>
      </c>
      <c r="S53" s="830">
        <v>0</v>
      </c>
      <c r="T53" s="830">
        <v>0</v>
      </c>
      <c r="U53" s="834">
        <v>0</v>
      </c>
      <c r="V53" s="832">
        <v>0</v>
      </c>
      <c r="W53" s="831">
        <v>0</v>
      </c>
      <c r="X53" s="783">
        <v>0</v>
      </c>
      <c r="Y53" s="830">
        <v>0</v>
      </c>
      <c r="Z53" s="833">
        <v>0</v>
      </c>
      <c r="AA53" s="802">
        <v>0</v>
      </c>
      <c r="AB53" s="835">
        <v>0</v>
      </c>
      <c r="AC53" s="1094">
        <v>0</v>
      </c>
      <c r="AD53" s="833">
        <v>0</v>
      </c>
      <c r="AE53" s="836">
        <v>0</v>
      </c>
      <c r="AF53" s="836">
        <v>0</v>
      </c>
      <c r="AG53" s="827">
        <f t="shared" si="1"/>
        <v>0</v>
      </c>
      <c r="AH53" s="827">
        <f t="shared" si="2"/>
        <v>0</v>
      </c>
      <c r="AI53" s="466">
        <f t="shared" si="3"/>
        <v>0</v>
      </c>
      <c r="AJ53" s="467" t="str">
        <f t="shared" si="4"/>
        <v xml:space="preserve"> </v>
      </c>
      <c r="AL53" s="141"/>
      <c r="AM53" s="141"/>
      <c r="AS53" s="139" t="s">
        <v>544</v>
      </c>
      <c r="AT53" s="139" t="s">
        <v>545</v>
      </c>
      <c r="DS53" s="648"/>
      <c r="DT53" s="648"/>
      <c r="DU53" s="667" t="s">
        <v>415</v>
      </c>
      <c r="DV53" s="667" t="s">
        <v>1188</v>
      </c>
      <c r="DW53" s="667" t="s">
        <v>1134</v>
      </c>
      <c r="DX53" s="667" t="s">
        <v>1134</v>
      </c>
      <c r="DY53" s="669" t="s">
        <v>1198</v>
      </c>
      <c r="DZ53" s="667" t="s">
        <v>1134</v>
      </c>
      <c r="EA53" s="670" t="s">
        <v>544</v>
      </c>
      <c r="EB53" s="667" t="s">
        <v>1135</v>
      </c>
      <c r="EC53" s="667" t="s">
        <v>1134</v>
      </c>
      <c r="ED53" s="667" t="s">
        <v>1136</v>
      </c>
    </row>
    <row r="54" spans="1:134" s="2" customFormat="1" x14ac:dyDescent="0.2">
      <c r="A54" s="427" t="s">
        <v>99</v>
      </c>
      <c r="B54" s="632">
        <v>47</v>
      </c>
      <c r="C54" s="770">
        <v>0</v>
      </c>
      <c r="D54" s="830">
        <v>0</v>
      </c>
      <c r="E54" s="830">
        <v>0</v>
      </c>
      <c r="F54" s="866">
        <v>0</v>
      </c>
      <c r="G54" s="830">
        <v>0</v>
      </c>
      <c r="H54" s="830">
        <v>0</v>
      </c>
      <c r="I54" s="828">
        <f t="shared" si="0"/>
        <v>0</v>
      </c>
      <c r="J54" s="832">
        <v>0</v>
      </c>
      <c r="K54" s="832">
        <v>0</v>
      </c>
      <c r="L54" s="830">
        <v>0</v>
      </c>
      <c r="M54" s="802">
        <v>0</v>
      </c>
      <c r="N54" s="832">
        <v>0</v>
      </c>
      <c r="O54" s="833">
        <v>0</v>
      </c>
      <c r="P54" s="832">
        <v>0</v>
      </c>
      <c r="Q54" s="832">
        <v>0</v>
      </c>
      <c r="R54" s="781">
        <v>0</v>
      </c>
      <c r="S54" s="830">
        <v>0</v>
      </c>
      <c r="T54" s="830">
        <v>0</v>
      </c>
      <c r="U54" s="834">
        <v>0</v>
      </c>
      <c r="V54" s="832">
        <v>0</v>
      </c>
      <c r="W54" s="831">
        <v>0</v>
      </c>
      <c r="X54" s="783">
        <v>0</v>
      </c>
      <c r="Y54" s="830">
        <v>0</v>
      </c>
      <c r="Z54" s="833">
        <v>0</v>
      </c>
      <c r="AA54" s="802">
        <v>0</v>
      </c>
      <c r="AB54" s="835">
        <v>0</v>
      </c>
      <c r="AC54" s="1094">
        <v>0</v>
      </c>
      <c r="AD54" s="833">
        <v>0</v>
      </c>
      <c r="AE54" s="836">
        <v>0</v>
      </c>
      <c r="AF54" s="836">
        <v>0</v>
      </c>
      <c r="AG54" s="827">
        <f t="shared" si="1"/>
        <v>0</v>
      </c>
      <c r="AH54" s="827">
        <f t="shared" si="2"/>
        <v>0</v>
      </c>
      <c r="AI54" s="466">
        <f t="shared" si="3"/>
        <v>0</v>
      </c>
      <c r="AJ54" s="467" t="str">
        <f t="shared" si="4"/>
        <v xml:space="preserve"> </v>
      </c>
      <c r="AL54" s="141"/>
      <c r="AM54" s="141"/>
      <c r="AS54" s="139" t="s">
        <v>277</v>
      </c>
      <c r="AT54" s="139" t="s">
        <v>276</v>
      </c>
      <c r="DS54" s="648"/>
      <c r="DT54" s="648"/>
      <c r="DU54" s="667" t="s">
        <v>415</v>
      </c>
      <c r="DV54" s="667" t="s">
        <v>1188</v>
      </c>
      <c r="DW54" s="667" t="s">
        <v>1134</v>
      </c>
      <c r="DX54" s="667" t="s">
        <v>1134</v>
      </c>
      <c r="DY54" s="669" t="s">
        <v>1198</v>
      </c>
      <c r="DZ54" s="667" t="s">
        <v>1134</v>
      </c>
      <c r="EA54" s="670" t="s">
        <v>277</v>
      </c>
      <c r="EB54" s="667" t="s">
        <v>1135</v>
      </c>
      <c r="EC54" s="667" t="s">
        <v>1134</v>
      </c>
      <c r="ED54" s="667" t="s">
        <v>1136</v>
      </c>
    </row>
    <row r="55" spans="1:134" s="2" customFormat="1" x14ac:dyDescent="0.2">
      <c r="A55" s="427" t="s">
        <v>570</v>
      </c>
      <c r="B55" s="632">
        <v>48</v>
      </c>
      <c r="C55" s="770">
        <v>0</v>
      </c>
      <c r="D55" s="830">
        <v>0</v>
      </c>
      <c r="E55" s="830">
        <v>0</v>
      </c>
      <c r="F55" s="866">
        <v>0</v>
      </c>
      <c r="G55" s="830">
        <v>0</v>
      </c>
      <c r="H55" s="830">
        <v>0</v>
      </c>
      <c r="I55" s="828">
        <f t="shared" si="0"/>
        <v>0</v>
      </c>
      <c r="J55" s="832">
        <v>0</v>
      </c>
      <c r="K55" s="832">
        <v>0</v>
      </c>
      <c r="L55" s="830">
        <v>0</v>
      </c>
      <c r="M55" s="802">
        <v>0</v>
      </c>
      <c r="N55" s="832">
        <v>0</v>
      </c>
      <c r="O55" s="833">
        <v>0</v>
      </c>
      <c r="P55" s="832">
        <v>0</v>
      </c>
      <c r="Q55" s="832">
        <v>0</v>
      </c>
      <c r="R55" s="781">
        <v>0</v>
      </c>
      <c r="S55" s="830">
        <v>0</v>
      </c>
      <c r="T55" s="830">
        <v>0</v>
      </c>
      <c r="U55" s="834">
        <v>0</v>
      </c>
      <c r="V55" s="832">
        <v>0</v>
      </c>
      <c r="W55" s="831">
        <v>0</v>
      </c>
      <c r="X55" s="783">
        <v>0</v>
      </c>
      <c r="Y55" s="830">
        <v>0</v>
      </c>
      <c r="Z55" s="833">
        <v>0</v>
      </c>
      <c r="AA55" s="802">
        <v>0</v>
      </c>
      <c r="AB55" s="835">
        <v>0</v>
      </c>
      <c r="AC55" s="1094">
        <v>0</v>
      </c>
      <c r="AD55" s="833">
        <v>0</v>
      </c>
      <c r="AE55" s="836">
        <v>0</v>
      </c>
      <c r="AF55" s="836">
        <v>0</v>
      </c>
      <c r="AG55" s="827">
        <f t="shared" si="1"/>
        <v>0</v>
      </c>
      <c r="AH55" s="827">
        <f t="shared" si="2"/>
        <v>0</v>
      </c>
      <c r="AI55" s="466">
        <f t="shared" si="3"/>
        <v>0</v>
      </c>
      <c r="AJ55" s="467" t="str">
        <f t="shared" si="4"/>
        <v xml:space="preserve"> </v>
      </c>
      <c r="AL55" s="141"/>
      <c r="AM55" s="141"/>
      <c r="AS55" s="139" t="s">
        <v>546</v>
      </c>
      <c r="AT55" s="139" t="s">
        <v>547</v>
      </c>
      <c r="DS55" s="648"/>
      <c r="DT55" s="648"/>
      <c r="DU55" s="667" t="s">
        <v>415</v>
      </c>
      <c r="DV55" s="667" t="s">
        <v>1188</v>
      </c>
      <c r="DW55" s="667" t="s">
        <v>1134</v>
      </c>
      <c r="DX55" s="667" t="s">
        <v>1134</v>
      </c>
      <c r="DY55" s="669" t="s">
        <v>1198</v>
      </c>
      <c r="DZ55" s="667" t="s">
        <v>1134</v>
      </c>
      <c r="EA55" s="670" t="s">
        <v>546</v>
      </c>
      <c r="EB55" s="667" t="s">
        <v>1135</v>
      </c>
      <c r="EC55" s="667" t="s">
        <v>1134</v>
      </c>
      <c r="ED55" s="667" t="s">
        <v>1136</v>
      </c>
    </row>
    <row r="56" spans="1:134" s="2" customFormat="1" x14ac:dyDescent="0.2">
      <c r="A56" s="427" t="s">
        <v>135</v>
      </c>
      <c r="B56" s="632">
        <v>49</v>
      </c>
      <c r="C56" s="770">
        <v>0</v>
      </c>
      <c r="D56" s="830">
        <v>0</v>
      </c>
      <c r="E56" s="830">
        <v>0</v>
      </c>
      <c r="F56" s="866">
        <v>0</v>
      </c>
      <c r="G56" s="830">
        <v>0</v>
      </c>
      <c r="H56" s="830">
        <v>0</v>
      </c>
      <c r="I56" s="828">
        <f t="shared" si="0"/>
        <v>0</v>
      </c>
      <c r="J56" s="832">
        <v>0</v>
      </c>
      <c r="K56" s="832">
        <v>0</v>
      </c>
      <c r="L56" s="830">
        <v>0</v>
      </c>
      <c r="M56" s="802">
        <v>0</v>
      </c>
      <c r="N56" s="832">
        <v>0</v>
      </c>
      <c r="O56" s="833">
        <v>0</v>
      </c>
      <c r="P56" s="832">
        <v>0</v>
      </c>
      <c r="Q56" s="832">
        <v>0</v>
      </c>
      <c r="R56" s="781">
        <v>0</v>
      </c>
      <c r="S56" s="830">
        <v>0</v>
      </c>
      <c r="T56" s="830">
        <v>0</v>
      </c>
      <c r="U56" s="834">
        <v>0</v>
      </c>
      <c r="V56" s="832">
        <v>0</v>
      </c>
      <c r="W56" s="831">
        <v>0</v>
      </c>
      <c r="X56" s="783">
        <v>0</v>
      </c>
      <c r="Y56" s="830">
        <v>0</v>
      </c>
      <c r="Z56" s="833">
        <v>0</v>
      </c>
      <c r="AA56" s="802">
        <v>0</v>
      </c>
      <c r="AB56" s="835">
        <v>0</v>
      </c>
      <c r="AC56" s="1094">
        <v>0</v>
      </c>
      <c r="AD56" s="833">
        <v>0</v>
      </c>
      <c r="AE56" s="836">
        <v>0</v>
      </c>
      <c r="AF56" s="836">
        <v>0</v>
      </c>
      <c r="AG56" s="827">
        <f t="shared" si="1"/>
        <v>0</v>
      </c>
      <c r="AH56" s="827">
        <f t="shared" si="2"/>
        <v>0</v>
      </c>
      <c r="AI56" s="466">
        <f t="shared" si="3"/>
        <v>0</v>
      </c>
      <c r="AJ56" s="467" t="str">
        <f t="shared" si="4"/>
        <v xml:space="preserve"> </v>
      </c>
      <c r="AL56" s="141"/>
      <c r="AM56" s="141"/>
      <c r="AS56" s="139" t="s">
        <v>279</v>
      </c>
      <c r="AT56" s="139" t="s">
        <v>278</v>
      </c>
      <c r="DS56" s="648"/>
      <c r="DT56" s="648"/>
      <c r="DU56" s="667" t="s">
        <v>415</v>
      </c>
      <c r="DV56" s="667" t="s">
        <v>1188</v>
      </c>
      <c r="DW56" s="667" t="s">
        <v>1134</v>
      </c>
      <c r="DX56" s="667" t="s">
        <v>1134</v>
      </c>
      <c r="DY56" s="669" t="s">
        <v>1198</v>
      </c>
      <c r="DZ56" s="667" t="s">
        <v>1134</v>
      </c>
      <c r="EA56" s="670" t="s">
        <v>279</v>
      </c>
      <c r="EB56" s="667" t="s">
        <v>1135</v>
      </c>
      <c r="EC56" s="667" t="s">
        <v>1134</v>
      </c>
      <c r="ED56" s="667" t="s">
        <v>1136</v>
      </c>
    </row>
    <row r="57" spans="1:134" s="2" customFormat="1" x14ac:dyDescent="0.2">
      <c r="A57" s="427" t="s">
        <v>136</v>
      </c>
      <c r="B57" s="632">
        <v>50</v>
      </c>
      <c r="C57" s="770">
        <v>0</v>
      </c>
      <c r="D57" s="830">
        <v>0</v>
      </c>
      <c r="E57" s="830">
        <v>0</v>
      </c>
      <c r="F57" s="866">
        <v>0</v>
      </c>
      <c r="G57" s="830">
        <v>0</v>
      </c>
      <c r="H57" s="830">
        <v>0</v>
      </c>
      <c r="I57" s="828">
        <f t="shared" si="0"/>
        <v>0</v>
      </c>
      <c r="J57" s="832">
        <v>0</v>
      </c>
      <c r="K57" s="832">
        <v>0</v>
      </c>
      <c r="L57" s="830">
        <v>0</v>
      </c>
      <c r="M57" s="802">
        <v>0</v>
      </c>
      <c r="N57" s="832">
        <v>0</v>
      </c>
      <c r="O57" s="833">
        <v>0</v>
      </c>
      <c r="P57" s="832">
        <v>0</v>
      </c>
      <c r="Q57" s="832">
        <v>0</v>
      </c>
      <c r="R57" s="781">
        <v>0</v>
      </c>
      <c r="S57" s="830">
        <v>0</v>
      </c>
      <c r="T57" s="830">
        <v>0</v>
      </c>
      <c r="U57" s="834">
        <v>0</v>
      </c>
      <c r="V57" s="832">
        <v>0</v>
      </c>
      <c r="W57" s="831">
        <v>0</v>
      </c>
      <c r="X57" s="783">
        <v>0</v>
      </c>
      <c r="Y57" s="830">
        <v>0</v>
      </c>
      <c r="Z57" s="833">
        <v>0</v>
      </c>
      <c r="AA57" s="802">
        <v>0</v>
      </c>
      <c r="AB57" s="835">
        <v>0</v>
      </c>
      <c r="AC57" s="1094">
        <v>0</v>
      </c>
      <c r="AD57" s="833">
        <v>0</v>
      </c>
      <c r="AE57" s="836">
        <v>0</v>
      </c>
      <c r="AF57" s="836">
        <v>0</v>
      </c>
      <c r="AG57" s="827">
        <f t="shared" si="1"/>
        <v>0</v>
      </c>
      <c r="AH57" s="827">
        <f t="shared" si="2"/>
        <v>0</v>
      </c>
      <c r="AI57" s="466">
        <f t="shared" si="3"/>
        <v>0</v>
      </c>
      <c r="AJ57" s="467" t="str">
        <f t="shared" si="4"/>
        <v xml:space="preserve"> </v>
      </c>
      <c r="AL57" s="141"/>
      <c r="AM57" s="141"/>
      <c r="AS57" s="139" t="s">
        <v>281</v>
      </c>
      <c r="AT57" s="139" t="s">
        <v>280</v>
      </c>
      <c r="DS57" s="648"/>
      <c r="DT57" s="648"/>
      <c r="DU57" s="667" t="s">
        <v>415</v>
      </c>
      <c r="DV57" s="667" t="s">
        <v>1188</v>
      </c>
      <c r="DW57" s="667" t="s">
        <v>1134</v>
      </c>
      <c r="DX57" s="667" t="s">
        <v>1134</v>
      </c>
      <c r="DY57" s="669" t="s">
        <v>1198</v>
      </c>
      <c r="DZ57" s="667" t="s">
        <v>1134</v>
      </c>
      <c r="EA57" s="670" t="s">
        <v>281</v>
      </c>
      <c r="EB57" s="667" t="s">
        <v>1135</v>
      </c>
      <c r="EC57" s="667" t="s">
        <v>1134</v>
      </c>
      <c r="ED57" s="667" t="s">
        <v>1136</v>
      </c>
    </row>
    <row r="58" spans="1:134" s="2" customFormat="1" x14ac:dyDescent="0.2">
      <c r="A58" s="427" t="s">
        <v>137</v>
      </c>
      <c r="B58" s="632">
        <v>51</v>
      </c>
      <c r="C58" s="770">
        <v>0</v>
      </c>
      <c r="D58" s="830">
        <v>0</v>
      </c>
      <c r="E58" s="830">
        <v>0</v>
      </c>
      <c r="F58" s="866">
        <v>0</v>
      </c>
      <c r="G58" s="830">
        <v>0</v>
      </c>
      <c r="H58" s="830">
        <v>0</v>
      </c>
      <c r="I58" s="828">
        <f t="shared" si="0"/>
        <v>0</v>
      </c>
      <c r="J58" s="832">
        <v>0</v>
      </c>
      <c r="K58" s="832">
        <v>0</v>
      </c>
      <c r="L58" s="830">
        <v>0</v>
      </c>
      <c r="M58" s="802">
        <v>0</v>
      </c>
      <c r="N58" s="832">
        <v>0</v>
      </c>
      <c r="O58" s="833">
        <v>0</v>
      </c>
      <c r="P58" s="832">
        <v>0</v>
      </c>
      <c r="Q58" s="832">
        <v>0</v>
      </c>
      <c r="R58" s="781">
        <v>0</v>
      </c>
      <c r="S58" s="830">
        <v>0</v>
      </c>
      <c r="T58" s="830">
        <v>0</v>
      </c>
      <c r="U58" s="834">
        <v>0</v>
      </c>
      <c r="V58" s="832">
        <v>0</v>
      </c>
      <c r="W58" s="831">
        <v>0</v>
      </c>
      <c r="X58" s="783">
        <v>0</v>
      </c>
      <c r="Y58" s="830">
        <v>0</v>
      </c>
      <c r="Z58" s="833">
        <v>0</v>
      </c>
      <c r="AA58" s="802">
        <v>0</v>
      </c>
      <c r="AB58" s="835">
        <v>0</v>
      </c>
      <c r="AC58" s="1094">
        <v>0</v>
      </c>
      <c r="AD58" s="833">
        <v>0</v>
      </c>
      <c r="AE58" s="836">
        <v>0</v>
      </c>
      <c r="AF58" s="836">
        <v>0</v>
      </c>
      <c r="AG58" s="827">
        <f t="shared" si="1"/>
        <v>0</v>
      </c>
      <c r="AH58" s="827">
        <f t="shared" si="2"/>
        <v>0</v>
      </c>
      <c r="AI58" s="466">
        <f t="shared" si="3"/>
        <v>0</v>
      </c>
      <c r="AJ58" s="467" t="str">
        <f t="shared" si="4"/>
        <v xml:space="preserve"> </v>
      </c>
      <c r="AL58" s="141"/>
      <c r="AM58" s="141"/>
      <c r="AS58" s="139" t="s">
        <v>283</v>
      </c>
      <c r="AT58" s="139" t="s">
        <v>282</v>
      </c>
      <c r="DS58" s="648"/>
      <c r="DT58" s="648"/>
      <c r="DU58" s="667" t="s">
        <v>415</v>
      </c>
      <c r="DV58" s="667" t="s">
        <v>1188</v>
      </c>
      <c r="DW58" s="667" t="s">
        <v>1134</v>
      </c>
      <c r="DX58" s="667" t="s">
        <v>1134</v>
      </c>
      <c r="DY58" s="669" t="s">
        <v>1198</v>
      </c>
      <c r="DZ58" s="667" t="s">
        <v>1134</v>
      </c>
      <c r="EA58" s="670" t="s">
        <v>283</v>
      </c>
      <c r="EB58" s="667" t="s">
        <v>1135</v>
      </c>
      <c r="EC58" s="667" t="s">
        <v>1134</v>
      </c>
      <c r="ED58" s="667" t="s">
        <v>1136</v>
      </c>
    </row>
    <row r="59" spans="1:134" s="2" customFormat="1" x14ac:dyDescent="0.2">
      <c r="A59" s="427" t="s">
        <v>138</v>
      </c>
      <c r="B59" s="632">
        <v>52</v>
      </c>
      <c r="C59" s="770">
        <v>0</v>
      </c>
      <c r="D59" s="830">
        <v>0</v>
      </c>
      <c r="E59" s="830">
        <v>0</v>
      </c>
      <c r="F59" s="866">
        <v>0</v>
      </c>
      <c r="G59" s="830">
        <v>0</v>
      </c>
      <c r="H59" s="830">
        <v>0</v>
      </c>
      <c r="I59" s="828">
        <f t="shared" si="0"/>
        <v>0</v>
      </c>
      <c r="J59" s="832">
        <v>0</v>
      </c>
      <c r="K59" s="832">
        <v>0</v>
      </c>
      <c r="L59" s="830">
        <v>0</v>
      </c>
      <c r="M59" s="802">
        <v>0</v>
      </c>
      <c r="N59" s="832">
        <v>0</v>
      </c>
      <c r="O59" s="833">
        <v>0</v>
      </c>
      <c r="P59" s="832">
        <v>0</v>
      </c>
      <c r="Q59" s="832">
        <v>0</v>
      </c>
      <c r="R59" s="781">
        <v>0</v>
      </c>
      <c r="S59" s="830">
        <v>0</v>
      </c>
      <c r="T59" s="830">
        <v>0</v>
      </c>
      <c r="U59" s="834">
        <v>0</v>
      </c>
      <c r="V59" s="832">
        <v>0</v>
      </c>
      <c r="W59" s="831">
        <v>0</v>
      </c>
      <c r="X59" s="783">
        <v>0</v>
      </c>
      <c r="Y59" s="830">
        <v>0</v>
      </c>
      <c r="Z59" s="833">
        <v>0</v>
      </c>
      <c r="AA59" s="802">
        <v>0</v>
      </c>
      <c r="AB59" s="835">
        <v>0</v>
      </c>
      <c r="AC59" s="1094">
        <v>0</v>
      </c>
      <c r="AD59" s="833">
        <v>0</v>
      </c>
      <c r="AE59" s="836">
        <v>0</v>
      </c>
      <c r="AF59" s="836">
        <v>0</v>
      </c>
      <c r="AG59" s="827">
        <f t="shared" si="1"/>
        <v>0</v>
      </c>
      <c r="AH59" s="827">
        <f t="shared" si="2"/>
        <v>0</v>
      </c>
      <c r="AI59" s="466">
        <f t="shared" si="3"/>
        <v>0</v>
      </c>
      <c r="AJ59" s="467" t="str">
        <f t="shared" si="4"/>
        <v xml:space="preserve"> </v>
      </c>
      <c r="AL59" s="141"/>
      <c r="AM59" s="141"/>
      <c r="AS59" s="139" t="s">
        <v>285</v>
      </c>
      <c r="AT59" s="139" t="s">
        <v>284</v>
      </c>
      <c r="DS59" s="648"/>
      <c r="DT59" s="648"/>
      <c r="DU59" s="667" t="s">
        <v>415</v>
      </c>
      <c r="DV59" s="667" t="s">
        <v>1188</v>
      </c>
      <c r="DW59" s="667" t="s">
        <v>1134</v>
      </c>
      <c r="DX59" s="667" t="s">
        <v>1134</v>
      </c>
      <c r="DY59" s="669" t="s">
        <v>1198</v>
      </c>
      <c r="DZ59" s="667" t="s">
        <v>1134</v>
      </c>
      <c r="EA59" s="670" t="s">
        <v>285</v>
      </c>
      <c r="EB59" s="667" t="s">
        <v>1135</v>
      </c>
      <c r="EC59" s="667" t="s">
        <v>1134</v>
      </c>
      <c r="ED59" s="667" t="s">
        <v>1136</v>
      </c>
    </row>
    <row r="60" spans="1:134" s="2" customFormat="1" x14ac:dyDescent="0.2">
      <c r="A60" s="427" t="s">
        <v>565</v>
      </c>
      <c r="B60" s="632">
        <v>53</v>
      </c>
      <c r="C60" s="770">
        <v>0</v>
      </c>
      <c r="D60" s="830">
        <v>0</v>
      </c>
      <c r="E60" s="830">
        <v>0</v>
      </c>
      <c r="F60" s="866">
        <v>0</v>
      </c>
      <c r="G60" s="830">
        <v>0</v>
      </c>
      <c r="H60" s="830">
        <v>0</v>
      </c>
      <c r="I60" s="828">
        <f t="shared" si="0"/>
        <v>0</v>
      </c>
      <c r="J60" s="832">
        <v>0</v>
      </c>
      <c r="K60" s="832">
        <v>0</v>
      </c>
      <c r="L60" s="830">
        <v>0</v>
      </c>
      <c r="M60" s="802">
        <v>0</v>
      </c>
      <c r="N60" s="832">
        <v>0</v>
      </c>
      <c r="O60" s="833">
        <v>0</v>
      </c>
      <c r="P60" s="832">
        <v>0</v>
      </c>
      <c r="Q60" s="832">
        <v>0</v>
      </c>
      <c r="R60" s="781">
        <v>0</v>
      </c>
      <c r="S60" s="830">
        <v>0</v>
      </c>
      <c r="T60" s="830">
        <v>0</v>
      </c>
      <c r="U60" s="834">
        <v>0</v>
      </c>
      <c r="V60" s="832">
        <v>0</v>
      </c>
      <c r="W60" s="831">
        <v>0</v>
      </c>
      <c r="X60" s="783">
        <v>0</v>
      </c>
      <c r="Y60" s="830">
        <v>0</v>
      </c>
      <c r="Z60" s="833">
        <v>0</v>
      </c>
      <c r="AA60" s="802">
        <v>0</v>
      </c>
      <c r="AB60" s="835">
        <v>0</v>
      </c>
      <c r="AC60" s="1094">
        <v>0</v>
      </c>
      <c r="AD60" s="833">
        <v>0</v>
      </c>
      <c r="AE60" s="836">
        <v>0</v>
      </c>
      <c r="AF60" s="836">
        <v>0</v>
      </c>
      <c r="AG60" s="827">
        <f t="shared" si="1"/>
        <v>0</v>
      </c>
      <c r="AH60" s="827">
        <f t="shared" si="2"/>
        <v>0</v>
      </c>
      <c r="AI60" s="466">
        <f t="shared" si="3"/>
        <v>0</v>
      </c>
      <c r="AJ60" s="467" t="str">
        <f t="shared" si="4"/>
        <v xml:space="preserve"> </v>
      </c>
      <c r="AL60" s="141"/>
      <c r="AM60" s="141"/>
      <c r="AS60" s="139" t="s">
        <v>527</v>
      </c>
      <c r="AT60" s="139" t="s">
        <v>528</v>
      </c>
      <c r="DS60" s="648"/>
      <c r="DT60" s="648"/>
      <c r="DU60" s="667" t="s">
        <v>415</v>
      </c>
      <c r="DV60" s="667" t="s">
        <v>1188</v>
      </c>
      <c r="DW60" s="667" t="s">
        <v>1134</v>
      </c>
      <c r="DX60" s="667" t="s">
        <v>1134</v>
      </c>
      <c r="DY60" s="669" t="s">
        <v>1198</v>
      </c>
      <c r="DZ60" s="667" t="s">
        <v>1134</v>
      </c>
      <c r="EA60" s="670" t="s">
        <v>527</v>
      </c>
      <c r="EB60" s="667" t="s">
        <v>1135</v>
      </c>
      <c r="EC60" s="667" t="s">
        <v>1134</v>
      </c>
      <c r="ED60" s="667" t="s">
        <v>1136</v>
      </c>
    </row>
    <row r="61" spans="1:134" s="2" customFormat="1" x14ac:dyDescent="0.2">
      <c r="A61" s="427" t="s">
        <v>67</v>
      </c>
      <c r="B61" s="632">
        <v>54</v>
      </c>
      <c r="C61" s="770">
        <v>0</v>
      </c>
      <c r="D61" s="830">
        <v>0</v>
      </c>
      <c r="E61" s="830">
        <v>0</v>
      </c>
      <c r="F61" s="866">
        <v>0</v>
      </c>
      <c r="G61" s="830">
        <v>0</v>
      </c>
      <c r="H61" s="830">
        <v>0</v>
      </c>
      <c r="I61" s="828">
        <f t="shared" si="0"/>
        <v>0</v>
      </c>
      <c r="J61" s="832">
        <v>0</v>
      </c>
      <c r="K61" s="832">
        <v>0</v>
      </c>
      <c r="L61" s="830">
        <v>0</v>
      </c>
      <c r="M61" s="802">
        <v>0</v>
      </c>
      <c r="N61" s="832">
        <v>0</v>
      </c>
      <c r="O61" s="833">
        <v>0</v>
      </c>
      <c r="P61" s="832">
        <v>0</v>
      </c>
      <c r="Q61" s="832">
        <v>0</v>
      </c>
      <c r="R61" s="781">
        <v>0</v>
      </c>
      <c r="S61" s="830">
        <v>0</v>
      </c>
      <c r="T61" s="830">
        <v>0</v>
      </c>
      <c r="U61" s="834">
        <v>0</v>
      </c>
      <c r="V61" s="832">
        <v>0</v>
      </c>
      <c r="W61" s="831">
        <v>0</v>
      </c>
      <c r="X61" s="783">
        <v>0</v>
      </c>
      <c r="Y61" s="830">
        <v>0</v>
      </c>
      <c r="Z61" s="833">
        <v>0</v>
      </c>
      <c r="AA61" s="802">
        <v>0</v>
      </c>
      <c r="AB61" s="835">
        <v>0</v>
      </c>
      <c r="AC61" s="1094">
        <v>0</v>
      </c>
      <c r="AD61" s="833">
        <v>0</v>
      </c>
      <c r="AE61" s="836">
        <v>0</v>
      </c>
      <c r="AF61" s="836">
        <v>0</v>
      </c>
      <c r="AG61" s="827">
        <f t="shared" si="1"/>
        <v>0</v>
      </c>
      <c r="AH61" s="827">
        <f t="shared" si="2"/>
        <v>0</v>
      </c>
      <c r="AI61" s="466">
        <f t="shared" si="3"/>
        <v>0</v>
      </c>
      <c r="AJ61" s="467" t="str">
        <f t="shared" si="4"/>
        <v xml:space="preserve"> </v>
      </c>
      <c r="AL61" s="141"/>
      <c r="AM61" s="141"/>
      <c r="AS61" s="139" t="s">
        <v>287</v>
      </c>
      <c r="AT61" s="139" t="s">
        <v>286</v>
      </c>
      <c r="DS61" s="648"/>
      <c r="DT61" s="648"/>
      <c r="DU61" s="667" t="s">
        <v>415</v>
      </c>
      <c r="DV61" s="667" t="s">
        <v>1188</v>
      </c>
      <c r="DW61" s="667" t="s">
        <v>1134</v>
      </c>
      <c r="DX61" s="667" t="s">
        <v>1134</v>
      </c>
      <c r="DY61" s="669" t="s">
        <v>1198</v>
      </c>
      <c r="DZ61" s="667" t="s">
        <v>1134</v>
      </c>
      <c r="EA61" s="670" t="s">
        <v>287</v>
      </c>
      <c r="EB61" s="667" t="s">
        <v>1135</v>
      </c>
      <c r="EC61" s="667" t="s">
        <v>1134</v>
      </c>
      <c r="ED61" s="667" t="s">
        <v>1136</v>
      </c>
    </row>
    <row r="62" spans="1:134" s="2" customFormat="1" x14ac:dyDescent="0.2">
      <c r="A62" s="427" t="s">
        <v>139</v>
      </c>
      <c r="B62" s="632">
        <v>55</v>
      </c>
      <c r="C62" s="770">
        <v>0</v>
      </c>
      <c r="D62" s="830">
        <v>0</v>
      </c>
      <c r="E62" s="830">
        <v>0</v>
      </c>
      <c r="F62" s="866">
        <v>0</v>
      </c>
      <c r="G62" s="830">
        <v>0</v>
      </c>
      <c r="H62" s="830">
        <v>0</v>
      </c>
      <c r="I62" s="828">
        <f t="shared" si="0"/>
        <v>0</v>
      </c>
      <c r="J62" s="832">
        <v>0</v>
      </c>
      <c r="K62" s="832">
        <v>0</v>
      </c>
      <c r="L62" s="830">
        <v>0</v>
      </c>
      <c r="M62" s="802">
        <v>0</v>
      </c>
      <c r="N62" s="832">
        <v>0</v>
      </c>
      <c r="O62" s="833">
        <v>0</v>
      </c>
      <c r="P62" s="832">
        <v>0</v>
      </c>
      <c r="Q62" s="832">
        <v>0</v>
      </c>
      <c r="R62" s="781">
        <v>0</v>
      </c>
      <c r="S62" s="830">
        <v>0</v>
      </c>
      <c r="T62" s="830">
        <v>0</v>
      </c>
      <c r="U62" s="834">
        <v>0</v>
      </c>
      <c r="V62" s="832">
        <v>0</v>
      </c>
      <c r="W62" s="831">
        <v>0</v>
      </c>
      <c r="X62" s="783">
        <v>0</v>
      </c>
      <c r="Y62" s="830">
        <v>0</v>
      </c>
      <c r="Z62" s="833">
        <v>0</v>
      </c>
      <c r="AA62" s="802">
        <v>0</v>
      </c>
      <c r="AB62" s="835">
        <v>0</v>
      </c>
      <c r="AC62" s="1094">
        <v>0</v>
      </c>
      <c r="AD62" s="833">
        <v>0</v>
      </c>
      <c r="AE62" s="836">
        <v>0</v>
      </c>
      <c r="AF62" s="836">
        <v>0</v>
      </c>
      <c r="AG62" s="827">
        <f t="shared" si="1"/>
        <v>0</v>
      </c>
      <c r="AH62" s="827">
        <f t="shared" si="2"/>
        <v>0</v>
      </c>
      <c r="AI62" s="466">
        <f t="shared" si="3"/>
        <v>0</v>
      </c>
      <c r="AJ62" s="467" t="str">
        <f t="shared" si="4"/>
        <v xml:space="preserve"> </v>
      </c>
      <c r="AL62" s="141"/>
      <c r="AM62" s="141"/>
      <c r="AS62" s="139" t="s">
        <v>289</v>
      </c>
      <c r="AT62" s="139" t="s">
        <v>288</v>
      </c>
      <c r="DS62" s="648"/>
      <c r="DT62" s="648"/>
      <c r="DU62" s="667" t="s">
        <v>415</v>
      </c>
      <c r="DV62" s="667" t="s">
        <v>1188</v>
      </c>
      <c r="DW62" s="667" t="s">
        <v>1134</v>
      </c>
      <c r="DX62" s="667" t="s">
        <v>1134</v>
      </c>
      <c r="DY62" s="669" t="s">
        <v>1198</v>
      </c>
      <c r="DZ62" s="667" t="s">
        <v>1134</v>
      </c>
      <c r="EA62" s="670" t="s">
        <v>289</v>
      </c>
      <c r="EB62" s="667" t="s">
        <v>1135</v>
      </c>
      <c r="EC62" s="667" t="s">
        <v>1134</v>
      </c>
      <c r="ED62" s="667" t="s">
        <v>1136</v>
      </c>
    </row>
    <row r="63" spans="1:134" s="2" customFormat="1" ht="13.5" thickBot="1" x14ac:dyDescent="0.25">
      <c r="A63" s="207" t="s">
        <v>95</v>
      </c>
      <c r="B63" s="632">
        <v>56</v>
      </c>
      <c r="C63" s="830">
        <v>0</v>
      </c>
      <c r="D63" s="830">
        <v>0</v>
      </c>
      <c r="E63" s="830">
        <v>0</v>
      </c>
      <c r="F63" s="866">
        <v>0</v>
      </c>
      <c r="G63" s="830">
        <v>0</v>
      </c>
      <c r="H63" s="830">
        <v>0</v>
      </c>
      <c r="I63" s="828">
        <f t="shared" si="0"/>
        <v>0</v>
      </c>
      <c r="J63" s="832">
        <v>0</v>
      </c>
      <c r="K63" s="832">
        <v>0</v>
      </c>
      <c r="L63" s="837">
        <v>0</v>
      </c>
      <c r="M63" s="867">
        <v>0</v>
      </c>
      <c r="N63" s="838">
        <v>0</v>
      </c>
      <c r="O63" s="833">
        <v>0</v>
      </c>
      <c r="P63" s="832">
        <v>0</v>
      </c>
      <c r="Q63" s="832">
        <v>0</v>
      </c>
      <c r="R63" s="868">
        <v>0</v>
      </c>
      <c r="S63" s="830">
        <v>0</v>
      </c>
      <c r="T63" s="830">
        <v>0</v>
      </c>
      <c r="U63" s="834">
        <v>0</v>
      </c>
      <c r="V63" s="832">
        <v>0</v>
      </c>
      <c r="W63" s="831">
        <v>0</v>
      </c>
      <c r="X63" s="869">
        <v>0</v>
      </c>
      <c r="Y63" s="830">
        <v>0</v>
      </c>
      <c r="Z63" s="833">
        <v>0</v>
      </c>
      <c r="AA63" s="867">
        <v>0</v>
      </c>
      <c r="AB63" s="835">
        <v>0</v>
      </c>
      <c r="AC63" s="1094">
        <v>0</v>
      </c>
      <c r="AD63" s="833">
        <v>0</v>
      </c>
      <c r="AE63" s="836">
        <v>0</v>
      </c>
      <c r="AF63" s="836">
        <v>0</v>
      </c>
      <c r="AG63" s="827">
        <f t="shared" si="1"/>
        <v>0</v>
      </c>
      <c r="AH63" s="827">
        <f t="shared" si="2"/>
        <v>0</v>
      </c>
      <c r="AI63" s="466">
        <f t="shared" si="3"/>
        <v>0</v>
      </c>
      <c r="AJ63" s="467" t="str">
        <f t="shared" si="4"/>
        <v xml:space="preserve"> </v>
      </c>
      <c r="AL63" s="141"/>
      <c r="AM63" s="141"/>
      <c r="AS63" s="143" t="s">
        <v>609</v>
      </c>
      <c r="AT63" s="143" t="s">
        <v>588</v>
      </c>
      <c r="DS63" s="648"/>
      <c r="DT63" s="648"/>
      <c r="DU63" s="667" t="s">
        <v>415</v>
      </c>
      <c r="DV63" s="667" t="s">
        <v>1188</v>
      </c>
      <c r="DW63" s="667" t="s">
        <v>1134</v>
      </c>
      <c r="DX63" s="667" t="s">
        <v>1134</v>
      </c>
      <c r="DY63" s="669" t="s">
        <v>1198</v>
      </c>
      <c r="DZ63" s="667" t="s">
        <v>1134</v>
      </c>
      <c r="EA63" s="670" t="s">
        <v>1186</v>
      </c>
      <c r="EB63" s="667" t="s">
        <v>1135</v>
      </c>
      <c r="EC63" s="667" t="s">
        <v>1134</v>
      </c>
      <c r="ED63" s="667" t="s">
        <v>1136</v>
      </c>
    </row>
    <row r="64" spans="1:134" s="2" customFormat="1" ht="14.25" thickBot="1" x14ac:dyDescent="0.25">
      <c r="A64" s="73" t="s">
        <v>142</v>
      </c>
      <c r="B64" s="158">
        <v>57</v>
      </c>
      <c r="C64" s="811">
        <f t="shared" ref="C64:H64" si="5">ROUND(SUM(C8:C63),3)</f>
        <v>0</v>
      </c>
      <c r="D64" s="811">
        <f t="shared" si="5"/>
        <v>0</v>
      </c>
      <c r="E64" s="811">
        <f t="shared" si="5"/>
        <v>0</v>
      </c>
      <c r="F64" s="811">
        <f t="shared" si="5"/>
        <v>0</v>
      </c>
      <c r="G64" s="811">
        <f t="shared" si="5"/>
        <v>0</v>
      </c>
      <c r="H64" s="811">
        <f t="shared" si="5"/>
        <v>0</v>
      </c>
      <c r="I64" s="812">
        <f t="shared" si="0"/>
        <v>0</v>
      </c>
      <c r="J64" s="813">
        <f t="shared" ref="J64:AF64" si="6">ROUND(SUM(J8:J63),3)</f>
        <v>0</v>
      </c>
      <c r="K64" s="811">
        <f t="shared" si="6"/>
        <v>0</v>
      </c>
      <c r="L64" s="812">
        <f t="shared" si="6"/>
        <v>0</v>
      </c>
      <c r="M64" s="870">
        <f t="shared" si="6"/>
        <v>0</v>
      </c>
      <c r="N64" s="811">
        <f t="shared" si="6"/>
        <v>0</v>
      </c>
      <c r="O64" s="812">
        <f t="shared" si="6"/>
        <v>0</v>
      </c>
      <c r="P64" s="814">
        <f t="shared" si="6"/>
        <v>0</v>
      </c>
      <c r="Q64" s="811">
        <f t="shared" si="6"/>
        <v>0</v>
      </c>
      <c r="R64" s="871">
        <f t="shared" si="6"/>
        <v>0</v>
      </c>
      <c r="S64" s="811">
        <f t="shared" si="6"/>
        <v>0</v>
      </c>
      <c r="T64" s="811">
        <f t="shared" si="6"/>
        <v>0</v>
      </c>
      <c r="U64" s="812">
        <f t="shared" si="6"/>
        <v>0</v>
      </c>
      <c r="V64" s="814">
        <f t="shared" si="6"/>
        <v>0</v>
      </c>
      <c r="W64" s="811">
        <f t="shared" si="6"/>
        <v>0</v>
      </c>
      <c r="X64" s="872">
        <f t="shared" si="6"/>
        <v>0</v>
      </c>
      <c r="Y64" s="811">
        <f t="shared" si="6"/>
        <v>0</v>
      </c>
      <c r="Z64" s="812">
        <f t="shared" si="6"/>
        <v>0</v>
      </c>
      <c r="AA64" s="870">
        <f t="shared" si="6"/>
        <v>0</v>
      </c>
      <c r="AB64" s="811">
        <f t="shared" si="6"/>
        <v>0</v>
      </c>
      <c r="AC64" s="811">
        <f t="shared" si="6"/>
        <v>0</v>
      </c>
      <c r="AD64" s="812">
        <f t="shared" si="6"/>
        <v>0</v>
      </c>
      <c r="AE64" s="811">
        <f t="shared" si="6"/>
        <v>0</v>
      </c>
      <c r="AF64" s="814">
        <f t="shared" si="6"/>
        <v>0</v>
      </c>
      <c r="AG64" s="811">
        <f t="shared" si="1"/>
        <v>0</v>
      </c>
      <c r="AH64" s="816">
        <f t="shared" si="2"/>
        <v>0</v>
      </c>
      <c r="AI64" s="466">
        <f t="shared" ref="AI64:AI66" si="7">IF(ROUND(I64-SUM(C64:F64,H64),3)=0,0,1)+IF(ROUND(AG64-SUM(J64:M64,P64:R64,U64,X64,AA64,AE64:AF64),3)=0,0,1)+IF(ROUND(AH64-SUM(AG64,I64),3)=0,0,1)</f>
        <v>0</v>
      </c>
      <c r="AJ64" s="467" t="str">
        <f t="shared" ref="AJ64" si="8">IF(AI64=0," ",IF(AI64=1,"A total is not equal to the sum of its components: ",AI64&amp;" totals are not equal to the sum of their components: "))&amp;IF(AI64=0,"",IF(I64-SUM(C64:F64,H64)=0,"","Total crude. ")&amp;IF(AG64-SUM(J64:M64,P64:R64,U64,X64,AA64,AE64:AF64)=0,"","Total products. ")&amp;IF(AH64-SUM(AG64,I64)=0,"","Total oil."))</f>
        <v xml:space="preserve"> </v>
      </c>
      <c r="AL64" s="141"/>
      <c r="AM64" s="141"/>
      <c r="AS64" s="143" t="s">
        <v>589</v>
      </c>
      <c r="AT64" s="144" t="s">
        <v>615</v>
      </c>
      <c r="DS64" s="648"/>
      <c r="DT64" s="648"/>
      <c r="DU64" s="667" t="s">
        <v>415</v>
      </c>
      <c r="DV64" s="667" t="s">
        <v>1188</v>
      </c>
      <c r="DW64" s="667" t="s">
        <v>1134</v>
      </c>
      <c r="DX64" s="667" t="s">
        <v>1134</v>
      </c>
      <c r="DY64" s="669" t="s">
        <v>1198</v>
      </c>
      <c r="DZ64" s="667" t="s">
        <v>1134</v>
      </c>
      <c r="EA64" s="667" t="s">
        <v>1177</v>
      </c>
      <c r="EB64" s="667" t="s">
        <v>1135</v>
      </c>
      <c r="EC64" s="667" t="s">
        <v>1134</v>
      </c>
      <c r="ED64" s="667" t="s">
        <v>1136</v>
      </c>
    </row>
    <row r="65" spans="1:46" ht="13.5" thickBot="1" x14ac:dyDescent="0.25">
      <c r="A65" s="205"/>
      <c r="B65" s="204"/>
      <c r="C65" s="873"/>
      <c r="D65" s="873"/>
      <c r="E65" s="873"/>
      <c r="F65" s="873"/>
      <c r="G65" s="873"/>
      <c r="H65" s="873"/>
      <c r="I65" s="873"/>
      <c r="J65" s="873"/>
      <c r="K65" s="873"/>
      <c r="L65" s="873"/>
      <c r="M65" s="873"/>
      <c r="N65" s="873"/>
      <c r="O65" s="873"/>
      <c r="P65" s="873"/>
      <c r="Q65" s="873"/>
      <c r="R65" s="873"/>
      <c r="S65" s="873"/>
      <c r="T65" s="873"/>
      <c r="U65" s="873"/>
      <c r="V65" s="873"/>
      <c r="W65" s="873"/>
      <c r="X65" s="873"/>
      <c r="Y65" s="873"/>
      <c r="Z65" s="873"/>
      <c r="AA65" s="873"/>
      <c r="AB65" s="873"/>
      <c r="AC65" s="873"/>
      <c r="AD65" s="873"/>
      <c r="AE65" s="873"/>
      <c r="AF65" s="873"/>
      <c r="AG65" s="873"/>
      <c r="AH65" s="873"/>
      <c r="AI65" s="209"/>
      <c r="AJ65" s="210"/>
      <c r="AL65" s="211"/>
      <c r="AM65" s="211"/>
      <c r="AS65" s="212"/>
      <c r="AT65" s="213"/>
    </row>
    <row r="66" spans="1:46" s="2" customFormat="1" ht="13.5" thickBot="1" x14ac:dyDescent="0.25">
      <c r="A66" s="73" t="str">
        <f>IF(EnCMember=1,"Total EnC Contracting Parties","Total EU MS")</f>
        <v>Total EU MS</v>
      </c>
      <c r="B66" s="158">
        <v>58</v>
      </c>
      <c r="C66" s="811">
        <f>ROUND(IF('Table 1'!$G$3&gt;1,IF(EnCMember=1,C8+C14+C47+C27+C37+C43+C44+C53+C60+C11+C13+C15+C20+C21+C22+C23+C24+C25+C26+C28+C29+C30+C32+C34+C38+C39+C40+C41+C45+C49+C50+C51+C54+C55+C56+C57+C61,C11+C13+C15+C20+C21+C22+C23+C24+C25+C26+C28+C29+C30+C32+C34+C38+C39+C40+C41+C45+C49+C50+C51+C54+C55+C56+C57+C61),IF(EnCMember=1,C8+C14+C47+C27+C37+C43+C44+C53+C60+C11+C13+C15+C20+C21+C22+C23+C24+C25+C26+C28+C29+C30+C32+C34+C38+C39+C40+C41+C45+C49+C50+C51+C54+C55+C56+C57,C11+C13+C15+C20+C21+C22+C23+C24+C25+C26+C28+C29+C30+C32+C34+C38+C39+C40+C41+C45+C49+C50+C51+C54+C55+C56+C57)),3)</f>
        <v>0</v>
      </c>
      <c r="D66" s="811">
        <f>ROUND(IF('Table 1'!$G$3&gt;1,IF(EnCMember=1,D8+D14+D47+D27+D37+D43+D44+D53+D60+D11+D13+D15+D20+D21+D22+D23+D24+D25+D26+D28+D29+D30+D32+D34+D38+D39+D40+D41+D45+D49+D50+D51+D54+D55+D56+D57+D61,D11+D13+D15+D20+D21+D22+D23+D24+D25+D26+D28+D29+D30+D32+D34+D38+D39+D40+D41+D45+D49+D50+D51+D54+D55+D56+D57+D61),IF(EnCMember=1,D8+D14+D47+D27+D37+D43+D44+D53+D60+D11+D13+D15+D20+D21+D22+D23+D24+D25+D26+D28+D29+D30+D32+D34+D38+D39+D40+D41+D45+D49+D50+D51+D54+D55+D56+D57,D11+D13+D15+D20+D21+D22+D23+D24+D25+D26+D28+D29+D30+D32+D34+D38+D39+D40+D41+D45+D49+D50+D51+D54+D55+D56+D57)),3)</f>
        <v>0</v>
      </c>
      <c r="E66" s="811">
        <f>ROUND(IF('Table 1'!$G$3&gt;1,IF(EnCMember=1,E8+E14+E47+E27+E37+E43+E44+E53+E60+E11+E13+E15+E20+E21+E22+E23+E24+E25+E26+E28+E29+E30+E32+E34+E38+E39+E40+E41+E45+E49+E50+E51+E54+E55+E56+E57+E61,E11+E13+E15+E20+E21+E22+E23+E24+E25+E26+E28+E29+E30+E32+E34+E38+E39+E40+E41+E45+E49+E50+E51+E54+E55+E56+E57+E61),IF(EnCMember=1,E8+E14+E47+E27+E37+E43+E44+E53+E60+E11+E13+E15+E20+E21+E22+E23+E24+E25+E26+E28+E29+E30+E32+E34+E38+E39+E40+E41+E45+E49+E50+E51+E54+E55+E56+E57,E11+E13+E15+E20+E21+E22+E23+E24+E25+E26+E28+E29+E30+E32+E34+E38+E39+E40+E41+E45+E49+E50+E51+E54+E55+E56+E57)),3)</f>
        <v>0</v>
      </c>
      <c r="F66" s="811">
        <f>ROUND(IF('Table 1'!$G$3&gt;1,IF(EnCMember=1,F8+F14+F47+F27+F37+F43+F44+F53+F60+F11+F13+F15+F20+F21+F22+F23+F24+F25+F26+F28+F29+F30+F32+F34+F38+F39+F40+F41+F45+F49+F50+F51+F54+F55+F56+F57+F61,F11+F13+F15+F20+F21+F22+F23+F24+F25+F26+F28+F29+F30+F32+F34+F38+F39+F40+F41+F45+F49+F50+F51+F54+F55+F56+F57+F61),IF(EnCMember=1,F8+F14+F47+F27+F37+F43+F44+F53+F60+F11+F13+F15+F20+F21+F22+F23+F24+F25+F26+F28+F29+F30+F32+F34+F38+F39+F40+F41+F45+F49+F50+F51+F54+F55+F56+F57,F11+F13+F15+F20+F21+F22+F23+F24+F25+F26+F28+F29+F30+F32+F34+F38+F39+F40+F41+F45+F49+F50+F51+F54+F55+F56+F57)),3)</f>
        <v>0</v>
      </c>
      <c r="G66" s="811">
        <f>ROUND(IF('Table 1'!$G$3&gt;1,IF(EnCMember=1,G8+G14+G47+G27+G37+G43+G44+G53+G60+G11+G13+G15+G20+G21+G22+G23+G24+G25+G26+G28+G29+G30+G32+G34+G38+G39+G40+G41+G45+G49+G50+G51+G54+G55+G56+G57+G61,G11+G13+G15+G20+G21+G22+G23+G24+G25+G26+G28+G29+G30+G32+G34+G38+G39+G40+G41+G45+G49+G50+G51+G54+G55+G56+G57+G61),IF(EnCMember=1,G8+G14+G47+G27+G37+G43+G44+G53+G60+G11+G13+G15+G20+G21+G22+G23+G24+G25+G26+G28+G29+G30+G32+G34+G38+G39+G40+G41+G45+G49+G50+G51+G54+G55+G56+G57,G11+G13+G15+G20+G21+G22+G23+G24+G25+G26+G28+G29+G30+G32+G34+G38+G39+G40+G41+G45+G49+G50+G51+G54+G55+G56+G57)),3)</f>
        <v>0</v>
      </c>
      <c r="H66" s="811">
        <f>ROUND(IF('Table 1'!$G$3&gt;1,IF(EnCMember=1,H8+H14+H47+H27+H37+H43+H44+H53+H60+H11+H13+H15+H20+H21+H22+H23+H24+H25+H26+H28+H29+H30+H32+H34+H38+H39+H40+H41+H45+H49+H50+H51+H54+H55+H56+H57+H61,H11+H13+H15+H20+H21+H22+H23+H24+H25+H26+H28+H29+H30+H32+H34+H38+H39+H40+H41+H45+H49+H50+H51+H54+H55+H56+H57+H61),IF(EnCMember=1,H8+H14+H47+H27+H37+H43+H44+H53+H60+H11+H13+H15+H20+H21+H22+H23+H24+H25+H26+H28+H29+H30+H32+H34+H38+H39+H40+H41+H45+H49+H50+H51+H54+H55+H56+H57,H11+H13+H15+H20+H21+H22+H23+H24+H25+H26+H28+H29+H30+H32+H34+H38+H39+H40+H41+H45+H49+H50+H51+H54+H55+H56+H57)),3)</f>
        <v>0</v>
      </c>
      <c r="I66" s="812">
        <f>ROUND(IF('Table 1'!$G$3&gt;1,IF(EnCMember=1,I8+I14+I47+I27+I37+I43+I44+I53+I60+I11+I13+I15+I20+I21+I22+I23+I24+I25+I26+I28+I29+I30+I32+I34+I38+I39+I40+I41+I45+I49+I50+I51+I54+I55+I56+I57+I61,I11+I13+I15+I20+I21+I22+I23+I24+I25+I26+I28+I29+I30+I32+I34+I38+I39+I40+I41+I45+I49+I50+I51+I54+I55+I56+I57+I61),IF(EnCMember=1,I8+I14+I47+I27+I37+I43+I44+I53+I60+I11+I13+I15+I20+I21+I22+I23+I24+I25+I26+I28+I29+I30+I32+I34+I38+I39+I40+I41+I45+I49+I50+I51+I54+I55+I56+I57,I11+I13+I15+I20+I21+I22+I23+I24+I25+I26+I28+I29+I30+I32+I34+I38+I39+I40+I41+I45+I49+I50+I51+I54+I55+I56+I57)),3)</f>
        <v>0</v>
      </c>
      <c r="J66" s="813">
        <f>ROUND(IF('Table 1'!$G$3&gt;1,IF(EnCMember=1,J8+J14+J47+J27+J37+J43+J44+J53+J60+J11+J13+J15+J20+J21+J22+J23+J24+J25+J26+J28+J29+J30+J32+J34+J38+J39+J40+J41+J45+J49+J50+J51+J54+J55+J56+J57+J61,J11+J13+J15+J20+J21+J22+J23+J24+J25+J26+J28+J29+J30+J32+J34+J38+J39+J40+J41+J45+J49+J50+J51+J54+J55+J56+J57+J61),IF(EnCMember=1,J8+J14+J47+J27+J37+J43+J44+J53+J60+J11+J13+J15+J20+J21+J22+J23+J24+J25+J26+J28+J29+J30+J32+J34+J38+J39+J40+J41+J45+J49+J50+J51+J54+J55+J56+J57,J11+J13+J15+J20+J21+J22+J23+J24+J25+J26+J28+J29+J30+J32+J34+J38+J39+J40+J41+J45+J49+J50+J51+J54+J55+J56+J57)),3)</f>
        <v>0</v>
      </c>
      <c r="K66" s="811">
        <f>ROUND(IF('Table 1'!$G$3&gt;1,IF(EnCMember=1,K8+K14+K47+K27+K37+K43+K44+K53+K60+K11+K13+K15+K20+K21+K22+K23+K24+K25+K26+K28+K29+K30+K32+K34+K38+K39+K40+K41+K45+K49+K50+K51+K54+K55+K56+K57+K61,K11+K13+K15+K20+K21+K22+K23+K24+K25+K26+K28+K29+K30+K32+K34+K38+K39+K40+K41+K45+K49+K50+K51+K54+K55+K56+K57+K61),IF(EnCMember=1,K8+K14+K47+K27+K37+K43+K44+K53+K60+K11+K13+K15+K20+K21+K22+K23+K24+K25+K26+K28+K29+K30+K32+K34+K38+K39+K40+K41+K45+K49+K50+K51+K54+K55+K56+K57,K11+K13+K15+K20+K21+K22+K23+K24+K25+K26+K28+K29+K30+K32+K34+K38+K39+K40+K41+K45+K49+K50+K51+K54+K55+K56+K57)),3)</f>
        <v>0</v>
      </c>
      <c r="L66" s="812">
        <f>ROUND(IF('Table 1'!$G$3&gt;1,IF(EnCMember=1,L8+L14+L47+L27+L37+L43+L44+L53+L60+L11+L13+L15+L20+L21+L22+L23+L24+L25+L26+L28+L29+L30+L32+L34+L38+L39+L40+L41+L45+L49+L50+L51+L54+L55+L56+L57+L61,L11+L13+L15+L20+L21+L22+L23+L24+L25+L26+L28+L29+L30+L32+L34+L38+L39+L40+L41+L45+L49+L50+L51+L54+L55+L56+L57+L61),IF(EnCMember=1,L8+L14+L47+L27+L37+L43+L44+L53+L60+L11+L13+L15+L20+L21+L22+L23+L24+L25+L26+L28+L29+L30+L32+L34+L38+L39+L40+L41+L45+L49+L50+L51+L54+L55+L56+L57,L11+L13+L15+L20+L21+L22+L23+L24+L25+L26+L28+L29+L30+L32+L34+L38+L39+L40+L41+L45+L49+L50+L51+L54+L55+L56+L57)),3)</f>
        <v>0</v>
      </c>
      <c r="M66" s="813">
        <f>ROUND(IF('Table 1'!$G$3&gt;1,IF(EnCMember=1,M8+M14+M47+M27+M37+M43+M44+M53+M60+M11+M13+M15+M20+M21+M22+M23+M24+M25+M26+M28+M29+M30+M32+M34+M38+M39+M40+M41+M45+M49+M50+M51+M54+M55+M56+M57+M61,M11+M13+M15+M20+M21+M22+M23+M24+M25+M26+M28+M29+M30+M32+M34+M38+M39+M40+M41+M45+M49+M50+M51+M54+M55+M56+M57+M61),IF(EnCMember=1,M8+M14+M47+M27+M37+M43+M44+M53+M60+M11+M13+M15+M20+M21+M22+M23+M24+M25+M26+M28+M29+M30+M32+M34+M38+M39+M40+M41+M45+M49+M50+M51+M54+M55+M56+M57,M11+M13+M15+M20+M21+M22+M23+M24+M25+M26+M28+M29+M30+M32+M34+M38+M39+M40+M41+M45+M49+M50+M51+M54+M55+M56+M57)),3)</f>
        <v>0</v>
      </c>
      <c r="N66" s="811">
        <f>ROUND(IF('Table 1'!$G$3&gt;1,IF(EnCMember=1,N8+N14+N47+N27+N37+N43+N44+N53+N60+N11+N13+N15+N20+N21+N22+N23+N24+N25+N26+N28+N29+N30+N32+N34+N38+N39+N40+N41+N45+N49+N50+N51+N54+N55+N56+N57+N61,N11+N13+N15+N20+N21+N22+N23+N24+N25+N26+N28+N29+N30+N32+N34+N38+N39+N40+N41+N45+N49+N50+N51+N54+N55+N56+N57+N61),IF(EnCMember=1,N8+N14+N47+N27+N37+N43+N44+N53+N60+N11+N13+N15+N20+N21+N22+N23+N24+N25+N26+N28+N29+N30+N32+N34+N38+N39+N40+N41+N45+N49+N50+N51+N54+N55+N56+N57,N11+N13+N15+N20+N21+N22+N23+N24+N25+N26+N28+N29+N30+N32+N34+N38+N39+N40+N41+N45+N49+N50+N51+N54+N55+N56+N57)),3)</f>
        <v>0</v>
      </c>
      <c r="O66" s="812">
        <f>ROUND(IF('Table 1'!$G$3&gt;1,IF(EnCMember=1,O8+O14+O47+O27+O37+O43+O44+O53+O60+O11+O13+O15+O20+O21+O22+O23+O24+O25+O26+O28+O29+O30+O32+O34+O38+O39+O40+O41+O45+O49+O50+O51+O54+O55+O56+O57+O61,O11+O13+O15+O20+O21+O22+O23+O24+O25+O26+O28+O29+O30+O32+O34+O38+O39+O40+O41+O45+O49+O50+O51+O54+O55+O56+O57+O61),IF(EnCMember=1,O8+O14+O47+O27+O37+O43+O44+O53+O60+O11+O13+O15+O20+O21+O22+O23+O24+O25+O26+O28+O29+O30+O32+O34+O38+O39+O40+O41+O45+O49+O50+O51+O54+O55+O56+O57,O11+O13+O15+O20+O21+O22+O23+O24+O25+O26+O28+O29+O30+O32+O34+O38+O39+O40+O41+O45+O49+O50+O51+O54+O55+O56+O57)),3)</f>
        <v>0</v>
      </c>
      <c r="P66" s="813">
        <f>ROUND(IF('Table 1'!$G$3&gt;1,IF(EnCMember=1,P8+P14+P47+P27+P37+P43+P44+P53+P60+P11+P13+P15+P20+P21+P22+P23+P24+P25+P26+P28+P29+P30+P32+P34+P38+P39+P40+P41+P45+P49+P50+P51+P54+P55+P56+P57+P61,P11+P13+P15+P20+P21+P22+P23+P24+P25+P26+P28+P29+P30+P32+P34+P38+P39+P40+P41+P45+P49+P50+P51+P54+P55+P56+P57+P61),IF(EnCMember=1,P8+P14+P47+P27+P37+P43+P44+P53+P60+P11+P13+P15+P20+P21+P22+P23+P24+P25+P26+P28+P29+P30+P32+P34+P38+P39+P40+P41+P45+P49+P50+P51+P54+P55+P56+P57,P11+P13+P15+P20+P21+P22+P23+P24+P25+P26+P28+P29+P30+P32+P34+P38+P39+P40+P41+P45+P49+P50+P51+P54+P55+P56+P57)),3)</f>
        <v>0</v>
      </c>
      <c r="Q66" s="811">
        <f>ROUND(IF('Table 1'!$G$3&gt;1,IF(EnCMember=1,Q8+Q14+Q47+Q27+Q37+Q43+Q44+Q53+Q60+Q11+Q13+Q15+Q20+Q21+Q22+Q23+Q24+Q25+Q26+Q28+Q29+Q30+Q32+Q34+Q38+Q39+Q40+Q41+Q45+Q49+Q50+Q51+Q54+Q55+Q56+Q57+Q61,Q11+Q13+Q15+Q20+Q21+Q22+Q23+Q24+Q25+Q26+Q28+Q29+Q30+Q32+Q34+Q38+Q39+Q40+Q41+Q45+Q49+Q50+Q51+Q54+Q55+Q56+Q57+Q61),IF(EnCMember=1,Q8+Q14+Q47+Q27+Q37+Q43+Q44+Q53+Q60+Q11+Q13+Q15+Q20+Q21+Q22+Q23+Q24+Q25+Q26+Q28+Q29+Q30+Q32+Q34+Q38+Q39+Q40+Q41+Q45+Q49+Q50+Q51+Q54+Q55+Q56+Q57,Q11+Q13+Q15+Q20+Q21+Q22+Q23+Q24+Q25+Q26+Q28+Q29+Q30+Q32+Q34+Q38+Q39+Q40+Q41+Q45+Q49+Q50+Q51+Q54+Q55+Q56+Q57)),3)</f>
        <v>0</v>
      </c>
      <c r="R66" s="811">
        <f>ROUND(IF('Table 1'!$G$3&gt;1,IF(EnCMember=1,R8+R14+R47+R27+R37+R43+R44+R53+R60+R11+R13+R15+R20+R21+R22+R23+R24+R25+R26+R28+R29+R30+R32+R34+R38+R39+R40+R41+R45+R49+R50+R51+R54+R55+R56+R57+R61,R11+R13+R15+R20+R21+R22+R23+R24+R25+R26+R28+R29+R30+R32+R34+R38+R39+R40+R41+R45+R49+R50+R51+R54+R55+R56+R57+R61),IF(EnCMember=1,R8+R14+R47+R27+R37+R43+R44+R53+R60+R11+R13+R15+R20+R21+R22+R23+R24+R25+R26+R28+R29+R30+R32+R34+R38+R39+R40+R41+R45+R49+R50+R51+R54+R55+R56+R57,R11+R13+R15+R20+R21+R22+R23+R24+R25+R26+R28+R29+R30+R32+R34+R38+R39+R40+R41+R45+R49+R50+R51+R54+R55+R56+R57)),3)</f>
        <v>0</v>
      </c>
      <c r="S66" s="811">
        <f>ROUND(IF('Table 1'!$G$3&gt;1,IF(EnCMember=1,S8+S14+S47+S27+S37+S43+S44+S53+S60+S11+S13+S15+S20+S21+S22+S23+S24+S25+S26+S28+S29+S30+S32+S34+S38+S39+S40+S41+S45+S49+S50+S51+S54+S55+S56+S57+S61,S11+S13+S15+S20+S21+S22+S23+S24+S25+S26+S28+S29+S30+S32+S34+S38+S39+S40+S41+S45+S49+S50+S51+S54+S55+S56+S57+S61),IF(EnCMember=1,S8+S14+S47+S27+S37+S43+S44+S53+S60+S11+S13+S15+S20+S21+S22+S23+S24+S25+S26+S28+S29+S30+S32+S34+S38+S39+S40+S41+S45+S49+S50+S51+S54+S55+S56+S57,S11+S13+S15+S20+S21+S22+S23+S24+S25+S26+S28+S29+S30+S32+S34+S38+S39+S40+S41+S45+S49+S50+S51+S54+S55+S56+S57)),3)</f>
        <v>0</v>
      </c>
      <c r="T66" s="811">
        <f>ROUND(IF('Table 1'!$G$3&gt;1,IF(EnCMember=1,T8+T14+T47+T27+T37+T43+T44+T53+T60+T11+T13+T15+T20+T21+T22+T23+T24+T25+T26+T28+T29+T30+T32+T34+T38+T39+T40+T41+T45+T49+T50+T51+T54+T55+T56+T57+T61,T11+T13+T15+T20+T21+T22+T23+T24+T25+T26+T28+T29+T30+T32+T34+T38+T39+T40+T41+T45+T49+T50+T51+T54+T55+T56+T57+T61),IF(EnCMember=1,T8+T14+T47+T27+T37+T43+T44+T53+T60+T11+T13+T15+T20+T21+T22+T23+T24+T25+T26+T28+T29+T30+T32+T34+T38+T39+T40+T41+T45+T49+T50+T51+T54+T55+T56+T57,T11+T13+T15+T20+T21+T22+T23+T24+T25+T26+T28+T29+T30+T32+T34+T38+T39+T40+T41+T45+T49+T50+T51+T54+T55+T56+T57)),3)</f>
        <v>0</v>
      </c>
      <c r="U66" s="812">
        <f>ROUND(IF('Table 1'!$G$3&gt;1,IF(EnCMember=1,U8+U14+U47+U27+U37+U43+U44+U53+U60+U11+U13+U15+U20+U21+U22+U23+U24+U25+U26+U28+U29+U30+U32+U34+U38+U39+U40+U41+U45+U49+U50+U51+U54+U55+U56+U57+U61,U11+U13+U15+U20+U21+U22+U23+U24+U25+U26+U28+U29+U30+U32+U34+U38+U39+U40+U41+U45+U49+U50+U51+U54+U55+U56+U57+U61),IF(EnCMember=1,U8+U14+U47+U27+U37+U43+U44+U53+U60+U11+U13+U15+U20+U21+U22+U23+U24+U25+U26+U28+U29+U30+U32+U34+U38+U39+U40+U41+U45+U49+U50+U51+U54+U55+U56+U57,U11+U13+U15+U20+U21+U22+U23+U24+U25+U26+U28+U29+U30+U32+U34+U38+U39+U40+U41+U45+U49+U50+U51+U54+U55+U56+U57)),3)</f>
        <v>0</v>
      </c>
      <c r="V66" s="813">
        <f>ROUND(IF('Table 1'!$G$3&gt;1,IF(EnCMember=1,V8+V14+V47+V27+V37+V43+V44+V53+V60+V11+V13+V15+V20+V21+V22+V23+V24+V25+V26+V28+V29+V30+V32+V34+V38+V39+V40+V41+V45+V49+V50+V51+V54+V55+V56+V57+V61,V11+V13+V15+V20+V21+V22+V23+V24+V25+V26+V28+V29+V30+V32+V34+V38+V39+V40+V41+V45+V49+V50+V51+V54+V55+V56+V57+V61),IF(EnCMember=1,V8+V14+V47+V27+V37+V43+V44+V53+V60+V11+V13+V15+V20+V21+V22+V23+V24+V25+V26+V28+V29+V30+V32+V34+V38+V39+V40+V41+V45+V49+V50+V51+V54+V55+V56+V57,V11+V13+V15+V20+V21+V22+V23+V24+V25+V26+V28+V29+V30+V32+V34+V38+V39+V40+V41+V45+V49+V50+V51+V54+V55+V56+V57)),3)</f>
        <v>0</v>
      </c>
      <c r="W66" s="811">
        <f>ROUND(IF('Table 1'!$G$3&gt;1,IF(EnCMember=1,W8+W14+W47+W27+W37+W43+W44+W53+W60+W11+W13+W15+W20+W21+W22+W23+W24+W25+W26+W28+W29+W30+W32+W34+W38+W39+W40+W41+W45+W49+W50+W51+W54+W55+W56+W57+W61,W11+W13+W15+W20+W21+W22+W23+W24+W25+W26+W28+W29+W30+W32+W34+W38+W39+W40+W41+W45+W49+W50+W51+W54+W55+W56+W57+W61),IF(EnCMember=1,W8+W14+W47+W27+W37+W43+W44+W53+W60+W11+W13+W15+W20+W21+W22+W23+W24+W25+W26+W28+W29+W30+W32+W34+W38+W39+W40+W41+W45+W49+W50+W51+W54+W55+W56+W57,W11+W13+W15+W20+W21+W22+W23+W24+W25+W26+W28+W29+W30+W32+W34+W38+W39+W40+W41+W45+W49+W50+W51+W54+W55+W56+W57)),3)</f>
        <v>0</v>
      </c>
      <c r="X66" s="811">
        <f>ROUND(IF('Table 1'!$G$3&gt;1,IF(EnCMember=1,X8+X14+X47+X27+X37+X43+X44+X53+X60+X11+X13+X15+X20+X21+X22+X23+X24+X25+X26+X28+X29+X30+X32+X34+X38+X39+X40+X41+X45+X49+X50+X51+X54+X55+X56+X57+X61,X11+X13+X15+X20+X21+X22+X23+X24+X25+X26+X28+X29+X30+X32+X34+X38+X39+X40+X41+X45+X49+X50+X51+X54+X55+X56+X57+X61),IF(EnCMember=1,X8+X14+X47+X27+X37+X43+X44+X53+X60+X11+X13+X15+X20+X21+X22+X23+X24+X25+X26+X28+X29+X30+X32+X34+X38+X39+X40+X41+X45+X49+X50+X51+X54+X55+X56+X57,X11+X13+X15+X20+X21+X22+X23+X24+X25+X26+X28+X29+X30+X32+X34+X38+X39+X40+X41+X45+X49+X50+X51+X54+X55+X56+X57)),3)</f>
        <v>0</v>
      </c>
      <c r="Y66" s="811">
        <f>ROUND(IF('Table 1'!$G$3&gt;1,IF(EnCMember=1,Y8+Y14+Y47+Y27+Y37+Y43+Y44+Y53+Y60+Y11+Y13+Y15+Y20+Y21+Y22+Y23+Y24+Y25+Y26+Y28+Y29+Y30+Y32+Y34+Y38+Y39+Y40+Y41+Y45+Y49+Y50+Y51+Y54+Y55+Y56+Y57+Y61,Y11+Y13+Y15+Y20+Y21+Y22+Y23+Y24+Y25+Y26+Y28+Y29+Y30+Y32+Y34+Y38+Y39+Y40+Y41+Y45+Y49+Y50+Y51+Y54+Y55+Y56+Y57+Y61),IF(EnCMember=1,Y8+Y14+Y47+Y27+Y37+Y43+Y44+Y53+Y60+Y11+Y13+Y15+Y20+Y21+Y22+Y23+Y24+Y25+Y26+Y28+Y29+Y30+Y32+Y34+Y38+Y39+Y40+Y41+Y45+Y49+Y50+Y51+Y54+Y55+Y56+Y57,Y11+Y13+Y15+Y20+Y21+Y22+Y23+Y24+Y25+Y26+Y28+Y29+Y30+Y32+Y34+Y38+Y39+Y40+Y41+Y45+Y49+Y50+Y51+Y54+Y55+Y56+Y57)),3)</f>
        <v>0</v>
      </c>
      <c r="Z66" s="812">
        <f>ROUND(IF('Table 1'!$G$3&gt;1,IF(EnCMember=1,Z8+Z14+Z47+Z27+Z37+Z43+Z44+Z53+Z60+Z11+Z13+Z15+Z20+Z21+Z22+Z23+Z24+Z25+Z26+Z28+Z29+Z30+Z32+Z34+Z38+Z39+Z40+Z41+Z45+Z49+Z50+Z51+Z54+Z55+Z56+Z57+Z61,Z11+Z13+Z15+Z20+Z21+Z22+Z23+Z24+Z25+Z26+Z28+Z29+Z30+Z32+Z34+Z38+Z39+Z40+Z41+Z45+Z49+Z50+Z51+Z54+Z55+Z56+Z57+Z61),IF(EnCMember=1,Z8+Z14+Z47+Z27+Z37+Z43+Z44+Z53+Z60+Z11+Z13+Z15+Z20+Z21+Z22+Z23+Z24+Z25+Z26+Z28+Z29+Z30+Z32+Z34+Z38+Z39+Z40+Z41+Z45+Z49+Z50+Z51+Z54+Z55+Z56+Z57,Z11+Z13+Z15+Z20+Z21+Z22+Z23+Z24+Z25+Z26+Z28+Z29+Z30+Z32+Z34+Z38+Z39+Z40+Z41+Z45+Z49+Z50+Z51+Z54+Z55+Z56+Z57)),3)</f>
        <v>0</v>
      </c>
      <c r="AA66" s="813">
        <f>ROUND(IF('Table 1'!$G$3&gt;1,IF(EnCMember=1,AA8+AA14+AA47+AA27+AA37+AA43+AA44+AA53+AA60+AA11+AA13+AA15+AA20+AA21+AA22+AA23+AA24+AA25+AA26+AA28+AA29+AA30+AA32+AA34+AA38+AA39+AA40+AA41+AA45+AA49+AA50+AA51+AA54+AA55+AA56+AA57+AA61,AA11+AA13+AA15+AA20+AA21+AA22+AA23+AA24+AA25+AA26+AA28+AA29+AA30+AA32+AA34+AA38+AA39+AA40+AA41+AA45+AA49+AA50+AA51+AA54+AA55+AA56+AA57+AA61),IF(EnCMember=1,AA8+AA14+AA47+AA27+AA37+AA43+AA44+AA53+AA60+AA11+AA13+AA15+AA20+AA21+AA22+AA23+AA24+AA25+AA26+AA28+AA29+AA30+AA32+AA34+AA38+AA39+AA40+AA41+AA45+AA49+AA50+AA51+AA54+AA55+AA56+AA57,AA11+AA13+AA15+AA20+AA21+AA22+AA23+AA24+AA25+AA26+AA28+AA29+AA30+AA32+AA34+AA38+AA39+AA40+AA41+AA45+AA49+AA50+AA51+AA54+AA55+AA56+AA57)),3)</f>
        <v>0</v>
      </c>
      <c r="AB66" s="811">
        <f>ROUND(IF('Table 1'!$G$3&gt;1,IF(EnCMember=1,AB8+AB14+AB47+AB27+AB37+AB43+AB44+AB53+AB60+AB11+AB13+AB15+AB20+AB21+AB22+AB23+AB24+AB25+AB26+AB28+AB29+AB30+AB32+AB34+AB38+AB39+AB40+AB41+AB45+AB49+AB50+AB51+AB54+AB55+AB56+AB57+AB61,AB11+AB13+AB15+AB20+AB21+AB22+AB23+AB24+AB25+AB26+AB28+AB29+AB30+AB32+AB34+AB38+AB39+AB40+AB41+AB45+AB49+AB50+AB51+AB54+AB55+AB56+AB57+AB61),IF(EnCMember=1,AB8+AB14+AB47+AB27+AB37+AB43+AB44+AB53+AB60+AB11+AB13+AB15+AB20+AB21+AB22+AB23+AB24+AB25+AB26+AB28+AB29+AB30+AB32+AB34+AB38+AB39+AB40+AB41+AB45+AB49+AB50+AB51+AB54+AB55+AB56+AB57,AB11+AB13+AB15+AB20+AB21+AB22+AB23+AB24+AB25+AB26+AB28+AB29+AB30+AB32+AB34+AB38+AB39+AB40+AB41+AB45+AB49+AB50+AB51+AB54+AB55+AB56+AB57)),3)</f>
        <v>0</v>
      </c>
      <c r="AC66" s="811">
        <f>ROUND(IF('Table 1'!$G$3&gt;1,IF(EnCMember=1,AC8+AC14+AC47+AC27+AC37+AC43+AC44+AC53+AC60+AC11+AC13+AC15+AC20+AC21+AC22+AC23+AC24+AC25+AC26+AC28+AC29+AC30+AC32+AC34+AC38+AC39+AC40+AC41+AC45+AC49+AC50+AC51+AC54+AC55+AC56+AC57+AC61,AC11+AC13+AC15+AC20+AC21+AC22+AC23+AC24+AC25+AC26+AC28+AC29+AC30+AC32+AC34+AC38+AC39+AC40+AC41+AC45+AC49+AC50+AC51+AC54+AC55+AC56+AC57+AC61),IF(EnCMember=1,AC8+AC14+AC47+AC27+AC37+AC43+AC44+AC53+AC60+AC11+AC13+AC15+AC20+AC21+AC22+AC23+AC24+AC25+AC26+AC28+AC29+AC30+AC32+AC34+AC38+AC39+AC40+AC41+AC45+AC49+AC50+AC51+AC54+AC55+AC56+AC57,AC11+AC13+AC15+AC20+AC21+AC22+AC23+AC24+AC25+AC26+AC28+AC29+AC30+AC32+AC34+AC38+AC39+AC40+AC41+AC45+AC49+AC50+AC51+AC54+AC55+AC56+AC57)),3)</f>
        <v>0</v>
      </c>
      <c r="AD66" s="812">
        <f>ROUND(IF('Table 1'!$G$3&gt;1,IF(EnCMember=1,AD8+AD14+AD47+AD27+AD37+AD43+AD44+AD53+AD60+AD11+AD13+AD15+AD20+AD21+AD22+AD23+AD24+AD25+AD26+AD28+AD29+AD30+AD32+AD34+AD38+AD39+AD40+AD41+AD45+AD49+AD50+AD51+AD54+AD55+AD56+AD57+AD61,AD11+AD13+AD15+AD20+AD21+AD22+AD23+AD24+AD25+AD26+AD28+AD29+AD30+AD32+AD34+AD38+AD39+AD40+AD41+AD45+AD49+AD50+AD51+AD54+AD55+AD56+AD57+AD61),IF(EnCMember=1,AD8+AD14+AD47+AD27+AD37+AD43+AD44+AD53+AD60+AD11+AD13+AD15+AD20+AD21+AD22+AD23+AD24+AD25+AD26+AD28+AD29+AD30+AD32+AD34+AD38+AD39+AD40+AD41+AD45+AD49+AD50+AD51+AD54+AD55+AD56+AD57,AD11+AD13+AD15+AD20+AD21+AD22+AD23+AD24+AD25+AD26+AD28+AD29+AD30+AD32+AD34+AD38+AD39+AD40+AD41+AD45+AD49+AD50+AD51+AD54+AD55+AD56+AD57)),3)</f>
        <v>0</v>
      </c>
      <c r="AE66" s="813">
        <f>ROUND(IF('Table 1'!$G$3&gt;1,IF(EnCMember=1,AE8+AE14+AE47+AE27+AE37+AE43+AE44+AE53+AE60+AE11+AE13+AE15+AE20+AE21+AE22+AE23+AE24+AE25+AE26+AE28+AE29+AE30+AE32+AE34+AE38+AE39+AE40+AE41+AE45+AE49+AE50+AE51+AE54+AE55+AE56+AE57+AE61,AE11+AE13+AE15+AE20+AE21+AE22+AE23+AE24+AE25+AE26+AE28+AE29+AE30+AE32+AE34+AE38+AE39+AE40+AE41+AE45+AE49+AE50+AE51+AE54+AE55+AE56+AE57+AE61),IF(EnCMember=1,AE8+AE14+AE47+AE27+AE37+AE43+AE44+AE53+AE60+AE11+AE13+AE15+AE20+AE21+AE22+AE23+AE24+AE25+AE26+AE28+AE29+AE30+AE32+AE34+AE38+AE39+AE40+AE41+AE45+AE49+AE50+AE51+AE54+AE55+AE56+AE57,AE11+AE13+AE15+AE20+AE21+AE22+AE23+AE24+AE25+AE26+AE28+AE29+AE30+AE32+AE34+AE38+AE39+AE40+AE41+AE45+AE49+AE50+AE51+AE54+AE55+AE56+AE57)),3)</f>
        <v>0</v>
      </c>
      <c r="AF66" s="811">
        <f>ROUND(IF('Table 1'!$G$3&gt;1,IF(EnCMember=1,AF8+AF14+AF47+AF27+AF37+AF43+AF44+AF53+AF60+AF11+AF13+AF15+AF20+AF21+AF22+AF23+AF24+AF25+AF26+AF28+AF29+AF30+AF32+AF34+AF38+AF39+AF40+AF41+AF45+AF49+AF50+AF51+AF54+AF55+AF56+AF57+AF61,AF11+AF13+AF15+AF20+AF21+AF22+AF23+AF24+AF25+AF26+AF28+AF29+AF30+AF32+AF34+AF38+AF39+AF40+AF41+AF45+AF49+AF50+AF51+AF54+AF55+AF56+AF57+AF61),IF(EnCMember=1,AF8+AF14+AF47+AF27+AF37+AF43+AF44+AF53+AF60+AF11+AF13+AF15+AF20+AF21+AF22+AF23+AF24+AF25+AF26+AF28+AF29+AF30+AF32+AF34+AF38+AF39+AF40+AF41+AF45+AF49+AF50+AF51+AF54+AF55+AF56+AF57,AF11+AF13+AF15+AF20+AF21+AF22+AF23+AF24+AF25+AF26+AF28+AF29+AF30+AF32+AF34+AF38+AF39+AF40+AF41+AF45+AF49+AF50+AF51+AF54+AF55+AF56+AF57)),3)</f>
        <v>0</v>
      </c>
      <c r="AG66" s="811">
        <f>ROUND(IF('Table 1'!$G$3&gt;1,IF(EnCMember=1,AG8+AG14+AG47+AG27+AG37+AG43+AG44+AG53+AG60+AG11+AG13+AG15+AG20+AG21+AG22+AG23+AG24+AG25+AG26+AG28+AG29+AG30+AG32+AG34+AG38+AG39+AG40+AG41+AG45+AG49+AG50+AG51+AG54+AG55+AG56+AG57+AG61,AG11+AG13+AG15+AG20+AG21+AG22+AG23+AG24+AG25+AG26+AG28+AG29+AG30+AG32+AG34+AG38+AG39+AG40+AG41+AG45+AG49+AG50+AG51+AG54+AG55+AG56+AG57+AG61),IF(EnCMember=1,AG8+AG14+AG47+AG27+AG37+AG43+AG44+AG53+AG60+AG11+AG13+AG15+AG20+AG21+AG22+AG23+AG24+AG25+AG26+AG28+AG29+AG30+AG32+AG34+AG38+AG39+AG40+AG41+AG45+AG49+AG50+AG51+AG54+AG55+AG56+AG57,AG11+AG13+AG15+AG20+AG21+AG22+AG23+AG24+AG25+AG26+AG28+AG29+AG30+AG32+AG34+AG38+AG39+AG40+AG41+AG45+AG49+AG50+AG51+AG54+AG55+AG56+AG57)),3)</f>
        <v>0</v>
      </c>
      <c r="AH66" s="816">
        <f>ROUND(IF('Table 1'!$G$3&gt;1,IF(EnCMember=1,AH8+AH14+AH47+AH27+AH37+AH43+AH44+AH53+AH60+AH11+AH13+AH15+AH20+AH21+AH22+AH23+AH24+AH25+AH26+AH28+AH29+AH30+AH32+AH34+AH38+AH39+AH40+AH41+AH45+AH49+AH50+AH51+AH54+AH55+AH56+AH57+AH61,AH11+AH13+AH15+AH20+AH21+AH22+AH23+AH24+AH25+AH26+AH28+AH29+AH30+AH32+AH34+AH38+AH39+AH40+AH41+AH45+AH49+AH50+AH51+AH54+AH55+AH56+AH57+AH61),IF(EnCMember=1,AH8+AH14+AH47+AH27+AH37+AH43+AH44+AH53+AH60+AH11+AH13+AH15+AH20+AH21+AH22+AH23+AH24+AH25+AH26+AH28+AH29+AH30+AH32+AH34+AH38+AH39+AH40+AH41+AH45+AH49+AH50+AH51+AH54+AH55+AH56+AH57,AH11+AH13+AH15+AH20+AH21+AH22+AH23+AH24+AH25+AH26+AH28+AH29+AH30+AH32+AH34+AH38+AH39+AH40+AH41+AH45+AH49+AH50+AH51+AH54+AH55+AH56+AH57)),3)</f>
        <v>0</v>
      </c>
      <c r="AI66" s="466">
        <f t="shared" si="7"/>
        <v>0</v>
      </c>
      <c r="AJ66" s="467" t="str">
        <f>IF(AI66=0," ",IF(AI66=1,"A total is not equal to the sum of its components: ",AI66&amp;" totals are not equal to the sum of their components: "))&amp;IF(AI66=0,"",IF(I66-SUM(C66:F66,H66)=0,"","Total crude. ")&amp;IF(AG66-SUM(J66:M66,P66:R66,U66,X66,AA66,AE66:AF66)=0,"","Total products. ")&amp;IF(AH66-SUM(AG66,I66)=0,"","Total oil."))</f>
        <v xml:space="preserve"> </v>
      </c>
      <c r="AL66" s="141"/>
      <c r="AM66" s="141"/>
      <c r="AS66" s="143" t="s">
        <v>898</v>
      </c>
      <c r="AT66" s="144" t="s">
        <v>681</v>
      </c>
    </row>
    <row r="67" spans="1:46" s="1050" customFormat="1" ht="22.5" customHeight="1" x14ac:dyDescent="0.15">
      <c r="C67" s="1050" t="str">
        <f t="shared" ref="C67:AH67" si="9">IF(ROUND(SUM(C8:C63),3)&lt;&gt;C64,"Total not correct","")</f>
        <v/>
      </c>
      <c r="D67" s="1050" t="str">
        <f t="shared" si="9"/>
        <v/>
      </c>
      <c r="E67" s="1050" t="str">
        <f t="shared" si="9"/>
        <v/>
      </c>
      <c r="F67" s="1050" t="str">
        <f t="shared" si="9"/>
        <v/>
      </c>
      <c r="G67" s="1050" t="str">
        <f t="shared" si="9"/>
        <v/>
      </c>
      <c r="H67" s="1050" t="str">
        <f t="shared" si="9"/>
        <v/>
      </c>
      <c r="I67" s="1050" t="str">
        <f t="shared" si="9"/>
        <v/>
      </c>
      <c r="J67" s="1050" t="str">
        <f t="shared" si="9"/>
        <v/>
      </c>
      <c r="K67" s="1050" t="str">
        <f t="shared" si="9"/>
        <v/>
      </c>
      <c r="L67" s="1050" t="str">
        <f t="shared" si="9"/>
        <v/>
      </c>
      <c r="M67" s="1050" t="str">
        <f t="shared" si="9"/>
        <v/>
      </c>
      <c r="N67" s="1050" t="str">
        <f t="shared" si="9"/>
        <v/>
      </c>
      <c r="O67" s="1050" t="str">
        <f t="shared" si="9"/>
        <v/>
      </c>
      <c r="P67" s="1050" t="str">
        <f t="shared" si="9"/>
        <v/>
      </c>
      <c r="Q67" s="1050" t="str">
        <f t="shared" si="9"/>
        <v/>
      </c>
      <c r="R67" s="1050" t="str">
        <f t="shared" si="9"/>
        <v/>
      </c>
      <c r="S67" s="1050" t="str">
        <f t="shared" si="9"/>
        <v/>
      </c>
      <c r="T67" s="1050" t="str">
        <f t="shared" si="9"/>
        <v/>
      </c>
      <c r="U67" s="1050" t="str">
        <f t="shared" si="9"/>
        <v/>
      </c>
      <c r="V67" s="1050" t="str">
        <f t="shared" si="9"/>
        <v/>
      </c>
      <c r="W67" s="1050" t="str">
        <f t="shared" si="9"/>
        <v/>
      </c>
      <c r="X67" s="1050" t="str">
        <f t="shared" si="9"/>
        <v/>
      </c>
      <c r="Y67" s="1050" t="str">
        <f t="shared" si="9"/>
        <v/>
      </c>
      <c r="Z67" s="1050" t="str">
        <f t="shared" si="9"/>
        <v/>
      </c>
      <c r="AA67" s="1050" t="str">
        <f t="shared" si="9"/>
        <v/>
      </c>
      <c r="AB67" s="1050" t="str">
        <f t="shared" si="9"/>
        <v/>
      </c>
      <c r="AD67" s="1050" t="str">
        <f t="shared" si="9"/>
        <v/>
      </c>
      <c r="AE67" s="1050" t="str">
        <f t="shared" si="9"/>
        <v/>
      </c>
      <c r="AF67" s="1050" t="str">
        <f t="shared" si="9"/>
        <v/>
      </c>
      <c r="AG67" s="1050" t="str">
        <f t="shared" si="9"/>
        <v/>
      </c>
      <c r="AH67" s="1050" t="str">
        <f t="shared" si="9"/>
        <v/>
      </c>
      <c r="AI67" s="1056"/>
    </row>
    <row r="68" spans="1:46" s="1056" customFormat="1" ht="22.5" customHeight="1" x14ac:dyDescent="0.15">
      <c r="C68" s="1050" t="str">
        <f t="shared" ref="C68:AH68" si="10">IF(MIN(C8:C64,C66)&lt;0,"Negative number","")</f>
        <v/>
      </c>
      <c r="D68" s="1050" t="str">
        <f t="shared" si="10"/>
        <v/>
      </c>
      <c r="E68" s="1050" t="str">
        <f t="shared" si="10"/>
        <v/>
      </c>
      <c r="F68" s="1050" t="str">
        <f t="shared" si="10"/>
        <v/>
      </c>
      <c r="G68" s="1050" t="str">
        <f t="shared" si="10"/>
        <v/>
      </c>
      <c r="H68" s="1050" t="str">
        <f t="shared" si="10"/>
        <v/>
      </c>
      <c r="I68" s="1050" t="str">
        <f t="shared" si="10"/>
        <v/>
      </c>
      <c r="J68" s="1050" t="str">
        <f t="shared" si="10"/>
        <v/>
      </c>
      <c r="K68" s="1050" t="str">
        <f t="shared" si="10"/>
        <v/>
      </c>
      <c r="L68" s="1050" t="str">
        <f t="shared" si="10"/>
        <v/>
      </c>
      <c r="M68" s="1050" t="str">
        <f t="shared" si="10"/>
        <v/>
      </c>
      <c r="N68" s="1050" t="str">
        <f t="shared" si="10"/>
        <v/>
      </c>
      <c r="O68" s="1050" t="str">
        <f t="shared" si="10"/>
        <v/>
      </c>
      <c r="P68" s="1050" t="str">
        <f t="shared" si="10"/>
        <v/>
      </c>
      <c r="Q68" s="1050" t="str">
        <f t="shared" si="10"/>
        <v/>
      </c>
      <c r="R68" s="1050" t="str">
        <f t="shared" si="10"/>
        <v/>
      </c>
      <c r="S68" s="1050" t="str">
        <f t="shared" si="10"/>
        <v/>
      </c>
      <c r="T68" s="1050" t="str">
        <f t="shared" si="10"/>
        <v/>
      </c>
      <c r="U68" s="1050" t="str">
        <f t="shared" si="10"/>
        <v/>
      </c>
      <c r="V68" s="1050" t="str">
        <f t="shared" si="10"/>
        <v/>
      </c>
      <c r="W68" s="1050" t="str">
        <f t="shared" si="10"/>
        <v/>
      </c>
      <c r="X68" s="1050" t="str">
        <f t="shared" si="10"/>
        <v/>
      </c>
      <c r="Y68" s="1050" t="str">
        <f t="shared" si="10"/>
        <v/>
      </c>
      <c r="Z68" s="1050" t="str">
        <f t="shared" si="10"/>
        <v/>
      </c>
      <c r="AA68" s="1050" t="str">
        <f t="shared" si="10"/>
        <v/>
      </c>
      <c r="AB68" s="1050" t="str">
        <f t="shared" si="10"/>
        <v/>
      </c>
      <c r="AC68" s="1050"/>
      <c r="AD68" s="1050" t="str">
        <f t="shared" si="10"/>
        <v/>
      </c>
      <c r="AE68" s="1050" t="str">
        <f t="shared" si="10"/>
        <v/>
      </c>
      <c r="AF68" s="1050" t="str">
        <f t="shared" si="10"/>
        <v/>
      </c>
      <c r="AG68" s="1050" t="str">
        <f t="shared" si="10"/>
        <v/>
      </c>
      <c r="AH68" s="1050" t="str">
        <f t="shared" si="10"/>
        <v/>
      </c>
      <c r="AJ68" s="1050"/>
    </row>
    <row r="69" spans="1:46" s="1056" customFormat="1" ht="18" customHeight="1" x14ac:dyDescent="0.15">
      <c r="C69" s="1050" t="str">
        <f>IF(ROUND(IF('Table 1'!$G$3&gt;1,IF(EnCMember=1,C8+C9+C12+C14+C47+C27+C37+C43+C44+C53+C60,C11+C13+C15+C20+C21+C22+C23+C24+C25+C26+C28+C29+C30+C32+C34+C38+C39+C40+C41+C45+C49+C50+C51+C54+C55+C56+C57+C61),IF(EnCMember=1,C8+C9+C12+C14+C47+C27+C37+C43+C44+C53+C60,C11+C13+C15+C20+C21+C22+C23+C24+C25+C26+C28+C29+C30+C32+C34+C38+C39+C40+C41+C45+C49+C50+C51+C54+C55+C56+C57)),3)&lt;&gt;C66,"Total EU MS not correct","")</f>
        <v/>
      </c>
      <c r="D69" s="1050" t="str">
        <f>IF(ROUND(IF('Table 1'!$G$3&gt;1,IF(EnCMember=1,D8+D9+D12+D14+D47+D27+D37+D43+D44+D53+D60,D11+D13+D15+D20+D21+D22+D23+D24+D25+D26+D28+D29+D30+D32+D34+D38+D39+D40+D41+D45+D49+D50+D51+D54+D55+D56+D57+D61),IF(EnCMember=1,D8+D9+D12+D14+D47+D27+D37+D43+D44+D53+D60,D11+D13+D15+D20+D21+D22+D23+D24+D25+D26+D28+D29+D30+D32+D34+D38+D39+D40+D41+D45+D49+D50+D51+D54+D55+D56+D57)),3)&lt;&gt;D66,"Total EU MS not correct","")</f>
        <v/>
      </c>
      <c r="E69" s="1050" t="str">
        <f>IF(ROUND(IF('Table 1'!$G$3&gt;1,IF(EnCMember=1,E8+E9+E12+E14+E47+E27+E37+E43+E44+E53+E60,E11+E13+E15+E20+E21+E22+E23+E24+E25+E26+E28+E29+E30+E32+E34+E38+E39+E40+E41+E45+E49+E50+E51+E54+E55+E56+E57+E61),IF(EnCMember=1,E8+E9+E12+E14+E47+E27+E37+E43+E44+E53+E60,E11+E13+E15+E20+E21+E22+E23+E24+E25+E26+E28+E29+E30+E32+E34+E38+E39+E40+E41+E45+E49+E50+E51+E54+E55+E56+E57)),3)&lt;&gt;E66,"Total EU MS not correct","")</f>
        <v/>
      </c>
      <c r="F69" s="1050" t="str">
        <f>IF(ROUND(IF('Table 1'!$G$3&gt;1,IF(EnCMember=1,F8+F9+F12+F14+F47+F27+F37+F43+F44+F53+F60,F11+F13+F15+F20+F21+F22+F23+F24+F25+F26+F28+F29+F30+F32+F34+F38+F39+F40+F41+F45+F49+F50+F51+F54+F55+F56+F57+F61),IF(EnCMember=1,F8+F9+F12+F14+F47+F27+F37+F43+F44+F53+F60,F11+F13+F15+F20+F21+F22+F23+F24+F25+F26+F28+F29+F30+F32+F34+F38+F39+F40+F41+F45+F49+F50+F51+F54+F55+F56+F57)),3)&lt;&gt;F66,"Total EU MS not correct","")</f>
        <v/>
      </c>
      <c r="G69" s="1050" t="str">
        <f>IF(ROUND(IF('Table 1'!$G$3&gt;1,IF(EnCMember=1,G8+G9+G12+G14+G47+G27+G37+G43+G44+G53+G60,G11+G13+G15+G20+G21+G22+G23+G24+G25+G26+G28+G29+G30+G32+G34+G38+G39+G40+G41+G45+G49+G50+G51+G54+G55+G56+G57+G61),IF(EnCMember=1,G8+G9+G12+G14+G47+G27+G37+G43+G44+G53+G60,G11+G13+G15+G20+G21+G22+G23+G24+G25+G26+G28+G29+G30+G32+G34+G38+G39+G40+G41+G45+G49+G50+G51+G54+G55+G56+G57)),3)&lt;&gt;G66,"Total EU MS not correct","")</f>
        <v/>
      </c>
      <c r="H69" s="1050" t="str">
        <f>IF(ROUND(IF('Table 1'!$G$3&gt;1,IF(EnCMember=1,H8+H9+H12+H14+H47+H27+H37+H43+H44+H53+H60,H11+H13+H15+H20+H21+H22+H23+H24+H25+H26+H28+H29+H30+H32+H34+H38+H39+H40+H41+H45+H49+H50+H51+H54+H55+H56+H57+H61),IF(EnCMember=1,H8+H9+H12+H14+H47+H27+H37+H43+H44+H53+H60,H11+H13+H15+H20+H21+H22+H23+H24+H25+H26+H28+H29+H30+H32+H34+H38+H39+H40+H41+H45+H49+H50+H51+H54+H55+H56+H57)),3)&lt;&gt;H66,"Total EU MS not correct","")</f>
        <v/>
      </c>
      <c r="I69" s="1050" t="str">
        <f>IF(ROUND(IF('Table 1'!$G$3&gt;1,IF(EnCMember=1,I8+I9+I12+I14+I47+I27+I37+I43+I44+I53+I60,I11+I13+I15+I20+I21+I22+I23+I24+I25+I26+I28+I29+I30+I32+I34+I38+I39+I40+I41+I45+I49+I50+I51+I54+I55+I56+I57+I61),IF(EnCMember=1,I8+I9+I12+I14+I47+I27+I37+I43+I44+I53+I60,I11+I13+I15+I20+I21+I22+I23+I24+I25+I26+I28+I29+I30+I32+I34+I38+I39+I40+I41+I45+I49+I50+I51+I54+I55+I56+I57)),3)&lt;&gt;I66,"Total EU MS not correct","")</f>
        <v/>
      </c>
      <c r="J69" s="1050" t="str">
        <f>IF(ROUND(IF('Table 1'!$G$3&gt;1,IF(EnCMember=1,J8+J9+J12+J14+J47+J27+J37+J43+J44+J53+J60,J11+J13+J15+J20+J21+J22+J23+J24+J25+J26+J28+J29+J30+J32+J34+J38+J39+J40+J41+J45+J49+J50+J51+J54+J55+J56+J57+J61),IF(EnCMember=1,J8+J9+J12+J14+J47+J27+J37+J43+J44+J53+J60,J11+J13+J15+J20+J21+J22+J23+J24+J25+J26+J28+J29+J30+J32+J34+J38+J39+J40+J41+J45+J49+J50+J51+J54+J55+J56+J57)),3)&lt;&gt;J66,"Total EU MS not correct","")</f>
        <v/>
      </c>
      <c r="K69" s="1050" t="str">
        <f>IF(ROUND(IF('Table 1'!$G$3&gt;1,IF(EnCMember=1,K8+K9+K12+K14+K47+K27+K37+K43+K44+K53+K60,K11+K13+K15+K20+K21+K22+K23+K24+K25+K26+K28+K29+K30+K32+K34+K38+K39+K40+K41+K45+K49+K50+K51+K54+K55+K56+K57+K61),IF(EnCMember=1,K8+K9+K12+K14+K47+K27+K37+K43+K44+K53+K60,K11+K13+K15+K20+K21+K22+K23+K24+K25+K26+K28+K29+K30+K32+K34+K38+K39+K40+K41+K45+K49+K50+K51+K54+K55+K56+K57)),3)&lt;&gt;K66,"Total EU MS not correct","")</f>
        <v/>
      </c>
      <c r="L69" s="1050" t="str">
        <f>IF(ROUND(IF('Table 1'!$G$3&gt;1,IF(EnCMember=1,L8+L9+L12+L14+L47+L27+L37+L43+L44+L53+L60,L11+L13+L15+L20+L21+L22+L23+L24+L25+L26+L28+L29+L30+L32+L34+L38+L39+L40+L41+L45+L49+L50+L51+L54+L55+L56+L57+L61),IF(EnCMember=1,L8+L9+L12+L14+L47+L27+L37+L43+L44+L53+L60,L11+L13+L15+L20+L21+L22+L23+L24+L25+L26+L28+L29+L30+L32+L34+L38+L39+L40+L41+L45+L49+L50+L51+L54+L55+L56+L57)),3)&lt;&gt;L66,"Total EU MS not correct","")</f>
        <v/>
      </c>
      <c r="M69" s="1050" t="str">
        <f>IF(ROUND(IF('Table 1'!$G$3&gt;1,IF(EnCMember=1,M8+M9+M12+M14+M47+M27+M37+M43+M44+M53+M60,M11+M13+M15+M20+M21+M22+M23+M24+M25+M26+M28+M29+M30+M32+M34+M38+M39+M40+M41+M45+M49+M50+M51+M54+M55+M56+M57+M61),IF(EnCMember=1,M8+M9+M12+M14+M47+M27+M37+M43+M44+M53+M60,M11+M13+M15+M20+M21+M22+M23+M24+M25+M26+M28+M29+M30+M32+M34+M38+M39+M40+M41+M45+M49+M50+M51+M54+M55+M56+M57)),3)&lt;&gt;M66,"Total EU MS not correct","")</f>
        <v/>
      </c>
      <c r="N69" s="1050" t="str">
        <f>IF(ROUND(IF('Table 1'!$G$3&gt;1,IF(EnCMember=1,N8+N9+N12+N14+N47+N27+N37+N43+N44+N53+N60,N11+N13+N15+N20+N21+N22+N23+N24+N25+N26+N28+N29+N30+N32+N34+N38+N39+N40+N41+N45+N49+N50+N51+N54+N55+N56+N57+N61),IF(EnCMember=1,N8+N9+N12+N14+N47+N27+N37+N43+N44+N53+N60,N11+N13+N15+N20+N21+N22+N23+N24+N25+N26+N28+N29+N30+N32+N34+N38+N39+N40+N41+N45+N49+N50+N51+N54+N55+N56+N57)),3)&lt;&gt;N66,"Total EU MS not correct","")</f>
        <v/>
      </c>
      <c r="O69" s="1050" t="str">
        <f>IF(ROUND(IF('Table 1'!$G$3&gt;1,IF(EnCMember=1,O8+O9+O12+O14+O47+O27+O37+O43+O44+O53+O60,O11+O13+O15+O20+O21+O22+O23+O24+O25+O26+O28+O29+O30+O32+O34+O38+O39+O40+O41+O45+O49+O50+O51+O54+O55+O56+O57+O61),IF(EnCMember=1,O8+O9+O12+O14+O47+O27+O37+O43+O44+O53+O60,O11+O13+O15+O20+O21+O22+O23+O24+O25+O26+O28+O29+O30+O32+O34+O38+O39+O40+O41+O45+O49+O50+O51+O54+O55+O56+O57)),3)&lt;&gt;O66,"Total EU MS not correct","")</f>
        <v/>
      </c>
      <c r="P69" s="1050" t="str">
        <f>IF(ROUND(IF('Table 1'!$G$3&gt;1,IF(EnCMember=1,P8+P9+P12+P14+P47+P27+P37+P43+P44+P53+P60,P11+P13+P15+P20+P21+P22+P23+P24+P25+P26+P28+P29+P30+P32+P34+P38+P39+P40+P41+P45+P49+P50+P51+P54+P55+P56+P57+P61),IF(EnCMember=1,P8+P9+P12+P14+P47+P27+P37+P43+P44+P53+P60,P11+P13+P15+P20+P21+P22+P23+P24+P25+P26+P28+P29+P30+P32+P34+P38+P39+P40+P41+P45+P49+P50+P51+P54+P55+P56+P57)),3)&lt;&gt;P66,"Total EU MS not correct","")</f>
        <v/>
      </c>
      <c r="Q69" s="1050" t="str">
        <f>IF(ROUND(IF('Table 1'!$G$3&gt;1,IF(EnCMember=1,Q8+Q9+Q12+Q14+Q47+Q27+Q37+Q43+Q44+Q53+Q60,Q11+Q13+Q15+Q20+Q21+Q22+Q23+Q24+Q25+Q26+Q28+Q29+Q30+Q32+Q34+Q38+Q39+Q40+Q41+Q45+Q49+Q50+Q51+Q54+Q55+Q56+Q57+Q61),IF(EnCMember=1,Q8+Q9+Q12+Q14+Q47+Q27+Q37+Q43+Q44+Q53+Q60,Q11+Q13+Q15+Q20+Q21+Q22+Q23+Q24+Q25+Q26+Q28+Q29+Q30+Q32+Q34+Q38+Q39+Q40+Q41+Q45+Q49+Q50+Q51+Q54+Q55+Q56+Q57)),3)&lt;&gt;Q66,"Total EU MS not correct","")</f>
        <v/>
      </c>
      <c r="R69" s="1050" t="str">
        <f>IF(ROUND(IF('Table 1'!$G$3&gt;1,IF(EnCMember=1,R8+R9+R12+R14+R47+R27+R37+R43+R44+R53+R60,R11+R13+R15+R20+R21+R22+R23+R24+R25+R26+R28+R29+R30+R32+R34+R38+R39+R40+R41+R45+R49+R50+R51+R54+R55+R56+R57+R61),IF(EnCMember=1,R8+R9+R12+R14+R47+R27+R37+R43+R44+R53+R60,R11+R13+R15+R20+R21+R22+R23+R24+R25+R26+R28+R29+R30+R32+R34+R38+R39+R40+R41+R45+R49+R50+R51+R54+R55+R56+R57)),3)&lt;&gt;R66,"Total EU MS not correct","")</f>
        <v/>
      </c>
      <c r="S69" s="1050" t="str">
        <f>IF(ROUND(IF('Table 1'!$G$3&gt;1,IF(EnCMember=1,S8+S9+S12+S14+S47+S27+S37+S43+S44+S53+S60,S11+S13+S15+S20+S21+S22+S23+S24+S25+S26+S28+S29+S30+S32+S34+S38+S39+S40+S41+S45+S49+S50+S51+S54+S55+S56+S57+S61),IF(EnCMember=1,S8+S9+S12+S14+S47+S27+S37+S43+S44+S53+S60,S11+S13+S15+S20+S21+S22+S23+S24+S25+S26+S28+S29+S30+S32+S34+S38+S39+S40+S41+S45+S49+S50+S51+S54+S55+S56+S57)),3)&lt;&gt;S66,"Total EU MS not correct","")</f>
        <v/>
      </c>
      <c r="T69" s="1050" t="str">
        <f>IF(ROUND(IF('Table 1'!$G$3&gt;1,IF(EnCMember=1,T8+T9+T12+T14+T47+T27+T37+T43+T44+T53+T60,T11+T13+T15+T20+T21+T22+T23+T24+T25+T26+T28+T29+T30+T32+T34+T38+T39+T40+T41+T45+T49+T50+T51+T54+T55+T56+T57+T61),IF(EnCMember=1,T8+T9+T12+T14+T47+T27+T37+T43+T44+T53+T60,T11+T13+T15+T20+T21+T22+T23+T24+T25+T26+T28+T29+T30+T32+T34+T38+T39+T40+T41+T45+T49+T50+T51+T54+T55+T56+T57)),3)&lt;&gt;T66,"Total EU MS not correct","")</f>
        <v/>
      </c>
      <c r="U69" s="1050" t="str">
        <f>IF(ROUND(IF('Table 1'!$G$3&gt;1,IF(EnCMember=1,U8+U9+U12+U14+U47+U27+U37+U43+U44+U53+U60,U11+U13+U15+U20+U21+U22+U23+U24+U25+U26+U28+U29+U30+U32+U34+U38+U39+U40+U41+U45+U49+U50+U51+U54+U55+U56+U57+U61),IF(EnCMember=1,U8+U9+U12+U14+U47+U27+U37+U43+U44+U53+U60,U11+U13+U15+U20+U21+U22+U23+U24+U25+U26+U28+U29+U30+U32+U34+U38+U39+U40+U41+U45+U49+U50+U51+U54+U55+U56+U57)),3)&lt;&gt;U66,"Total EU MS not correct","")</f>
        <v/>
      </c>
      <c r="V69" s="1050" t="str">
        <f>IF(ROUND(IF('Table 1'!$G$3&gt;1,IF(EnCMember=1,V8+V9+V12+V14+V47+V27+V37+V43+V44+V53+V60,V11+V13+V15+V20+V21+V22+V23+V24+V25+V26+V28+V29+V30+V32+V34+V38+V39+V40+V41+V45+V49+V50+V51+V54+V55+V56+V57+V61),IF(EnCMember=1,V8+V9+V12+V14+V47+V27+V37+V43+V44+V53+V60,V11+V13+V15+V20+V21+V22+V23+V24+V25+V26+V28+V29+V30+V32+V34+V38+V39+V40+V41+V45+V49+V50+V51+V54+V55+V56+V57)),3)&lt;&gt;V66,"Total EU MS not correct","")</f>
        <v/>
      </c>
      <c r="W69" s="1050" t="str">
        <f>IF(ROUND(IF('Table 1'!$G$3&gt;1,IF(EnCMember=1,W8+W9+W12+W14+W47+W27+W37+W43+W44+W53+W60,W11+W13+W15+W20+W21+W22+W23+W24+W25+W26+W28+W29+W30+W32+W34+W38+W39+W40+W41+W45+W49+W50+W51+W54+W55+W56+W57+W61),IF(EnCMember=1,W8+W9+W12+W14+W47+W27+W37+W43+W44+W53+W60,W11+W13+W15+W20+W21+W22+W23+W24+W25+W26+W28+W29+W30+W32+W34+W38+W39+W40+W41+W45+W49+W50+W51+W54+W55+W56+W57)),3)&lt;&gt;W66,"Total EU MS not correct","")</f>
        <v/>
      </c>
      <c r="X69" s="1050" t="str">
        <f>IF(ROUND(IF('Table 1'!$G$3&gt;1,IF(EnCMember=1,X8+X9+X12+X14+X47+X27+X37+X43+X44+X53+X60,X11+X13+X15+X20+X21+X22+X23+X24+X25+X26+X28+X29+X30+X32+X34+X38+X39+X40+X41+X45+X49+X50+X51+X54+X55+X56+X57+X61),IF(EnCMember=1,X8+X9+X12+X14+X47+X27+X37+X43+X44+X53+X60,X11+X13+X15+X20+X21+X22+X23+X24+X25+X26+X28+X29+X30+X32+X34+X38+X39+X40+X41+X45+X49+X50+X51+X54+X55+X56+X57)),3)&lt;&gt;X66,"Total EU MS not correct","")</f>
        <v/>
      </c>
      <c r="Y69" s="1050" t="str">
        <f>IF(ROUND(IF('Table 1'!$G$3&gt;1,IF(EnCMember=1,Y8+Y9+Y12+Y14+Y47+Y27+Y37+Y43+Y44+Y53+Y60,Y11+Y13+Y15+Y20+Y21+Y22+Y23+Y24+Y25+Y26+Y28+Y29+Y30+Y32+Y34+Y38+Y39+Y40+Y41+Y45+Y49+Y50+Y51+Y54+Y55+Y56+Y57+Y61),IF(EnCMember=1,Y8+Y9+Y12+Y14+Y47+Y27+Y37+Y43+Y44+Y53+Y60,Y11+Y13+Y15+Y20+Y21+Y22+Y23+Y24+Y25+Y26+Y28+Y29+Y30+Y32+Y34+Y38+Y39+Y40+Y41+Y45+Y49+Y50+Y51+Y54+Y55+Y56+Y57)),3)&lt;&gt;Y66,"Total EU MS not correct","")</f>
        <v/>
      </c>
      <c r="Z69" s="1050" t="str">
        <f>IF(ROUND(IF('Table 1'!$G$3&gt;1,IF(EnCMember=1,Z8+Z9+Z12+Z14+Z47+Z27+Z37+Z43+Z44+Z53+Z60,Z11+Z13+Z15+Z20+Z21+Z22+Z23+Z24+Z25+Z26+Z28+Z29+Z30+Z32+Z34+Z38+Z39+Z40+Z41+Z45+Z49+Z50+Z51+Z54+Z55+Z56+Z57+Z61),IF(EnCMember=1,Z8+Z9+Z12+Z14+Z47+Z27+Z37+Z43+Z44+Z53+Z60,Z11+Z13+Z15+Z20+Z21+Z22+Z23+Z24+Z25+Z26+Z28+Z29+Z30+Z32+Z34+Z38+Z39+Z40+Z41+Z45+Z49+Z50+Z51+Z54+Z55+Z56+Z57)),3)&lt;&gt;Z66,"Total EU MS not correct","")</f>
        <v/>
      </c>
      <c r="AA69" s="1050" t="str">
        <f>IF(ROUND(IF('Table 1'!$G$3&gt;1,IF(EnCMember=1,AA8+AA9+AA12+AA14+AA47+AA27+AA37+AA43+AA44+AA53+AA60,AA11+AA13+AA15+AA20+AA21+AA22+AA23+AA24+AA25+AA26+AA28+AA29+AA30+AA32+AA34+AA38+AA39+AA40+AA41+AA45+AA49+AA50+AA51+AA54+AA55+AA56+AA57+AA61),IF(EnCMember=1,AA8+AA9+AA12+AA14+AA47+AA27+AA37+AA43+AA44+AA53+AA60,AA11+AA13+AA15+AA20+AA21+AA22+AA23+AA24+AA25+AA26+AA28+AA29+AA30+AA32+AA34+AA38+AA39+AA40+AA41+AA45+AA49+AA50+AA51+AA54+AA55+AA56+AA57)),3)&lt;&gt;AA66,"Total EU MS not correct","")</f>
        <v/>
      </c>
      <c r="AB69" s="1050" t="str">
        <f>IF(ROUND(IF('Table 1'!$G$3&gt;1,IF(EnCMember=1,AB8+AB9+AB12+AB14+AB47+AB27+AB37+AB43+AB44+AB53+AB60,AB11+AB13+AB15+AB20+AB21+AB22+AB23+AB24+AB25+AB26+AB28+AB29+AB30+AB32+AB34+AB38+AB39+AB40+AB41+AB45+AB49+AB50+AB51+AB54+AB55+AB56+AB57+AB61),IF(EnCMember=1,AB8+AB9+AB12+AB14+AB47+AB27+AB37+AB43+AB44+AB53+AB60,AB11+AB13+AB15+AB20+AB21+AB22+AB23+AB24+AB25+AB26+AB28+AB29+AB30+AB32+AB34+AB38+AB39+AB40+AB41+AB45+AB49+AB50+AB51+AB54+AB55+AB56+AB57)),3)&lt;&gt;AB66,"Total EU MS not correct","")</f>
        <v/>
      </c>
      <c r="AC69" s="1050"/>
      <c r="AD69" s="1050" t="str">
        <f>IF(ROUND(IF('Table 1'!$G$3&gt;1,IF(EnCMember=1,AD8+AD9+AD12+AD14+AD47+AD27+AD37+AD43+AD44+AD53+AD60,AD11+AD13+AD15+AD20+AD21+AD22+AD23+AD24+AD25+AD26+AD28+AD29+AD30+AD32+AD34+AD38+AD39+AD40+AD41+AD45+AD49+AD50+AD51+AD54+AD55+AD56+AD57+AD61),IF(EnCMember=1,AD8+AD9+AD12+AD14+AD47+AD27+AD37+AD43+AD44+AD53+AD60,AD11+AD13+AD15+AD20+AD21+AD22+AD23+AD24+AD25+AD26+AD28+AD29+AD30+AD32+AD34+AD38+AD39+AD40+AD41+AD45+AD49+AD50+AD51+AD54+AD55+AD56+AD57)),3)&lt;&gt;AD66,"Total EU MS not correct","")</f>
        <v/>
      </c>
      <c r="AE69" s="1050" t="str">
        <f>IF(ROUND(IF('Table 1'!$G$3&gt;1,IF(EnCMember=1,AE8+AE9+AE12+AE14+AE47+AE27+AE37+AE43+AE44+AE53+AE60,AE11+AE13+AE15+AE20+AE21+AE22+AE23+AE24+AE25+AE26+AE28+AE29+AE30+AE32+AE34+AE38+AE39+AE40+AE41+AE45+AE49+AE50+AE51+AE54+AE55+AE56+AE57+AE61),IF(EnCMember=1,AE8+AE9+AE12+AE14+AE47+AE27+AE37+AE43+AE44+AE53+AE60,AE11+AE13+AE15+AE20+AE21+AE22+AE23+AE24+AE25+AE26+AE28+AE29+AE30+AE32+AE34+AE38+AE39+AE40+AE41+AE45+AE49+AE50+AE51+AE54+AE55+AE56+AE57)),3)&lt;&gt;AE66,"Total EU MS not correct","")</f>
        <v/>
      </c>
      <c r="AF69" s="1050" t="str">
        <f>IF(ROUND(IF('Table 1'!$G$3&gt;1,IF(EnCMember=1,AF8+AF9+AF12+AF14+AF47+AF27+AF37+AF43+AF44+AF53+AF60,AF11+AF13+AF15+AF20+AF21+AF22+AF23+AF24+AF25+AF26+AF28+AF29+AF30+AF32+AF34+AF38+AF39+AF40+AF41+AF45+AF49+AF50+AF51+AF54+AF55+AF56+AF57+AF61),IF(EnCMember=1,AF8+AF9+AF12+AF14+AF47+AF27+AF37+AF43+AF44+AF53+AF60,AF11+AF13+AF15+AF20+AF21+AF22+AF23+AF24+AF25+AF26+AF28+AF29+AF30+AF32+AF34+AF38+AF39+AF40+AF41+AF45+AF49+AF50+AF51+AF54+AF55+AF56+AF57)),3)&lt;&gt;AF66,"Total EU MS not correct","")</f>
        <v/>
      </c>
      <c r="AG69" s="1050" t="str">
        <f>IF(ROUND(IF('Table 1'!$G$3&gt;1,IF(EnCMember=1,AG8+AG9+AG12+AG14+AG47+AG27+AG37+AG43+AG44+AG53+AG60,AG11+AG13+AG15+AG20+AG21+AG22+AG23+AG24+AG25+AG26+AG28+AG29+AG30+AG32+AG34+AG38+AG39+AG40+AG41+AG45+AG49+AG50+AG51+AG54+AG55+AG56+AG57+AG61),IF(EnCMember=1,AG8+AG9+AG12+AG14+AG47+AG27+AG37+AG43+AG44+AG53+AG60,AG11+AG13+AG15+AG20+AG21+AG22+AG23+AG24+AG25+AG26+AG28+AG29+AG30+AG32+AG34+AG38+AG39+AG40+AG41+AG45+AG49+AG50+AG51+AG54+AG55+AG56+AG57)),3)&lt;&gt;AG66,"Total EU MS not correct","")</f>
        <v/>
      </c>
      <c r="AH69" s="1050" t="str">
        <f>IF(ROUND(IF('Table 1'!$G$3&gt;1,IF(EnCMember=1,AH8+AH9+AH12+AH14+AH47+AH27+AH37+AH43+AH44+AH53+AH60,AH11+AH13+AH15+AH20+AH21+AH22+AH23+AH24+AH25+AH26+AH28+AH29+AH30+AH32+AH34+AH38+AH39+AH40+AH41+AH45+AH49+AH50+AH51+AH54+AH55+AH56+AH57+AH61),IF(EnCMember=1,AH8+AH9+AH12+AH14+AH47+AH27+AH37+AH43+AH44+AH53+AH60,AH11+AH13+AH15+AH20+AH21+AH22+AH23+AH24+AH25+AH26+AH28+AH29+AH30+AH32+AH34+AH38+AH39+AH40+AH41+AH45+AH49+AH50+AH51+AH54+AH55+AH56+AH57)),3)&lt;&gt;AH66,"Total EU MS not correct","")</f>
        <v/>
      </c>
      <c r="AI69" s="1050" t="str">
        <f>IF(ROUND(IF('Table 1'!$G$3&gt;1,IF(EnCMember=1,AI8+AI9+AI12+AI14+AI47+AI27+AI37+AI43+AI44+AI53+AI60,AI11+AI13+AI15+AI20+AI21+AI22+AI23+AI24+AI25+AI26+AI28+AI29+AI30+AI32+AI34+AI38+AI39+AI40+AI41+AI45+AI49+AI50+AI51+AI54+AI55+AI56+AI57+AI61),IF(EnCMember=1,AI8+AI9+AI12+AI14+AI47+AI27+AI37+AI43+AI44+AI53+AI60,AI11+AI13+AI15+AI20+AI21+AI22+AI23+AI24+AI25+AI26+AI28+AI29+AI30+AI32+AI34+AI38+AI39+AI40+AI41+AI45+AI49+AI50+AI51+AI54+AI55+AI56+AI57)),3)&lt;&gt;AI66,"Total EU MS not correct","")</f>
        <v/>
      </c>
      <c r="AJ69" s="1050"/>
    </row>
    <row r="70" spans="1:46" s="1058" customFormat="1" ht="9" x14ac:dyDescent="0.15">
      <c r="C70" s="1050" t="str">
        <f>IF(NOT(ROUND(C64-'Table 5'!D31,3)=0),"Total not equal to Table 5","")</f>
        <v/>
      </c>
      <c r="D70" s="1050" t="str">
        <f>IF(NOT(ROUND(D64-'Table 5'!E31,3)=0),"Total not equal to Table 5","")</f>
        <v/>
      </c>
      <c r="E70" s="1050" t="str">
        <f>IF(NOT(ROUND(E64-'Table 5'!F31,3)=0),"Total not equal to Table 5","")</f>
        <v/>
      </c>
      <c r="F70" s="1050" t="str">
        <f>IF(NOT(ROUND(F64-'Table 5'!G31,3)=0),"Total not equal to Table 5","")</f>
        <v/>
      </c>
      <c r="G70" s="1050" t="str">
        <f>IF(NOT(ROUND(G64-'Table 5'!H31,3)=0),"Total not equal to Table 5","")</f>
        <v/>
      </c>
      <c r="H70" s="1050" t="str">
        <f>IF(NOT(ROUND(H64-'Table 5'!I31,3)=0),"Total not equal to Table 5","")</f>
        <v/>
      </c>
      <c r="I70" s="1050" t="str">
        <f>IF(NOT(ROUND(I64-'Table 5'!J31,3)=0),"Total not equal to Table 5","")</f>
        <v/>
      </c>
      <c r="J70" s="1050" t="str">
        <f>IF(NOT(ROUND(J64-'Table 5'!K31,3)=0),"Total not equal to Table 5","")</f>
        <v/>
      </c>
      <c r="K70" s="1050" t="str">
        <f>IF(NOT(ROUND(K64-'Table 5'!L31,3)=0),"Total not equal to Table 5","")</f>
        <v/>
      </c>
      <c r="L70" s="1050" t="str">
        <f>IF(NOT(ROUND(L64-'Table 5'!M31,3)=0),"Total not equal to Table 5","")</f>
        <v/>
      </c>
      <c r="M70" s="1050" t="str">
        <f>IF(NOT(ROUND(M64-'Table 5'!N31,3)=0),"Total not equal to Table 5","")</f>
        <v/>
      </c>
      <c r="N70" s="1050" t="str">
        <f>IF(NOT(ROUND(N64-'Table 5'!O31,3)=0),"Total not equal to Table 5","")</f>
        <v/>
      </c>
      <c r="O70" s="1050" t="str">
        <f>IF(NOT(ROUND(O64-'Table 5'!P31,3)=0),"Total not equal to Table 5","")</f>
        <v/>
      </c>
      <c r="P70" s="1050" t="str">
        <f>IF(NOT(ROUND(P64-'Table 5'!Q31,3)=0),"Total not equal to Table 5","")</f>
        <v/>
      </c>
      <c r="Q70" s="1050" t="str">
        <f>IF(NOT(ROUND(Q64-'Table 5'!R31,3)=0),"Total not equal to Table 5","")</f>
        <v/>
      </c>
      <c r="R70" s="1050" t="str">
        <f>IF(NOT(ROUND(R64-'Table 5'!S31,3)=0),"Total not equal to Table 5","")</f>
        <v/>
      </c>
      <c r="S70" s="1050" t="str">
        <f>IF(NOT(ROUND(S64-'Table 5'!T31,3)=0),"Total not equal to Table 5","")</f>
        <v/>
      </c>
      <c r="T70" s="1050" t="str">
        <f>IF(NOT(ROUND(T64-'Table 5'!U31,3)=0),"Total not equal to Table 5","")</f>
        <v/>
      </c>
      <c r="U70" s="1050" t="str">
        <f>IF(NOT(ROUND(U64-'Table 5'!V31,3)=0),"Total not equal to Table 5","")</f>
        <v/>
      </c>
      <c r="V70" s="1050" t="str">
        <f>IF(NOT(ROUND(V64-'Table 5'!W31,3)=0),"Total not equal to Table 5","")</f>
        <v/>
      </c>
      <c r="W70" s="1050" t="str">
        <f>IF(NOT(ROUND(W64-'Table 5'!X31,3)=0),"Total not equal to Table 5","")</f>
        <v/>
      </c>
      <c r="X70" s="1050" t="str">
        <f>IF(NOT(ROUND(X64-'Table 5'!Y31,3)=0),"Total not equal to Table 5","")</f>
        <v/>
      </c>
      <c r="Y70" s="1050" t="str">
        <f>IF(NOT(ROUND(Y64-'Table 5'!Z31,3)=0),"Total not equal to Table 5","")</f>
        <v/>
      </c>
      <c r="Z70" s="1050" t="str">
        <f>IF(NOT(ROUND(Z64-'Table 5'!AA31,3)=0),"Total not equal to Table 5","")</f>
        <v/>
      </c>
      <c r="AA70" s="1050" t="str">
        <f>IF(NOT(ROUND(AA64-'Table 5'!AB31,3)=0),"Total not equal to Table 5","")</f>
        <v/>
      </c>
      <c r="AB70" s="1050" t="str">
        <f>IF(NOT(ROUND(AB64-'Table 5'!AC31,3)=0),"Total not equal to Table 5","")</f>
        <v/>
      </c>
      <c r="AC70" s="1050"/>
      <c r="AD70" s="1050" t="str">
        <f>IF(NOT(ROUND(AD64-'Table 5'!AE31,3)=0),"Total not equal to Table 5","")</f>
        <v/>
      </c>
      <c r="AE70" s="1050" t="str">
        <f>IF(NOT(ROUND(AE64-'Table 5'!AF31,3)=0),"Total not equal to Table 5","")</f>
        <v/>
      </c>
      <c r="AF70" s="1050" t="str">
        <f>IF(NOT(ROUND(AF64-'Table 5'!AG31,3)=0),"Total not equal to Table 5","")</f>
        <v/>
      </c>
      <c r="AG70" s="1050" t="str">
        <f>IF(NOT(ROUND(AG64-'Table 5'!AH31,3)=0),"Total not equal to Table 5","")</f>
        <v/>
      </c>
      <c r="AH70" s="1050" t="str">
        <f>IF(NOT(ROUND(AH64-'Table 5'!AI31,3)=0),"Total not equal to Table 5","")</f>
        <v/>
      </c>
    </row>
    <row r="71" spans="1:46" s="218" customFormat="1" ht="12" x14ac:dyDescent="0.2">
      <c r="A71" s="12" t="s">
        <v>1423</v>
      </c>
      <c r="B71" s="219"/>
      <c r="E71" s="1051">
        <f>COUNTIF(C70:AH70,"")-COUNTA(C66:AH66)</f>
        <v>0</v>
      </c>
      <c r="F71" s="3" t="str">
        <f>IF(E71=0,"OK","Total not equal to Table 5")</f>
        <v>OK</v>
      </c>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157"/>
      <c r="AJ71" s="157"/>
    </row>
    <row r="72" spans="1:46" s="32" customFormat="1" x14ac:dyDescent="0.2">
      <c r="A72" s="12" t="s">
        <v>1387</v>
      </c>
      <c r="B72" s="2"/>
      <c r="C72" s="218"/>
      <c r="D72" s="218"/>
      <c r="E72" s="1049">
        <f ca="1">IF(MAX(IFERROR(OFFSET(C7,MATCH(CountryCode,$AT$8:$AT$64,0),0,1,30),0))&gt;0,1,0)+IF(CountryCode=Param!$D$67,MAX(C62:AE62),0)</f>
        <v>0</v>
      </c>
      <c r="F72" s="3" t="str">
        <f ca="1">IF(E72=0,"OK","Country is reporting itself")</f>
        <v>OK</v>
      </c>
      <c r="G72" s="66"/>
      <c r="H72" s="31"/>
      <c r="I72" s="31"/>
      <c r="J72" s="31"/>
      <c r="K72" s="31"/>
      <c r="L72" s="31"/>
      <c r="M72" s="31"/>
      <c r="N72" s="66"/>
      <c r="O72" s="31"/>
      <c r="P72" s="31"/>
      <c r="Q72" s="31"/>
      <c r="R72" s="31"/>
      <c r="S72" s="31"/>
      <c r="T72" s="66"/>
      <c r="U72" s="31"/>
      <c r="W72" s="31"/>
      <c r="X72" s="31"/>
      <c r="Y72" s="31"/>
      <c r="Z72" s="31"/>
      <c r="AA72" s="31"/>
      <c r="AB72" s="31"/>
      <c r="AC72" s="31"/>
      <c r="AD72" s="31"/>
      <c r="AE72" s="31"/>
      <c r="AF72" s="31"/>
      <c r="AG72" s="31"/>
      <c r="AH72" s="31"/>
      <c r="AI72" s="2"/>
      <c r="AJ72" s="157"/>
    </row>
    <row r="73" spans="1:46" x14ac:dyDescent="0.2">
      <c r="A73" s="7" t="s">
        <v>1112</v>
      </c>
      <c r="B73" s="2"/>
      <c r="C73" s="2"/>
      <c r="D73" s="2"/>
      <c r="E73" s="2"/>
      <c r="F73" s="2"/>
      <c r="V73" s="66"/>
      <c r="AJ73" s="3"/>
      <c r="AL73" s="211"/>
      <c r="AM73" s="211"/>
    </row>
    <row r="74" spans="1:46" ht="12.75" customHeight="1" x14ac:dyDescent="0.2">
      <c r="AJ74" s="3"/>
      <c r="AL74" s="211"/>
      <c r="AM74" s="211"/>
    </row>
    <row r="75" spans="1:46" s="2" customFormat="1" x14ac:dyDescent="0.2">
      <c r="AL75" s="141"/>
      <c r="AM75" s="141"/>
    </row>
    <row r="76" spans="1:46" s="2" customFormat="1" x14ac:dyDescent="0.2">
      <c r="AL76" s="141"/>
      <c r="AM76" s="141"/>
    </row>
    <row r="77" spans="1:46" s="2" customFormat="1" x14ac:dyDescent="0.2">
      <c r="AL77" s="141"/>
      <c r="AM77" s="141"/>
    </row>
    <row r="78" spans="1:46" s="2" customFormat="1" x14ac:dyDescent="0.2">
      <c r="AL78" s="141"/>
      <c r="AM78" s="141"/>
    </row>
    <row r="79" spans="1:46" s="2" customFormat="1" x14ac:dyDescent="0.2">
      <c r="AL79" s="141"/>
      <c r="AM79" s="141"/>
    </row>
    <row r="80" spans="1:46" s="2" customFormat="1" x14ac:dyDescent="0.2">
      <c r="AL80" s="141"/>
      <c r="AM80" s="141"/>
    </row>
    <row r="81" spans="38:39" s="2" customFormat="1" x14ac:dyDescent="0.2">
      <c r="AL81" s="141"/>
      <c r="AM81" s="141"/>
    </row>
    <row r="82" spans="38:39" s="2" customFormat="1" x14ac:dyDescent="0.2">
      <c r="AL82" s="141"/>
      <c r="AM82" s="141"/>
    </row>
    <row r="83" spans="38:39" s="2" customFormat="1" x14ac:dyDescent="0.2">
      <c r="AL83" s="141"/>
      <c r="AM83" s="141"/>
    </row>
    <row r="84" spans="38:39" s="2" customFormat="1" x14ac:dyDescent="0.2">
      <c r="AL84" s="141"/>
      <c r="AM84" s="141"/>
    </row>
    <row r="85" spans="38:39" s="2" customFormat="1" x14ac:dyDescent="0.2">
      <c r="AL85" s="141"/>
      <c r="AM85" s="141"/>
    </row>
    <row r="86" spans="38:39" s="2" customFormat="1" x14ac:dyDescent="0.2">
      <c r="AL86" s="141"/>
      <c r="AM86" s="141"/>
    </row>
    <row r="87" spans="38:39" s="2" customFormat="1" x14ac:dyDescent="0.2">
      <c r="AL87" s="141"/>
      <c r="AM87" s="141"/>
    </row>
    <row r="88" spans="38:39" s="2" customFormat="1" x14ac:dyDescent="0.2">
      <c r="AL88" s="141"/>
      <c r="AM88" s="141"/>
    </row>
    <row r="89" spans="38:39" s="2" customFormat="1" x14ac:dyDescent="0.2">
      <c r="AL89" s="141"/>
      <c r="AM89" s="141"/>
    </row>
    <row r="90" spans="38:39" s="2" customFormat="1" x14ac:dyDescent="0.2">
      <c r="AL90" s="141"/>
      <c r="AM90" s="141"/>
    </row>
    <row r="91" spans="38:39" s="2" customFormat="1" x14ac:dyDescent="0.2">
      <c r="AL91" s="141"/>
      <c r="AM91" s="141"/>
    </row>
    <row r="92" spans="38:39" s="2" customFormat="1" x14ac:dyDescent="0.2">
      <c r="AL92" s="141"/>
      <c r="AM92" s="141"/>
    </row>
    <row r="93" spans="38:39" s="2" customFormat="1" x14ac:dyDescent="0.2">
      <c r="AL93" s="141"/>
      <c r="AM93" s="141"/>
    </row>
    <row r="94" spans="38:39" s="2" customFormat="1" x14ac:dyDescent="0.2">
      <c r="AL94" s="141"/>
      <c r="AM94" s="141"/>
    </row>
    <row r="95" spans="38:39" s="2" customFormat="1" x14ac:dyDescent="0.2">
      <c r="AL95" s="141"/>
      <c r="AM95" s="141"/>
    </row>
    <row r="96" spans="38:39" s="2" customFormat="1" x14ac:dyDescent="0.2">
      <c r="AL96" s="141"/>
      <c r="AM96" s="141"/>
    </row>
    <row r="97" spans="38:39" s="2" customFormat="1" x14ac:dyDescent="0.2">
      <c r="AL97" s="141"/>
      <c r="AM97" s="141"/>
    </row>
    <row r="98" spans="38:39" s="2" customFormat="1" x14ac:dyDescent="0.2">
      <c r="AL98" s="141"/>
      <c r="AM98" s="141"/>
    </row>
    <row r="99" spans="38:39" s="2" customFormat="1" x14ac:dyDescent="0.2">
      <c r="AL99" s="141"/>
      <c r="AM99" s="141"/>
    </row>
    <row r="100" spans="38:39" s="2" customFormat="1" x14ac:dyDescent="0.2">
      <c r="AL100" s="141"/>
      <c r="AM100" s="141"/>
    </row>
    <row r="101" spans="38:39" s="2" customFormat="1" x14ac:dyDescent="0.2">
      <c r="AL101" s="141"/>
      <c r="AM101" s="141"/>
    </row>
    <row r="102" spans="38:39" s="2" customFormat="1" x14ac:dyDescent="0.2">
      <c r="AL102" s="141"/>
      <c r="AM102" s="141"/>
    </row>
    <row r="103" spans="38:39" s="2" customFormat="1" x14ac:dyDescent="0.2">
      <c r="AL103" s="141"/>
      <c r="AM103" s="141"/>
    </row>
    <row r="104" spans="38:39" s="2" customFormat="1" x14ac:dyDescent="0.2">
      <c r="AL104" s="141"/>
      <c r="AM104" s="141"/>
    </row>
    <row r="105" spans="38:39" s="2" customFormat="1" x14ac:dyDescent="0.2">
      <c r="AL105" s="141"/>
      <c r="AM105" s="141"/>
    </row>
    <row r="106" spans="38:39" s="2" customFormat="1" x14ac:dyDescent="0.2">
      <c r="AL106" s="141"/>
      <c r="AM106" s="141"/>
    </row>
    <row r="107" spans="38:39" s="2" customFormat="1" x14ac:dyDescent="0.2">
      <c r="AL107" s="141"/>
      <c r="AM107" s="141"/>
    </row>
    <row r="108" spans="38:39" s="2" customFormat="1" x14ac:dyDescent="0.2">
      <c r="AL108" s="141"/>
      <c r="AM108" s="141"/>
    </row>
    <row r="109" spans="38:39" s="2" customFormat="1" x14ac:dyDescent="0.2">
      <c r="AL109" s="141"/>
      <c r="AM109" s="141"/>
    </row>
    <row r="110" spans="38:39" s="2" customFormat="1" x14ac:dyDescent="0.2">
      <c r="AL110" s="141"/>
      <c r="AM110" s="141"/>
    </row>
    <row r="111" spans="38:39" s="2" customFormat="1" x14ac:dyDescent="0.2">
      <c r="AL111" s="141"/>
      <c r="AM111" s="141"/>
    </row>
    <row r="112" spans="38:39" s="2" customFormat="1" x14ac:dyDescent="0.2">
      <c r="AL112" s="141"/>
      <c r="AM112" s="141"/>
    </row>
    <row r="113" spans="38:39" s="2" customFormat="1" x14ac:dyDescent="0.2">
      <c r="AL113" s="141"/>
      <c r="AM113" s="141"/>
    </row>
    <row r="114" spans="38:39" s="2" customFormat="1" x14ac:dyDescent="0.2">
      <c r="AL114" s="141"/>
      <c r="AM114" s="141"/>
    </row>
    <row r="115" spans="38:39" s="2" customFormat="1" x14ac:dyDescent="0.2">
      <c r="AL115" s="141"/>
      <c r="AM115" s="141"/>
    </row>
    <row r="116" spans="38:39" s="2" customFormat="1" x14ac:dyDescent="0.2">
      <c r="AL116" s="141"/>
      <c r="AM116" s="141"/>
    </row>
    <row r="117" spans="38:39" s="2" customFormat="1" x14ac:dyDescent="0.2">
      <c r="AL117" s="141"/>
      <c r="AM117" s="141"/>
    </row>
    <row r="118" spans="38:39" s="2" customFormat="1" x14ac:dyDescent="0.2">
      <c r="AL118" s="141"/>
      <c r="AM118" s="141"/>
    </row>
    <row r="119" spans="38:39" s="2" customFormat="1" x14ac:dyDescent="0.2">
      <c r="AL119" s="141"/>
      <c r="AM119" s="141"/>
    </row>
    <row r="120" spans="38:39" s="2" customFormat="1" x14ac:dyDescent="0.2">
      <c r="AL120" s="141"/>
      <c r="AM120" s="141"/>
    </row>
    <row r="121" spans="38:39" s="2" customFormat="1" x14ac:dyDescent="0.2">
      <c r="AL121" s="141"/>
      <c r="AM121" s="141"/>
    </row>
    <row r="122" spans="38:39" s="2" customFormat="1" x14ac:dyDescent="0.2">
      <c r="AL122" s="141"/>
      <c r="AM122" s="141"/>
    </row>
    <row r="123" spans="38:39" s="2" customFormat="1" x14ac:dyDescent="0.2">
      <c r="AL123" s="141"/>
      <c r="AM123" s="141"/>
    </row>
    <row r="124" spans="38:39" s="2" customFormat="1" x14ac:dyDescent="0.2">
      <c r="AL124" s="141"/>
      <c r="AM124" s="141"/>
    </row>
    <row r="125" spans="38:39" s="2" customFormat="1" x14ac:dyDescent="0.2">
      <c r="AL125" s="141"/>
      <c r="AM125" s="141"/>
    </row>
    <row r="126" spans="38:39" s="2" customFormat="1" x14ac:dyDescent="0.2">
      <c r="AL126" s="141"/>
      <c r="AM126" s="141"/>
    </row>
    <row r="127" spans="38:39" s="2" customFormat="1" x14ac:dyDescent="0.2">
      <c r="AL127" s="141"/>
      <c r="AM127" s="141"/>
    </row>
    <row r="128" spans="38:39" s="2" customFormat="1" x14ac:dyDescent="0.2">
      <c r="AL128" s="141"/>
      <c r="AM128" s="141"/>
    </row>
    <row r="129" spans="2:39" s="2" customFormat="1" x14ac:dyDescent="0.2">
      <c r="AL129" s="141"/>
      <c r="AM129" s="141"/>
    </row>
    <row r="130" spans="2:39" s="2" customFormat="1" x14ac:dyDescent="0.2">
      <c r="AL130" s="141"/>
      <c r="AM130" s="141"/>
    </row>
    <row r="131" spans="2:39" s="2" customFormat="1" x14ac:dyDescent="0.2">
      <c r="AL131" s="141"/>
      <c r="AM131" s="141"/>
    </row>
    <row r="132" spans="2:39" s="2" customFormat="1" x14ac:dyDescent="0.2">
      <c r="AL132" s="141"/>
      <c r="AM132" s="141"/>
    </row>
    <row r="133" spans="2:39" s="2" customFormat="1" x14ac:dyDescent="0.2">
      <c r="AL133" s="141"/>
      <c r="AM133" s="141"/>
    </row>
    <row r="134" spans="2:39" s="2" customFormat="1" x14ac:dyDescent="0.2">
      <c r="AL134" s="141"/>
      <c r="AM134" s="141"/>
    </row>
    <row r="135" spans="2:39" s="2" customFormat="1" x14ac:dyDescent="0.2">
      <c r="AL135" s="141"/>
      <c r="AM135" s="141"/>
    </row>
    <row r="136" spans="2:39" s="2" customFormat="1" x14ac:dyDescent="0.2">
      <c r="AL136" s="141"/>
      <c r="AM136" s="141"/>
    </row>
    <row r="137" spans="2:39" s="2" customFormat="1" x14ac:dyDescent="0.2">
      <c r="AL137" s="141"/>
      <c r="AM137" s="141"/>
    </row>
    <row r="138" spans="2:39" s="2" customFormat="1" hidden="1" x14ac:dyDescent="0.2">
      <c r="B138" s="306" t="s">
        <v>329</v>
      </c>
      <c r="C138" s="373" t="s">
        <v>330</v>
      </c>
      <c r="D138" s="373" t="s">
        <v>6</v>
      </c>
      <c r="E138" s="373" t="s">
        <v>331</v>
      </c>
      <c r="F138" s="373" t="s">
        <v>332</v>
      </c>
      <c r="G138" s="373" t="s">
        <v>333</v>
      </c>
      <c r="H138" s="373" t="s">
        <v>334</v>
      </c>
      <c r="I138" s="373" t="s">
        <v>335</v>
      </c>
      <c r="J138" s="373" t="s">
        <v>353</v>
      </c>
      <c r="K138" s="156" t="s">
        <v>9</v>
      </c>
      <c r="L138" s="156" t="s">
        <v>354</v>
      </c>
      <c r="M138" s="156" t="s">
        <v>355</v>
      </c>
      <c r="N138" s="156" t="s">
        <v>356</v>
      </c>
      <c r="O138" s="156" t="s">
        <v>891</v>
      </c>
      <c r="P138" s="156" t="s">
        <v>357</v>
      </c>
      <c r="Q138" s="156" t="s">
        <v>358</v>
      </c>
      <c r="R138" s="156" t="s">
        <v>359</v>
      </c>
      <c r="S138" s="156" t="s">
        <v>878</v>
      </c>
      <c r="T138" s="156" t="s">
        <v>879</v>
      </c>
      <c r="U138" s="156" t="s">
        <v>360</v>
      </c>
      <c r="V138" s="156" t="s">
        <v>361</v>
      </c>
      <c r="W138" s="156" t="s">
        <v>363</v>
      </c>
      <c r="X138" s="156" t="s">
        <v>364</v>
      </c>
      <c r="Y138" s="156" t="s">
        <v>362</v>
      </c>
      <c r="Z138" s="156" t="s">
        <v>880</v>
      </c>
      <c r="AA138" s="156" t="s">
        <v>367</v>
      </c>
      <c r="AB138" s="156" t="s">
        <v>365</v>
      </c>
      <c r="AC138" s="156" t="s">
        <v>1412</v>
      </c>
      <c r="AD138" s="156" t="s">
        <v>366</v>
      </c>
      <c r="AE138" s="156" t="s">
        <v>368</v>
      </c>
      <c r="AF138" s="156" t="s">
        <v>606</v>
      </c>
      <c r="AG138" s="156" t="s">
        <v>369</v>
      </c>
      <c r="AH138" s="156" t="s">
        <v>416</v>
      </c>
      <c r="AL138" s="141"/>
      <c r="AM138" s="141"/>
    </row>
    <row r="1000" spans="1:39" ht="22.5" hidden="1" x14ac:dyDescent="0.2">
      <c r="A1000" s="683" t="s">
        <v>1113</v>
      </c>
      <c r="C1000" s="684" t="s">
        <v>1114</v>
      </c>
      <c r="D1000" s="684" t="s">
        <v>1115</v>
      </c>
      <c r="E1000" s="684" t="s">
        <v>1116</v>
      </c>
      <c r="F1000" s="684" t="s">
        <v>1117</v>
      </c>
      <c r="G1000" s="684" t="s">
        <v>1118</v>
      </c>
      <c r="H1000" s="684" t="s">
        <v>1119</v>
      </c>
      <c r="I1000" s="684" t="s">
        <v>1120</v>
      </c>
      <c r="J1000" s="684" t="s">
        <v>1143</v>
      </c>
      <c r="K1000" s="684" t="s">
        <v>1144</v>
      </c>
      <c r="L1000" s="684" t="s">
        <v>1145</v>
      </c>
      <c r="M1000" s="684" t="s">
        <v>1146</v>
      </c>
      <c r="N1000" s="684" t="s">
        <v>1147</v>
      </c>
      <c r="O1000" s="684" t="s">
        <v>1148</v>
      </c>
      <c r="P1000" s="684" t="s">
        <v>1149</v>
      </c>
      <c r="Q1000" s="684" t="s">
        <v>1150</v>
      </c>
      <c r="R1000" s="684" t="s">
        <v>1151</v>
      </c>
      <c r="S1000" s="684" t="s">
        <v>1152</v>
      </c>
      <c r="T1000" s="684" t="s">
        <v>1153</v>
      </c>
      <c r="U1000" s="684" t="s">
        <v>1154</v>
      </c>
      <c r="V1000" s="684" t="s">
        <v>1155</v>
      </c>
      <c r="W1000" s="684" t="s">
        <v>1156</v>
      </c>
      <c r="X1000" s="684" t="s">
        <v>1157</v>
      </c>
      <c r="Y1000" s="684" t="s">
        <v>1158</v>
      </c>
      <c r="Z1000" s="684" t="s">
        <v>1159</v>
      </c>
      <c r="AA1000" s="684" t="s">
        <v>1160</v>
      </c>
      <c r="AB1000" s="684" t="s">
        <v>1161</v>
      </c>
      <c r="AC1000" s="684" t="s">
        <v>1414</v>
      </c>
      <c r="AD1000" s="684" t="s">
        <v>1162</v>
      </c>
      <c r="AE1000" s="684" t="s">
        <v>1163</v>
      </c>
      <c r="AF1000" s="684" t="s">
        <v>1406</v>
      </c>
      <c r="AG1000" s="684" t="s">
        <v>1178</v>
      </c>
      <c r="AH1000" s="684" t="s">
        <v>1164</v>
      </c>
      <c r="AL1000" s="213"/>
      <c r="AM1000" s="213"/>
    </row>
  </sheetData>
  <sheetProtection algorithmName="SHA-512" hashValue="Ltd/jq1oM25AfVuchnrA/FkCzfSAKxf5s+VvD0fvuU4iPMMw7DHU1TIaEO2OQV7vYgyz5vugaI5WLzsV+W9NpQ==" saltValue="YAKCic70BQJHtZnm0uPSOg==" spinCount="100000" sheet="1" objects="1" scenarios="1"/>
  <mergeCells count="21">
    <mergeCell ref="Q5:Q6"/>
    <mergeCell ref="C5:C6"/>
    <mergeCell ref="D5:D6"/>
    <mergeCell ref="E5:E6"/>
    <mergeCell ref="F5:F6"/>
    <mergeCell ref="I5:I6"/>
    <mergeCell ref="H5:H6"/>
    <mergeCell ref="J5:J6"/>
    <mergeCell ref="K5:K6"/>
    <mergeCell ref="L5:L6"/>
    <mergeCell ref="M5:M6"/>
    <mergeCell ref="P5:P6"/>
    <mergeCell ref="AG5:AG6"/>
    <mergeCell ref="AH5:AH6"/>
    <mergeCell ref="AJ5:AJ6"/>
    <mergeCell ref="R5:R6"/>
    <mergeCell ref="U5:U6"/>
    <mergeCell ref="X5:X6"/>
    <mergeCell ref="AA5:AA6"/>
    <mergeCell ref="AE5:AE6"/>
    <mergeCell ref="AF5:AF6"/>
  </mergeCells>
  <phoneticPr fontId="44" type="noConversion"/>
  <conditionalFormatting sqref="I63">
    <cfRule type="cellIs" dxfId="369" priority="292" stopIfTrue="1" operator="notEqual">
      <formula>SUM(C63:F63,H63)</formula>
    </cfRule>
  </conditionalFormatting>
  <conditionalFormatting sqref="AG28:AG36 AG38:AG42 AG61:AG63 AG44:AG57 AG15:AG26">
    <cfRule type="cellIs" dxfId="368" priority="294" stopIfTrue="1" operator="notEqual">
      <formula>SUM(J15:L15,M15,P15:R15,U15,X15,AA15,AE15:AF15)</formula>
    </cfRule>
  </conditionalFormatting>
  <conditionalFormatting sqref="AH28:AH36 AH38:AH42 AH61:AH63 AH44:AH57 AH15:AH26">
    <cfRule type="cellIs" dxfId="367" priority="293" stopIfTrue="1" operator="notEqual">
      <formula>I15+AG15</formula>
    </cfRule>
  </conditionalFormatting>
  <conditionalFormatting sqref="X63">
    <cfRule type="expression" dxfId="366" priority="303" stopIfTrue="1">
      <formula>OR(AND(OR(V63&lt;&gt;0,W63&lt;&gt;0),X63&lt;&gt;V63+W63),AND(OR(Y63&lt;&gt;0,Z63&lt;&gt;0),X63&lt;&gt;Y63+Z63))</formula>
    </cfRule>
    <cfRule type="expression" dxfId="365" priority="304" stopIfTrue="1">
      <formula>OR(AND(V63+W63=0,X63&lt;&gt;0),AND(Y63+Z63=0,X63&lt;&gt;0))</formula>
    </cfRule>
  </conditionalFormatting>
  <conditionalFormatting sqref="AA63">
    <cfRule type="expression" dxfId="364" priority="301" stopIfTrue="1">
      <formula>AND(AA63+AB63=0,Z63&lt;&gt;0)</formula>
    </cfRule>
    <cfRule type="cellIs" dxfId="363" priority="302" stopIfTrue="1" operator="notEqual">
      <formula>AB63+AD63</formula>
    </cfRule>
    <cfRule type="expression" dxfId="362" priority="305" stopIfTrue="1">
      <formula>AND(AB63+AD63=0,AA63&lt;&gt;0)</formula>
    </cfRule>
  </conditionalFormatting>
  <conditionalFormatting sqref="M63 R63">
    <cfRule type="expression" dxfId="361" priority="299" stopIfTrue="1">
      <formula>AND(N63+O63=0,M63&lt;&gt;0)</formula>
    </cfRule>
    <cfRule type="cellIs" dxfId="360" priority="300" stopIfTrue="1" operator="notEqual">
      <formula>N63+O63</formula>
    </cfRule>
  </conditionalFormatting>
  <conditionalFormatting sqref="G9:G63">
    <cfRule type="cellIs" dxfId="359" priority="296" stopIfTrue="1" operator="greaterThan">
      <formula>F9</formula>
    </cfRule>
  </conditionalFormatting>
  <conditionalFormatting sqref="C63:AH63 AG61:AH62 AG15:AH26 AG44:AH57 AG38:AH42 AG28:AH36 G9:G62">
    <cfRule type="cellIs" dxfId="358" priority="295" stopIfTrue="1" operator="lessThan">
      <formula>0</formula>
    </cfRule>
  </conditionalFormatting>
  <conditionalFormatting sqref="AA63">
    <cfRule type="cellIs" dxfId="357" priority="306" stopIfTrue="1" operator="notEqual">
      <formula>AB63+AD63</formula>
    </cfRule>
  </conditionalFormatting>
  <conditionalFormatting sqref="I8:I62">
    <cfRule type="cellIs" dxfId="356" priority="259" stopIfTrue="1" operator="notEqual">
      <formula>ROUND(SUM(C8:F8,H8),3)</formula>
    </cfRule>
  </conditionalFormatting>
  <conditionalFormatting sqref="AG8:AG14">
    <cfRule type="cellIs" dxfId="355" priority="260" stopIfTrue="1" operator="notEqual">
      <formula>ROUND(SUM(J8:L8,M8,P8:R8,U8,X8,AA8,AE8:AF8),3)</formula>
    </cfRule>
  </conditionalFormatting>
  <conditionalFormatting sqref="AH8:AH14">
    <cfRule type="cellIs" dxfId="354" priority="261" stopIfTrue="1" operator="notEqual">
      <formula>ROUND(I8+AG8,3)</formula>
    </cfRule>
  </conditionalFormatting>
  <conditionalFormatting sqref="X8:X62">
    <cfRule type="expression" dxfId="353" priority="270" stopIfTrue="1">
      <formula>OR(AND(OR(V8&lt;&gt;0,W8&lt;&gt;0),X8&lt;&gt;V8+W8),AND(OR(Y8&lt;&gt;0,Z8&lt;&gt;0),X8&lt;&gt;Y8+Z8))</formula>
    </cfRule>
    <cfRule type="expression" dxfId="352" priority="271" stopIfTrue="1">
      <formula>OR(AND(V8+W8=0,X8&lt;&gt;0),AND(Y8+Z8=0,X8&lt;&gt;0))</formula>
    </cfRule>
  </conditionalFormatting>
  <conditionalFormatting sqref="AA8:AA62">
    <cfRule type="expression" dxfId="351" priority="268" stopIfTrue="1">
      <formula>AND(AB8+AD8=0,AA8&lt;&gt;0)</formula>
    </cfRule>
    <cfRule type="cellIs" dxfId="350" priority="269" stopIfTrue="1" operator="notEqual">
      <formula>AB8+AD8</formula>
    </cfRule>
  </conditionalFormatting>
  <conditionalFormatting sqref="R8:R62">
    <cfRule type="expression" dxfId="349" priority="266" stopIfTrue="1">
      <formula>AND(S8+T8=0,R8&lt;&gt;0)</formula>
    </cfRule>
    <cfRule type="cellIs" dxfId="348" priority="267" stopIfTrue="1" operator="notEqual">
      <formula>S8+T8</formula>
    </cfRule>
  </conditionalFormatting>
  <conditionalFormatting sqref="G8">
    <cfRule type="cellIs" dxfId="347" priority="263" stopIfTrue="1" operator="greaterThan">
      <formula>F8</formula>
    </cfRule>
  </conditionalFormatting>
  <conditionalFormatting sqref="D8:AH8 AG9:AH14 D9:F62 H9:AF62">
    <cfRule type="cellIs" dxfId="346" priority="262" stopIfTrue="1" operator="lessThan">
      <formula>0</formula>
    </cfRule>
  </conditionalFormatting>
  <conditionalFormatting sqref="M8:M62">
    <cfRule type="expression" dxfId="345" priority="264" stopIfTrue="1">
      <formula>AND(N8+O8=0,M8&lt;&gt;0)</formula>
    </cfRule>
    <cfRule type="cellIs" dxfId="344" priority="265" stopIfTrue="1" operator="notEqual">
      <formula>N8+O8</formula>
    </cfRule>
  </conditionalFormatting>
  <conditionalFormatting sqref="AG27:AH27">
    <cfRule type="cellIs" dxfId="343" priority="237" stopIfTrue="1" operator="lessThan">
      <formula>0</formula>
    </cfRule>
  </conditionalFormatting>
  <conditionalFormatting sqref="AG37:AH37">
    <cfRule type="cellIs" dxfId="342" priority="226" stopIfTrue="1" operator="lessThan">
      <formula>0</formula>
    </cfRule>
  </conditionalFormatting>
  <conditionalFormatting sqref="AG43:AH43">
    <cfRule type="cellIs" dxfId="341" priority="215" stopIfTrue="1" operator="lessThan">
      <formula>0</formula>
    </cfRule>
  </conditionalFormatting>
  <conditionalFormatting sqref="AG58">
    <cfRule type="cellIs" dxfId="340" priority="164" stopIfTrue="1" operator="notEqual">
      <formula>SUM(J58:L58,M58,P58:R58,U58,X58,AA58,AE58:AF58)</formula>
    </cfRule>
  </conditionalFormatting>
  <conditionalFormatting sqref="AH58">
    <cfRule type="cellIs" dxfId="339" priority="165" stopIfTrue="1" operator="notEqual">
      <formula>I58+AG58</formula>
    </cfRule>
  </conditionalFormatting>
  <conditionalFormatting sqref="AG58:AH58">
    <cfRule type="cellIs" dxfId="338" priority="166" stopIfTrue="1" operator="lessThan">
      <formula>0</formula>
    </cfRule>
  </conditionalFormatting>
  <conditionalFormatting sqref="AG60">
    <cfRule type="cellIs" dxfId="337" priority="151" stopIfTrue="1" operator="notEqual">
      <formula>SUM(J60:L60,M60,P60:R60,U60,X60,AA60,AE60:AF60)</formula>
    </cfRule>
  </conditionalFormatting>
  <conditionalFormatting sqref="AH60">
    <cfRule type="cellIs" dxfId="336" priority="152" stopIfTrue="1" operator="notEqual">
      <formula>I60+AG60</formula>
    </cfRule>
  </conditionalFormatting>
  <conditionalFormatting sqref="AG60:AH60">
    <cfRule type="cellIs" dxfId="335" priority="153" stopIfTrue="1" operator="lessThan">
      <formula>0</formula>
    </cfRule>
  </conditionalFormatting>
  <conditionalFormatting sqref="AG59">
    <cfRule type="cellIs" dxfId="334" priority="138" stopIfTrue="1" operator="notEqual">
      <formula>SUM(J59:L59,M59,P59:R59,U59,X59,AA59,AE59:AF59)</formula>
    </cfRule>
  </conditionalFormatting>
  <conditionalFormatting sqref="AH59">
    <cfRule type="cellIs" dxfId="333" priority="139" stopIfTrue="1" operator="notEqual">
      <formula>I59+AG59</formula>
    </cfRule>
  </conditionalFormatting>
  <conditionalFormatting sqref="AG59:AH59">
    <cfRule type="cellIs" dxfId="332" priority="140" stopIfTrue="1" operator="lessThan">
      <formula>0</formula>
    </cfRule>
  </conditionalFormatting>
  <conditionalFormatting sqref="I64">
    <cfRule type="cellIs" dxfId="331" priority="23" stopIfTrue="1" operator="notEqual">
      <formula>SUM(C64:F64,H64)</formula>
    </cfRule>
  </conditionalFormatting>
  <conditionalFormatting sqref="AG64">
    <cfRule type="cellIs" dxfId="330" priority="24" stopIfTrue="1" operator="notEqual">
      <formula>SUM(J64:L64,M64,P64:R64,U64,X64,AA64,AE64:AF64)</formula>
    </cfRule>
  </conditionalFormatting>
  <conditionalFormatting sqref="AH64">
    <cfRule type="cellIs" dxfId="329" priority="25" stopIfTrue="1" operator="notEqual">
      <formula>I64+AG64</formula>
    </cfRule>
  </conditionalFormatting>
  <conditionalFormatting sqref="X64">
    <cfRule type="expression" dxfId="328" priority="35" stopIfTrue="1">
      <formula>OR(AND(OR(V64&lt;&gt;0,W64&lt;&gt;0),X64&lt;&gt;V64+W64),AND(OR(Y64&lt;&gt;0,Z64&lt;&gt;0),X64&lt;&gt;Y64+Z64))</formula>
    </cfRule>
    <cfRule type="expression" dxfId="327" priority="36" stopIfTrue="1">
      <formula>OR(AND(V64+W64=0,X64&lt;&gt;0),AND(Y64+Z64=0,X64&lt;&gt;0))</formula>
    </cfRule>
  </conditionalFormatting>
  <conditionalFormatting sqref="AA64">
    <cfRule type="expression" dxfId="326" priority="33" stopIfTrue="1">
      <formula>AND(AB64+AD64=0,AA64&lt;&gt;0)</formula>
    </cfRule>
    <cfRule type="cellIs" dxfId="325" priority="34" stopIfTrue="1" operator="notEqual">
      <formula>AB64+AD64</formula>
    </cfRule>
  </conditionalFormatting>
  <conditionalFormatting sqref="R64">
    <cfRule type="expression" dxfId="324" priority="31" stopIfTrue="1">
      <formula>AND(S64+T64=0,R64&lt;&gt;0)</formula>
    </cfRule>
    <cfRule type="cellIs" dxfId="323" priority="32" stopIfTrue="1" operator="notEqual">
      <formula>S64+T64</formula>
    </cfRule>
  </conditionalFormatting>
  <conditionalFormatting sqref="G64">
    <cfRule type="cellIs" dxfId="322" priority="28" stopIfTrue="1" operator="greaterThan">
      <formula>F64</formula>
    </cfRule>
  </conditionalFormatting>
  <conditionalFormatting sqref="C64:AH64">
    <cfRule type="cellIs" dxfId="321" priority="27" stopIfTrue="1" operator="lessThan">
      <formula>0</formula>
    </cfRule>
  </conditionalFormatting>
  <conditionalFormatting sqref="C64:AH64">
    <cfRule type="cellIs" dxfId="320" priority="26" stopIfTrue="1" operator="notEqual">
      <formula>ROUND(SUM(C8:C63),3)</formula>
    </cfRule>
  </conditionalFormatting>
  <conditionalFormatting sqref="M64">
    <cfRule type="expression" dxfId="319" priority="29" stopIfTrue="1">
      <formula>AND(N64+O64=0,M64&lt;&gt;0)</formula>
    </cfRule>
    <cfRule type="cellIs" dxfId="318" priority="30" stopIfTrue="1" operator="notEqual">
      <formula>N64+O64</formula>
    </cfRule>
  </conditionalFormatting>
  <conditionalFormatting sqref="F72">
    <cfRule type="cellIs" dxfId="317" priority="22" stopIfTrue="1" operator="notEqual">
      <formula>"OK"</formula>
    </cfRule>
  </conditionalFormatting>
  <conditionalFormatting sqref="F71">
    <cfRule type="cellIs" dxfId="316" priority="21" stopIfTrue="1" operator="notEqual">
      <formula>"OK"</formula>
    </cfRule>
  </conditionalFormatting>
  <conditionalFormatting sqref="C8:C62">
    <cfRule type="cellIs" dxfId="315" priority="20" stopIfTrue="1" operator="lessThan">
      <formula>0</formula>
    </cfRule>
  </conditionalFormatting>
  <conditionalFormatting sqref="I66">
    <cfRule type="cellIs" dxfId="314" priority="1" stopIfTrue="1" operator="notEqual">
      <formula>SUM(C66:F66,H66)</formula>
    </cfRule>
  </conditionalFormatting>
  <conditionalFormatting sqref="AG66">
    <cfRule type="cellIs" dxfId="313" priority="2" stopIfTrue="1" operator="notEqual">
      <formula>SUM(J66:L66,M66,P66:R66,U66,X66,AA66,AE66:AF66)</formula>
    </cfRule>
  </conditionalFormatting>
  <conditionalFormatting sqref="AH66">
    <cfRule type="cellIs" dxfId="312" priority="3" stopIfTrue="1" operator="notEqual">
      <formula>I66+AG66</formula>
    </cfRule>
  </conditionalFormatting>
  <conditionalFormatting sqref="X66">
    <cfRule type="expression" dxfId="311" priority="12" stopIfTrue="1">
      <formula>OR(AND(OR(V66&lt;&gt;0,W66&lt;&gt;0),X66&lt;&gt;V66+W66),AND(OR(Y66&lt;&gt;0,Z66&lt;&gt;0),X66&lt;&gt;Y66+Z66))</formula>
    </cfRule>
    <cfRule type="expression" dxfId="310" priority="13" stopIfTrue="1">
      <formula>OR(AND(V66+W66=0,X66&lt;&gt;0),AND(Y66+Z66=0,X66&lt;&gt;0))</formula>
    </cfRule>
  </conditionalFormatting>
  <conditionalFormatting sqref="AA66">
    <cfRule type="expression" dxfId="309" priority="10" stopIfTrue="1">
      <formula>AND(AB66+AD66=0,AA66&lt;&gt;0)</formula>
    </cfRule>
    <cfRule type="cellIs" dxfId="308" priority="11" stopIfTrue="1" operator="notEqual">
      <formula>AB66+AD66</formula>
    </cfRule>
  </conditionalFormatting>
  <conditionalFormatting sqref="R66">
    <cfRule type="expression" dxfId="307" priority="8" stopIfTrue="1">
      <formula>AND(S66+T66=0,R66&lt;&gt;0)</formula>
    </cfRule>
    <cfRule type="cellIs" dxfId="306" priority="9" stopIfTrue="1" operator="notEqual">
      <formula>S66+T66</formula>
    </cfRule>
  </conditionalFormatting>
  <conditionalFormatting sqref="G66">
    <cfRule type="cellIs" dxfId="305" priority="5" stopIfTrue="1" operator="greaterThan">
      <formula>F66</formula>
    </cfRule>
  </conditionalFormatting>
  <conditionalFormatting sqref="C66:AH66">
    <cfRule type="cellIs" dxfId="304" priority="4" stopIfTrue="1" operator="lessThan">
      <formula>0</formula>
    </cfRule>
  </conditionalFormatting>
  <conditionalFormatting sqref="M66">
    <cfRule type="expression" dxfId="303" priority="6" stopIfTrue="1">
      <formula>AND(N66+O66=0,M66&lt;&gt;0)</formula>
    </cfRule>
    <cfRule type="cellIs" dxfId="302" priority="7" stopIfTrue="1" operator="notEqual">
      <formula>N66+O66</formula>
    </cfRule>
  </conditionalFormatting>
  <dataValidations count="1">
    <dataValidation type="decimal" operator="greaterThanOrEqual" allowBlank="1" showErrorMessage="1" errorTitle="Input error" error="Numbers only!" sqref="C8:AH66" xr:uid="{00000000-0002-0000-0D00-000000000000}">
      <formula1>-10000000</formula1>
    </dataValidation>
  </dataValidations>
  <pageMargins left="0.39370078740157483" right="0.39370078740157483" top="0.78740157480314965" bottom="0.78740157480314965" header="0.39370078740157483" footer="0.39370078740157483"/>
  <pageSetup paperSize="9" scale="44" orientation="landscape" r:id="rId1"/>
  <headerFooter alignWithMargins="0">
    <oddHeader>&amp;A</oddHeader>
    <oddFooter>Page &amp;P</oddFooter>
  </headerFooter>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B1:AI44"/>
  <sheetViews>
    <sheetView zoomScaleNormal="100" workbookViewId="0"/>
  </sheetViews>
  <sheetFormatPr defaultColWidth="9.140625" defaultRowHeight="12.75" x14ac:dyDescent="0.2"/>
  <cols>
    <col min="1" max="2" width="1.7109375" style="2" customWidth="1"/>
    <col min="3" max="3" width="2.85546875" style="2" customWidth="1"/>
    <col min="4" max="4" width="91.7109375" style="2" customWidth="1"/>
    <col min="5" max="5" width="2.85546875" style="2" customWidth="1"/>
    <col min="6" max="6" width="8" style="2" customWidth="1"/>
    <col min="7" max="34" width="9.140625" style="2"/>
    <col min="35" max="35" width="9.28515625" style="2" hidden="1" customWidth="1"/>
    <col min="36" max="16384" width="9.140625" style="2"/>
  </cols>
  <sheetData>
    <row r="1" spans="2:35" x14ac:dyDescent="0.2">
      <c r="B1" s="102"/>
      <c r="C1" s="102"/>
      <c r="D1" s="102"/>
      <c r="E1" s="102"/>
      <c r="F1" s="102"/>
      <c r="AI1" s="303" t="s">
        <v>351</v>
      </c>
    </row>
    <row r="2" spans="2:35" ht="20.25" x14ac:dyDescent="0.3">
      <c r="B2" s="102"/>
      <c r="C2" s="103" t="s">
        <v>612</v>
      </c>
      <c r="D2" s="104"/>
      <c r="E2" s="104"/>
      <c r="F2" s="102"/>
      <c r="AI2" s="432" t="s">
        <v>185</v>
      </c>
    </row>
    <row r="3" spans="2:35" ht="13.5" thickBot="1" x14ac:dyDescent="0.25">
      <c r="B3" s="105"/>
      <c r="C3" s="102"/>
      <c r="D3" s="102"/>
      <c r="E3" s="102"/>
      <c r="F3" s="102"/>
      <c r="AI3" s="303" t="s">
        <v>553</v>
      </c>
    </row>
    <row r="4" spans="2:35" x14ac:dyDescent="0.2">
      <c r="B4" s="107"/>
      <c r="C4" s="108"/>
      <c r="D4" s="468"/>
      <c r="E4" s="109"/>
      <c r="F4" s="102"/>
      <c r="AI4" s="106" t="s">
        <v>186</v>
      </c>
    </row>
    <row r="5" spans="2:35" x14ac:dyDescent="0.2">
      <c r="B5" s="107"/>
      <c r="C5" s="110"/>
      <c r="D5" s="469"/>
      <c r="E5" s="111"/>
      <c r="F5" s="102"/>
      <c r="AI5" s="106" t="s">
        <v>187</v>
      </c>
    </row>
    <row r="6" spans="2:35" x14ac:dyDescent="0.2">
      <c r="B6" s="107"/>
      <c r="C6" s="110"/>
      <c r="D6" s="469"/>
      <c r="E6" s="111"/>
      <c r="F6" s="102"/>
      <c r="AI6" s="106" t="s">
        <v>188</v>
      </c>
    </row>
    <row r="7" spans="2:35" x14ac:dyDescent="0.2">
      <c r="B7" s="107"/>
      <c r="C7" s="110"/>
      <c r="D7" s="469"/>
      <c r="E7" s="111"/>
      <c r="F7" s="102"/>
      <c r="AI7" s="106" t="s">
        <v>189</v>
      </c>
    </row>
    <row r="8" spans="2:35" x14ac:dyDescent="0.2">
      <c r="B8" s="107"/>
      <c r="C8" s="110"/>
      <c r="D8" s="469"/>
      <c r="E8" s="111"/>
      <c r="F8" s="102"/>
      <c r="AI8" s="106" t="s">
        <v>190</v>
      </c>
    </row>
    <row r="9" spans="2:35" x14ac:dyDescent="0.2">
      <c r="B9" s="107"/>
      <c r="C9" s="110"/>
      <c r="D9" s="469"/>
      <c r="E9" s="111"/>
      <c r="F9" s="102"/>
      <c r="AI9" s="106" t="s">
        <v>191</v>
      </c>
    </row>
    <row r="10" spans="2:35" x14ac:dyDescent="0.2">
      <c r="B10" s="107"/>
      <c r="C10" s="110"/>
      <c r="D10" s="469"/>
      <c r="E10" s="111"/>
      <c r="F10" s="102"/>
      <c r="AI10" s="106" t="s">
        <v>192</v>
      </c>
    </row>
    <row r="11" spans="2:35" x14ac:dyDescent="0.2">
      <c r="B11" s="107"/>
      <c r="C11" s="110"/>
      <c r="D11" s="469"/>
      <c r="E11" s="111"/>
      <c r="F11" s="102"/>
      <c r="AI11" s="106" t="s">
        <v>193</v>
      </c>
    </row>
    <row r="12" spans="2:35" x14ac:dyDescent="0.2">
      <c r="B12" s="107"/>
      <c r="C12" s="110"/>
      <c r="D12" s="469"/>
      <c r="E12" s="111"/>
      <c r="F12" s="102"/>
      <c r="AI12" s="106" t="s">
        <v>194</v>
      </c>
    </row>
    <row r="13" spans="2:35" x14ac:dyDescent="0.2">
      <c r="B13" s="107"/>
      <c r="C13" s="110"/>
      <c r="D13" s="470"/>
      <c r="E13" s="111"/>
      <c r="F13" s="102"/>
      <c r="AI13" s="106" t="s">
        <v>195</v>
      </c>
    </row>
    <row r="14" spans="2:35" x14ac:dyDescent="0.2">
      <c r="B14" s="107"/>
      <c r="C14" s="110"/>
      <c r="D14" s="470"/>
      <c r="E14" s="111"/>
      <c r="F14" s="102"/>
      <c r="AI14" s="106" t="s">
        <v>196</v>
      </c>
    </row>
    <row r="15" spans="2:35" x14ac:dyDescent="0.2">
      <c r="B15" s="107"/>
      <c r="C15" s="110"/>
      <c r="D15" s="470"/>
      <c r="E15" s="111"/>
      <c r="F15" s="102"/>
      <c r="AI15" s="106" t="s">
        <v>197</v>
      </c>
    </row>
    <row r="16" spans="2:35" x14ac:dyDescent="0.2">
      <c r="B16" s="107"/>
      <c r="C16" s="110"/>
      <c r="D16" s="470"/>
      <c r="E16" s="111"/>
      <c r="F16" s="102"/>
      <c r="AI16" s="106" t="s">
        <v>198</v>
      </c>
    </row>
    <row r="17" spans="2:35" x14ac:dyDescent="0.2">
      <c r="B17" s="107"/>
      <c r="C17" s="110"/>
      <c r="D17" s="470"/>
      <c r="E17" s="111"/>
      <c r="F17" s="102"/>
      <c r="AI17" s="106" t="s">
        <v>199</v>
      </c>
    </row>
    <row r="18" spans="2:35" x14ac:dyDescent="0.2">
      <c r="B18" s="107"/>
      <c r="C18" s="110"/>
      <c r="D18" s="470"/>
      <c r="E18" s="111"/>
      <c r="F18" s="102"/>
      <c r="AI18" s="106" t="s">
        <v>200</v>
      </c>
    </row>
    <row r="19" spans="2:35" x14ac:dyDescent="0.2">
      <c r="B19" s="107"/>
      <c r="C19" s="110"/>
      <c r="D19" s="470"/>
      <c r="E19" s="111"/>
      <c r="F19" s="102"/>
      <c r="AI19" s="106" t="s">
        <v>201</v>
      </c>
    </row>
    <row r="20" spans="2:35" x14ac:dyDescent="0.2">
      <c r="B20" s="107"/>
      <c r="C20" s="110"/>
      <c r="D20" s="470"/>
      <c r="E20" s="111"/>
      <c r="F20" s="102"/>
      <c r="AI20" s="106" t="s">
        <v>202</v>
      </c>
    </row>
    <row r="21" spans="2:35" x14ac:dyDescent="0.2">
      <c r="B21" s="107"/>
      <c r="C21" s="110"/>
      <c r="D21" s="470"/>
      <c r="E21" s="111"/>
      <c r="F21" s="102"/>
      <c r="AI21" s="106" t="s">
        <v>203</v>
      </c>
    </row>
    <row r="22" spans="2:35" x14ac:dyDescent="0.2">
      <c r="B22" s="107"/>
      <c r="C22" s="110"/>
      <c r="D22" s="470"/>
      <c r="E22" s="111"/>
      <c r="F22" s="102"/>
      <c r="AI22" s="106" t="s">
        <v>204</v>
      </c>
    </row>
    <row r="23" spans="2:35" x14ac:dyDescent="0.2">
      <c r="B23" s="107"/>
      <c r="C23" s="110"/>
      <c r="D23" s="470"/>
      <c r="E23" s="111"/>
      <c r="F23" s="102"/>
      <c r="AI23" s="106" t="s">
        <v>205</v>
      </c>
    </row>
    <row r="24" spans="2:35" x14ac:dyDescent="0.2">
      <c r="B24" s="107"/>
      <c r="C24" s="110"/>
      <c r="D24" s="470"/>
      <c r="E24" s="111"/>
      <c r="F24" s="102"/>
      <c r="AI24" s="106" t="s">
        <v>206</v>
      </c>
    </row>
    <row r="25" spans="2:35" x14ac:dyDescent="0.2">
      <c r="B25" s="107"/>
      <c r="C25" s="110"/>
      <c r="D25" s="470"/>
      <c r="E25" s="111"/>
      <c r="F25" s="102"/>
      <c r="AI25" s="106" t="s">
        <v>207</v>
      </c>
    </row>
    <row r="26" spans="2:35" x14ac:dyDescent="0.2">
      <c r="B26" s="107"/>
      <c r="C26" s="110"/>
      <c r="D26" s="470"/>
      <c r="E26" s="111"/>
      <c r="F26" s="102"/>
      <c r="AI26" s="106" t="s">
        <v>208</v>
      </c>
    </row>
    <row r="27" spans="2:35" x14ac:dyDescent="0.2">
      <c r="B27" s="107"/>
      <c r="C27" s="110"/>
      <c r="D27" s="470"/>
      <c r="E27" s="111"/>
      <c r="F27" s="102"/>
      <c r="AI27" s="106" t="s">
        <v>209</v>
      </c>
    </row>
    <row r="28" spans="2:35" x14ac:dyDescent="0.2">
      <c r="B28" s="107"/>
      <c r="C28" s="110"/>
      <c r="D28" s="470"/>
      <c r="E28" s="111"/>
      <c r="F28" s="102"/>
      <c r="AI28" s="106" t="s">
        <v>210</v>
      </c>
    </row>
    <row r="29" spans="2:35" x14ac:dyDescent="0.2">
      <c r="B29" s="107"/>
      <c r="C29" s="110"/>
      <c r="D29" s="470"/>
      <c r="E29" s="111"/>
      <c r="F29" s="102"/>
      <c r="AI29" s="106" t="s">
        <v>211</v>
      </c>
    </row>
    <row r="30" spans="2:35" x14ac:dyDescent="0.2">
      <c r="B30" s="107"/>
      <c r="C30" s="110"/>
      <c r="D30" s="470"/>
      <c r="E30" s="111"/>
      <c r="F30" s="102"/>
      <c r="AI30" s="106" t="s">
        <v>212</v>
      </c>
    </row>
    <row r="31" spans="2:35" x14ac:dyDescent="0.2">
      <c r="B31" s="107"/>
      <c r="C31" s="110"/>
      <c r="D31" s="470"/>
      <c r="E31" s="111"/>
      <c r="F31" s="102"/>
      <c r="AI31" s="106" t="s">
        <v>213</v>
      </c>
    </row>
    <row r="32" spans="2:35" x14ac:dyDescent="0.2">
      <c r="B32" s="107"/>
      <c r="C32" s="110"/>
      <c r="D32" s="470"/>
      <c r="E32" s="111"/>
      <c r="F32" s="102"/>
      <c r="AI32" s="106" t="s">
        <v>214</v>
      </c>
    </row>
    <row r="33" spans="2:35" x14ac:dyDescent="0.2">
      <c r="B33" s="107"/>
      <c r="C33" s="110"/>
      <c r="D33" s="470"/>
      <c r="E33" s="111"/>
      <c r="F33" s="102"/>
      <c r="AI33" s="106" t="s">
        <v>215</v>
      </c>
    </row>
    <row r="34" spans="2:35" x14ac:dyDescent="0.2">
      <c r="B34" s="107"/>
      <c r="C34" s="110"/>
      <c r="D34" s="470"/>
      <c r="E34" s="111"/>
      <c r="F34" s="102"/>
      <c r="AI34" s="106" t="s">
        <v>216</v>
      </c>
    </row>
    <row r="35" spans="2:35" x14ac:dyDescent="0.2">
      <c r="B35" s="107"/>
      <c r="C35" s="110"/>
      <c r="D35" s="470"/>
      <c r="E35" s="111"/>
      <c r="F35" s="102"/>
      <c r="AI35" s="106" t="s">
        <v>217</v>
      </c>
    </row>
    <row r="36" spans="2:35" x14ac:dyDescent="0.2">
      <c r="B36" s="107"/>
      <c r="C36" s="110"/>
      <c r="D36" s="470"/>
      <c r="E36" s="111"/>
      <c r="F36" s="102"/>
      <c r="AI36" s="106" t="s">
        <v>218</v>
      </c>
    </row>
    <row r="37" spans="2:35" x14ac:dyDescent="0.2">
      <c r="B37" s="107"/>
      <c r="C37" s="110"/>
      <c r="D37" s="470"/>
      <c r="E37" s="111"/>
      <c r="F37" s="102"/>
      <c r="AI37" s="106" t="s">
        <v>219</v>
      </c>
    </row>
    <row r="38" spans="2:35" x14ac:dyDescent="0.2">
      <c r="B38" s="107"/>
      <c r="C38" s="110"/>
      <c r="D38" s="470"/>
      <c r="E38" s="111"/>
      <c r="F38" s="102"/>
      <c r="AI38" s="106" t="s">
        <v>220</v>
      </c>
    </row>
    <row r="39" spans="2:35" x14ac:dyDescent="0.2">
      <c r="B39" s="107"/>
      <c r="C39" s="110"/>
      <c r="D39" s="470"/>
      <c r="E39" s="111"/>
      <c r="F39" s="102"/>
      <c r="AI39" s="106" t="s">
        <v>221</v>
      </c>
    </row>
    <row r="40" spans="2:35" x14ac:dyDescent="0.2">
      <c r="B40" s="107"/>
      <c r="C40" s="110"/>
      <c r="D40" s="470"/>
      <c r="E40" s="111"/>
      <c r="F40" s="102"/>
      <c r="AI40" s="106" t="s">
        <v>222</v>
      </c>
    </row>
    <row r="41" spans="2:35" x14ac:dyDescent="0.2">
      <c r="B41" s="107"/>
      <c r="C41" s="110"/>
      <c r="D41" s="470"/>
      <c r="E41" s="111"/>
      <c r="F41" s="102"/>
      <c r="AI41" s="106" t="s">
        <v>223</v>
      </c>
    </row>
    <row r="42" spans="2:35" x14ac:dyDescent="0.2">
      <c r="B42" s="107"/>
      <c r="C42" s="110"/>
      <c r="D42" s="470"/>
      <c r="E42" s="111"/>
      <c r="F42" s="102"/>
      <c r="AI42" s="106" t="s">
        <v>224</v>
      </c>
    </row>
    <row r="43" spans="2:35" ht="13.5" thickBot="1" x14ac:dyDescent="0.25">
      <c r="B43" s="107"/>
      <c r="C43" s="112"/>
      <c r="D43" s="471"/>
      <c r="E43" s="113"/>
      <c r="F43" s="102"/>
      <c r="AI43" s="106" t="s">
        <v>225</v>
      </c>
    </row>
    <row r="44" spans="2:35" x14ac:dyDescent="0.2">
      <c r="B44" s="102"/>
      <c r="C44" s="102"/>
      <c r="D44" s="102"/>
      <c r="E44" s="102"/>
      <c r="F44" s="102"/>
      <c r="AI44" s="102"/>
    </row>
  </sheetData>
  <sheetProtection algorithmName="SHA-512" hashValue="JsFiiWgs4ckuKNjzWLv6NsQGl+LRIvoJa0D9f0t/VwjEZzHM6Si6no6Esbc1k0LwW7CUxC9iubgcYQXhb5+w/g==" saltValue="XKatFnbJgxZnWXGh47L6sA==" spinCount="100000" sheet="1" objects="1" scenarios="1"/>
  <phoneticPr fontId="44" type="noConversion"/>
  <printOptions horizontalCentered="1"/>
  <pageMargins left="0" right="0" top="0" bottom="0" header="0" footer="0"/>
  <pageSetup paperSize="9" orientation="portrait" r:id="rId1"/>
  <headerFooter alignWithMargins="0">
    <oddHeader>&amp;A</oddHeader>
    <oddFooter>Page &amp;P</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N134"/>
  <sheetViews>
    <sheetView zoomScale="75" zoomScaleNormal="75" workbookViewId="0"/>
  </sheetViews>
  <sheetFormatPr defaultColWidth="9.140625" defaultRowHeight="12.75" x14ac:dyDescent="0.2"/>
  <cols>
    <col min="1" max="1" width="2.85546875" style="433" customWidth="1"/>
    <col min="2" max="2" width="9.140625" style="433"/>
    <col min="3" max="3" width="4" style="433" customWidth="1"/>
    <col min="4" max="4" width="90.85546875" style="433" customWidth="1"/>
    <col min="5" max="5" width="10.7109375" style="433" customWidth="1"/>
    <col min="6" max="6" width="13.28515625" style="433" customWidth="1"/>
    <col min="7" max="7" width="7.28515625" style="433" customWidth="1"/>
    <col min="8" max="9" width="5.7109375" style="433" customWidth="1"/>
    <col min="10" max="10" width="4" style="433" customWidth="1"/>
    <col min="11" max="11" width="80.7109375" style="433" customWidth="1"/>
    <col min="12" max="12" width="13.28515625" style="433" customWidth="1"/>
    <col min="13" max="13" width="7.28515625" style="433" customWidth="1"/>
    <col min="14" max="16384" width="9.140625" style="433"/>
  </cols>
  <sheetData>
    <row r="1" spans="1:14" x14ac:dyDescent="0.2">
      <c r="A1" s="484"/>
      <c r="B1" s="484"/>
      <c r="C1" s="484"/>
      <c r="D1" s="484"/>
      <c r="E1" s="484"/>
      <c r="F1" s="484"/>
      <c r="G1" s="484"/>
      <c r="H1" s="484"/>
      <c r="I1" s="484"/>
      <c r="J1" s="484"/>
      <c r="K1" s="484"/>
      <c r="L1" s="484"/>
      <c r="M1" s="484"/>
      <c r="N1" s="484"/>
    </row>
    <row r="2" spans="1:14" ht="35.25" x14ac:dyDescent="0.5">
      <c r="A2" s="484"/>
      <c r="B2" s="484"/>
      <c r="C2" s="484"/>
      <c r="D2" s="1190" t="s">
        <v>949</v>
      </c>
      <c r="E2" s="1190"/>
      <c r="F2" s="1190"/>
      <c r="G2" s="1190"/>
      <c r="H2" s="1190"/>
      <c r="I2" s="1190"/>
      <c r="J2" s="1190"/>
      <c r="K2" s="1190"/>
      <c r="L2" s="1190"/>
      <c r="M2" s="1190"/>
      <c r="N2" s="484"/>
    </row>
    <row r="3" spans="1:14" x14ac:dyDescent="0.2">
      <c r="A3" s="484"/>
      <c r="B3" s="484"/>
      <c r="C3" s="484"/>
      <c r="D3" s="484"/>
      <c r="E3" s="484"/>
      <c r="F3" s="484"/>
      <c r="G3" s="484"/>
      <c r="H3" s="484"/>
      <c r="I3" s="484"/>
      <c r="J3" s="484"/>
      <c r="K3" s="484"/>
      <c r="L3" s="484"/>
      <c r="M3" s="484"/>
      <c r="N3" s="484"/>
    </row>
    <row r="4" spans="1:14" x14ac:dyDescent="0.2">
      <c r="A4" s="484"/>
      <c r="B4" s="484"/>
      <c r="C4" s="484"/>
      <c r="D4" s="484"/>
      <c r="E4" s="484"/>
      <c r="F4" s="484"/>
      <c r="G4" s="484"/>
      <c r="H4" s="484"/>
      <c r="I4" s="484"/>
      <c r="J4" s="484"/>
      <c r="K4" s="484"/>
      <c r="L4" s="484"/>
      <c r="M4" s="484"/>
      <c r="N4" s="484"/>
    </row>
    <row r="5" spans="1:14" ht="18" x14ac:dyDescent="0.25">
      <c r="A5" s="484"/>
      <c r="B5" s="484"/>
      <c r="C5" s="484"/>
      <c r="D5" s="485" t="s">
        <v>745</v>
      </c>
      <c r="E5" s="484"/>
      <c r="F5" s="484"/>
      <c r="G5" s="484"/>
      <c r="H5" s="484"/>
      <c r="I5" s="484"/>
      <c r="J5" s="484"/>
      <c r="K5" s="484"/>
      <c r="L5" s="484"/>
      <c r="M5" s="484"/>
      <c r="N5" s="484"/>
    </row>
    <row r="6" spans="1:14" x14ac:dyDescent="0.2">
      <c r="A6" s="484"/>
      <c r="B6" s="484"/>
      <c r="C6" s="484"/>
      <c r="D6" s="484"/>
      <c r="E6" s="484"/>
      <c r="F6" s="484"/>
      <c r="G6" s="484"/>
      <c r="H6" s="484"/>
      <c r="I6" s="484"/>
      <c r="J6" s="484"/>
      <c r="K6" s="484"/>
      <c r="L6" s="484"/>
      <c r="M6" s="484"/>
      <c r="N6" s="484"/>
    </row>
    <row r="7" spans="1:14" ht="13.5" thickBot="1" x14ac:dyDescent="0.25">
      <c r="A7" s="484"/>
      <c r="B7" s="484"/>
      <c r="C7" s="484"/>
      <c r="D7" s="484"/>
      <c r="E7" s="484"/>
      <c r="F7" s="484"/>
      <c r="G7" s="484"/>
      <c r="H7" s="484"/>
      <c r="I7" s="484"/>
      <c r="J7" s="484"/>
      <c r="K7" s="484"/>
      <c r="L7" s="484"/>
      <c r="M7" s="484"/>
      <c r="N7" s="484"/>
    </row>
    <row r="8" spans="1:14" x14ac:dyDescent="0.2">
      <c r="A8" s="484"/>
      <c r="B8" s="488"/>
      <c r="C8" s="572"/>
      <c r="D8" s="486"/>
      <c r="E8" s="486"/>
      <c r="F8" s="486"/>
      <c r="G8" s="487"/>
      <c r="H8" s="484"/>
      <c r="I8" s="488"/>
      <c r="J8" s="486"/>
      <c r="K8" s="486"/>
      <c r="L8" s="486"/>
      <c r="M8" s="487"/>
      <c r="N8" s="484"/>
    </row>
    <row r="9" spans="1:14" ht="15.75" x14ac:dyDescent="0.25">
      <c r="A9" s="484"/>
      <c r="B9" s="491"/>
      <c r="C9" s="268"/>
      <c r="D9" s="489" t="s">
        <v>1285</v>
      </c>
      <c r="E9" s="484"/>
      <c r="F9" s="484"/>
      <c r="G9" s="490"/>
      <c r="H9" s="484"/>
      <c r="I9" s="491"/>
      <c r="J9" s="484"/>
      <c r="K9" s="489" t="s">
        <v>1286</v>
      </c>
      <c r="L9" s="492"/>
      <c r="M9" s="493"/>
      <c r="N9" s="492"/>
    </row>
    <row r="10" spans="1:14" ht="15.75" x14ac:dyDescent="0.25">
      <c r="A10" s="484"/>
      <c r="B10" s="491"/>
      <c r="C10" s="494"/>
      <c r="D10" s="489" t="s">
        <v>746</v>
      </c>
      <c r="E10" s="484"/>
      <c r="F10" s="484"/>
      <c r="G10" s="490"/>
      <c r="H10" s="484"/>
      <c r="I10" s="491"/>
      <c r="J10" s="484"/>
      <c r="K10" s="489" t="s">
        <v>747</v>
      </c>
      <c r="L10" s="484"/>
      <c r="M10" s="490"/>
      <c r="N10" s="484"/>
    </row>
    <row r="11" spans="1:14" ht="13.5" thickBot="1" x14ac:dyDescent="0.25">
      <c r="A11" s="484"/>
      <c r="B11" s="491"/>
      <c r="C11" s="494"/>
      <c r="D11" s="494"/>
      <c r="E11" s="484"/>
      <c r="F11" s="245" t="s">
        <v>108</v>
      </c>
      <c r="G11" s="490"/>
      <c r="H11" s="484"/>
      <c r="I11" s="491"/>
      <c r="J11" s="484"/>
      <c r="K11" s="484"/>
      <c r="L11" s="484"/>
      <c r="M11" s="490"/>
      <c r="N11" s="484"/>
    </row>
    <row r="12" spans="1:14" x14ac:dyDescent="0.2">
      <c r="A12" s="484"/>
      <c r="B12" s="491"/>
      <c r="C12" s="573"/>
      <c r="D12" s="504" t="s">
        <v>748</v>
      </c>
      <c r="E12" s="505"/>
      <c r="F12" s="506">
        <f>IF('Table 1'!D3=0,"",IF(OR(FirstMonth="January",FirstMonth="February",FirstMonth="March"),QuestYear-2,QuestYear-1))</f>
        <v>2025</v>
      </c>
      <c r="G12" s="490"/>
      <c r="H12" s="484"/>
      <c r="I12" s="491"/>
      <c r="J12" s="484"/>
      <c r="K12" s="484"/>
      <c r="L12" s="484"/>
      <c r="M12" s="490"/>
      <c r="N12" s="484"/>
    </row>
    <row r="13" spans="1:14" ht="13.5" thickBot="1" x14ac:dyDescent="0.25">
      <c r="A13" s="484"/>
      <c r="B13" s="491"/>
      <c r="C13" s="574"/>
      <c r="D13" s="495" t="s">
        <v>749</v>
      </c>
      <c r="E13" s="496"/>
      <c r="F13" s="507"/>
      <c r="G13" s="490"/>
      <c r="H13" s="484"/>
      <c r="I13" s="491"/>
      <c r="J13" s="484"/>
      <c r="K13" s="484"/>
      <c r="L13" s="484"/>
      <c r="M13" s="490"/>
      <c r="N13" s="484"/>
    </row>
    <row r="14" spans="1:14" x14ac:dyDescent="0.2">
      <c r="A14" s="484"/>
      <c r="B14" s="491"/>
      <c r="C14" s="522">
        <v>1</v>
      </c>
      <c r="D14" s="497" t="s">
        <v>851</v>
      </c>
      <c r="E14" s="498"/>
      <c r="F14" s="1011">
        <f>'Table 5b_5c'!M28</f>
        <v>10777</v>
      </c>
      <c r="G14" s="490"/>
      <c r="H14" s="484"/>
      <c r="I14" s="491"/>
      <c r="J14" s="484"/>
      <c r="K14" s="484"/>
      <c r="L14" s="484"/>
      <c r="M14" s="490"/>
      <c r="N14" s="484"/>
    </row>
    <row r="15" spans="1:14" x14ac:dyDescent="0.2">
      <c r="A15" s="484"/>
      <c r="B15" s="491"/>
      <c r="C15" s="522">
        <f>C14+1</f>
        <v>2</v>
      </c>
      <c r="D15" s="499" t="s">
        <v>850</v>
      </c>
      <c r="E15" s="500"/>
      <c r="F15" s="1011">
        <f>'Table 5b_5c'!M29</f>
        <v>0</v>
      </c>
      <c r="G15" s="490"/>
      <c r="H15" s="484"/>
      <c r="I15" s="491"/>
      <c r="J15" s="484"/>
      <c r="K15" s="484"/>
      <c r="L15" s="484"/>
      <c r="M15" s="490"/>
      <c r="N15" s="484"/>
    </row>
    <row r="16" spans="1:14" x14ac:dyDescent="0.2">
      <c r="A16" s="484"/>
      <c r="B16" s="491"/>
      <c r="C16" s="522">
        <f>C15+1</f>
        <v>3</v>
      </c>
      <c r="D16" s="501" t="s">
        <v>849</v>
      </c>
      <c r="E16" s="502"/>
      <c r="F16" s="1011">
        <f>'Table 5b_5c'!M37</f>
        <v>263</v>
      </c>
      <c r="G16" s="490"/>
      <c r="H16" s="484"/>
      <c r="I16" s="491"/>
      <c r="J16" s="484"/>
      <c r="K16" s="484"/>
      <c r="L16" s="484"/>
      <c r="M16" s="490"/>
      <c r="N16" s="484"/>
    </row>
    <row r="17" spans="1:14" x14ac:dyDescent="0.2">
      <c r="A17" s="484"/>
      <c r="B17" s="491"/>
      <c r="C17" s="522">
        <f>C16+1</f>
        <v>4</v>
      </c>
      <c r="D17" s="503" t="s">
        <v>848</v>
      </c>
      <c r="E17" s="500"/>
      <c r="F17" s="1011">
        <f>'Table 5b_5c'!J32</f>
        <v>55592</v>
      </c>
      <c r="G17" s="490"/>
      <c r="H17" s="484"/>
      <c r="I17" s="491"/>
      <c r="J17" s="484"/>
      <c r="K17" s="484"/>
      <c r="L17" s="484"/>
      <c r="M17" s="490"/>
      <c r="N17" s="484"/>
    </row>
    <row r="18" spans="1:14" ht="13.5" thickBot="1" x14ac:dyDescent="0.25">
      <c r="A18" s="484"/>
      <c r="B18" s="491"/>
      <c r="C18" s="434">
        <f>C17+1</f>
        <v>5</v>
      </c>
      <c r="D18" s="226" t="s">
        <v>847</v>
      </c>
      <c r="E18" s="227"/>
      <c r="F18" s="1012">
        <f>IF(ISERROR((F14-F15-F16)/F17),0,((F14-F15-F16)/F17))</f>
        <v>0.18912793207655779</v>
      </c>
      <c r="G18" s="490"/>
      <c r="H18" s="484"/>
      <c r="I18" s="491"/>
      <c r="J18" s="484"/>
      <c r="K18" s="484"/>
      <c r="L18" s="484"/>
      <c r="M18" s="490"/>
      <c r="N18" s="484"/>
    </row>
    <row r="19" spans="1:14" ht="13.5" thickBot="1" x14ac:dyDescent="0.25">
      <c r="A19" s="484"/>
      <c r="B19" s="491"/>
      <c r="C19" s="541"/>
      <c r="D19" s="508"/>
      <c r="E19" s="508"/>
      <c r="F19" s="484"/>
      <c r="G19" s="490"/>
      <c r="H19" s="484"/>
      <c r="I19" s="491"/>
      <c r="J19" s="484"/>
      <c r="K19" s="484"/>
      <c r="L19" s="484"/>
      <c r="M19" s="490"/>
      <c r="N19" s="484"/>
    </row>
    <row r="20" spans="1:14" ht="13.5" customHeight="1" x14ac:dyDescent="0.2">
      <c r="A20" s="484"/>
      <c r="B20" s="491"/>
      <c r="C20" s="488"/>
      <c r="D20" s="509" t="s">
        <v>750</v>
      </c>
      <c r="E20" s="510"/>
      <c r="F20" s="511">
        <f>IF('Table 1'!D3=0,"",IF(OR(FirstMonth="January",FirstMonth="February",FirstMonth="March"),QuestYear-2,QuestYear-1))</f>
        <v>2025</v>
      </c>
      <c r="G20" s="490"/>
      <c r="H20" s="484"/>
      <c r="I20" s="491"/>
      <c r="J20" s="484"/>
      <c r="K20" s="562"/>
      <c r="L20" s="484"/>
      <c r="M20" s="490"/>
      <c r="N20" s="484"/>
    </row>
    <row r="21" spans="1:14" ht="13.5" customHeight="1" thickBot="1" x14ac:dyDescent="0.25">
      <c r="A21" s="484"/>
      <c r="B21" s="491"/>
      <c r="C21" s="576"/>
      <c r="D21" s="512" t="s">
        <v>751</v>
      </c>
      <c r="E21" s="513"/>
      <c r="F21" s="514"/>
      <c r="G21" s="490"/>
      <c r="H21" s="484"/>
      <c r="I21" s="491"/>
      <c r="J21" s="484"/>
      <c r="K21" s="484"/>
      <c r="L21" s="484"/>
      <c r="M21" s="490"/>
      <c r="N21" s="484"/>
    </row>
    <row r="22" spans="1:14" x14ac:dyDescent="0.2">
      <c r="A22" s="484"/>
      <c r="B22" s="491"/>
      <c r="C22" s="519">
        <v>6</v>
      </c>
      <c r="D22" s="515" t="s">
        <v>846</v>
      </c>
      <c r="E22" s="516"/>
      <c r="F22" s="1013">
        <f>'Table 5b_5c'!M34</f>
        <v>5664</v>
      </c>
      <c r="G22" s="490"/>
      <c r="H22" s="484"/>
      <c r="I22" s="491"/>
      <c r="J22" s="484"/>
      <c r="K22" s="484"/>
      <c r="L22" s="484"/>
      <c r="M22" s="490"/>
      <c r="N22" s="484"/>
    </row>
    <row r="23" spans="1:14" x14ac:dyDescent="0.2">
      <c r="A23" s="484"/>
      <c r="B23" s="491"/>
      <c r="C23" s="238">
        <f>C22+1</f>
        <v>7</v>
      </c>
      <c r="D23" s="228" t="s">
        <v>845</v>
      </c>
      <c r="E23" s="229"/>
      <c r="F23" s="1014">
        <f>F22-F16</f>
        <v>5401</v>
      </c>
      <c r="G23" s="490"/>
      <c r="H23" s="484"/>
      <c r="I23" s="491"/>
      <c r="J23" s="484"/>
      <c r="K23" s="484"/>
      <c r="L23" s="484"/>
      <c r="M23" s="490"/>
      <c r="N23" s="484"/>
    </row>
    <row r="24" spans="1:14" ht="13.5" thickBot="1" x14ac:dyDescent="0.25">
      <c r="A24" s="484"/>
      <c r="B24" s="491"/>
      <c r="C24" s="434">
        <f>C23+1</f>
        <v>8</v>
      </c>
      <c r="D24" s="230" t="s">
        <v>844</v>
      </c>
      <c r="E24" s="435"/>
      <c r="F24" s="1015">
        <f>F23*1.065</f>
        <v>5752.0649999999996</v>
      </c>
      <c r="G24" s="490"/>
      <c r="H24" s="484"/>
      <c r="I24" s="491"/>
      <c r="J24" s="484"/>
      <c r="K24" s="484"/>
      <c r="L24" s="484"/>
      <c r="M24" s="490"/>
      <c r="N24" s="484"/>
    </row>
    <row r="25" spans="1:14" ht="13.5" thickBot="1" x14ac:dyDescent="0.25">
      <c r="A25" s="484"/>
      <c r="B25" s="491"/>
      <c r="C25" s="508"/>
      <c r="D25" s="508"/>
      <c r="E25" s="484"/>
      <c r="F25" s="484"/>
      <c r="G25" s="490"/>
      <c r="H25" s="484"/>
      <c r="I25" s="491"/>
      <c r="J25" s="537"/>
      <c r="K25" s="484"/>
      <c r="L25" s="540"/>
      <c r="M25" s="490"/>
      <c r="N25" s="484"/>
    </row>
    <row r="26" spans="1:14" x14ac:dyDescent="0.2">
      <c r="A26" s="484"/>
      <c r="B26" s="491"/>
      <c r="C26" s="1180" t="s">
        <v>752</v>
      </c>
      <c r="D26" s="1181"/>
      <c r="E26" s="517"/>
      <c r="F26" s="511">
        <f>IF('Table 1'!D3=0,"",IF(OR(FirstMonth="January",FirstMonth="February",FirstMonth="March"),QuestYear-2,QuestYear-1))</f>
        <v>2025</v>
      </c>
      <c r="G26" s="490"/>
      <c r="H26" s="484"/>
      <c r="I26" s="491"/>
      <c r="J26" s="484"/>
      <c r="K26" s="484"/>
      <c r="L26" s="484"/>
      <c r="M26" s="490"/>
      <c r="N26" s="484"/>
    </row>
    <row r="27" spans="1:14" ht="13.5" thickBot="1" x14ac:dyDescent="0.25">
      <c r="A27" s="484"/>
      <c r="B27" s="491"/>
      <c r="C27" s="1182"/>
      <c r="D27" s="1183"/>
      <c r="E27" s="518"/>
      <c r="F27" s="514"/>
      <c r="G27" s="490"/>
      <c r="H27" s="484"/>
      <c r="I27" s="491"/>
      <c r="J27" s="484"/>
      <c r="K27" s="484"/>
      <c r="L27" s="484"/>
      <c r="M27" s="490"/>
      <c r="N27" s="484"/>
    </row>
    <row r="28" spans="1:14" x14ac:dyDescent="0.2">
      <c r="A28" s="484"/>
      <c r="B28" s="491"/>
      <c r="C28" s="519">
        <v>9</v>
      </c>
      <c r="D28" s="520" t="s">
        <v>843</v>
      </c>
      <c r="E28" s="521"/>
      <c r="F28" s="1013">
        <f>'Table 5b_5c'!J30</f>
        <v>56756</v>
      </c>
      <c r="G28" s="490"/>
      <c r="H28" s="484"/>
      <c r="I28" s="491"/>
      <c r="J28" s="484"/>
      <c r="K28" s="484"/>
      <c r="L28" s="484"/>
      <c r="M28" s="490"/>
      <c r="N28" s="484"/>
    </row>
    <row r="29" spans="1:14" x14ac:dyDescent="0.2">
      <c r="A29" s="484"/>
      <c r="B29" s="491"/>
      <c r="C29" s="522">
        <f>C28+1</f>
        <v>10</v>
      </c>
      <c r="D29" s="501" t="s">
        <v>842</v>
      </c>
      <c r="E29" s="502"/>
      <c r="F29" s="1016">
        <f>'Table 5b_5c'!J31</f>
        <v>909</v>
      </c>
      <c r="G29" s="490"/>
      <c r="H29" s="484"/>
      <c r="I29" s="491"/>
      <c r="J29" s="484"/>
      <c r="K29" s="484"/>
      <c r="L29" s="484"/>
      <c r="M29" s="490"/>
      <c r="N29" s="484"/>
    </row>
    <row r="30" spans="1:14" x14ac:dyDescent="0.2">
      <c r="A30" s="484"/>
      <c r="B30" s="491"/>
      <c r="C30" s="523">
        <f>C29+1</f>
        <v>11</v>
      </c>
      <c r="D30" s="430" t="s">
        <v>841</v>
      </c>
      <c r="E30" s="262" t="s">
        <v>76</v>
      </c>
      <c r="F30" s="1011">
        <f>'Table 5b_5c'!J35</f>
        <v>4410</v>
      </c>
      <c r="G30" s="490"/>
      <c r="H30" s="484"/>
      <c r="I30" s="491"/>
      <c r="J30" s="484"/>
      <c r="K30" s="484"/>
      <c r="L30" s="484"/>
      <c r="M30" s="490"/>
      <c r="N30" s="484"/>
    </row>
    <row r="31" spans="1:14" x14ac:dyDescent="0.2">
      <c r="A31" s="484"/>
      <c r="B31" s="491"/>
      <c r="C31" s="522">
        <f>C30+1</f>
        <v>12</v>
      </c>
      <c r="D31" s="524" t="s">
        <v>729</v>
      </c>
      <c r="E31" s="525" t="s">
        <v>753</v>
      </c>
      <c r="F31" s="1011">
        <f>'Table 5b_5c'!J36</f>
        <v>4497</v>
      </c>
      <c r="G31" s="490"/>
      <c r="H31" s="484"/>
      <c r="I31" s="491"/>
      <c r="J31" s="484"/>
      <c r="K31" s="484"/>
      <c r="L31" s="484"/>
      <c r="M31" s="490"/>
      <c r="N31" s="484"/>
    </row>
    <row r="32" spans="1:14" x14ac:dyDescent="0.2">
      <c r="A32" s="484"/>
      <c r="B32" s="491"/>
      <c r="C32" s="235">
        <f>C31+1</f>
        <v>13</v>
      </c>
      <c r="D32" s="231" t="s">
        <v>840</v>
      </c>
      <c r="E32" s="232"/>
      <c r="F32" s="1014">
        <f>(F28-F29-(F31-F30))</f>
        <v>55760</v>
      </c>
      <c r="G32" s="490"/>
      <c r="H32" s="484"/>
      <c r="I32" s="491"/>
      <c r="J32" s="484"/>
      <c r="K32" s="484"/>
      <c r="L32" s="484"/>
      <c r="M32" s="490"/>
      <c r="N32" s="484"/>
    </row>
    <row r="33" spans="1:14" ht="13.5" thickBot="1" x14ac:dyDescent="0.25">
      <c r="A33" s="484"/>
      <c r="B33" s="491"/>
      <c r="C33" s="236">
        <f>C32+1</f>
        <v>14</v>
      </c>
      <c r="D33" s="233" t="s">
        <v>839</v>
      </c>
      <c r="E33" s="234"/>
      <c r="F33" s="1012">
        <f>F32*0.96</f>
        <v>53529.599999999999</v>
      </c>
      <c r="G33" s="490"/>
      <c r="H33" s="484"/>
      <c r="I33" s="491"/>
      <c r="J33" s="484"/>
      <c r="K33" s="484"/>
      <c r="L33" s="484"/>
      <c r="M33" s="490"/>
      <c r="N33" s="484"/>
    </row>
    <row r="34" spans="1:14" ht="13.5" thickBot="1" x14ac:dyDescent="0.25">
      <c r="A34" s="484"/>
      <c r="B34" s="491"/>
      <c r="C34" s="541"/>
      <c r="D34" s="508"/>
      <c r="E34" s="508"/>
      <c r="F34" s="484"/>
      <c r="G34" s="490"/>
      <c r="H34" s="484"/>
      <c r="I34" s="491"/>
      <c r="J34" s="484"/>
      <c r="K34" s="484"/>
      <c r="L34" s="484"/>
      <c r="M34" s="490"/>
      <c r="N34" s="484"/>
    </row>
    <row r="35" spans="1:14" x14ac:dyDescent="0.2">
      <c r="A35" s="484"/>
      <c r="B35" s="491"/>
      <c r="C35" s="488"/>
      <c r="D35" s="526" t="s">
        <v>754</v>
      </c>
      <c r="E35" s="527"/>
      <c r="F35" s="487">
        <f>IF('Table 1'!D3=0,"",IF(OR(FirstMonth="January",FirstMonth="February",FirstMonth="March"),QuestYear-2,QuestYear-1))</f>
        <v>2025</v>
      </c>
      <c r="G35" s="490"/>
      <c r="H35" s="484"/>
      <c r="I35" s="491"/>
      <c r="J35" s="484"/>
      <c r="K35" s="484"/>
      <c r="L35" s="484"/>
      <c r="M35" s="490"/>
      <c r="N35" s="484"/>
    </row>
    <row r="36" spans="1:14" ht="13.5" thickBot="1" x14ac:dyDescent="0.25">
      <c r="A36" s="484"/>
      <c r="B36" s="491"/>
      <c r="C36" s="577"/>
      <c r="D36" s="528" t="s">
        <v>755</v>
      </c>
      <c r="E36" s="529"/>
      <c r="F36" s="490"/>
      <c r="G36" s="490"/>
      <c r="H36" s="484"/>
      <c r="I36" s="491"/>
      <c r="J36" s="484"/>
      <c r="K36" s="484"/>
      <c r="L36" s="484"/>
      <c r="M36" s="490"/>
      <c r="N36" s="484"/>
    </row>
    <row r="37" spans="1:14" x14ac:dyDescent="0.2">
      <c r="A37" s="484"/>
      <c r="B37" s="491"/>
      <c r="C37" s="519">
        <f>C33+1</f>
        <v>15</v>
      </c>
      <c r="D37" s="530" t="s">
        <v>838</v>
      </c>
      <c r="E37" s="531"/>
      <c r="F37" s="1013">
        <f>'Table 5b_5c'!AH30</f>
        <v>81653</v>
      </c>
      <c r="G37" s="490"/>
      <c r="H37" s="484"/>
      <c r="I37" s="491"/>
      <c r="J37" s="484"/>
      <c r="K37" s="484"/>
      <c r="L37" s="484"/>
      <c r="M37" s="490"/>
      <c r="N37" s="484"/>
    </row>
    <row r="38" spans="1:14" x14ac:dyDescent="0.2">
      <c r="A38" s="484"/>
      <c r="B38" s="491"/>
      <c r="C38" s="571">
        <f t="shared" ref="C38:C48" si="0">C37+1</f>
        <v>16</v>
      </c>
      <c r="D38" s="532" t="s">
        <v>756</v>
      </c>
      <c r="E38" s="533"/>
      <c r="F38" s="1017">
        <f>'Table 5b_5c'!M30</f>
        <v>18032</v>
      </c>
      <c r="G38" s="490"/>
      <c r="H38" s="484"/>
      <c r="I38" s="491"/>
      <c r="J38" s="484"/>
      <c r="K38" s="484"/>
      <c r="L38" s="484"/>
      <c r="M38" s="490"/>
      <c r="N38" s="484"/>
    </row>
    <row r="39" spans="1:14" x14ac:dyDescent="0.2">
      <c r="A39" s="484"/>
      <c r="B39" s="491"/>
      <c r="C39" s="571">
        <f t="shared" si="0"/>
        <v>17</v>
      </c>
      <c r="D39" s="532" t="s">
        <v>837</v>
      </c>
      <c r="E39" s="533"/>
      <c r="F39" s="1017">
        <f>'Table 5b_5c'!AH31</f>
        <v>99624</v>
      </c>
      <c r="G39" s="490"/>
      <c r="H39" s="484"/>
      <c r="I39" s="491"/>
      <c r="J39" s="484"/>
      <c r="K39" s="484"/>
      <c r="L39" s="484"/>
      <c r="M39" s="490"/>
      <c r="N39" s="484"/>
    </row>
    <row r="40" spans="1:14" x14ac:dyDescent="0.2">
      <c r="A40" s="484"/>
      <c r="B40" s="491"/>
      <c r="C40" s="571">
        <f t="shared" si="0"/>
        <v>18</v>
      </c>
      <c r="D40" s="532" t="s">
        <v>757</v>
      </c>
      <c r="E40" s="533"/>
      <c r="F40" s="1017">
        <f>'Table 5b_5c'!M31</f>
        <v>13489</v>
      </c>
      <c r="G40" s="490"/>
      <c r="H40" s="484"/>
      <c r="I40" s="491"/>
      <c r="J40" s="484"/>
      <c r="K40" s="484"/>
      <c r="L40" s="484"/>
      <c r="M40" s="490"/>
      <c r="N40" s="484"/>
    </row>
    <row r="41" spans="1:14" x14ac:dyDescent="0.2">
      <c r="A41" s="484"/>
      <c r="B41" s="491"/>
      <c r="C41" s="571">
        <f t="shared" si="0"/>
        <v>19</v>
      </c>
      <c r="D41" s="532" t="s">
        <v>836</v>
      </c>
      <c r="E41" s="533"/>
      <c r="F41" s="1017">
        <f>'Table 5b_5c'!AH33</f>
        <v>12317</v>
      </c>
      <c r="G41" s="490"/>
      <c r="H41" s="484"/>
      <c r="I41" s="491"/>
      <c r="J41" s="484"/>
      <c r="K41" s="484"/>
      <c r="L41" s="484"/>
      <c r="M41" s="490"/>
      <c r="N41" s="484"/>
    </row>
    <row r="42" spans="1:14" x14ac:dyDescent="0.2">
      <c r="A42" s="484"/>
      <c r="B42" s="491"/>
      <c r="C42" s="571">
        <f t="shared" si="0"/>
        <v>20</v>
      </c>
      <c r="D42" s="532" t="s">
        <v>758</v>
      </c>
      <c r="E42" s="533"/>
      <c r="F42" s="1017">
        <f>'Table 5b_5c'!M33</f>
        <v>0</v>
      </c>
      <c r="G42" s="490"/>
      <c r="H42" s="484"/>
      <c r="I42" s="491"/>
      <c r="J42" s="484"/>
      <c r="K42" s="484"/>
      <c r="L42" s="484"/>
      <c r="M42" s="490"/>
      <c r="N42" s="484"/>
    </row>
    <row r="43" spans="1:14" x14ac:dyDescent="0.2">
      <c r="A43" s="484"/>
      <c r="B43" s="491"/>
      <c r="C43" s="571">
        <f t="shared" si="0"/>
        <v>21</v>
      </c>
      <c r="D43" s="502" t="s">
        <v>835</v>
      </c>
      <c r="E43" s="534" t="s">
        <v>76</v>
      </c>
      <c r="F43" s="1017">
        <f>'Table 5b_5c'!AH35</f>
        <v>8960</v>
      </c>
      <c r="G43" s="490"/>
      <c r="H43" s="484"/>
      <c r="I43" s="491"/>
      <c r="J43" s="484"/>
      <c r="K43" s="484"/>
      <c r="L43" s="484"/>
      <c r="M43" s="490"/>
      <c r="N43" s="484"/>
    </row>
    <row r="44" spans="1:14" x14ac:dyDescent="0.2">
      <c r="A44" s="484"/>
      <c r="B44" s="491"/>
      <c r="C44" s="571">
        <f t="shared" si="0"/>
        <v>22</v>
      </c>
      <c r="D44" s="535" t="s">
        <v>729</v>
      </c>
      <c r="E44" s="536" t="s">
        <v>753</v>
      </c>
      <c r="F44" s="1017">
        <f>'Table 5b_5c'!AH36</f>
        <v>9157</v>
      </c>
      <c r="G44" s="490"/>
      <c r="H44" s="484"/>
      <c r="I44" s="491"/>
      <c r="J44" s="484"/>
      <c r="K44" s="484"/>
      <c r="L44" s="484"/>
      <c r="M44" s="490"/>
      <c r="N44" s="484"/>
    </row>
    <row r="45" spans="1:14" x14ac:dyDescent="0.2">
      <c r="A45" s="484"/>
      <c r="B45" s="491"/>
      <c r="C45" s="571">
        <f t="shared" si="0"/>
        <v>23</v>
      </c>
      <c r="D45" s="502" t="s">
        <v>922</v>
      </c>
      <c r="E45" s="534" t="s">
        <v>76</v>
      </c>
      <c r="F45" s="1017">
        <f>'Table 5b_5c'!M35</f>
        <v>1808</v>
      </c>
      <c r="G45" s="490"/>
      <c r="H45" s="484"/>
      <c r="I45" s="491"/>
      <c r="J45" s="484"/>
      <c r="K45" s="484"/>
      <c r="L45" s="484"/>
      <c r="M45" s="490"/>
      <c r="N45" s="484"/>
    </row>
    <row r="46" spans="1:14" ht="12.75" customHeight="1" x14ac:dyDescent="0.2">
      <c r="A46" s="484"/>
      <c r="B46" s="491"/>
      <c r="C46" s="571">
        <f t="shared" si="0"/>
        <v>24</v>
      </c>
      <c r="D46" s="535" t="s">
        <v>699</v>
      </c>
      <c r="E46" s="536" t="s">
        <v>753</v>
      </c>
      <c r="F46" s="1017">
        <f>'Table 5b_5c'!M36</f>
        <v>1495</v>
      </c>
      <c r="G46" s="490"/>
      <c r="H46" s="484"/>
      <c r="I46" s="491"/>
      <c r="J46" s="484"/>
      <c r="K46" s="484"/>
      <c r="L46" s="484"/>
      <c r="M46" s="490"/>
      <c r="N46" s="484"/>
    </row>
    <row r="47" spans="1:14" x14ac:dyDescent="0.2">
      <c r="A47" s="484"/>
      <c r="B47" s="491"/>
      <c r="C47" s="235">
        <f t="shared" si="0"/>
        <v>25</v>
      </c>
      <c r="D47" s="436" t="s">
        <v>834</v>
      </c>
      <c r="E47" s="437"/>
      <c r="F47" s="1014">
        <f>(F37-F38)-(F39-F40)-(F41-F42)-(F44-F46-(F43-F45))</f>
        <v>-35341</v>
      </c>
      <c r="G47" s="490"/>
      <c r="H47" s="484"/>
      <c r="I47" s="491"/>
      <c r="J47" s="563"/>
      <c r="K47" s="563"/>
      <c r="L47" s="563"/>
      <c r="M47" s="564"/>
      <c r="N47" s="563"/>
    </row>
    <row r="48" spans="1:14" ht="13.5" thickBot="1" x14ac:dyDescent="0.25">
      <c r="A48" s="484"/>
      <c r="B48" s="491"/>
      <c r="C48" s="434">
        <f t="shared" si="0"/>
        <v>26</v>
      </c>
      <c r="D48" s="438" t="s">
        <v>833</v>
      </c>
      <c r="E48" s="439"/>
      <c r="F48" s="1015">
        <f>F47*1.065</f>
        <v>-37638.165000000001</v>
      </c>
      <c r="G48" s="490"/>
      <c r="H48" s="484"/>
      <c r="I48" s="491"/>
      <c r="J48" s="565"/>
      <c r="K48" s="565"/>
      <c r="L48" s="565"/>
      <c r="M48" s="566"/>
      <c r="N48" s="563"/>
    </row>
    <row r="49" spans="1:14" x14ac:dyDescent="0.2">
      <c r="A49" s="484"/>
      <c r="B49" s="491"/>
      <c r="C49" s="537"/>
      <c r="D49" s="538"/>
      <c r="E49" s="539"/>
      <c r="F49" s="540"/>
      <c r="G49" s="490"/>
      <c r="H49" s="484"/>
      <c r="I49" s="491"/>
      <c r="J49" s="565"/>
      <c r="K49" s="565"/>
      <c r="L49" s="565"/>
      <c r="M49" s="566"/>
      <c r="N49" s="563"/>
    </row>
    <row r="50" spans="1:14" ht="13.5" thickBot="1" x14ac:dyDescent="0.25">
      <c r="A50" s="484"/>
      <c r="B50" s="491"/>
      <c r="C50" s="541"/>
      <c r="D50" s="508"/>
      <c r="E50" s="508"/>
      <c r="F50" s="484"/>
      <c r="G50" s="490"/>
      <c r="H50" s="484"/>
      <c r="I50" s="491"/>
      <c r="J50" s="565"/>
      <c r="K50" s="565"/>
      <c r="L50" s="565"/>
      <c r="M50" s="566"/>
      <c r="N50" s="563"/>
    </row>
    <row r="51" spans="1:14" x14ac:dyDescent="0.2">
      <c r="A51" s="484"/>
      <c r="B51" s="491"/>
      <c r="C51" s="488"/>
      <c r="D51" s="504" t="s">
        <v>759</v>
      </c>
      <c r="E51" s="486"/>
      <c r="F51" s="511">
        <f>IF('Table 1'!D3=0,"",IF(OR(FirstMonth="January",FirstMonth="February",FirstMonth="March"),QuestYear-2,QuestYear-1))</f>
        <v>2025</v>
      </c>
      <c r="G51" s="490"/>
      <c r="H51" s="484"/>
      <c r="I51" s="491"/>
      <c r="J51" s="484"/>
      <c r="K51" s="484"/>
      <c r="L51" s="484"/>
      <c r="M51" s="490"/>
      <c r="N51" s="484"/>
    </row>
    <row r="52" spans="1:14" x14ac:dyDescent="0.2">
      <c r="A52" s="484"/>
      <c r="B52" s="491"/>
      <c r="C52" s="1184" t="s">
        <v>760</v>
      </c>
      <c r="D52" s="1185"/>
      <c r="E52" s="1186"/>
      <c r="F52" s="514"/>
      <c r="G52" s="490"/>
      <c r="H52" s="484"/>
      <c r="I52" s="491"/>
      <c r="J52" s="484"/>
      <c r="K52" s="484"/>
      <c r="L52" s="484"/>
      <c r="M52" s="490"/>
      <c r="N52" s="484"/>
    </row>
    <row r="53" spans="1:14" x14ac:dyDescent="0.2">
      <c r="A53" s="484"/>
      <c r="B53" s="491"/>
      <c r="C53" s="542"/>
      <c r="D53" s="543" t="s">
        <v>761</v>
      </c>
      <c r="E53" s="544"/>
      <c r="F53" s="514"/>
      <c r="G53" s="490"/>
      <c r="H53" s="484"/>
      <c r="I53" s="491"/>
      <c r="J53" s="484"/>
      <c r="K53" s="484"/>
      <c r="L53" s="484"/>
      <c r="M53" s="490"/>
      <c r="N53" s="484"/>
    </row>
    <row r="54" spans="1:14" ht="13.5" thickBot="1" x14ac:dyDescent="0.25">
      <c r="A54" s="484"/>
      <c r="B54" s="491"/>
      <c r="C54" s="542"/>
      <c r="D54" s="543" t="s">
        <v>762</v>
      </c>
      <c r="E54" s="543"/>
      <c r="F54" s="514"/>
      <c r="G54" s="490"/>
      <c r="H54" s="484"/>
      <c r="I54" s="491"/>
      <c r="J54" s="484"/>
      <c r="K54" s="245"/>
      <c r="L54" s="245" t="s">
        <v>108</v>
      </c>
      <c r="M54" s="490"/>
      <c r="N54" s="484"/>
    </row>
    <row r="55" spans="1:14" ht="13.5" thickBot="1" x14ac:dyDescent="0.25">
      <c r="A55" s="484"/>
      <c r="B55" s="491"/>
      <c r="C55" s="545"/>
      <c r="D55" s="546" t="s">
        <v>763</v>
      </c>
      <c r="E55" s="546"/>
      <c r="F55" s="763">
        <f>IF(F18&lt;0.07,1,G62)</f>
        <v>2</v>
      </c>
      <c r="G55" s="490"/>
      <c r="H55" s="484"/>
      <c r="I55" s="491"/>
      <c r="J55" s="488"/>
      <c r="K55" s="567" t="s">
        <v>764</v>
      </c>
      <c r="L55" s="511">
        <f>IF('Table 1'!D3=0,"",IF(OR(FirstMonth="January",FirstMonth="February",FirstMonth="March"),QuestYear-2,QuestYear-1))</f>
        <v>2025</v>
      </c>
      <c r="M55" s="490"/>
      <c r="N55" s="484"/>
    </row>
    <row r="56" spans="1:14" x14ac:dyDescent="0.2">
      <c r="A56" s="484"/>
      <c r="B56" s="491"/>
      <c r="C56" s="542"/>
      <c r="D56" s="543" t="s">
        <v>832</v>
      </c>
      <c r="E56" s="547"/>
      <c r="F56" s="490"/>
      <c r="G56" s="490"/>
      <c r="H56" s="484"/>
      <c r="I56" s="491"/>
      <c r="J56" s="568"/>
      <c r="K56" s="569" t="s">
        <v>765</v>
      </c>
      <c r="L56" s="570"/>
      <c r="M56" s="490"/>
      <c r="N56" s="484"/>
    </row>
    <row r="57" spans="1:14" x14ac:dyDescent="0.2">
      <c r="A57" s="484"/>
      <c r="B57" s="491"/>
      <c r="C57" s="440">
        <f>C48+1</f>
        <v>27</v>
      </c>
      <c r="D57" s="441" t="s">
        <v>831</v>
      </c>
      <c r="E57" s="437"/>
      <c r="F57" s="1018">
        <f>F33+F48</f>
        <v>15891.434999999998</v>
      </c>
      <c r="G57" s="490"/>
      <c r="H57" s="484"/>
      <c r="I57" s="491"/>
      <c r="J57" s="571">
        <f>C115+1</f>
        <v>46</v>
      </c>
      <c r="K57" s="430" t="s">
        <v>830</v>
      </c>
      <c r="L57" s="1011">
        <f>'Table 5b_5c'!N34</f>
        <v>4183.57</v>
      </c>
      <c r="M57" s="490"/>
      <c r="N57" s="484"/>
    </row>
    <row r="58" spans="1:14" x14ac:dyDescent="0.2">
      <c r="A58" s="484"/>
      <c r="B58" s="491"/>
      <c r="C58" s="440">
        <f>C57+1</f>
        <v>28</v>
      </c>
      <c r="D58" s="442" t="s">
        <v>829</v>
      </c>
      <c r="E58" s="443"/>
      <c r="F58" s="1018">
        <f>IF(OR(MOD($F$51,400)=0,AND(MOD($F$51,4)=0,MOD($F$51,100)&lt;&gt;0)),F57/366,F57/365)</f>
        <v>43.538178082191777</v>
      </c>
      <c r="G58" s="552"/>
      <c r="H58" s="553"/>
      <c r="I58" s="554"/>
      <c r="J58" s="522">
        <f t="shared" ref="J58:J67" si="1">J57+1</f>
        <v>47</v>
      </c>
      <c r="K58" s="430" t="s">
        <v>828</v>
      </c>
      <c r="L58" s="1011">
        <f>'Table 5b_5c'!Q34</f>
        <v>1.37</v>
      </c>
      <c r="M58" s="490"/>
      <c r="N58" s="484"/>
    </row>
    <row r="59" spans="1:14" ht="13.5" thickBot="1" x14ac:dyDescent="0.25">
      <c r="A59" s="484"/>
      <c r="B59" s="491"/>
      <c r="C59" s="444">
        <f>C58+1</f>
        <v>29</v>
      </c>
      <c r="D59" s="445" t="s">
        <v>827</v>
      </c>
      <c r="E59" s="240"/>
      <c r="F59" s="1019">
        <f>F58*90</f>
        <v>3918.4360273972597</v>
      </c>
      <c r="G59" s="552"/>
      <c r="H59" s="553"/>
      <c r="I59" s="554"/>
      <c r="J59" s="571">
        <f t="shared" si="1"/>
        <v>48</v>
      </c>
      <c r="K59" s="430" t="s">
        <v>826</v>
      </c>
      <c r="L59" s="1011">
        <f>'Table 5b_5c'!R34</f>
        <v>0</v>
      </c>
      <c r="M59" s="490"/>
      <c r="N59" s="484"/>
    </row>
    <row r="60" spans="1:14" x14ac:dyDescent="0.2">
      <c r="A60" s="484"/>
      <c r="B60" s="491"/>
      <c r="C60" s="578"/>
      <c r="D60" s="548" t="s">
        <v>1366</v>
      </c>
      <c r="E60" s="530"/>
      <c r="F60" s="549"/>
      <c r="G60" s="754">
        <v>3</v>
      </c>
      <c r="H60" s="553"/>
      <c r="I60" s="554"/>
      <c r="J60" s="571">
        <f t="shared" si="1"/>
        <v>49</v>
      </c>
      <c r="K60" s="430" t="s">
        <v>825</v>
      </c>
      <c r="L60" s="1011">
        <f>'Table 5b_5c'!S34</f>
        <v>3439</v>
      </c>
      <c r="M60" s="490"/>
      <c r="N60" s="484"/>
    </row>
    <row r="61" spans="1:14" x14ac:dyDescent="0.2">
      <c r="A61" s="484"/>
      <c r="B61" s="491"/>
      <c r="C61" s="440">
        <f>C59+1</f>
        <v>30</v>
      </c>
      <c r="D61" s="441" t="s">
        <v>824</v>
      </c>
      <c r="E61" s="441"/>
      <c r="F61" s="1014">
        <f>F32-F24+F48</f>
        <v>12369.769999999997</v>
      </c>
      <c r="G61" s="754" t="s">
        <v>1368</v>
      </c>
      <c r="H61" s="553"/>
      <c r="I61" s="554"/>
      <c r="J61" s="571">
        <f t="shared" si="1"/>
        <v>50</v>
      </c>
      <c r="K61" s="430" t="s">
        <v>823</v>
      </c>
      <c r="L61" s="1011">
        <f>'Table 5b_5c'!V34</f>
        <v>72.72</v>
      </c>
      <c r="M61" s="490"/>
      <c r="N61" s="484"/>
    </row>
    <row r="62" spans="1:14" x14ac:dyDescent="0.2">
      <c r="A62" s="484"/>
      <c r="B62" s="491"/>
      <c r="C62" s="440">
        <f>C61+1</f>
        <v>31</v>
      </c>
      <c r="D62" s="442" t="s">
        <v>822</v>
      </c>
      <c r="E62" s="442"/>
      <c r="F62" s="1014">
        <f>IF(OR(MOD($F$51,400)=0,AND(MOD($F$51,4)=0,MOD($F$51,100)&lt;&gt;0)),F61/366,F61/365)</f>
        <v>33.889780821917796</v>
      </c>
      <c r="G62" s="754">
        <f>IF(F63=MIN(F63,F67),3,2)</f>
        <v>2</v>
      </c>
      <c r="H62" s="553"/>
      <c r="I62" s="554"/>
      <c r="J62" s="571">
        <f t="shared" si="1"/>
        <v>51</v>
      </c>
      <c r="K62" s="430" t="s">
        <v>821</v>
      </c>
      <c r="L62" s="1011">
        <f>'Table 5b_5c'!Y34</f>
        <v>5350.64</v>
      </c>
      <c r="M62" s="490"/>
      <c r="N62" s="484"/>
    </row>
    <row r="63" spans="1:14" ht="13.5" thickBot="1" x14ac:dyDescent="0.25">
      <c r="A63" s="484"/>
      <c r="B63" s="491"/>
      <c r="C63" s="444">
        <f>C62+1</f>
        <v>32</v>
      </c>
      <c r="D63" s="445" t="s">
        <v>820</v>
      </c>
      <c r="E63" s="445"/>
      <c r="F63" s="1012">
        <f>F62*90</f>
        <v>3050.0802739726018</v>
      </c>
      <c r="G63" s="754"/>
      <c r="H63" s="553"/>
      <c r="I63" s="554"/>
      <c r="J63" s="571">
        <f t="shared" si="1"/>
        <v>52</v>
      </c>
      <c r="K63" s="430" t="s">
        <v>819</v>
      </c>
      <c r="L63" s="1011">
        <f>'Table 5b_5c'!AB34</f>
        <v>0</v>
      </c>
      <c r="M63" s="490"/>
      <c r="N63" s="484"/>
    </row>
    <row r="64" spans="1:14" x14ac:dyDescent="0.2">
      <c r="A64" s="484"/>
      <c r="B64" s="491"/>
      <c r="C64" s="579"/>
      <c r="D64" s="550" t="s">
        <v>1367</v>
      </c>
      <c r="E64" s="530"/>
      <c r="F64" s="551"/>
      <c r="G64" s="754">
        <v>2</v>
      </c>
      <c r="H64" s="553"/>
      <c r="I64" s="554"/>
      <c r="J64" s="235">
        <f t="shared" si="1"/>
        <v>53</v>
      </c>
      <c r="K64" s="446" t="s">
        <v>818</v>
      </c>
      <c r="L64" s="1014">
        <f>L57+L58+L59+L60+L61+L62+L63</f>
        <v>13047.3</v>
      </c>
      <c r="M64" s="490"/>
      <c r="N64" s="484"/>
    </row>
    <row r="65" spans="1:14" x14ac:dyDescent="0.2">
      <c r="A65" s="484"/>
      <c r="B65" s="491"/>
      <c r="C65" s="440">
        <f>C63+1</f>
        <v>33</v>
      </c>
      <c r="D65" s="441" t="s">
        <v>817</v>
      </c>
      <c r="E65" s="437"/>
      <c r="F65" s="1020">
        <f>F32*(1-F18)+F48</f>
        <v>7576.0615074111411</v>
      </c>
      <c r="G65" s="552"/>
      <c r="H65" s="553"/>
      <c r="I65" s="554"/>
      <c r="J65" s="235">
        <f t="shared" si="1"/>
        <v>54</v>
      </c>
      <c r="K65" s="446" t="s">
        <v>816</v>
      </c>
      <c r="L65" s="1014">
        <f>L64*1.2</f>
        <v>15656.759999999998</v>
      </c>
      <c r="M65" s="490"/>
      <c r="N65" s="484"/>
    </row>
    <row r="66" spans="1:14" x14ac:dyDescent="0.2">
      <c r="A66" s="484"/>
      <c r="B66" s="491"/>
      <c r="C66" s="440">
        <f>C65+1</f>
        <v>34</v>
      </c>
      <c r="D66" s="442" t="s">
        <v>815</v>
      </c>
      <c r="E66" s="443"/>
      <c r="F66" s="1020">
        <f>IF(OR(MOD($F$51,400)=0,AND(MOD($F$51,4)=0,MOD($F$51,100)&lt;&gt;0)),F65/366,F65/365)</f>
        <v>20.756332897016826</v>
      </c>
      <c r="G66" s="552"/>
      <c r="H66" s="553"/>
      <c r="I66" s="554"/>
      <c r="J66" s="235">
        <f t="shared" si="1"/>
        <v>55</v>
      </c>
      <c r="K66" s="446" t="s">
        <v>814</v>
      </c>
      <c r="L66" s="1020">
        <f>IF(OR(MOD($F$51,400)=0,AND(MOD($F$51,4)=0,MOD($F$51,100)&lt;&gt;0)),L65/366,L65/365)</f>
        <v>42.895232876712328</v>
      </c>
      <c r="M66" s="490"/>
      <c r="N66" s="484"/>
    </row>
    <row r="67" spans="1:14" ht="13.5" thickBot="1" x14ac:dyDescent="0.25">
      <c r="A67" s="484"/>
      <c r="B67" s="491"/>
      <c r="C67" s="444">
        <f>C66+1</f>
        <v>35</v>
      </c>
      <c r="D67" s="445" t="s">
        <v>813</v>
      </c>
      <c r="E67" s="240"/>
      <c r="F67" s="1021">
        <f>F66*90</f>
        <v>1868.0699607315144</v>
      </c>
      <c r="G67" s="552"/>
      <c r="H67" s="553"/>
      <c r="I67" s="554"/>
      <c r="J67" s="236">
        <f t="shared" si="1"/>
        <v>56</v>
      </c>
      <c r="K67" s="447" t="s">
        <v>812</v>
      </c>
      <c r="L67" s="1012">
        <f>L66*61</f>
        <v>2616.6092054794522</v>
      </c>
      <c r="M67" s="490"/>
      <c r="N67" s="484"/>
    </row>
    <row r="68" spans="1:14" x14ac:dyDescent="0.2">
      <c r="A68" s="484"/>
      <c r="B68" s="491"/>
      <c r="C68" s="537"/>
      <c r="D68" s="539"/>
      <c r="E68" s="539"/>
      <c r="F68" s="540"/>
      <c r="G68" s="552"/>
      <c r="H68" s="553"/>
      <c r="I68" s="554"/>
      <c r="J68" s="537"/>
      <c r="K68" s="555"/>
      <c r="L68" s="540"/>
      <c r="M68" s="490"/>
      <c r="N68" s="484"/>
    </row>
    <row r="69" spans="1:14" ht="13.5" thickBot="1" x14ac:dyDescent="0.25">
      <c r="A69" s="484"/>
      <c r="B69" s="574"/>
      <c r="C69" s="559"/>
      <c r="D69" s="518"/>
      <c r="E69" s="518"/>
      <c r="F69" s="556"/>
      <c r="G69" s="557"/>
      <c r="H69" s="553"/>
      <c r="I69" s="558"/>
      <c r="J69" s="559"/>
      <c r="K69" s="560"/>
      <c r="L69" s="556"/>
      <c r="M69" s="561"/>
      <c r="N69" s="484"/>
    </row>
    <row r="70" spans="1:14" x14ac:dyDescent="0.2">
      <c r="A70" s="484"/>
      <c r="B70" s="484"/>
      <c r="C70" s="537"/>
      <c r="D70" s="539"/>
      <c r="E70" s="539"/>
      <c r="F70" s="540"/>
      <c r="G70" s="553"/>
      <c r="H70" s="553"/>
      <c r="I70" s="553"/>
      <c r="J70" s="537"/>
      <c r="K70" s="555"/>
      <c r="L70" s="540"/>
      <c r="M70" s="484"/>
      <c r="N70" s="484"/>
    </row>
    <row r="71" spans="1:14" x14ac:dyDescent="0.2">
      <c r="A71" s="484"/>
      <c r="B71" s="484"/>
      <c r="C71" s="537"/>
      <c r="D71" s="539"/>
      <c r="E71" s="539"/>
      <c r="F71" s="540"/>
      <c r="G71" s="553"/>
      <c r="H71" s="553"/>
      <c r="I71" s="553"/>
      <c r="J71" s="537"/>
      <c r="K71" s="555"/>
      <c r="L71" s="540"/>
      <c r="M71" s="484"/>
      <c r="N71" s="484"/>
    </row>
    <row r="72" spans="1:14" x14ac:dyDescent="0.2">
      <c r="A72" s="484"/>
      <c r="B72" s="484"/>
      <c r="C72" s="537"/>
      <c r="D72" s="539"/>
      <c r="E72" s="539"/>
      <c r="F72" s="540"/>
      <c r="G72" s="553"/>
      <c r="H72" s="553"/>
      <c r="I72" s="553"/>
      <c r="J72" s="537"/>
      <c r="K72" s="555"/>
      <c r="L72" s="540"/>
      <c r="M72" s="484"/>
      <c r="N72" s="484"/>
    </row>
    <row r="73" spans="1:14" ht="13.5" thickBot="1" x14ac:dyDescent="0.25">
      <c r="A73" s="484"/>
      <c r="B73" s="484"/>
      <c r="C73" s="539"/>
      <c r="D73" s="539"/>
      <c r="E73" s="539"/>
      <c r="F73" s="245" t="s">
        <v>108</v>
      </c>
      <c r="G73" s="484"/>
      <c r="H73" s="484"/>
      <c r="I73" s="484"/>
      <c r="J73" s="484"/>
      <c r="K73" s="484"/>
      <c r="L73" s="484"/>
      <c r="M73" s="484"/>
      <c r="N73" s="484"/>
    </row>
    <row r="74" spans="1:14" x14ac:dyDescent="0.2">
      <c r="A74" s="484"/>
      <c r="B74" s="484"/>
      <c r="C74" s="1187" t="s">
        <v>766</v>
      </c>
      <c r="D74" s="1188"/>
      <c r="E74" s="1189"/>
      <c r="F74" s="487">
        <f>IF('Table 1'!D3=0,"",IF(OR(FirstMonth="January",FirstMonth="February",FirstMonth="March"),QuestYear-2,QuestYear-1))</f>
        <v>2025</v>
      </c>
      <c r="G74" s="484"/>
      <c r="H74" s="484"/>
      <c r="I74" s="484"/>
      <c r="J74" s="484"/>
      <c r="K74" s="580"/>
      <c r="L74" s="484"/>
      <c r="M74" s="484"/>
      <c r="N74" s="484"/>
    </row>
    <row r="75" spans="1:14" x14ac:dyDescent="0.2">
      <c r="A75" s="484"/>
      <c r="B75" s="484"/>
      <c r="C75" s="1176" t="s">
        <v>767</v>
      </c>
      <c r="D75" s="1175"/>
      <c r="E75" s="1174"/>
      <c r="F75" s="490"/>
      <c r="G75" s="484"/>
      <c r="H75" s="484"/>
      <c r="I75" s="484"/>
      <c r="J75" s="484"/>
      <c r="K75" s="613" t="s">
        <v>768</v>
      </c>
      <c r="L75" s="613" t="s">
        <v>769</v>
      </c>
      <c r="M75" s="613" t="s">
        <v>770</v>
      </c>
      <c r="N75" s="762" t="s">
        <v>771</v>
      </c>
    </row>
    <row r="76" spans="1:14" x14ac:dyDescent="0.2">
      <c r="A76" s="484"/>
      <c r="B76" s="484"/>
      <c r="C76" s="1176" t="s">
        <v>772</v>
      </c>
      <c r="D76" s="1175"/>
      <c r="E76" s="1174"/>
      <c r="F76" s="490"/>
      <c r="G76" s="484"/>
      <c r="H76" s="484"/>
      <c r="I76" s="484"/>
      <c r="J76" s="484"/>
      <c r="K76" s="587">
        <f>$F$63</f>
        <v>3050.0802739726018</v>
      </c>
      <c r="L76" s="587">
        <f>$F$67</f>
        <v>1868.0699607315144</v>
      </c>
      <c r="M76" s="587">
        <f>$F$59</f>
        <v>3918.4360273972597</v>
      </c>
      <c r="N76" s="587">
        <f>$L$67</f>
        <v>2616.6092054794522</v>
      </c>
    </row>
    <row r="77" spans="1:14" ht="13.5" thickBot="1" x14ac:dyDescent="0.25">
      <c r="A77" s="484"/>
      <c r="B77" s="484"/>
      <c r="C77" s="1177" t="s">
        <v>773</v>
      </c>
      <c r="D77" s="1178"/>
      <c r="E77" s="1179"/>
      <c r="F77" s="760" t="str">
        <f>IF(F78=L67,RIGHT(K9,18),RIGHT(D9,11))</f>
        <v>Inland Consumption</v>
      </c>
      <c r="G77" s="484"/>
      <c r="H77" s="484"/>
      <c r="I77" s="484"/>
      <c r="J77" s="484"/>
      <c r="K77" s="587">
        <f>$F$62</f>
        <v>33.889780821917796</v>
      </c>
      <c r="L77" s="587">
        <f>$F$66</f>
        <v>20.756332897016826</v>
      </c>
      <c r="M77" s="587">
        <f>$F$58</f>
        <v>43.538178082191777</v>
      </c>
      <c r="N77" s="587">
        <f>$L$66</f>
        <v>42.895232876712328</v>
      </c>
    </row>
    <row r="78" spans="1:14" x14ac:dyDescent="0.2">
      <c r="A78" s="484"/>
      <c r="B78" s="484"/>
      <c r="C78" s="448">
        <f>C67+1</f>
        <v>36</v>
      </c>
      <c r="D78" s="449" t="s">
        <v>811</v>
      </c>
      <c r="E78" s="450"/>
      <c r="F78" s="1022">
        <f>MAX(IF(F18&gt;0.07,MIN(F63,F67),F59),L67)</f>
        <v>2616.6092054794522</v>
      </c>
      <c r="G78" s="484"/>
      <c r="H78" s="484"/>
      <c r="I78" s="484"/>
      <c r="J78" s="484"/>
      <c r="K78" s="587">
        <v>90</v>
      </c>
      <c r="L78" s="587">
        <v>90</v>
      </c>
      <c r="M78" s="587">
        <v>90</v>
      </c>
      <c r="N78" s="587">
        <v>61</v>
      </c>
    </row>
    <row r="79" spans="1:14" ht="13.5" thickBot="1" x14ac:dyDescent="0.25">
      <c r="A79" s="484"/>
      <c r="B79" s="484"/>
      <c r="C79" s="236">
        <f>C78+1</f>
        <v>37</v>
      </c>
      <c r="D79" s="451" t="s">
        <v>774</v>
      </c>
      <c r="E79" s="240"/>
      <c r="F79" s="1012">
        <f>HLOOKUP(MAX(IF(F18&gt;0.07,MIN(K76,L76),M76),N76),K76:N77,2,FALSE)</f>
        <v>42.895232876712328</v>
      </c>
      <c r="G79" s="553"/>
      <c r="H79" s="553"/>
      <c r="I79" s="553"/>
      <c r="J79" s="484"/>
      <c r="K79" s="540"/>
      <c r="L79" s="484"/>
      <c r="M79" s="484"/>
      <c r="N79" s="484"/>
    </row>
    <row r="80" spans="1:14" x14ac:dyDescent="0.2">
      <c r="A80" s="484"/>
      <c r="B80" s="484"/>
      <c r="C80" s="537"/>
      <c r="D80" s="539"/>
      <c r="E80" s="539"/>
      <c r="F80" s="587">
        <f>HLOOKUP(MAX(IF(F18&gt;0.07,MIN(K76,L76),M76),N76),K76:N78,3,FALSE)</f>
        <v>61</v>
      </c>
      <c r="G80" s="553"/>
      <c r="H80" s="553"/>
      <c r="I80" s="553"/>
      <c r="J80" s="484"/>
      <c r="K80" s="484"/>
      <c r="L80" s="484"/>
      <c r="M80" s="484"/>
      <c r="N80" s="484"/>
    </row>
    <row r="81" spans="1:14" x14ac:dyDescent="0.2">
      <c r="A81" s="484"/>
      <c r="B81" s="484"/>
      <c r="C81" s="537"/>
      <c r="D81" s="539"/>
      <c r="E81" s="539"/>
      <c r="F81" s="540"/>
      <c r="G81" s="553"/>
      <c r="H81" s="553"/>
      <c r="I81" s="553"/>
      <c r="J81" s="484"/>
      <c r="K81" s="484"/>
      <c r="L81" s="484"/>
      <c r="M81" s="484"/>
      <c r="N81" s="484"/>
    </row>
    <row r="82" spans="1:14" x14ac:dyDescent="0.2">
      <c r="A82" s="484"/>
      <c r="B82" s="484"/>
      <c r="C82" s="541"/>
      <c r="D82" s="539"/>
      <c r="E82" s="539"/>
      <c r="F82" s="540"/>
      <c r="G82" s="484"/>
      <c r="H82" s="484"/>
      <c r="I82" s="484"/>
      <c r="J82" s="484"/>
      <c r="K82" s="484"/>
      <c r="L82" s="484"/>
      <c r="M82" s="484"/>
      <c r="N82" s="484"/>
    </row>
    <row r="83" spans="1:14" ht="13.5" thickBot="1" x14ac:dyDescent="0.25">
      <c r="A83" s="484"/>
      <c r="B83" s="484"/>
      <c r="C83" s="541"/>
      <c r="D83" s="539"/>
      <c r="E83" s="539"/>
      <c r="F83" s="540"/>
      <c r="G83" s="484"/>
      <c r="H83" s="484"/>
      <c r="I83" s="484"/>
      <c r="J83" s="484"/>
      <c r="K83" s="484"/>
      <c r="L83" s="484"/>
      <c r="M83" s="484"/>
      <c r="N83" s="484"/>
    </row>
    <row r="84" spans="1:14" x14ac:dyDescent="0.2">
      <c r="A84" s="484"/>
      <c r="B84" s="488"/>
      <c r="C84" s="588"/>
      <c r="D84" s="517"/>
      <c r="E84" s="517"/>
      <c r="F84" s="589"/>
      <c r="G84" s="486"/>
      <c r="H84" s="486"/>
      <c r="I84" s="486"/>
      <c r="J84" s="486"/>
      <c r="K84" s="486"/>
      <c r="L84" s="486"/>
      <c r="M84" s="487"/>
      <c r="N84" s="484"/>
    </row>
    <row r="85" spans="1:14" ht="18" x14ac:dyDescent="0.25">
      <c r="A85" s="484"/>
      <c r="B85" s="491"/>
      <c r="C85" s="541"/>
      <c r="D85" s="590" t="s">
        <v>775</v>
      </c>
      <c r="E85" s="484"/>
      <c r="F85" s="591"/>
      <c r="G85" s="581"/>
      <c r="H85" s="582"/>
      <c r="I85" s="582"/>
      <c r="J85" s="582"/>
      <c r="K85" s="484"/>
      <c r="L85" s="484"/>
      <c r="M85" s="490"/>
      <c r="N85" s="484"/>
    </row>
    <row r="86" spans="1:14" x14ac:dyDescent="0.2">
      <c r="A86" s="484"/>
      <c r="B86" s="491"/>
      <c r="C86" s="541"/>
      <c r="D86" s="539"/>
      <c r="E86" s="539"/>
      <c r="F86" s="540"/>
      <c r="G86" s="484"/>
      <c r="H86" s="484"/>
      <c r="I86" s="484"/>
      <c r="J86" s="484"/>
      <c r="K86" s="484"/>
      <c r="L86" s="484"/>
      <c r="M86" s="490"/>
      <c r="N86" s="484"/>
    </row>
    <row r="87" spans="1:14" x14ac:dyDescent="0.2">
      <c r="A87" s="484"/>
      <c r="B87" s="491"/>
      <c r="C87" s="541"/>
      <c r="D87" s="539"/>
      <c r="E87" s="539"/>
      <c r="F87" s="540"/>
      <c r="G87" s="484"/>
      <c r="H87" s="484"/>
      <c r="I87" s="484"/>
      <c r="J87" s="484"/>
      <c r="K87" s="484"/>
      <c r="L87" s="484"/>
      <c r="M87" s="490"/>
      <c r="N87" s="484"/>
    </row>
    <row r="88" spans="1:14" ht="13.5" thickBot="1" x14ac:dyDescent="0.25">
      <c r="A88" s="484"/>
      <c r="B88" s="491"/>
      <c r="C88" s="541"/>
      <c r="D88" s="539"/>
      <c r="E88" s="539"/>
      <c r="F88" s="245" t="s">
        <v>108</v>
      </c>
      <c r="G88" s="484"/>
      <c r="H88" s="484"/>
      <c r="I88" s="484"/>
      <c r="J88" s="484"/>
      <c r="K88" s="484"/>
      <c r="L88" s="484"/>
      <c r="M88" s="490"/>
      <c r="N88" s="484"/>
    </row>
    <row r="89" spans="1:14" x14ac:dyDescent="0.2">
      <c r="A89" s="484"/>
      <c r="B89" s="491"/>
      <c r="C89" s="488"/>
      <c r="D89" s="504" t="s">
        <v>776</v>
      </c>
      <c r="E89" s="592"/>
      <c r="F89" s="612" t="str">
        <f>IF(FirstMonth=0,"",FirstMonth &amp; " " &amp; QuestYear)</f>
        <v>September 2026</v>
      </c>
      <c r="G89" s="484"/>
      <c r="H89" s="484"/>
      <c r="I89" s="484"/>
      <c r="J89" s="484"/>
      <c r="K89" s="484"/>
      <c r="L89" s="484"/>
      <c r="M89" s="490"/>
      <c r="N89" s="484"/>
    </row>
    <row r="90" spans="1:14" ht="13.5" thickBot="1" x14ac:dyDescent="0.25">
      <c r="A90" s="484"/>
      <c r="B90" s="491"/>
      <c r="C90" s="491"/>
      <c r="D90" s="593" t="s">
        <v>810</v>
      </c>
      <c r="E90" s="594"/>
      <c r="F90" s="601"/>
      <c r="G90" s="484"/>
      <c r="H90" s="484"/>
      <c r="I90" s="484"/>
      <c r="J90" s="484"/>
      <c r="K90" s="484"/>
      <c r="L90" s="484"/>
      <c r="M90" s="490"/>
      <c r="N90" s="484"/>
    </row>
    <row r="91" spans="1:14" x14ac:dyDescent="0.2">
      <c r="A91" s="484"/>
      <c r="B91" s="491"/>
      <c r="C91" s="519">
        <f>C79+1</f>
        <v>38</v>
      </c>
      <c r="D91" s="595" t="s">
        <v>809</v>
      </c>
      <c r="E91" s="531"/>
      <c r="F91" s="1013">
        <f>'Table 5b_5c'!J25</f>
        <v>801</v>
      </c>
      <c r="G91" s="484"/>
      <c r="H91" s="484"/>
      <c r="I91" s="484"/>
      <c r="J91" s="484"/>
      <c r="K91" s="484"/>
      <c r="L91" s="484"/>
      <c r="M91" s="490"/>
      <c r="N91" s="484"/>
    </row>
    <row r="92" spans="1:14" ht="13.5" thickBot="1" x14ac:dyDescent="0.25">
      <c r="A92" s="484"/>
      <c r="B92" s="491"/>
      <c r="C92" s="236">
        <f>C91+1</f>
        <v>39</v>
      </c>
      <c r="D92" s="237" t="s">
        <v>808</v>
      </c>
      <c r="E92" s="234"/>
      <c r="F92" s="1015">
        <f>F91*0.96</f>
        <v>768.95999999999992</v>
      </c>
      <c r="G92" s="484"/>
      <c r="H92" s="484"/>
      <c r="I92" s="484"/>
      <c r="J92" s="484"/>
      <c r="K92" s="484"/>
      <c r="L92" s="484"/>
      <c r="M92" s="490"/>
      <c r="N92" s="484"/>
    </row>
    <row r="93" spans="1:14" x14ac:dyDescent="0.2">
      <c r="A93" s="484"/>
      <c r="B93" s="491"/>
      <c r="C93" s="537"/>
      <c r="D93" s="596"/>
      <c r="E93" s="596"/>
      <c r="F93" s="540"/>
      <c r="G93" s="484"/>
      <c r="H93" s="484"/>
      <c r="I93" s="484"/>
      <c r="J93" s="484"/>
      <c r="K93" s="484"/>
      <c r="L93" s="484"/>
      <c r="M93" s="490"/>
      <c r="N93" s="484"/>
    </row>
    <row r="94" spans="1:14" x14ac:dyDescent="0.2">
      <c r="A94" s="484"/>
      <c r="B94" s="491"/>
      <c r="C94" s="537"/>
      <c r="D94" s="596"/>
      <c r="E94" s="596"/>
      <c r="F94" s="540"/>
      <c r="G94" s="484"/>
      <c r="H94" s="484"/>
      <c r="I94" s="484"/>
      <c r="J94" s="484"/>
      <c r="K94" s="484"/>
      <c r="L94" s="484"/>
      <c r="M94" s="490"/>
      <c r="N94" s="484"/>
    </row>
    <row r="95" spans="1:14" ht="13.5" thickBot="1" x14ac:dyDescent="0.25">
      <c r="A95" s="484"/>
      <c r="B95" s="491"/>
      <c r="C95" s="541"/>
      <c r="D95" s="539"/>
      <c r="E95" s="539"/>
      <c r="F95" s="540"/>
      <c r="G95" s="484"/>
      <c r="H95" s="484"/>
      <c r="I95" s="484"/>
      <c r="J95" s="484"/>
      <c r="K95" s="484"/>
      <c r="L95" s="245" t="s">
        <v>108</v>
      </c>
      <c r="M95" s="490"/>
      <c r="N95" s="484"/>
    </row>
    <row r="96" spans="1:14" x14ac:dyDescent="0.2">
      <c r="A96" s="484"/>
      <c r="B96" s="491"/>
      <c r="C96" s="488"/>
      <c r="D96" s="504" t="s">
        <v>777</v>
      </c>
      <c r="E96" s="592"/>
      <c r="F96" s="612" t="str">
        <f>IF(FirstMonth=0,"",FirstMonth &amp; " " &amp; QuestYear)</f>
        <v>September 2026</v>
      </c>
      <c r="G96" s="484"/>
      <c r="H96" s="484"/>
      <c r="I96" s="484"/>
      <c r="J96" s="583"/>
      <c r="K96" s="584" t="s">
        <v>778</v>
      </c>
      <c r="L96" s="612" t="str">
        <f>IF(FirstMonth=0,"",FirstMonth &amp; " " &amp; QuestYear)</f>
        <v>September 2026</v>
      </c>
      <c r="M96" s="490"/>
      <c r="N96" s="484"/>
    </row>
    <row r="97" spans="1:14" ht="13.5" thickBot="1" x14ac:dyDescent="0.25">
      <c r="A97" s="484"/>
      <c r="B97" s="491"/>
      <c r="C97" s="491"/>
      <c r="D97" s="593" t="s">
        <v>807</v>
      </c>
      <c r="E97" s="594"/>
      <c r="F97" s="601"/>
      <c r="G97" s="484"/>
      <c r="H97" s="484"/>
      <c r="I97" s="484"/>
      <c r="J97" s="545"/>
      <c r="K97" s="585" t="s">
        <v>806</v>
      </c>
      <c r="L97" s="586" t="str">
        <f>IF(D11=0,"",D11)</f>
        <v/>
      </c>
      <c r="M97" s="490"/>
      <c r="N97" s="484"/>
    </row>
    <row r="98" spans="1:14" x14ac:dyDescent="0.2">
      <c r="A98" s="484"/>
      <c r="B98" s="491"/>
      <c r="C98" s="519">
        <f>C92+1</f>
        <v>40</v>
      </c>
      <c r="D98" s="595" t="s">
        <v>805</v>
      </c>
      <c r="E98" s="531"/>
      <c r="F98" s="1013">
        <f>'Table 5b_5c'!AH25</f>
        <v>1490</v>
      </c>
      <c r="G98" s="484"/>
      <c r="H98" s="484"/>
      <c r="I98" s="484"/>
      <c r="J98" s="608">
        <f>J67+1</f>
        <v>57</v>
      </c>
      <c r="K98" s="609" t="s">
        <v>804</v>
      </c>
      <c r="L98" s="1013">
        <f>'Table 5b_5c'!N25</f>
        <v>555</v>
      </c>
      <c r="M98" s="490"/>
      <c r="N98" s="484"/>
    </row>
    <row r="99" spans="1:14" x14ac:dyDescent="0.2">
      <c r="A99" s="484"/>
      <c r="B99" s="491"/>
      <c r="C99" s="571">
        <f>C98+1</f>
        <v>41</v>
      </c>
      <c r="D99" s="597" t="s">
        <v>779</v>
      </c>
      <c r="E99" s="533"/>
      <c r="F99" s="1011">
        <f>'Table 5b_5c'!M25</f>
        <v>0</v>
      </c>
      <c r="G99" s="484"/>
      <c r="H99" s="484"/>
      <c r="I99" s="484"/>
      <c r="J99" s="571">
        <f t="shared" ref="J99:J106" si="2">J98+1</f>
        <v>58</v>
      </c>
      <c r="K99" s="430" t="s">
        <v>803</v>
      </c>
      <c r="L99" s="1011">
        <f>'Table 5b_5c'!Q25</f>
        <v>0</v>
      </c>
      <c r="M99" s="490"/>
      <c r="N99" s="484"/>
    </row>
    <row r="100" spans="1:14" x14ac:dyDescent="0.2">
      <c r="A100" s="484"/>
      <c r="B100" s="491"/>
      <c r="C100" s="235">
        <f>C99+1</f>
        <v>42</v>
      </c>
      <c r="D100" s="452" t="s">
        <v>802</v>
      </c>
      <c r="E100" s="453"/>
      <c r="F100" s="1014">
        <f>F98-F99</f>
        <v>1490</v>
      </c>
      <c r="G100" s="484"/>
      <c r="H100" s="484"/>
      <c r="I100" s="484"/>
      <c r="J100" s="571">
        <f t="shared" si="2"/>
        <v>59</v>
      </c>
      <c r="K100" s="430" t="s">
        <v>801</v>
      </c>
      <c r="L100" s="1011">
        <f>'Table 5b_5c'!R25</f>
        <v>0</v>
      </c>
      <c r="M100" s="490"/>
      <c r="N100" s="484"/>
    </row>
    <row r="101" spans="1:14" ht="13.5" thickBot="1" x14ac:dyDescent="0.25">
      <c r="A101" s="484"/>
      <c r="B101" s="491"/>
      <c r="C101" s="236">
        <f>C100+1</f>
        <v>43</v>
      </c>
      <c r="D101" s="237" t="s">
        <v>800</v>
      </c>
      <c r="E101" s="234"/>
      <c r="F101" s="1015">
        <f>F100*1.065</f>
        <v>1586.85</v>
      </c>
      <c r="G101" s="484"/>
      <c r="H101" s="484"/>
      <c r="I101" s="484"/>
      <c r="J101" s="571">
        <f t="shared" si="2"/>
        <v>60</v>
      </c>
      <c r="K101" s="430" t="s">
        <v>799</v>
      </c>
      <c r="L101" s="1011">
        <f>'Table 5b_5c'!S25</f>
        <v>124</v>
      </c>
      <c r="M101" s="490"/>
      <c r="N101" s="484"/>
    </row>
    <row r="102" spans="1:14" x14ac:dyDescent="0.2">
      <c r="A102" s="484"/>
      <c r="B102" s="491"/>
      <c r="C102" s="541"/>
      <c r="D102" s="539"/>
      <c r="E102" s="539"/>
      <c r="F102" s="540"/>
      <c r="G102" s="484"/>
      <c r="H102" s="484"/>
      <c r="I102" s="484"/>
      <c r="J102" s="571">
        <f t="shared" si="2"/>
        <v>61</v>
      </c>
      <c r="K102" s="430" t="s">
        <v>798</v>
      </c>
      <c r="L102" s="1011">
        <f>'Table 5b_5c'!V25</f>
        <v>0</v>
      </c>
      <c r="M102" s="490"/>
      <c r="N102" s="484"/>
    </row>
    <row r="103" spans="1:14" x14ac:dyDescent="0.2">
      <c r="A103" s="484"/>
      <c r="B103" s="491"/>
      <c r="C103" s="541"/>
      <c r="D103" s="539"/>
      <c r="E103" s="539"/>
      <c r="F103" s="540"/>
      <c r="G103" s="484"/>
      <c r="H103" s="484"/>
      <c r="I103" s="484"/>
      <c r="J103" s="571">
        <f t="shared" si="2"/>
        <v>62</v>
      </c>
      <c r="K103" s="430" t="s">
        <v>797</v>
      </c>
      <c r="L103" s="1011">
        <f>'Table 5b_5c'!Y25</f>
        <v>809</v>
      </c>
      <c r="M103" s="490"/>
      <c r="N103" s="484"/>
    </row>
    <row r="104" spans="1:14" x14ac:dyDescent="0.2">
      <c r="A104" s="484"/>
      <c r="B104" s="491"/>
      <c r="C104" s="541"/>
      <c r="D104" s="539"/>
      <c r="E104" s="539"/>
      <c r="F104" s="540"/>
      <c r="G104" s="484"/>
      <c r="H104" s="484"/>
      <c r="I104" s="484"/>
      <c r="J104" s="571">
        <f t="shared" si="2"/>
        <v>63</v>
      </c>
      <c r="K104" s="430" t="s">
        <v>796</v>
      </c>
      <c r="L104" s="1011">
        <f>'Table 5b_5c'!AB25</f>
        <v>2</v>
      </c>
      <c r="M104" s="490"/>
      <c r="N104" s="484"/>
    </row>
    <row r="105" spans="1:14" x14ac:dyDescent="0.2">
      <c r="A105" s="484"/>
      <c r="B105" s="491"/>
      <c r="C105" s="541"/>
      <c r="D105" s="539"/>
      <c r="E105" s="539"/>
      <c r="F105" s="540"/>
      <c r="G105" s="484"/>
      <c r="H105" s="484"/>
      <c r="I105" s="484"/>
      <c r="J105" s="235">
        <f t="shared" si="2"/>
        <v>64</v>
      </c>
      <c r="K105" s="454" t="s">
        <v>795</v>
      </c>
      <c r="L105" s="1014">
        <f>L98+L99+L100+L101+L102+L103+L104</f>
        <v>1490</v>
      </c>
      <c r="M105" s="490"/>
      <c r="N105" s="484"/>
    </row>
    <row r="106" spans="1:14" ht="13.5" thickBot="1" x14ac:dyDescent="0.25">
      <c r="A106" s="484"/>
      <c r="B106" s="491"/>
      <c r="C106" s="541"/>
      <c r="D106" s="539"/>
      <c r="E106" s="539"/>
      <c r="F106" s="540"/>
      <c r="G106" s="484"/>
      <c r="H106" s="484"/>
      <c r="I106" s="484"/>
      <c r="J106" s="236">
        <f t="shared" si="2"/>
        <v>65</v>
      </c>
      <c r="K106" s="447" t="s">
        <v>794</v>
      </c>
      <c r="L106" s="1012">
        <f>L105*1.2</f>
        <v>1788</v>
      </c>
      <c r="M106" s="490"/>
      <c r="N106" s="484"/>
    </row>
    <row r="107" spans="1:14" x14ac:dyDescent="0.2">
      <c r="A107" s="484"/>
      <c r="B107" s="491"/>
      <c r="C107" s="541"/>
      <c r="D107" s="539"/>
      <c r="E107" s="539"/>
      <c r="F107" s="540"/>
      <c r="G107" s="484"/>
      <c r="H107" s="484"/>
      <c r="I107" s="484"/>
      <c r="J107" s="484"/>
      <c r="K107" s="484"/>
      <c r="L107" s="610"/>
      <c r="M107" s="490"/>
      <c r="N107" s="484"/>
    </row>
    <row r="108" spans="1:14" x14ac:dyDescent="0.2">
      <c r="A108" s="484"/>
      <c r="B108" s="491"/>
      <c r="C108" s="541"/>
      <c r="D108" s="539"/>
      <c r="E108" s="539"/>
      <c r="F108" s="540"/>
      <c r="G108" s="484"/>
      <c r="H108" s="484"/>
      <c r="I108" s="484"/>
      <c r="J108" s="484"/>
      <c r="K108" s="484"/>
      <c r="L108" s="610"/>
      <c r="M108" s="490"/>
      <c r="N108" s="484"/>
    </row>
    <row r="109" spans="1:14" x14ac:dyDescent="0.2">
      <c r="A109" s="484"/>
      <c r="B109" s="491"/>
      <c r="C109" s="541"/>
      <c r="D109" s="539"/>
      <c r="E109" s="539"/>
      <c r="F109" s="540"/>
      <c r="G109" s="484"/>
      <c r="H109" s="484"/>
      <c r="I109" s="484"/>
      <c r="J109" s="484"/>
      <c r="K109" s="484"/>
      <c r="L109" s="610"/>
      <c r="M109" s="490"/>
      <c r="N109" s="484"/>
    </row>
    <row r="110" spans="1:14" x14ac:dyDescent="0.2">
      <c r="A110" s="484"/>
      <c r="B110" s="491"/>
      <c r="C110" s="541"/>
      <c r="D110" s="539"/>
      <c r="E110" s="539"/>
      <c r="F110" s="540"/>
      <c r="G110" s="484"/>
      <c r="H110" s="484"/>
      <c r="I110" s="484"/>
      <c r="J110" s="484"/>
      <c r="K110" s="484"/>
      <c r="L110" s="610"/>
      <c r="M110" s="490"/>
      <c r="N110" s="484"/>
    </row>
    <row r="111" spans="1:14" ht="13.5" thickBot="1" x14ac:dyDescent="0.25">
      <c r="A111" s="484"/>
      <c r="B111" s="491"/>
      <c r="C111" s="541"/>
      <c r="D111" s="539"/>
      <c r="E111" s="539"/>
      <c r="F111" s="540"/>
      <c r="G111" s="484"/>
      <c r="H111" s="484"/>
      <c r="I111" s="484"/>
      <c r="J111" s="484"/>
      <c r="K111" s="484"/>
      <c r="L111" s="610"/>
      <c r="M111" s="490"/>
      <c r="N111" s="484"/>
    </row>
    <row r="112" spans="1:14" x14ac:dyDescent="0.2">
      <c r="A112" s="484"/>
      <c r="B112" s="491"/>
      <c r="C112" s="598"/>
      <c r="D112" s="504" t="s">
        <v>780</v>
      </c>
      <c r="E112" s="527"/>
      <c r="F112" s="612" t="str">
        <f>IF(FirstMonth=0,"",FirstMonth &amp; " " &amp; QuestYear)</f>
        <v>September 2026</v>
      </c>
      <c r="G112" s="484"/>
      <c r="H112" s="484"/>
      <c r="I112" s="484"/>
      <c r="J112" s="583"/>
      <c r="K112" s="584" t="s">
        <v>781</v>
      </c>
      <c r="L112" s="612" t="str">
        <f>IF(FirstMonth=0,"",FirstMonth &amp; " " &amp; QuestYear)</f>
        <v>September 2026</v>
      </c>
      <c r="M112" s="490"/>
      <c r="N112" s="484"/>
    </row>
    <row r="113" spans="1:14" ht="13.5" thickBot="1" x14ac:dyDescent="0.25">
      <c r="A113" s="484"/>
      <c r="B113" s="491"/>
      <c r="C113" s="599"/>
      <c r="D113" s="600" t="s">
        <v>782</v>
      </c>
      <c r="E113" s="529"/>
      <c r="F113" s="586"/>
      <c r="G113" s="484"/>
      <c r="H113" s="484"/>
      <c r="I113" s="484"/>
      <c r="J113" s="545"/>
      <c r="K113" s="585" t="s">
        <v>783</v>
      </c>
      <c r="L113" s="586" t="str">
        <f>IF(D11=0,"",D11)</f>
        <v/>
      </c>
      <c r="M113" s="490"/>
      <c r="N113" s="484"/>
    </row>
    <row r="114" spans="1:14" x14ac:dyDescent="0.2">
      <c r="A114" s="484"/>
      <c r="B114" s="491"/>
      <c r="C114" s="238">
        <v>44</v>
      </c>
      <c r="D114" s="455" t="s">
        <v>793</v>
      </c>
      <c r="E114" s="450"/>
      <c r="F114" s="1060">
        <f>(F92+F101)*0.9</f>
        <v>2120.2289999999998</v>
      </c>
      <c r="G114" s="484"/>
      <c r="H114" s="484"/>
      <c r="I114" s="484"/>
      <c r="J114" s="239">
        <f>J106+1</f>
        <v>66</v>
      </c>
      <c r="K114" s="456" t="s">
        <v>792</v>
      </c>
      <c r="L114" s="1060">
        <f>(F92+L106)*0.9</f>
        <v>2301.2640000000001</v>
      </c>
      <c r="M114" s="490"/>
      <c r="N114" s="484"/>
    </row>
    <row r="115" spans="1:14" ht="13.5" thickBot="1" x14ac:dyDescent="0.25">
      <c r="A115" s="484"/>
      <c r="B115" s="491"/>
      <c r="C115" s="236">
        <f>C114+1</f>
        <v>45</v>
      </c>
      <c r="D115" s="237" t="s">
        <v>791</v>
      </c>
      <c r="E115" s="240"/>
      <c r="F115" s="1012">
        <f>IF(ISERROR(F114/F79),0,(F114/F79))</f>
        <v>49.428079947575355</v>
      </c>
      <c r="G115" s="607" t="s">
        <v>784</v>
      </c>
      <c r="H115" s="484"/>
      <c r="I115" s="484"/>
      <c r="J115" s="236">
        <f>J114+1</f>
        <v>67</v>
      </c>
      <c r="K115" s="241" t="s">
        <v>790</v>
      </c>
      <c r="L115" s="1012">
        <f>IF(ISERROR(L114/F79),0,(L114/F79))</f>
        <v>53.64847899565428</v>
      </c>
      <c r="M115" s="611" t="s">
        <v>784</v>
      </c>
      <c r="N115" s="484"/>
    </row>
    <row r="116" spans="1:14" ht="13.5" thickBot="1" x14ac:dyDescent="0.25">
      <c r="A116" s="484"/>
      <c r="B116" s="574"/>
      <c r="C116" s="602"/>
      <c r="D116" s="603"/>
      <c r="E116" s="603"/>
      <c r="F116" s="556"/>
      <c r="G116" s="603"/>
      <c r="H116" s="603"/>
      <c r="I116" s="603"/>
      <c r="J116" s="603"/>
      <c r="K116" s="603"/>
      <c r="L116" s="603"/>
      <c r="M116" s="561"/>
      <c r="N116" s="484"/>
    </row>
    <row r="117" spans="1:14" x14ac:dyDescent="0.2">
      <c r="A117" s="484"/>
      <c r="B117" s="484"/>
      <c r="C117" s="484"/>
      <c r="D117" s="484"/>
      <c r="E117" s="484"/>
      <c r="F117" s="540"/>
      <c r="G117" s="484"/>
      <c r="H117" s="484"/>
      <c r="I117" s="484"/>
      <c r="J117" s="484"/>
      <c r="K117" s="484"/>
      <c r="L117" s="484"/>
      <c r="M117" s="484"/>
      <c r="N117" s="484"/>
    </row>
    <row r="118" spans="1:14" x14ac:dyDescent="0.2">
      <c r="A118" s="484"/>
      <c r="B118" s="484"/>
      <c r="C118" s="575"/>
      <c r="D118" s="484"/>
      <c r="E118" s="484"/>
      <c r="F118" s="540"/>
      <c r="G118" s="484"/>
      <c r="H118" s="484"/>
      <c r="I118" s="484"/>
      <c r="J118" s="484"/>
      <c r="K118" s="484"/>
      <c r="L118" s="484"/>
      <c r="M118" s="484"/>
      <c r="N118" s="484"/>
    </row>
    <row r="119" spans="1:14" x14ac:dyDescent="0.2">
      <c r="A119" s="575"/>
      <c r="B119" s="484"/>
      <c r="C119" s="484"/>
      <c r="D119" s="604" t="str">
        <f>IF(F115&gt;=F80,"MS is compliant to directive 2009/119/EC (Method 1)","MS is not compliant to directive 2009/119/EC (Method 1)")</f>
        <v>MS is not compliant to directive 2009/119/EC (Method 1)</v>
      </c>
      <c r="E119" s="484"/>
      <c r="F119" s="540"/>
      <c r="G119" s="484"/>
      <c r="H119" s="484"/>
      <c r="I119" s="484"/>
      <c r="J119" s="484"/>
      <c r="K119" s="604" t="str">
        <f>IF(L115&gt;=F80,"MS is compliant to directive 2009/119/EC (Method 2)","MS is not compliant to directive 2009/119/EC (Method 2)")</f>
        <v>MS is not compliant to directive 2009/119/EC (Method 2)</v>
      </c>
      <c r="L119" s="484"/>
      <c r="M119" s="484"/>
      <c r="N119" s="484"/>
    </row>
    <row r="120" spans="1:14" x14ac:dyDescent="0.2">
      <c r="A120" s="575"/>
      <c r="B120" s="484"/>
      <c r="C120" s="484"/>
      <c r="D120" s="540"/>
      <c r="E120" s="484"/>
      <c r="F120" s="484"/>
      <c r="G120" s="484"/>
      <c r="H120" s="484"/>
      <c r="I120" s="484"/>
      <c r="J120" s="484"/>
      <c r="K120" s="484"/>
      <c r="L120" s="484"/>
      <c r="M120" s="484"/>
      <c r="N120" s="484"/>
    </row>
    <row r="121" spans="1:14" x14ac:dyDescent="0.2">
      <c r="A121" s="484"/>
      <c r="B121" s="484"/>
      <c r="C121" s="484"/>
      <c r="D121" s="484"/>
      <c r="E121" s="484"/>
      <c r="F121" s="484"/>
      <c r="G121" s="484"/>
      <c r="H121" s="484"/>
      <c r="I121" s="484"/>
      <c r="J121" s="484"/>
      <c r="K121" s="484"/>
      <c r="L121" s="484"/>
      <c r="M121" s="484"/>
      <c r="N121" s="484"/>
    </row>
    <row r="122" spans="1:14" x14ac:dyDescent="0.2">
      <c r="A122" s="484"/>
      <c r="B122" s="484"/>
      <c r="C122" s="484"/>
      <c r="D122" s="484"/>
      <c r="E122" s="484"/>
      <c r="F122" s="484"/>
      <c r="G122" s="484"/>
      <c r="H122" s="484"/>
      <c r="I122" s="484"/>
      <c r="J122" s="484"/>
      <c r="K122" s="484"/>
      <c r="L122" s="484"/>
      <c r="M122" s="484"/>
      <c r="N122" s="484"/>
    </row>
    <row r="123" spans="1:14" x14ac:dyDescent="0.2">
      <c r="A123" s="484"/>
      <c r="B123" s="484"/>
      <c r="C123" s="484"/>
      <c r="D123" s="484"/>
      <c r="E123" s="484"/>
      <c r="F123" s="484"/>
      <c r="G123" s="484"/>
      <c r="H123" s="484"/>
      <c r="I123" s="484"/>
      <c r="J123" s="484"/>
      <c r="K123" s="484"/>
      <c r="L123" s="484"/>
      <c r="M123" s="484"/>
      <c r="N123" s="484"/>
    </row>
    <row r="124" spans="1:14" x14ac:dyDescent="0.2">
      <c r="A124" s="484"/>
      <c r="B124" s="484"/>
      <c r="C124" s="484" t="s">
        <v>733</v>
      </c>
      <c r="D124" s="484"/>
      <c r="E124" s="484"/>
      <c r="F124" s="484"/>
      <c r="G124" s="484"/>
      <c r="H124" s="484"/>
      <c r="I124" s="484"/>
      <c r="J124" s="484"/>
      <c r="K124" s="484"/>
      <c r="L124" s="484"/>
      <c r="M124" s="484"/>
      <c r="N124" s="484"/>
    </row>
    <row r="125" spans="1:14" x14ac:dyDescent="0.2">
      <c r="A125" s="484"/>
      <c r="B125" s="484"/>
      <c r="C125" s="484"/>
      <c r="D125" s="484"/>
      <c r="E125" s="484"/>
      <c r="F125" s="484"/>
      <c r="G125" s="484"/>
      <c r="H125" s="484"/>
      <c r="I125" s="484"/>
      <c r="J125" s="484"/>
      <c r="K125" s="484"/>
      <c r="L125" s="484"/>
      <c r="M125" s="484"/>
      <c r="N125" s="484"/>
    </row>
    <row r="126" spans="1:14" x14ac:dyDescent="0.2">
      <c r="A126" s="484"/>
      <c r="B126" s="484"/>
      <c r="C126" s="484"/>
      <c r="D126" s="484"/>
      <c r="E126" s="484"/>
      <c r="F126" s="1175"/>
      <c r="G126" s="1175"/>
      <c r="H126" s="1175"/>
      <c r="I126" s="484"/>
      <c r="J126" s="484"/>
      <c r="K126" s="484"/>
      <c r="L126" s="484"/>
      <c r="M126" s="484"/>
      <c r="N126" s="484"/>
    </row>
    <row r="127" spans="1:14" x14ac:dyDescent="0.2">
      <c r="A127" s="484"/>
      <c r="B127" s="484"/>
      <c r="C127" s="484"/>
      <c r="D127" s="604" t="str">
        <f>IF(OR(AND(F115&gt;=F80,F127=1),AND(L115&gt;=F80,F127=2)),"MS is compliant to directive 2009/119/EC","MS is not compliant to directive 2009/119/EC")</f>
        <v>MS is not compliant to directive 2009/119/EC</v>
      </c>
      <c r="E127" s="484"/>
      <c r="F127" s="761">
        <v>1</v>
      </c>
      <c r="G127" s="613" t="s">
        <v>735</v>
      </c>
      <c r="H127" s="613" t="s">
        <v>785</v>
      </c>
      <c r="I127" s="613"/>
      <c r="J127" s="484"/>
      <c r="K127" s="484"/>
      <c r="L127" s="484"/>
      <c r="M127" s="484"/>
      <c r="N127" s="484"/>
    </row>
    <row r="128" spans="1:14" x14ac:dyDescent="0.2">
      <c r="A128" s="484"/>
      <c r="B128" s="484"/>
      <c r="C128" s="484"/>
      <c r="D128" s="484"/>
      <c r="E128" s="484"/>
      <c r="F128" s="613" t="str">
        <f>IF(F127=1,G127,H127)</f>
        <v>annex III,(a)</v>
      </c>
      <c r="G128" s="613"/>
      <c r="H128" s="613"/>
      <c r="I128" s="613"/>
      <c r="J128" s="484"/>
      <c r="K128" s="484"/>
      <c r="L128" s="484"/>
      <c r="M128" s="484"/>
      <c r="N128" s="484"/>
    </row>
    <row r="129" spans="1:14" x14ac:dyDescent="0.2">
      <c r="A129" s="484"/>
      <c r="B129" s="484"/>
      <c r="C129" s="484"/>
      <c r="D129" s="484"/>
      <c r="E129" s="484"/>
      <c r="F129" s="484"/>
      <c r="G129" s="484"/>
      <c r="H129" s="484"/>
      <c r="I129" s="1175"/>
      <c r="J129" s="1175"/>
      <c r="K129" s="1175"/>
      <c r="L129" s="484"/>
      <c r="M129" s="484"/>
      <c r="N129" s="484"/>
    </row>
    <row r="130" spans="1:14" ht="13.5" thickBot="1" x14ac:dyDescent="0.25">
      <c r="A130" s="484"/>
      <c r="B130" s="484"/>
      <c r="C130" s="484"/>
      <c r="D130" s="604"/>
      <c r="E130" s="604"/>
      <c r="F130" s="607" t="s">
        <v>786</v>
      </c>
      <c r="G130" s="563"/>
      <c r="H130" s="563"/>
      <c r="I130" s="484"/>
      <c r="J130" s="484"/>
      <c r="K130" s="484"/>
      <c r="L130" s="484"/>
      <c r="M130" s="484"/>
      <c r="N130" s="484"/>
    </row>
    <row r="131" spans="1:14" x14ac:dyDescent="0.2">
      <c r="A131" s="484"/>
      <c r="B131" s="484"/>
      <c r="C131" s="488"/>
      <c r="D131" s="486"/>
      <c r="E131" s="605"/>
      <c r="F131" s="487"/>
      <c r="G131" s="484"/>
      <c r="H131" s="484"/>
      <c r="I131" s="484"/>
      <c r="J131" s="484"/>
      <c r="K131" s="484"/>
      <c r="L131" s="484"/>
      <c r="M131" s="484"/>
      <c r="N131" s="484"/>
    </row>
    <row r="132" spans="1:14" x14ac:dyDescent="0.2">
      <c r="A132" s="484"/>
      <c r="B132" s="484"/>
      <c r="C132" s="491"/>
      <c r="D132" s="1173" t="s">
        <v>787</v>
      </c>
      <c r="E132" s="1174"/>
      <c r="F132" s="490"/>
      <c r="G132" s="484"/>
      <c r="H132" s="484"/>
      <c r="I132" s="484"/>
      <c r="J132" s="484"/>
      <c r="K132" s="484"/>
      <c r="L132" s="484"/>
      <c r="M132" s="484"/>
      <c r="N132" s="484"/>
    </row>
    <row r="133" spans="1:14" x14ac:dyDescent="0.2">
      <c r="A133" s="484"/>
      <c r="B133" s="484"/>
      <c r="C133" s="491"/>
      <c r="D133" s="1173" t="s">
        <v>788</v>
      </c>
      <c r="E133" s="1174"/>
      <c r="F133" s="1061">
        <f>ROUND(IF(F127=1,F115,L115),3)</f>
        <v>49.427999999999997</v>
      </c>
      <c r="G133" s="484"/>
      <c r="H133" s="484"/>
      <c r="I133" s="484"/>
      <c r="J133" s="484"/>
      <c r="K133" s="484"/>
      <c r="L133" s="484"/>
      <c r="M133" s="484"/>
      <c r="N133" s="484"/>
    </row>
    <row r="134" spans="1:14" ht="13.5" thickBot="1" x14ac:dyDescent="0.25">
      <c r="A134" s="484"/>
      <c r="B134" s="484"/>
      <c r="C134" s="574"/>
      <c r="D134" s="603"/>
      <c r="E134" s="606"/>
      <c r="F134" s="561"/>
      <c r="G134" s="484"/>
      <c r="H134" s="484"/>
      <c r="I134" s="484"/>
      <c r="J134" s="484"/>
      <c r="K134" s="484"/>
      <c r="L134" s="484"/>
      <c r="M134" s="484"/>
      <c r="N134" s="484"/>
    </row>
  </sheetData>
  <sheetProtection algorithmName="SHA-512" hashValue="z9dnK7vV99Ypa1HBdgcJnMUaFwRAgklhiNYhXfjlA4F7fEfZ8VUIsDKpjjuffpzMcC1GOHg7kcIN0F8+qOwv/g==" saltValue="iqNjnVQ370pEqBpaE6xxmg==" spinCount="100000" sheet="1" objects="1" scenarios="1"/>
  <mergeCells count="11">
    <mergeCell ref="C26:D27"/>
    <mergeCell ref="C52:E52"/>
    <mergeCell ref="C74:E74"/>
    <mergeCell ref="C75:E75"/>
    <mergeCell ref="D2:M2"/>
    <mergeCell ref="D133:E133"/>
    <mergeCell ref="F126:H126"/>
    <mergeCell ref="C76:E76"/>
    <mergeCell ref="C77:E77"/>
    <mergeCell ref="I129:K129"/>
    <mergeCell ref="D132:E132"/>
  </mergeCells>
  <conditionalFormatting sqref="F58 F62 F66 L66">
    <cfRule type="cellIs" priority="18" stopIfTrue="1" operator="equal">
      <formula>MIN(F58,F62,F66)</formula>
    </cfRule>
  </conditionalFormatting>
  <conditionalFormatting sqref="F59">
    <cfRule type="cellIs" dxfId="301" priority="17" stopIfTrue="1" operator="equal">
      <formula>MIN(F59,F63,F67)</formula>
    </cfRule>
  </conditionalFormatting>
  <conditionalFormatting sqref="F60">
    <cfRule type="cellIs" dxfId="300" priority="16" stopIfTrue="1" operator="equal">
      <formula>MIN(F60,F65,F73)</formula>
    </cfRule>
  </conditionalFormatting>
  <conditionalFormatting sqref="F63">
    <cfRule type="cellIs" dxfId="299" priority="15" stopIfTrue="1" operator="equal">
      <formula>MIN(F59,F63,F67)</formula>
    </cfRule>
  </conditionalFormatting>
  <conditionalFormatting sqref="F64">
    <cfRule type="cellIs" dxfId="298" priority="14" stopIfTrue="1" operator="equal">
      <formula>MIN(F60,F64,F73)</formula>
    </cfRule>
  </conditionalFormatting>
  <conditionalFormatting sqref="F72">
    <cfRule type="cellIs" dxfId="297" priority="13" stopIfTrue="1" operator="equal">
      <formula>MIN(F60,F64,F72)</formula>
    </cfRule>
  </conditionalFormatting>
  <conditionalFormatting sqref="F67:F68">
    <cfRule type="cellIs" dxfId="296" priority="12" stopIfTrue="1" operator="equal">
      <formula>MIN(F59,F63,F67)</formula>
    </cfRule>
  </conditionalFormatting>
  <conditionalFormatting sqref="F69:F71">
    <cfRule type="cellIs" dxfId="295" priority="11" stopIfTrue="1" operator="equal">
      <formula>MIN(F60,F64,F69)</formula>
    </cfRule>
  </conditionalFormatting>
  <conditionalFormatting sqref="D130">
    <cfRule type="expression" dxfId="294" priority="9" stopIfTrue="1">
      <formula>OR(AND(F115&gt;=90,#REF!=1),AND(L115&gt;=61,#REF!=2))</formula>
    </cfRule>
    <cfRule type="expression" dxfId="293" priority="10" stopIfTrue="1">
      <formula>OR(AND(F115&lt;90,#REF!=1),AND(L115&lt;61,#REF!=2))</formula>
    </cfRule>
  </conditionalFormatting>
  <conditionalFormatting sqref="E130">
    <cfRule type="expression" dxfId="292" priority="7" stopIfTrue="1">
      <formula>(OR(AND(G116&gt;=90,#REF!=1),AND(M116&gt;=61,#REF!=2)))</formula>
    </cfRule>
    <cfRule type="expression" dxfId="291" priority="8" stopIfTrue="1">
      <formula>(OR(AND(G116&lt;90,#REF!=1),AND(M116&lt;61,#REF!=2)))</formula>
    </cfRule>
  </conditionalFormatting>
  <conditionalFormatting sqref="D119">
    <cfRule type="expression" dxfId="290" priority="5" stopIfTrue="1">
      <formula>F$115&gt;=F80</formula>
    </cfRule>
    <cfRule type="expression" dxfId="289" priority="6" stopIfTrue="1">
      <formula>F$115&lt;F80</formula>
    </cfRule>
  </conditionalFormatting>
  <conditionalFormatting sqref="D127">
    <cfRule type="expression" dxfId="288" priority="3" stopIfTrue="1">
      <formula>OR(AND(F115&gt;=F80,F127=1),AND(L115&gt;=F80,F127=2))</formula>
    </cfRule>
    <cfRule type="expression" dxfId="287" priority="4" stopIfTrue="1">
      <formula>OR(AND(F115&lt;F80,F127=1),AND(L115&lt;F80,F127=2))</formula>
    </cfRule>
  </conditionalFormatting>
  <conditionalFormatting sqref="K119">
    <cfRule type="expression" dxfId="286" priority="1" stopIfTrue="1">
      <formula>$L$115&gt;=F80</formula>
    </cfRule>
    <cfRule type="expression" dxfId="285" priority="2" stopIfTrue="1">
      <formula>$L$115&lt;F80</formula>
    </cfRule>
  </conditionalFormatting>
  <pageMargins left="0.39370078740157483" right="0.39370078740157483" top="0.78740157480314965" bottom="0.78740157480314965" header="0.39370078740157483" footer="0.39370078740157483"/>
  <pageSetup paperSize="9" scale="33" orientation="portrait" r:id="rId1"/>
  <headerFooter alignWithMargins="0">
    <oddHeader>&amp;A</oddHeader>
    <oddFooter>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6667" r:id="rId4" name="Group Box 43">
              <controlPr defaultSize="0" autoFill="0" autoPict="0">
                <anchor moveWithCells="1">
                  <from>
                    <xdr:col>3</xdr:col>
                    <xdr:colOff>3962400</xdr:colOff>
                    <xdr:row>122</xdr:row>
                    <xdr:rowOff>76200</xdr:rowOff>
                  </from>
                  <to>
                    <xdr:col>8</xdr:col>
                    <xdr:colOff>219075</xdr:colOff>
                    <xdr:row>124</xdr:row>
                    <xdr:rowOff>142875</xdr:rowOff>
                  </to>
                </anchor>
              </controlPr>
            </control>
          </mc:Choice>
        </mc:AlternateContent>
        <mc:AlternateContent xmlns:mc="http://schemas.openxmlformats.org/markup-compatibility/2006">
          <mc:Choice Requires="x14">
            <control shapeId="26668" r:id="rId5" name="Option Button 44">
              <controlPr defaultSize="0" autoFill="0" autoLine="0" autoPict="0">
                <anchor moveWithCells="1">
                  <from>
                    <xdr:col>3</xdr:col>
                    <xdr:colOff>4029075</xdr:colOff>
                    <xdr:row>123</xdr:row>
                    <xdr:rowOff>0</xdr:rowOff>
                  </from>
                  <to>
                    <xdr:col>3</xdr:col>
                    <xdr:colOff>5324475</xdr:colOff>
                    <xdr:row>124</xdr:row>
                    <xdr:rowOff>66675</xdr:rowOff>
                  </to>
                </anchor>
              </controlPr>
            </control>
          </mc:Choice>
        </mc:AlternateContent>
        <mc:AlternateContent xmlns:mc="http://schemas.openxmlformats.org/markup-compatibility/2006">
          <mc:Choice Requires="x14">
            <control shapeId="26669" r:id="rId6" name="Option Button 45">
              <controlPr defaultSize="0" autoFill="0" autoLine="0" autoPict="0">
                <anchor moveWithCells="1">
                  <from>
                    <xdr:col>5</xdr:col>
                    <xdr:colOff>361950</xdr:colOff>
                    <xdr:row>123</xdr:row>
                    <xdr:rowOff>0</xdr:rowOff>
                  </from>
                  <to>
                    <xdr:col>7</xdr:col>
                    <xdr:colOff>314325</xdr:colOff>
                    <xdr:row>124</xdr:row>
                    <xdr:rowOff>66675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N126"/>
  <sheetViews>
    <sheetView zoomScale="75" zoomScaleNormal="75" workbookViewId="0"/>
  </sheetViews>
  <sheetFormatPr defaultRowHeight="12.75" x14ac:dyDescent="0.2"/>
  <cols>
    <col min="1" max="2" width="7.140625" style="433" customWidth="1"/>
    <col min="3" max="3" width="4" style="433" customWidth="1"/>
    <col min="4" max="4" width="90.5703125" style="433" customWidth="1"/>
    <col min="5" max="5" width="10.5703125" style="433" customWidth="1"/>
    <col min="6" max="6" width="13.28515625" style="433" customWidth="1"/>
    <col min="7" max="7" width="7.28515625" style="433" customWidth="1"/>
    <col min="8" max="8" width="5.7109375" style="433" customWidth="1"/>
    <col min="9" max="9" width="7.140625" style="433" customWidth="1"/>
    <col min="10" max="10" width="4" style="433" customWidth="1"/>
    <col min="11" max="11" width="83.42578125" style="433" customWidth="1"/>
    <col min="12" max="12" width="13.28515625" style="433" customWidth="1"/>
    <col min="13" max="14" width="7.140625" style="433" customWidth="1"/>
    <col min="15" max="256" width="9.140625" style="433"/>
    <col min="257" max="258" width="7.140625" style="433" customWidth="1"/>
    <col min="259" max="259" width="4" style="433" customWidth="1"/>
    <col min="260" max="260" width="78.7109375" style="433" customWidth="1"/>
    <col min="261" max="261" width="8.140625" style="433" customWidth="1"/>
    <col min="262" max="262" width="13.28515625" style="433" customWidth="1"/>
    <col min="263" max="263" width="7.28515625" style="433" customWidth="1"/>
    <col min="264" max="264" width="5.7109375" style="433" customWidth="1"/>
    <col min="265" max="265" width="7.140625" style="433" customWidth="1"/>
    <col min="266" max="266" width="4" style="433" customWidth="1"/>
    <col min="267" max="267" width="83.42578125" style="433" customWidth="1"/>
    <col min="268" max="268" width="13.28515625" style="433" customWidth="1"/>
    <col min="269" max="270" width="7.140625" style="433" customWidth="1"/>
    <col min="271" max="512" width="9.140625" style="433"/>
    <col min="513" max="514" width="7.140625" style="433" customWidth="1"/>
    <col min="515" max="515" width="4" style="433" customWidth="1"/>
    <col min="516" max="516" width="78.7109375" style="433" customWidth="1"/>
    <col min="517" max="517" width="8.140625" style="433" customWidth="1"/>
    <col min="518" max="518" width="13.28515625" style="433" customWidth="1"/>
    <col min="519" max="519" width="7.28515625" style="433" customWidth="1"/>
    <col min="520" max="520" width="5.7109375" style="433" customWidth="1"/>
    <col min="521" max="521" width="7.140625" style="433" customWidth="1"/>
    <col min="522" max="522" width="4" style="433" customWidth="1"/>
    <col min="523" max="523" width="83.42578125" style="433" customWidth="1"/>
    <col min="524" max="524" width="13.28515625" style="433" customWidth="1"/>
    <col min="525" max="526" width="7.140625" style="433" customWidth="1"/>
    <col min="527" max="768" width="9.140625" style="433"/>
    <col min="769" max="770" width="7.140625" style="433" customWidth="1"/>
    <col min="771" max="771" width="4" style="433" customWidth="1"/>
    <col min="772" max="772" width="78.7109375" style="433" customWidth="1"/>
    <col min="773" max="773" width="8.140625" style="433" customWidth="1"/>
    <col min="774" max="774" width="13.28515625" style="433" customWidth="1"/>
    <col min="775" max="775" width="7.28515625" style="433" customWidth="1"/>
    <col min="776" max="776" width="5.7109375" style="433" customWidth="1"/>
    <col min="777" max="777" width="7.140625" style="433" customWidth="1"/>
    <col min="778" max="778" width="4" style="433" customWidth="1"/>
    <col min="779" max="779" width="83.42578125" style="433" customWidth="1"/>
    <col min="780" max="780" width="13.28515625" style="433" customWidth="1"/>
    <col min="781" max="782" width="7.140625" style="433" customWidth="1"/>
    <col min="783" max="1024" width="9.140625" style="433"/>
    <col min="1025" max="1026" width="7.140625" style="433" customWidth="1"/>
    <col min="1027" max="1027" width="4" style="433" customWidth="1"/>
    <col min="1028" max="1028" width="78.7109375" style="433" customWidth="1"/>
    <col min="1029" max="1029" width="8.140625" style="433" customWidth="1"/>
    <col min="1030" max="1030" width="13.28515625" style="433" customWidth="1"/>
    <col min="1031" max="1031" width="7.28515625" style="433" customWidth="1"/>
    <col min="1032" max="1032" width="5.7109375" style="433" customWidth="1"/>
    <col min="1033" max="1033" width="7.140625" style="433" customWidth="1"/>
    <col min="1034" max="1034" width="4" style="433" customWidth="1"/>
    <col min="1035" max="1035" width="83.42578125" style="433" customWidth="1"/>
    <col min="1036" max="1036" width="13.28515625" style="433" customWidth="1"/>
    <col min="1037" max="1038" width="7.140625" style="433" customWidth="1"/>
    <col min="1039" max="1280" width="9.140625" style="433"/>
    <col min="1281" max="1282" width="7.140625" style="433" customWidth="1"/>
    <col min="1283" max="1283" width="4" style="433" customWidth="1"/>
    <col min="1284" max="1284" width="78.7109375" style="433" customWidth="1"/>
    <col min="1285" max="1285" width="8.140625" style="433" customWidth="1"/>
    <col min="1286" max="1286" width="13.28515625" style="433" customWidth="1"/>
    <col min="1287" max="1287" width="7.28515625" style="433" customWidth="1"/>
    <col min="1288" max="1288" width="5.7109375" style="433" customWidth="1"/>
    <col min="1289" max="1289" width="7.140625" style="433" customWidth="1"/>
    <col min="1290" max="1290" width="4" style="433" customWidth="1"/>
    <col min="1291" max="1291" width="83.42578125" style="433" customWidth="1"/>
    <col min="1292" max="1292" width="13.28515625" style="433" customWidth="1"/>
    <col min="1293" max="1294" width="7.140625" style="433" customWidth="1"/>
    <col min="1295" max="1536" width="9.140625" style="433"/>
    <col min="1537" max="1538" width="7.140625" style="433" customWidth="1"/>
    <col min="1539" max="1539" width="4" style="433" customWidth="1"/>
    <col min="1540" max="1540" width="78.7109375" style="433" customWidth="1"/>
    <col min="1541" max="1541" width="8.140625" style="433" customWidth="1"/>
    <col min="1542" max="1542" width="13.28515625" style="433" customWidth="1"/>
    <col min="1543" max="1543" width="7.28515625" style="433" customWidth="1"/>
    <col min="1544" max="1544" width="5.7109375" style="433" customWidth="1"/>
    <col min="1545" max="1545" width="7.140625" style="433" customWidth="1"/>
    <col min="1546" max="1546" width="4" style="433" customWidth="1"/>
    <col min="1547" max="1547" width="83.42578125" style="433" customWidth="1"/>
    <col min="1548" max="1548" width="13.28515625" style="433" customWidth="1"/>
    <col min="1549" max="1550" width="7.140625" style="433" customWidth="1"/>
    <col min="1551" max="1792" width="9.140625" style="433"/>
    <col min="1793" max="1794" width="7.140625" style="433" customWidth="1"/>
    <col min="1795" max="1795" width="4" style="433" customWidth="1"/>
    <col min="1796" max="1796" width="78.7109375" style="433" customWidth="1"/>
    <col min="1797" max="1797" width="8.140625" style="433" customWidth="1"/>
    <col min="1798" max="1798" width="13.28515625" style="433" customWidth="1"/>
    <col min="1799" max="1799" width="7.28515625" style="433" customWidth="1"/>
    <col min="1800" max="1800" width="5.7109375" style="433" customWidth="1"/>
    <col min="1801" max="1801" width="7.140625" style="433" customWidth="1"/>
    <col min="1802" max="1802" width="4" style="433" customWidth="1"/>
    <col min="1803" max="1803" width="83.42578125" style="433" customWidth="1"/>
    <col min="1804" max="1804" width="13.28515625" style="433" customWidth="1"/>
    <col min="1805" max="1806" width="7.140625" style="433" customWidth="1"/>
    <col min="1807" max="2048" width="9.140625" style="433"/>
    <col min="2049" max="2050" width="7.140625" style="433" customWidth="1"/>
    <col min="2051" max="2051" width="4" style="433" customWidth="1"/>
    <col min="2052" max="2052" width="78.7109375" style="433" customWidth="1"/>
    <col min="2053" max="2053" width="8.140625" style="433" customWidth="1"/>
    <col min="2054" max="2054" width="13.28515625" style="433" customWidth="1"/>
    <col min="2055" max="2055" width="7.28515625" style="433" customWidth="1"/>
    <col min="2056" max="2056" width="5.7109375" style="433" customWidth="1"/>
    <col min="2057" max="2057" width="7.140625" style="433" customWidth="1"/>
    <col min="2058" max="2058" width="4" style="433" customWidth="1"/>
    <col min="2059" max="2059" width="83.42578125" style="433" customWidth="1"/>
    <col min="2060" max="2060" width="13.28515625" style="433" customWidth="1"/>
    <col min="2061" max="2062" width="7.140625" style="433" customWidth="1"/>
    <col min="2063" max="2304" width="9.140625" style="433"/>
    <col min="2305" max="2306" width="7.140625" style="433" customWidth="1"/>
    <col min="2307" max="2307" width="4" style="433" customWidth="1"/>
    <col min="2308" max="2308" width="78.7109375" style="433" customWidth="1"/>
    <col min="2309" max="2309" width="8.140625" style="433" customWidth="1"/>
    <col min="2310" max="2310" width="13.28515625" style="433" customWidth="1"/>
    <col min="2311" max="2311" width="7.28515625" style="433" customWidth="1"/>
    <col min="2312" max="2312" width="5.7109375" style="433" customWidth="1"/>
    <col min="2313" max="2313" width="7.140625" style="433" customWidth="1"/>
    <col min="2314" max="2314" width="4" style="433" customWidth="1"/>
    <col min="2315" max="2315" width="83.42578125" style="433" customWidth="1"/>
    <col min="2316" max="2316" width="13.28515625" style="433" customWidth="1"/>
    <col min="2317" max="2318" width="7.140625" style="433" customWidth="1"/>
    <col min="2319" max="2560" width="9.140625" style="433"/>
    <col min="2561" max="2562" width="7.140625" style="433" customWidth="1"/>
    <col min="2563" max="2563" width="4" style="433" customWidth="1"/>
    <col min="2564" max="2564" width="78.7109375" style="433" customWidth="1"/>
    <col min="2565" max="2565" width="8.140625" style="433" customWidth="1"/>
    <col min="2566" max="2566" width="13.28515625" style="433" customWidth="1"/>
    <col min="2567" max="2567" width="7.28515625" style="433" customWidth="1"/>
    <col min="2568" max="2568" width="5.7109375" style="433" customWidth="1"/>
    <col min="2569" max="2569" width="7.140625" style="433" customWidth="1"/>
    <col min="2570" max="2570" width="4" style="433" customWidth="1"/>
    <col min="2571" max="2571" width="83.42578125" style="433" customWidth="1"/>
    <col min="2572" max="2572" width="13.28515625" style="433" customWidth="1"/>
    <col min="2573" max="2574" width="7.140625" style="433" customWidth="1"/>
    <col min="2575" max="2816" width="9.140625" style="433"/>
    <col min="2817" max="2818" width="7.140625" style="433" customWidth="1"/>
    <col min="2819" max="2819" width="4" style="433" customWidth="1"/>
    <col min="2820" max="2820" width="78.7109375" style="433" customWidth="1"/>
    <col min="2821" max="2821" width="8.140625" style="433" customWidth="1"/>
    <col min="2822" max="2822" width="13.28515625" style="433" customWidth="1"/>
    <col min="2823" max="2823" width="7.28515625" style="433" customWidth="1"/>
    <col min="2824" max="2824" width="5.7109375" style="433" customWidth="1"/>
    <col min="2825" max="2825" width="7.140625" style="433" customWidth="1"/>
    <col min="2826" max="2826" width="4" style="433" customWidth="1"/>
    <col min="2827" max="2827" width="83.42578125" style="433" customWidth="1"/>
    <col min="2828" max="2828" width="13.28515625" style="433" customWidth="1"/>
    <col min="2829" max="2830" width="7.140625" style="433" customWidth="1"/>
    <col min="2831" max="3072" width="9.140625" style="433"/>
    <col min="3073" max="3074" width="7.140625" style="433" customWidth="1"/>
    <col min="3075" max="3075" width="4" style="433" customWidth="1"/>
    <col min="3076" max="3076" width="78.7109375" style="433" customWidth="1"/>
    <col min="3077" max="3077" width="8.140625" style="433" customWidth="1"/>
    <col min="3078" max="3078" width="13.28515625" style="433" customWidth="1"/>
    <col min="3079" max="3079" width="7.28515625" style="433" customWidth="1"/>
    <col min="3080" max="3080" width="5.7109375" style="433" customWidth="1"/>
    <col min="3081" max="3081" width="7.140625" style="433" customWidth="1"/>
    <col min="3082" max="3082" width="4" style="433" customWidth="1"/>
    <col min="3083" max="3083" width="83.42578125" style="433" customWidth="1"/>
    <col min="3084" max="3084" width="13.28515625" style="433" customWidth="1"/>
    <col min="3085" max="3086" width="7.140625" style="433" customWidth="1"/>
    <col min="3087" max="3328" width="9.140625" style="433"/>
    <col min="3329" max="3330" width="7.140625" style="433" customWidth="1"/>
    <col min="3331" max="3331" width="4" style="433" customWidth="1"/>
    <col min="3332" max="3332" width="78.7109375" style="433" customWidth="1"/>
    <col min="3333" max="3333" width="8.140625" style="433" customWidth="1"/>
    <col min="3334" max="3334" width="13.28515625" style="433" customWidth="1"/>
    <col min="3335" max="3335" width="7.28515625" style="433" customWidth="1"/>
    <col min="3336" max="3336" width="5.7109375" style="433" customWidth="1"/>
    <col min="3337" max="3337" width="7.140625" style="433" customWidth="1"/>
    <col min="3338" max="3338" width="4" style="433" customWidth="1"/>
    <col min="3339" max="3339" width="83.42578125" style="433" customWidth="1"/>
    <col min="3340" max="3340" width="13.28515625" style="433" customWidth="1"/>
    <col min="3341" max="3342" width="7.140625" style="433" customWidth="1"/>
    <col min="3343" max="3584" width="9.140625" style="433"/>
    <col min="3585" max="3586" width="7.140625" style="433" customWidth="1"/>
    <col min="3587" max="3587" width="4" style="433" customWidth="1"/>
    <col min="3588" max="3588" width="78.7109375" style="433" customWidth="1"/>
    <col min="3589" max="3589" width="8.140625" style="433" customWidth="1"/>
    <col min="3590" max="3590" width="13.28515625" style="433" customWidth="1"/>
    <col min="3591" max="3591" width="7.28515625" style="433" customWidth="1"/>
    <col min="3592" max="3592" width="5.7109375" style="433" customWidth="1"/>
    <col min="3593" max="3593" width="7.140625" style="433" customWidth="1"/>
    <col min="3594" max="3594" width="4" style="433" customWidth="1"/>
    <col min="3595" max="3595" width="83.42578125" style="433" customWidth="1"/>
    <col min="3596" max="3596" width="13.28515625" style="433" customWidth="1"/>
    <col min="3597" max="3598" width="7.140625" style="433" customWidth="1"/>
    <col min="3599" max="3840" width="9.140625" style="433"/>
    <col min="3841" max="3842" width="7.140625" style="433" customWidth="1"/>
    <col min="3843" max="3843" width="4" style="433" customWidth="1"/>
    <col min="3844" max="3844" width="78.7109375" style="433" customWidth="1"/>
    <col min="3845" max="3845" width="8.140625" style="433" customWidth="1"/>
    <col min="3846" max="3846" width="13.28515625" style="433" customWidth="1"/>
    <col min="3847" max="3847" width="7.28515625" style="433" customWidth="1"/>
    <col min="3848" max="3848" width="5.7109375" style="433" customWidth="1"/>
    <col min="3849" max="3849" width="7.140625" style="433" customWidth="1"/>
    <col min="3850" max="3850" width="4" style="433" customWidth="1"/>
    <col min="3851" max="3851" width="83.42578125" style="433" customWidth="1"/>
    <col min="3852" max="3852" width="13.28515625" style="433" customWidth="1"/>
    <col min="3853" max="3854" width="7.140625" style="433" customWidth="1"/>
    <col min="3855" max="4096" width="9.140625" style="433"/>
    <col min="4097" max="4098" width="7.140625" style="433" customWidth="1"/>
    <col min="4099" max="4099" width="4" style="433" customWidth="1"/>
    <col min="4100" max="4100" width="78.7109375" style="433" customWidth="1"/>
    <col min="4101" max="4101" width="8.140625" style="433" customWidth="1"/>
    <col min="4102" max="4102" width="13.28515625" style="433" customWidth="1"/>
    <col min="4103" max="4103" width="7.28515625" style="433" customWidth="1"/>
    <col min="4104" max="4104" width="5.7109375" style="433" customWidth="1"/>
    <col min="4105" max="4105" width="7.140625" style="433" customWidth="1"/>
    <col min="4106" max="4106" width="4" style="433" customWidth="1"/>
    <col min="4107" max="4107" width="83.42578125" style="433" customWidth="1"/>
    <col min="4108" max="4108" width="13.28515625" style="433" customWidth="1"/>
    <col min="4109" max="4110" width="7.140625" style="433" customWidth="1"/>
    <col min="4111" max="4352" width="9.140625" style="433"/>
    <col min="4353" max="4354" width="7.140625" style="433" customWidth="1"/>
    <col min="4355" max="4355" width="4" style="433" customWidth="1"/>
    <col min="4356" max="4356" width="78.7109375" style="433" customWidth="1"/>
    <col min="4357" max="4357" width="8.140625" style="433" customWidth="1"/>
    <col min="4358" max="4358" width="13.28515625" style="433" customWidth="1"/>
    <col min="4359" max="4359" width="7.28515625" style="433" customWidth="1"/>
    <col min="4360" max="4360" width="5.7109375" style="433" customWidth="1"/>
    <col min="4361" max="4361" width="7.140625" style="433" customWidth="1"/>
    <col min="4362" max="4362" width="4" style="433" customWidth="1"/>
    <col min="4363" max="4363" width="83.42578125" style="433" customWidth="1"/>
    <col min="4364" max="4364" width="13.28515625" style="433" customWidth="1"/>
    <col min="4365" max="4366" width="7.140625" style="433" customWidth="1"/>
    <col min="4367" max="4608" width="9.140625" style="433"/>
    <col min="4609" max="4610" width="7.140625" style="433" customWidth="1"/>
    <col min="4611" max="4611" width="4" style="433" customWidth="1"/>
    <col min="4612" max="4612" width="78.7109375" style="433" customWidth="1"/>
    <col min="4613" max="4613" width="8.140625" style="433" customWidth="1"/>
    <col min="4614" max="4614" width="13.28515625" style="433" customWidth="1"/>
    <col min="4615" max="4615" width="7.28515625" style="433" customWidth="1"/>
    <col min="4616" max="4616" width="5.7109375" style="433" customWidth="1"/>
    <col min="4617" max="4617" width="7.140625" style="433" customWidth="1"/>
    <col min="4618" max="4618" width="4" style="433" customWidth="1"/>
    <col min="4619" max="4619" width="83.42578125" style="433" customWidth="1"/>
    <col min="4620" max="4620" width="13.28515625" style="433" customWidth="1"/>
    <col min="4621" max="4622" width="7.140625" style="433" customWidth="1"/>
    <col min="4623" max="4864" width="9.140625" style="433"/>
    <col min="4865" max="4866" width="7.140625" style="433" customWidth="1"/>
    <col min="4867" max="4867" width="4" style="433" customWidth="1"/>
    <col min="4868" max="4868" width="78.7109375" style="433" customWidth="1"/>
    <col min="4869" max="4869" width="8.140625" style="433" customWidth="1"/>
    <col min="4870" max="4870" width="13.28515625" style="433" customWidth="1"/>
    <col min="4871" max="4871" width="7.28515625" style="433" customWidth="1"/>
    <col min="4872" max="4872" width="5.7109375" style="433" customWidth="1"/>
    <col min="4873" max="4873" width="7.140625" style="433" customWidth="1"/>
    <col min="4874" max="4874" width="4" style="433" customWidth="1"/>
    <col min="4875" max="4875" width="83.42578125" style="433" customWidth="1"/>
    <col min="4876" max="4876" width="13.28515625" style="433" customWidth="1"/>
    <col min="4877" max="4878" width="7.140625" style="433" customWidth="1"/>
    <col min="4879" max="5120" width="9.140625" style="433"/>
    <col min="5121" max="5122" width="7.140625" style="433" customWidth="1"/>
    <col min="5123" max="5123" width="4" style="433" customWidth="1"/>
    <col min="5124" max="5124" width="78.7109375" style="433" customWidth="1"/>
    <col min="5125" max="5125" width="8.140625" style="433" customWidth="1"/>
    <col min="5126" max="5126" width="13.28515625" style="433" customWidth="1"/>
    <col min="5127" max="5127" width="7.28515625" style="433" customWidth="1"/>
    <col min="5128" max="5128" width="5.7109375" style="433" customWidth="1"/>
    <col min="5129" max="5129" width="7.140625" style="433" customWidth="1"/>
    <col min="5130" max="5130" width="4" style="433" customWidth="1"/>
    <col min="5131" max="5131" width="83.42578125" style="433" customWidth="1"/>
    <col min="5132" max="5132" width="13.28515625" style="433" customWidth="1"/>
    <col min="5133" max="5134" width="7.140625" style="433" customWidth="1"/>
    <col min="5135" max="5376" width="9.140625" style="433"/>
    <col min="5377" max="5378" width="7.140625" style="433" customWidth="1"/>
    <col min="5379" max="5379" width="4" style="433" customWidth="1"/>
    <col min="5380" max="5380" width="78.7109375" style="433" customWidth="1"/>
    <col min="5381" max="5381" width="8.140625" style="433" customWidth="1"/>
    <col min="5382" max="5382" width="13.28515625" style="433" customWidth="1"/>
    <col min="5383" max="5383" width="7.28515625" style="433" customWidth="1"/>
    <col min="5384" max="5384" width="5.7109375" style="433" customWidth="1"/>
    <col min="5385" max="5385" width="7.140625" style="433" customWidth="1"/>
    <col min="5386" max="5386" width="4" style="433" customWidth="1"/>
    <col min="5387" max="5387" width="83.42578125" style="433" customWidth="1"/>
    <col min="5388" max="5388" width="13.28515625" style="433" customWidth="1"/>
    <col min="5389" max="5390" width="7.140625" style="433" customWidth="1"/>
    <col min="5391" max="5632" width="9.140625" style="433"/>
    <col min="5633" max="5634" width="7.140625" style="433" customWidth="1"/>
    <col min="5635" max="5635" width="4" style="433" customWidth="1"/>
    <col min="5636" max="5636" width="78.7109375" style="433" customWidth="1"/>
    <col min="5637" max="5637" width="8.140625" style="433" customWidth="1"/>
    <col min="5638" max="5638" width="13.28515625" style="433" customWidth="1"/>
    <col min="5639" max="5639" width="7.28515625" style="433" customWidth="1"/>
    <col min="5640" max="5640" width="5.7109375" style="433" customWidth="1"/>
    <col min="5641" max="5641" width="7.140625" style="433" customWidth="1"/>
    <col min="5642" max="5642" width="4" style="433" customWidth="1"/>
    <col min="5643" max="5643" width="83.42578125" style="433" customWidth="1"/>
    <col min="5644" max="5644" width="13.28515625" style="433" customWidth="1"/>
    <col min="5645" max="5646" width="7.140625" style="433" customWidth="1"/>
    <col min="5647" max="5888" width="9.140625" style="433"/>
    <col min="5889" max="5890" width="7.140625" style="433" customWidth="1"/>
    <col min="5891" max="5891" width="4" style="433" customWidth="1"/>
    <col min="5892" max="5892" width="78.7109375" style="433" customWidth="1"/>
    <col min="5893" max="5893" width="8.140625" style="433" customWidth="1"/>
    <col min="5894" max="5894" width="13.28515625" style="433" customWidth="1"/>
    <col min="5895" max="5895" width="7.28515625" style="433" customWidth="1"/>
    <col min="5896" max="5896" width="5.7109375" style="433" customWidth="1"/>
    <col min="5897" max="5897" width="7.140625" style="433" customWidth="1"/>
    <col min="5898" max="5898" width="4" style="433" customWidth="1"/>
    <col min="5899" max="5899" width="83.42578125" style="433" customWidth="1"/>
    <col min="5900" max="5900" width="13.28515625" style="433" customWidth="1"/>
    <col min="5901" max="5902" width="7.140625" style="433" customWidth="1"/>
    <col min="5903" max="6144" width="9.140625" style="433"/>
    <col min="6145" max="6146" width="7.140625" style="433" customWidth="1"/>
    <col min="6147" max="6147" width="4" style="433" customWidth="1"/>
    <col min="6148" max="6148" width="78.7109375" style="433" customWidth="1"/>
    <col min="6149" max="6149" width="8.140625" style="433" customWidth="1"/>
    <col min="6150" max="6150" width="13.28515625" style="433" customWidth="1"/>
    <col min="6151" max="6151" width="7.28515625" style="433" customWidth="1"/>
    <col min="6152" max="6152" width="5.7109375" style="433" customWidth="1"/>
    <col min="6153" max="6153" width="7.140625" style="433" customWidth="1"/>
    <col min="6154" max="6154" width="4" style="433" customWidth="1"/>
    <col min="6155" max="6155" width="83.42578125" style="433" customWidth="1"/>
    <col min="6156" max="6156" width="13.28515625" style="433" customWidth="1"/>
    <col min="6157" max="6158" width="7.140625" style="433" customWidth="1"/>
    <col min="6159" max="6400" width="9.140625" style="433"/>
    <col min="6401" max="6402" width="7.140625" style="433" customWidth="1"/>
    <col min="6403" max="6403" width="4" style="433" customWidth="1"/>
    <col min="6404" max="6404" width="78.7109375" style="433" customWidth="1"/>
    <col min="6405" max="6405" width="8.140625" style="433" customWidth="1"/>
    <col min="6406" max="6406" width="13.28515625" style="433" customWidth="1"/>
    <col min="6407" max="6407" width="7.28515625" style="433" customWidth="1"/>
    <col min="6408" max="6408" width="5.7109375" style="433" customWidth="1"/>
    <col min="6409" max="6409" width="7.140625" style="433" customWidth="1"/>
    <col min="6410" max="6410" width="4" style="433" customWidth="1"/>
    <col min="6411" max="6411" width="83.42578125" style="433" customWidth="1"/>
    <col min="6412" max="6412" width="13.28515625" style="433" customWidth="1"/>
    <col min="6413" max="6414" width="7.140625" style="433" customWidth="1"/>
    <col min="6415" max="6656" width="9.140625" style="433"/>
    <col min="6657" max="6658" width="7.140625" style="433" customWidth="1"/>
    <col min="6659" max="6659" width="4" style="433" customWidth="1"/>
    <col min="6660" max="6660" width="78.7109375" style="433" customWidth="1"/>
    <col min="6661" max="6661" width="8.140625" style="433" customWidth="1"/>
    <col min="6662" max="6662" width="13.28515625" style="433" customWidth="1"/>
    <col min="6663" max="6663" width="7.28515625" style="433" customWidth="1"/>
    <col min="6664" max="6664" width="5.7109375" style="433" customWidth="1"/>
    <col min="6665" max="6665" width="7.140625" style="433" customWidth="1"/>
    <col min="6666" max="6666" width="4" style="433" customWidth="1"/>
    <col min="6667" max="6667" width="83.42578125" style="433" customWidth="1"/>
    <col min="6668" max="6668" width="13.28515625" style="433" customWidth="1"/>
    <col min="6669" max="6670" width="7.140625" style="433" customWidth="1"/>
    <col min="6671" max="6912" width="9.140625" style="433"/>
    <col min="6913" max="6914" width="7.140625" style="433" customWidth="1"/>
    <col min="6915" max="6915" width="4" style="433" customWidth="1"/>
    <col min="6916" max="6916" width="78.7109375" style="433" customWidth="1"/>
    <col min="6917" max="6917" width="8.140625" style="433" customWidth="1"/>
    <col min="6918" max="6918" width="13.28515625" style="433" customWidth="1"/>
    <col min="6919" max="6919" width="7.28515625" style="433" customWidth="1"/>
    <col min="6920" max="6920" width="5.7109375" style="433" customWidth="1"/>
    <col min="6921" max="6921" width="7.140625" style="433" customWidth="1"/>
    <col min="6922" max="6922" width="4" style="433" customWidth="1"/>
    <col min="6923" max="6923" width="83.42578125" style="433" customWidth="1"/>
    <col min="6924" max="6924" width="13.28515625" style="433" customWidth="1"/>
    <col min="6925" max="6926" width="7.140625" style="433" customWidth="1"/>
    <col min="6927" max="7168" width="9.140625" style="433"/>
    <col min="7169" max="7170" width="7.140625" style="433" customWidth="1"/>
    <col min="7171" max="7171" width="4" style="433" customWidth="1"/>
    <col min="7172" max="7172" width="78.7109375" style="433" customWidth="1"/>
    <col min="7173" max="7173" width="8.140625" style="433" customWidth="1"/>
    <col min="7174" max="7174" width="13.28515625" style="433" customWidth="1"/>
    <col min="7175" max="7175" width="7.28515625" style="433" customWidth="1"/>
    <col min="7176" max="7176" width="5.7109375" style="433" customWidth="1"/>
    <col min="7177" max="7177" width="7.140625" style="433" customWidth="1"/>
    <col min="7178" max="7178" width="4" style="433" customWidth="1"/>
    <col min="7179" max="7179" width="83.42578125" style="433" customWidth="1"/>
    <col min="7180" max="7180" width="13.28515625" style="433" customWidth="1"/>
    <col min="7181" max="7182" width="7.140625" style="433" customWidth="1"/>
    <col min="7183" max="7424" width="9.140625" style="433"/>
    <col min="7425" max="7426" width="7.140625" style="433" customWidth="1"/>
    <col min="7427" max="7427" width="4" style="433" customWidth="1"/>
    <col min="7428" max="7428" width="78.7109375" style="433" customWidth="1"/>
    <col min="7429" max="7429" width="8.140625" style="433" customWidth="1"/>
    <col min="7430" max="7430" width="13.28515625" style="433" customWidth="1"/>
    <col min="7431" max="7431" width="7.28515625" style="433" customWidth="1"/>
    <col min="7432" max="7432" width="5.7109375" style="433" customWidth="1"/>
    <col min="7433" max="7433" width="7.140625" style="433" customWidth="1"/>
    <col min="7434" max="7434" width="4" style="433" customWidth="1"/>
    <col min="7435" max="7435" width="83.42578125" style="433" customWidth="1"/>
    <col min="7436" max="7436" width="13.28515625" style="433" customWidth="1"/>
    <col min="7437" max="7438" width="7.140625" style="433" customWidth="1"/>
    <col min="7439" max="7680" width="9.140625" style="433"/>
    <col min="7681" max="7682" width="7.140625" style="433" customWidth="1"/>
    <col min="7683" max="7683" width="4" style="433" customWidth="1"/>
    <col min="7684" max="7684" width="78.7109375" style="433" customWidth="1"/>
    <col min="7685" max="7685" width="8.140625" style="433" customWidth="1"/>
    <col min="7686" max="7686" width="13.28515625" style="433" customWidth="1"/>
    <col min="7687" max="7687" width="7.28515625" style="433" customWidth="1"/>
    <col min="7688" max="7688" width="5.7109375" style="433" customWidth="1"/>
    <col min="7689" max="7689" width="7.140625" style="433" customWidth="1"/>
    <col min="7690" max="7690" width="4" style="433" customWidth="1"/>
    <col min="7691" max="7691" width="83.42578125" style="433" customWidth="1"/>
    <col min="7692" max="7692" width="13.28515625" style="433" customWidth="1"/>
    <col min="7693" max="7694" width="7.140625" style="433" customWidth="1"/>
    <col min="7695" max="7936" width="9.140625" style="433"/>
    <col min="7937" max="7938" width="7.140625" style="433" customWidth="1"/>
    <col min="7939" max="7939" width="4" style="433" customWidth="1"/>
    <col min="7940" max="7940" width="78.7109375" style="433" customWidth="1"/>
    <col min="7941" max="7941" width="8.140625" style="433" customWidth="1"/>
    <col min="7942" max="7942" width="13.28515625" style="433" customWidth="1"/>
    <col min="7943" max="7943" width="7.28515625" style="433" customWidth="1"/>
    <col min="7944" max="7944" width="5.7109375" style="433" customWidth="1"/>
    <col min="7945" max="7945" width="7.140625" style="433" customWidth="1"/>
    <col min="7946" max="7946" width="4" style="433" customWidth="1"/>
    <col min="7947" max="7947" width="83.42578125" style="433" customWidth="1"/>
    <col min="7948" max="7948" width="13.28515625" style="433" customWidth="1"/>
    <col min="7949" max="7950" width="7.140625" style="433" customWidth="1"/>
    <col min="7951" max="8192" width="9.140625" style="433"/>
    <col min="8193" max="8194" width="7.140625" style="433" customWidth="1"/>
    <col min="8195" max="8195" width="4" style="433" customWidth="1"/>
    <col min="8196" max="8196" width="78.7109375" style="433" customWidth="1"/>
    <col min="8197" max="8197" width="8.140625" style="433" customWidth="1"/>
    <col min="8198" max="8198" width="13.28515625" style="433" customWidth="1"/>
    <col min="8199" max="8199" width="7.28515625" style="433" customWidth="1"/>
    <col min="8200" max="8200" width="5.7109375" style="433" customWidth="1"/>
    <col min="8201" max="8201" width="7.140625" style="433" customWidth="1"/>
    <col min="8202" max="8202" width="4" style="433" customWidth="1"/>
    <col min="8203" max="8203" width="83.42578125" style="433" customWidth="1"/>
    <col min="8204" max="8204" width="13.28515625" style="433" customWidth="1"/>
    <col min="8205" max="8206" width="7.140625" style="433" customWidth="1"/>
    <col min="8207" max="8448" width="9.140625" style="433"/>
    <col min="8449" max="8450" width="7.140625" style="433" customWidth="1"/>
    <col min="8451" max="8451" width="4" style="433" customWidth="1"/>
    <col min="8452" max="8452" width="78.7109375" style="433" customWidth="1"/>
    <col min="8453" max="8453" width="8.140625" style="433" customWidth="1"/>
    <col min="8454" max="8454" width="13.28515625" style="433" customWidth="1"/>
    <col min="8455" max="8455" width="7.28515625" style="433" customWidth="1"/>
    <col min="8456" max="8456" width="5.7109375" style="433" customWidth="1"/>
    <col min="8457" max="8457" width="7.140625" style="433" customWidth="1"/>
    <col min="8458" max="8458" width="4" style="433" customWidth="1"/>
    <col min="8459" max="8459" width="83.42578125" style="433" customWidth="1"/>
    <col min="8460" max="8460" width="13.28515625" style="433" customWidth="1"/>
    <col min="8461" max="8462" width="7.140625" style="433" customWidth="1"/>
    <col min="8463" max="8704" width="9.140625" style="433"/>
    <col min="8705" max="8706" width="7.140625" style="433" customWidth="1"/>
    <col min="8707" max="8707" width="4" style="433" customWidth="1"/>
    <col min="8708" max="8708" width="78.7109375" style="433" customWidth="1"/>
    <col min="8709" max="8709" width="8.140625" style="433" customWidth="1"/>
    <col min="8710" max="8710" width="13.28515625" style="433" customWidth="1"/>
    <col min="8711" max="8711" width="7.28515625" style="433" customWidth="1"/>
    <col min="8712" max="8712" width="5.7109375" style="433" customWidth="1"/>
    <col min="8713" max="8713" width="7.140625" style="433" customWidth="1"/>
    <col min="8714" max="8714" width="4" style="433" customWidth="1"/>
    <col min="8715" max="8715" width="83.42578125" style="433" customWidth="1"/>
    <col min="8716" max="8716" width="13.28515625" style="433" customWidth="1"/>
    <col min="8717" max="8718" width="7.140625" style="433" customWidth="1"/>
    <col min="8719" max="8960" width="9.140625" style="433"/>
    <col min="8961" max="8962" width="7.140625" style="433" customWidth="1"/>
    <col min="8963" max="8963" width="4" style="433" customWidth="1"/>
    <col min="8964" max="8964" width="78.7109375" style="433" customWidth="1"/>
    <col min="8965" max="8965" width="8.140625" style="433" customWidth="1"/>
    <col min="8966" max="8966" width="13.28515625" style="433" customWidth="1"/>
    <col min="8967" max="8967" width="7.28515625" style="433" customWidth="1"/>
    <col min="8968" max="8968" width="5.7109375" style="433" customWidth="1"/>
    <col min="8969" max="8969" width="7.140625" style="433" customWidth="1"/>
    <col min="8970" max="8970" width="4" style="433" customWidth="1"/>
    <col min="8971" max="8971" width="83.42578125" style="433" customWidth="1"/>
    <col min="8972" max="8972" width="13.28515625" style="433" customWidth="1"/>
    <col min="8973" max="8974" width="7.140625" style="433" customWidth="1"/>
    <col min="8975" max="9216" width="9.140625" style="433"/>
    <col min="9217" max="9218" width="7.140625" style="433" customWidth="1"/>
    <col min="9219" max="9219" width="4" style="433" customWidth="1"/>
    <col min="9220" max="9220" width="78.7109375" style="433" customWidth="1"/>
    <col min="9221" max="9221" width="8.140625" style="433" customWidth="1"/>
    <col min="9222" max="9222" width="13.28515625" style="433" customWidth="1"/>
    <col min="9223" max="9223" width="7.28515625" style="433" customWidth="1"/>
    <col min="9224" max="9224" width="5.7109375" style="433" customWidth="1"/>
    <col min="9225" max="9225" width="7.140625" style="433" customWidth="1"/>
    <col min="9226" max="9226" width="4" style="433" customWidth="1"/>
    <col min="9227" max="9227" width="83.42578125" style="433" customWidth="1"/>
    <col min="9228" max="9228" width="13.28515625" style="433" customWidth="1"/>
    <col min="9229" max="9230" width="7.140625" style="433" customWidth="1"/>
    <col min="9231" max="9472" width="9.140625" style="433"/>
    <col min="9473" max="9474" width="7.140625" style="433" customWidth="1"/>
    <col min="9475" max="9475" width="4" style="433" customWidth="1"/>
    <col min="9476" max="9476" width="78.7109375" style="433" customWidth="1"/>
    <col min="9477" max="9477" width="8.140625" style="433" customWidth="1"/>
    <col min="9478" max="9478" width="13.28515625" style="433" customWidth="1"/>
    <col min="9479" max="9479" width="7.28515625" style="433" customWidth="1"/>
    <col min="9480" max="9480" width="5.7109375" style="433" customWidth="1"/>
    <col min="9481" max="9481" width="7.140625" style="433" customWidth="1"/>
    <col min="9482" max="9482" width="4" style="433" customWidth="1"/>
    <col min="9483" max="9483" width="83.42578125" style="433" customWidth="1"/>
    <col min="9484" max="9484" width="13.28515625" style="433" customWidth="1"/>
    <col min="9485" max="9486" width="7.140625" style="433" customWidth="1"/>
    <col min="9487" max="9728" width="9.140625" style="433"/>
    <col min="9729" max="9730" width="7.140625" style="433" customWidth="1"/>
    <col min="9731" max="9731" width="4" style="433" customWidth="1"/>
    <col min="9732" max="9732" width="78.7109375" style="433" customWidth="1"/>
    <col min="9733" max="9733" width="8.140625" style="433" customWidth="1"/>
    <col min="9734" max="9734" width="13.28515625" style="433" customWidth="1"/>
    <col min="9735" max="9735" width="7.28515625" style="433" customWidth="1"/>
    <col min="9736" max="9736" width="5.7109375" style="433" customWidth="1"/>
    <col min="9737" max="9737" width="7.140625" style="433" customWidth="1"/>
    <col min="9738" max="9738" width="4" style="433" customWidth="1"/>
    <col min="9739" max="9739" width="83.42578125" style="433" customWidth="1"/>
    <col min="9740" max="9740" width="13.28515625" style="433" customWidth="1"/>
    <col min="9741" max="9742" width="7.140625" style="433" customWidth="1"/>
    <col min="9743" max="9984" width="9.140625" style="433"/>
    <col min="9985" max="9986" width="7.140625" style="433" customWidth="1"/>
    <col min="9987" max="9987" width="4" style="433" customWidth="1"/>
    <col min="9988" max="9988" width="78.7109375" style="433" customWidth="1"/>
    <col min="9989" max="9989" width="8.140625" style="433" customWidth="1"/>
    <col min="9990" max="9990" width="13.28515625" style="433" customWidth="1"/>
    <col min="9991" max="9991" width="7.28515625" style="433" customWidth="1"/>
    <col min="9992" max="9992" width="5.7109375" style="433" customWidth="1"/>
    <col min="9993" max="9993" width="7.140625" style="433" customWidth="1"/>
    <col min="9994" max="9994" width="4" style="433" customWidth="1"/>
    <col min="9995" max="9995" width="83.42578125" style="433" customWidth="1"/>
    <col min="9996" max="9996" width="13.28515625" style="433" customWidth="1"/>
    <col min="9997" max="9998" width="7.140625" style="433" customWidth="1"/>
    <col min="9999" max="10240" width="9.140625" style="433"/>
    <col min="10241" max="10242" width="7.140625" style="433" customWidth="1"/>
    <col min="10243" max="10243" width="4" style="433" customWidth="1"/>
    <col min="10244" max="10244" width="78.7109375" style="433" customWidth="1"/>
    <col min="10245" max="10245" width="8.140625" style="433" customWidth="1"/>
    <col min="10246" max="10246" width="13.28515625" style="433" customWidth="1"/>
    <col min="10247" max="10247" width="7.28515625" style="433" customWidth="1"/>
    <col min="10248" max="10248" width="5.7109375" style="433" customWidth="1"/>
    <col min="10249" max="10249" width="7.140625" style="433" customWidth="1"/>
    <col min="10250" max="10250" width="4" style="433" customWidth="1"/>
    <col min="10251" max="10251" width="83.42578125" style="433" customWidth="1"/>
    <col min="10252" max="10252" width="13.28515625" style="433" customWidth="1"/>
    <col min="10253" max="10254" width="7.140625" style="433" customWidth="1"/>
    <col min="10255" max="10496" width="9.140625" style="433"/>
    <col min="10497" max="10498" width="7.140625" style="433" customWidth="1"/>
    <col min="10499" max="10499" width="4" style="433" customWidth="1"/>
    <col min="10500" max="10500" width="78.7109375" style="433" customWidth="1"/>
    <col min="10501" max="10501" width="8.140625" style="433" customWidth="1"/>
    <col min="10502" max="10502" width="13.28515625" style="433" customWidth="1"/>
    <col min="10503" max="10503" width="7.28515625" style="433" customWidth="1"/>
    <col min="10504" max="10504" width="5.7109375" style="433" customWidth="1"/>
    <col min="10505" max="10505" width="7.140625" style="433" customWidth="1"/>
    <col min="10506" max="10506" width="4" style="433" customWidth="1"/>
    <col min="10507" max="10507" width="83.42578125" style="433" customWidth="1"/>
    <col min="10508" max="10508" width="13.28515625" style="433" customWidth="1"/>
    <col min="10509" max="10510" width="7.140625" style="433" customWidth="1"/>
    <col min="10511" max="10752" width="9.140625" style="433"/>
    <col min="10753" max="10754" width="7.140625" style="433" customWidth="1"/>
    <col min="10755" max="10755" width="4" style="433" customWidth="1"/>
    <col min="10756" max="10756" width="78.7109375" style="433" customWidth="1"/>
    <col min="10757" max="10757" width="8.140625" style="433" customWidth="1"/>
    <col min="10758" max="10758" width="13.28515625" style="433" customWidth="1"/>
    <col min="10759" max="10759" width="7.28515625" style="433" customWidth="1"/>
    <col min="10760" max="10760" width="5.7109375" style="433" customWidth="1"/>
    <col min="10761" max="10761" width="7.140625" style="433" customWidth="1"/>
    <col min="10762" max="10762" width="4" style="433" customWidth="1"/>
    <col min="10763" max="10763" width="83.42578125" style="433" customWidth="1"/>
    <col min="10764" max="10764" width="13.28515625" style="433" customWidth="1"/>
    <col min="10765" max="10766" width="7.140625" style="433" customWidth="1"/>
    <col min="10767" max="11008" width="9.140625" style="433"/>
    <col min="11009" max="11010" width="7.140625" style="433" customWidth="1"/>
    <col min="11011" max="11011" width="4" style="433" customWidth="1"/>
    <col min="11012" max="11012" width="78.7109375" style="433" customWidth="1"/>
    <col min="11013" max="11013" width="8.140625" style="433" customWidth="1"/>
    <col min="11014" max="11014" width="13.28515625" style="433" customWidth="1"/>
    <col min="11015" max="11015" width="7.28515625" style="433" customWidth="1"/>
    <col min="11016" max="11016" width="5.7109375" style="433" customWidth="1"/>
    <col min="11017" max="11017" width="7.140625" style="433" customWidth="1"/>
    <col min="11018" max="11018" width="4" style="433" customWidth="1"/>
    <col min="11019" max="11019" width="83.42578125" style="433" customWidth="1"/>
    <col min="11020" max="11020" width="13.28515625" style="433" customWidth="1"/>
    <col min="11021" max="11022" width="7.140625" style="433" customWidth="1"/>
    <col min="11023" max="11264" width="9.140625" style="433"/>
    <col min="11265" max="11266" width="7.140625" style="433" customWidth="1"/>
    <col min="11267" max="11267" width="4" style="433" customWidth="1"/>
    <col min="11268" max="11268" width="78.7109375" style="433" customWidth="1"/>
    <col min="11269" max="11269" width="8.140625" style="433" customWidth="1"/>
    <col min="11270" max="11270" width="13.28515625" style="433" customWidth="1"/>
    <col min="11271" max="11271" width="7.28515625" style="433" customWidth="1"/>
    <col min="11272" max="11272" width="5.7109375" style="433" customWidth="1"/>
    <col min="11273" max="11273" width="7.140625" style="433" customWidth="1"/>
    <col min="11274" max="11274" width="4" style="433" customWidth="1"/>
    <col min="11275" max="11275" width="83.42578125" style="433" customWidth="1"/>
    <col min="11276" max="11276" width="13.28515625" style="433" customWidth="1"/>
    <col min="11277" max="11278" width="7.140625" style="433" customWidth="1"/>
    <col min="11279" max="11520" width="9.140625" style="433"/>
    <col min="11521" max="11522" width="7.140625" style="433" customWidth="1"/>
    <col min="11523" max="11523" width="4" style="433" customWidth="1"/>
    <col min="11524" max="11524" width="78.7109375" style="433" customWidth="1"/>
    <col min="11525" max="11525" width="8.140625" style="433" customWidth="1"/>
    <col min="11526" max="11526" width="13.28515625" style="433" customWidth="1"/>
    <col min="11527" max="11527" width="7.28515625" style="433" customWidth="1"/>
    <col min="11528" max="11528" width="5.7109375" style="433" customWidth="1"/>
    <col min="11529" max="11529" width="7.140625" style="433" customWidth="1"/>
    <col min="11530" max="11530" width="4" style="433" customWidth="1"/>
    <col min="11531" max="11531" width="83.42578125" style="433" customWidth="1"/>
    <col min="11532" max="11532" width="13.28515625" style="433" customWidth="1"/>
    <col min="11533" max="11534" width="7.140625" style="433" customWidth="1"/>
    <col min="11535" max="11776" width="9.140625" style="433"/>
    <col min="11777" max="11778" width="7.140625" style="433" customWidth="1"/>
    <col min="11779" max="11779" width="4" style="433" customWidth="1"/>
    <col min="11780" max="11780" width="78.7109375" style="433" customWidth="1"/>
    <col min="11781" max="11781" width="8.140625" style="433" customWidth="1"/>
    <col min="11782" max="11782" width="13.28515625" style="433" customWidth="1"/>
    <col min="11783" max="11783" width="7.28515625" style="433" customWidth="1"/>
    <col min="11784" max="11784" width="5.7109375" style="433" customWidth="1"/>
    <col min="11785" max="11785" width="7.140625" style="433" customWidth="1"/>
    <col min="11786" max="11786" width="4" style="433" customWidth="1"/>
    <col min="11787" max="11787" width="83.42578125" style="433" customWidth="1"/>
    <col min="11788" max="11788" width="13.28515625" style="433" customWidth="1"/>
    <col min="11789" max="11790" width="7.140625" style="433" customWidth="1"/>
    <col min="11791" max="12032" width="9.140625" style="433"/>
    <col min="12033" max="12034" width="7.140625" style="433" customWidth="1"/>
    <col min="12035" max="12035" width="4" style="433" customWidth="1"/>
    <col min="12036" max="12036" width="78.7109375" style="433" customWidth="1"/>
    <col min="12037" max="12037" width="8.140625" style="433" customWidth="1"/>
    <col min="12038" max="12038" width="13.28515625" style="433" customWidth="1"/>
    <col min="12039" max="12039" width="7.28515625" style="433" customWidth="1"/>
    <col min="12040" max="12040" width="5.7109375" style="433" customWidth="1"/>
    <col min="12041" max="12041" width="7.140625" style="433" customWidth="1"/>
    <col min="12042" max="12042" width="4" style="433" customWidth="1"/>
    <col min="12043" max="12043" width="83.42578125" style="433" customWidth="1"/>
    <col min="12044" max="12044" width="13.28515625" style="433" customWidth="1"/>
    <col min="12045" max="12046" width="7.140625" style="433" customWidth="1"/>
    <col min="12047" max="12288" width="9.140625" style="433"/>
    <col min="12289" max="12290" width="7.140625" style="433" customWidth="1"/>
    <col min="12291" max="12291" width="4" style="433" customWidth="1"/>
    <col min="12292" max="12292" width="78.7109375" style="433" customWidth="1"/>
    <col min="12293" max="12293" width="8.140625" style="433" customWidth="1"/>
    <col min="12294" max="12294" width="13.28515625" style="433" customWidth="1"/>
    <col min="12295" max="12295" width="7.28515625" style="433" customWidth="1"/>
    <col min="12296" max="12296" width="5.7109375" style="433" customWidth="1"/>
    <col min="12297" max="12297" width="7.140625" style="433" customWidth="1"/>
    <col min="12298" max="12298" width="4" style="433" customWidth="1"/>
    <col min="12299" max="12299" width="83.42578125" style="433" customWidth="1"/>
    <col min="12300" max="12300" width="13.28515625" style="433" customWidth="1"/>
    <col min="12301" max="12302" width="7.140625" style="433" customWidth="1"/>
    <col min="12303" max="12544" width="9.140625" style="433"/>
    <col min="12545" max="12546" width="7.140625" style="433" customWidth="1"/>
    <col min="12547" max="12547" width="4" style="433" customWidth="1"/>
    <col min="12548" max="12548" width="78.7109375" style="433" customWidth="1"/>
    <col min="12549" max="12549" width="8.140625" style="433" customWidth="1"/>
    <col min="12550" max="12550" width="13.28515625" style="433" customWidth="1"/>
    <col min="12551" max="12551" width="7.28515625" style="433" customWidth="1"/>
    <col min="12552" max="12552" width="5.7109375" style="433" customWidth="1"/>
    <col min="12553" max="12553" width="7.140625" style="433" customWidth="1"/>
    <col min="12554" max="12554" width="4" style="433" customWidth="1"/>
    <col min="12555" max="12555" width="83.42578125" style="433" customWidth="1"/>
    <col min="12556" max="12556" width="13.28515625" style="433" customWidth="1"/>
    <col min="12557" max="12558" width="7.140625" style="433" customWidth="1"/>
    <col min="12559" max="12800" width="9.140625" style="433"/>
    <col min="12801" max="12802" width="7.140625" style="433" customWidth="1"/>
    <col min="12803" max="12803" width="4" style="433" customWidth="1"/>
    <col min="12804" max="12804" width="78.7109375" style="433" customWidth="1"/>
    <col min="12805" max="12805" width="8.140625" style="433" customWidth="1"/>
    <col min="12806" max="12806" width="13.28515625" style="433" customWidth="1"/>
    <col min="12807" max="12807" width="7.28515625" style="433" customWidth="1"/>
    <col min="12808" max="12808" width="5.7109375" style="433" customWidth="1"/>
    <col min="12809" max="12809" width="7.140625" style="433" customWidth="1"/>
    <col min="12810" max="12810" width="4" style="433" customWidth="1"/>
    <col min="12811" max="12811" width="83.42578125" style="433" customWidth="1"/>
    <col min="12812" max="12812" width="13.28515625" style="433" customWidth="1"/>
    <col min="12813" max="12814" width="7.140625" style="433" customWidth="1"/>
    <col min="12815" max="13056" width="9.140625" style="433"/>
    <col min="13057" max="13058" width="7.140625" style="433" customWidth="1"/>
    <col min="13059" max="13059" width="4" style="433" customWidth="1"/>
    <col min="13060" max="13060" width="78.7109375" style="433" customWidth="1"/>
    <col min="13061" max="13061" width="8.140625" style="433" customWidth="1"/>
    <col min="13062" max="13062" width="13.28515625" style="433" customWidth="1"/>
    <col min="13063" max="13063" width="7.28515625" style="433" customWidth="1"/>
    <col min="13064" max="13064" width="5.7109375" style="433" customWidth="1"/>
    <col min="13065" max="13065" width="7.140625" style="433" customWidth="1"/>
    <col min="13066" max="13066" width="4" style="433" customWidth="1"/>
    <col min="13067" max="13067" width="83.42578125" style="433" customWidth="1"/>
    <col min="13068" max="13068" width="13.28515625" style="433" customWidth="1"/>
    <col min="13069" max="13070" width="7.140625" style="433" customWidth="1"/>
    <col min="13071" max="13312" width="9.140625" style="433"/>
    <col min="13313" max="13314" width="7.140625" style="433" customWidth="1"/>
    <col min="13315" max="13315" width="4" style="433" customWidth="1"/>
    <col min="13316" max="13316" width="78.7109375" style="433" customWidth="1"/>
    <col min="13317" max="13317" width="8.140625" style="433" customWidth="1"/>
    <col min="13318" max="13318" width="13.28515625" style="433" customWidth="1"/>
    <col min="13319" max="13319" width="7.28515625" style="433" customWidth="1"/>
    <col min="13320" max="13320" width="5.7109375" style="433" customWidth="1"/>
    <col min="13321" max="13321" width="7.140625" style="433" customWidth="1"/>
    <col min="13322" max="13322" width="4" style="433" customWidth="1"/>
    <col min="13323" max="13323" width="83.42578125" style="433" customWidth="1"/>
    <col min="13324" max="13324" width="13.28515625" style="433" customWidth="1"/>
    <col min="13325" max="13326" width="7.140625" style="433" customWidth="1"/>
    <col min="13327" max="13568" width="9.140625" style="433"/>
    <col min="13569" max="13570" width="7.140625" style="433" customWidth="1"/>
    <col min="13571" max="13571" width="4" style="433" customWidth="1"/>
    <col min="13572" max="13572" width="78.7109375" style="433" customWidth="1"/>
    <col min="13573" max="13573" width="8.140625" style="433" customWidth="1"/>
    <col min="13574" max="13574" width="13.28515625" style="433" customWidth="1"/>
    <col min="13575" max="13575" width="7.28515625" style="433" customWidth="1"/>
    <col min="13576" max="13576" width="5.7109375" style="433" customWidth="1"/>
    <col min="13577" max="13577" width="7.140625" style="433" customWidth="1"/>
    <col min="13578" max="13578" width="4" style="433" customWidth="1"/>
    <col min="13579" max="13579" width="83.42578125" style="433" customWidth="1"/>
    <col min="13580" max="13580" width="13.28515625" style="433" customWidth="1"/>
    <col min="13581" max="13582" width="7.140625" style="433" customWidth="1"/>
    <col min="13583" max="13824" width="9.140625" style="433"/>
    <col min="13825" max="13826" width="7.140625" style="433" customWidth="1"/>
    <col min="13827" max="13827" width="4" style="433" customWidth="1"/>
    <col min="13828" max="13828" width="78.7109375" style="433" customWidth="1"/>
    <col min="13829" max="13829" width="8.140625" style="433" customWidth="1"/>
    <col min="13830" max="13830" width="13.28515625" style="433" customWidth="1"/>
    <col min="13831" max="13831" width="7.28515625" style="433" customWidth="1"/>
    <col min="13832" max="13832" width="5.7109375" style="433" customWidth="1"/>
    <col min="13833" max="13833" width="7.140625" style="433" customWidth="1"/>
    <col min="13834" max="13834" width="4" style="433" customWidth="1"/>
    <col min="13835" max="13835" width="83.42578125" style="433" customWidth="1"/>
    <col min="13836" max="13836" width="13.28515625" style="433" customWidth="1"/>
    <col min="13837" max="13838" width="7.140625" style="433" customWidth="1"/>
    <col min="13839" max="14080" width="9.140625" style="433"/>
    <col min="14081" max="14082" width="7.140625" style="433" customWidth="1"/>
    <col min="14083" max="14083" width="4" style="433" customWidth="1"/>
    <col min="14084" max="14084" width="78.7109375" style="433" customWidth="1"/>
    <col min="14085" max="14085" width="8.140625" style="433" customWidth="1"/>
    <col min="14086" max="14086" width="13.28515625" style="433" customWidth="1"/>
    <col min="14087" max="14087" width="7.28515625" style="433" customWidth="1"/>
    <col min="14088" max="14088" width="5.7109375" style="433" customWidth="1"/>
    <col min="14089" max="14089" width="7.140625" style="433" customWidth="1"/>
    <col min="14090" max="14090" width="4" style="433" customWidth="1"/>
    <col min="14091" max="14091" width="83.42578125" style="433" customWidth="1"/>
    <col min="14092" max="14092" width="13.28515625" style="433" customWidth="1"/>
    <col min="14093" max="14094" width="7.140625" style="433" customWidth="1"/>
    <col min="14095" max="14336" width="9.140625" style="433"/>
    <col min="14337" max="14338" width="7.140625" style="433" customWidth="1"/>
    <col min="14339" max="14339" width="4" style="433" customWidth="1"/>
    <col min="14340" max="14340" width="78.7109375" style="433" customWidth="1"/>
    <col min="14341" max="14341" width="8.140625" style="433" customWidth="1"/>
    <col min="14342" max="14342" width="13.28515625" style="433" customWidth="1"/>
    <col min="14343" max="14343" width="7.28515625" style="433" customWidth="1"/>
    <col min="14344" max="14344" width="5.7109375" style="433" customWidth="1"/>
    <col min="14345" max="14345" width="7.140625" style="433" customWidth="1"/>
    <col min="14346" max="14346" width="4" style="433" customWidth="1"/>
    <col min="14347" max="14347" width="83.42578125" style="433" customWidth="1"/>
    <col min="14348" max="14348" width="13.28515625" style="433" customWidth="1"/>
    <col min="14349" max="14350" width="7.140625" style="433" customWidth="1"/>
    <col min="14351" max="14592" width="9.140625" style="433"/>
    <col min="14593" max="14594" width="7.140625" style="433" customWidth="1"/>
    <col min="14595" max="14595" width="4" style="433" customWidth="1"/>
    <col min="14596" max="14596" width="78.7109375" style="433" customWidth="1"/>
    <col min="14597" max="14597" width="8.140625" style="433" customWidth="1"/>
    <col min="14598" max="14598" width="13.28515625" style="433" customWidth="1"/>
    <col min="14599" max="14599" width="7.28515625" style="433" customWidth="1"/>
    <col min="14600" max="14600" width="5.7109375" style="433" customWidth="1"/>
    <col min="14601" max="14601" width="7.140625" style="433" customWidth="1"/>
    <col min="14602" max="14602" width="4" style="433" customWidth="1"/>
    <col min="14603" max="14603" width="83.42578125" style="433" customWidth="1"/>
    <col min="14604" max="14604" width="13.28515625" style="433" customWidth="1"/>
    <col min="14605" max="14606" width="7.140625" style="433" customWidth="1"/>
    <col min="14607" max="14848" width="9.140625" style="433"/>
    <col min="14849" max="14850" width="7.140625" style="433" customWidth="1"/>
    <col min="14851" max="14851" width="4" style="433" customWidth="1"/>
    <col min="14852" max="14852" width="78.7109375" style="433" customWidth="1"/>
    <col min="14853" max="14853" width="8.140625" style="433" customWidth="1"/>
    <col min="14854" max="14854" width="13.28515625" style="433" customWidth="1"/>
    <col min="14855" max="14855" width="7.28515625" style="433" customWidth="1"/>
    <col min="14856" max="14856" width="5.7109375" style="433" customWidth="1"/>
    <col min="14857" max="14857" width="7.140625" style="433" customWidth="1"/>
    <col min="14858" max="14858" width="4" style="433" customWidth="1"/>
    <col min="14859" max="14859" width="83.42578125" style="433" customWidth="1"/>
    <col min="14860" max="14860" width="13.28515625" style="433" customWidth="1"/>
    <col min="14861" max="14862" width="7.140625" style="433" customWidth="1"/>
    <col min="14863" max="15104" width="9.140625" style="433"/>
    <col min="15105" max="15106" width="7.140625" style="433" customWidth="1"/>
    <col min="15107" max="15107" width="4" style="433" customWidth="1"/>
    <col min="15108" max="15108" width="78.7109375" style="433" customWidth="1"/>
    <col min="15109" max="15109" width="8.140625" style="433" customWidth="1"/>
    <col min="15110" max="15110" width="13.28515625" style="433" customWidth="1"/>
    <col min="15111" max="15111" width="7.28515625" style="433" customWidth="1"/>
    <col min="15112" max="15112" width="5.7109375" style="433" customWidth="1"/>
    <col min="15113" max="15113" width="7.140625" style="433" customWidth="1"/>
    <col min="15114" max="15114" width="4" style="433" customWidth="1"/>
    <col min="15115" max="15115" width="83.42578125" style="433" customWidth="1"/>
    <col min="15116" max="15116" width="13.28515625" style="433" customWidth="1"/>
    <col min="15117" max="15118" width="7.140625" style="433" customWidth="1"/>
    <col min="15119" max="15360" width="9.140625" style="433"/>
    <col min="15361" max="15362" width="7.140625" style="433" customWidth="1"/>
    <col min="15363" max="15363" width="4" style="433" customWidth="1"/>
    <col min="15364" max="15364" width="78.7109375" style="433" customWidth="1"/>
    <col min="15365" max="15365" width="8.140625" style="433" customWidth="1"/>
    <col min="15366" max="15366" width="13.28515625" style="433" customWidth="1"/>
    <col min="15367" max="15367" width="7.28515625" style="433" customWidth="1"/>
    <col min="15368" max="15368" width="5.7109375" style="433" customWidth="1"/>
    <col min="15369" max="15369" width="7.140625" style="433" customWidth="1"/>
    <col min="15370" max="15370" width="4" style="433" customWidth="1"/>
    <col min="15371" max="15371" width="83.42578125" style="433" customWidth="1"/>
    <col min="15372" max="15372" width="13.28515625" style="433" customWidth="1"/>
    <col min="15373" max="15374" width="7.140625" style="433" customWidth="1"/>
    <col min="15375" max="15616" width="9.140625" style="433"/>
    <col min="15617" max="15618" width="7.140625" style="433" customWidth="1"/>
    <col min="15619" max="15619" width="4" style="433" customWidth="1"/>
    <col min="15620" max="15620" width="78.7109375" style="433" customWidth="1"/>
    <col min="15621" max="15621" width="8.140625" style="433" customWidth="1"/>
    <col min="15622" max="15622" width="13.28515625" style="433" customWidth="1"/>
    <col min="15623" max="15623" width="7.28515625" style="433" customWidth="1"/>
    <col min="15624" max="15624" width="5.7109375" style="433" customWidth="1"/>
    <col min="15625" max="15625" width="7.140625" style="433" customWidth="1"/>
    <col min="15626" max="15626" width="4" style="433" customWidth="1"/>
    <col min="15627" max="15627" width="83.42578125" style="433" customWidth="1"/>
    <col min="15628" max="15628" width="13.28515625" style="433" customWidth="1"/>
    <col min="15629" max="15630" width="7.140625" style="433" customWidth="1"/>
    <col min="15631" max="15872" width="9.140625" style="433"/>
    <col min="15873" max="15874" width="7.140625" style="433" customWidth="1"/>
    <col min="15875" max="15875" width="4" style="433" customWidth="1"/>
    <col min="15876" max="15876" width="78.7109375" style="433" customWidth="1"/>
    <col min="15877" max="15877" width="8.140625" style="433" customWidth="1"/>
    <col min="15878" max="15878" width="13.28515625" style="433" customWidth="1"/>
    <col min="15879" max="15879" width="7.28515625" style="433" customWidth="1"/>
    <col min="15880" max="15880" width="5.7109375" style="433" customWidth="1"/>
    <col min="15881" max="15881" width="7.140625" style="433" customWidth="1"/>
    <col min="15882" max="15882" width="4" style="433" customWidth="1"/>
    <col min="15883" max="15883" width="83.42578125" style="433" customWidth="1"/>
    <col min="15884" max="15884" width="13.28515625" style="433" customWidth="1"/>
    <col min="15885" max="15886" width="7.140625" style="433" customWidth="1"/>
    <col min="15887" max="16128" width="9.140625" style="433"/>
    <col min="16129" max="16130" width="7.140625" style="433" customWidth="1"/>
    <col min="16131" max="16131" width="4" style="433" customWidth="1"/>
    <col min="16132" max="16132" width="78.7109375" style="433" customWidth="1"/>
    <col min="16133" max="16133" width="8.140625" style="433" customWidth="1"/>
    <col min="16134" max="16134" width="13.28515625" style="433" customWidth="1"/>
    <col min="16135" max="16135" width="7.28515625" style="433" customWidth="1"/>
    <col min="16136" max="16136" width="5.7109375" style="433" customWidth="1"/>
    <col min="16137" max="16137" width="7.140625" style="433" customWidth="1"/>
    <col min="16138" max="16138" width="4" style="433" customWidth="1"/>
    <col min="16139" max="16139" width="83.42578125" style="433" customWidth="1"/>
    <col min="16140" max="16140" width="13.28515625" style="433" customWidth="1"/>
    <col min="16141" max="16142" width="7.140625" style="433" customWidth="1"/>
    <col min="16143" max="16384" width="9.140625" style="433"/>
  </cols>
  <sheetData>
    <row r="1" spans="1:14" x14ac:dyDescent="0.2">
      <c r="A1" s="484"/>
      <c r="B1" s="484"/>
      <c r="C1" s="484"/>
      <c r="D1" s="484"/>
      <c r="E1" s="484"/>
      <c r="F1" s="484"/>
      <c r="G1" s="484"/>
      <c r="H1" s="484"/>
      <c r="I1" s="484"/>
      <c r="J1" s="484"/>
      <c r="K1" s="484"/>
      <c r="L1" s="484"/>
      <c r="M1" s="484"/>
      <c r="N1" s="484"/>
    </row>
    <row r="2" spans="1:14" ht="35.25" x14ac:dyDescent="0.5">
      <c r="A2" s="484"/>
      <c r="B2" s="484"/>
      <c r="C2" s="484"/>
      <c r="D2" s="484"/>
      <c r="E2" s="686"/>
      <c r="F2" s="686"/>
      <c r="G2" s="752" t="s">
        <v>949</v>
      </c>
      <c r="H2" s="686"/>
      <c r="I2" s="686"/>
      <c r="J2" s="686"/>
      <c r="K2" s="686"/>
      <c r="L2" s="686"/>
      <c r="M2" s="686"/>
      <c r="N2" s="484"/>
    </row>
    <row r="3" spans="1:14" x14ac:dyDescent="0.2">
      <c r="A3" s="484"/>
      <c r="B3" s="484"/>
      <c r="C3" s="484"/>
      <c r="D3" s="484"/>
      <c r="E3" s="484"/>
      <c r="F3" s="484"/>
      <c r="G3" s="484"/>
      <c r="H3" s="484"/>
      <c r="I3" s="484"/>
      <c r="J3" s="484"/>
      <c r="K3" s="484"/>
      <c r="L3" s="484"/>
      <c r="M3" s="484"/>
      <c r="N3" s="484"/>
    </row>
    <row r="4" spans="1:14" x14ac:dyDescent="0.2">
      <c r="A4" s="484"/>
      <c r="B4" s="484"/>
      <c r="C4" s="484"/>
      <c r="D4" s="484"/>
      <c r="E4" s="484"/>
      <c r="F4" s="484"/>
      <c r="G4" s="484"/>
      <c r="H4" s="484"/>
      <c r="I4" s="484"/>
      <c r="J4" s="484"/>
      <c r="K4" s="484"/>
      <c r="L4" s="484"/>
      <c r="M4" s="484"/>
      <c r="N4" s="484"/>
    </row>
    <row r="5" spans="1:14" ht="18" x14ac:dyDescent="0.25">
      <c r="A5" s="484"/>
      <c r="B5" s="484"/>
      <c r="C5" s="484"/>
      <c r="D5" s="484"/>
      <c r="E5" s="484"/>
      <c r="F5" s="484"/>
      <c r="G5" s="687" t="s">
        <v>1284</v>
      </c>
      <c r="H5" s="484"/>
      <c r="I5" s="484"/>
      <c r="J5" s="484"/>
      <c r="K5" s="484"/>
      <c r="L5" s="484"/>
      <c r="M5" s="484"/>
      <c r="N5" s="484"/>
    </row>
    <row r="6" spans="1:14" x14ac:dyDescent="0.2">
      <c r="A6" s="484"/>
      <c r="B6" s="484"/>
      <c r="C6" s="484"/>
      <c r="D6" s="484"/>
      <c r="E6" s="484"/>
      <c r="F6" s="484"/>
      <c r="G6" s="484"/>
      <c r="H6" s="484"/>
      <c r="I6" s="484"/>
      <c r="J6" s="484"/>
      <c r="K6" s="484"/>
      <c r="L6" s="484"/>
      <c r="M6" s="484"/>
      <c r="N6" s="484"/>
    </row>
    <row r="7" spans="1:14" ht="13.5" thickBot="1" x14ac:dyDescent="0.25">
      <c r="A7" s="484"/>
      <c r="B7" s="484"/>
      <c r="C7" s="484"/>
      <c r="D7" s="484"/>
      <c r="E7" s="484"/>
      <c r="F7" s="484"/>
      <c r="G7" s="484"/>
      <c r="H7" s="484"/>
      <c r="I7" s="484"/>
      <c r="J7" s="484"/>
      <c r="K7" s="484"/>
      <c r="L7" s="484"/>
      <c r="M7" s="484"/>
      <c r="N7" s="484"/>
    </row>
    <row r="8" spans="1:14" x14ac:dyDescent="0.2">
      <c r="A8" s="484"/>
      <c r="B8" s="488"/>
      <c r="C8" s="572"/>
      <c r="D8" s="486"/>
      <c r="E8" s="486"/>
      <c r="F8" s="486"/>
      <c r="G8" s="487"/>
      <c r="H8" s="484"/>
      <c r="I8" s="488"/>
      <c r="J8" s="486"/>
      <c r="K8" s="486"/>
      <c r="L8" s="486"/>
      <c r="M8" s="487"/>
      <c r="N8" s="484"/>
    </row>
    <row r="9" spans="1:14" ht="15.75" x14ac:dyDescent="0.25">
      <c r="A9" s="484"/>
      <c r="B9" s="491"/>
      <c r="C9" s="1208" t="s">
        <v>1285</v>
      </c>
      <c r="D9" s="1203"/>
      <c r="E9" s="1203"/>
      <c r="F9" s="1203"/>
      <c r="G9" s="490"/>
      <c r="H9" s="484"/>
      <c r="I9" s="491"/>
      <c r="J9" s="1208" t="s">
        <v>1286</v>
      </c>
      <c r="K9" s="1203"/>
      <c r="L9" s="1203"/>
      <c r="M9" s="493"/>
      <c r="N9" s="492"/>
    </row>
    <row r="10" spans="1:14" ht="15.75" x14ac:dyDescent="0.25">
      <c r="A10" s="484"/>
      <c r="B10" s="491"/>
      <c r="C10" s="1208" t="s">
        <v>1287</v>
      </c>
      <c r="D10" s="1203"/>
      <c r="E10" s="1203"/>
      <c r="F10" s="1203"/>
      <c r="G10" s="490"/>
      <c r="H10" s="484"/>
      <c r="I10" s="491"/>
      <c r="J10" s="1208" t="s">
        <v>1288</v>
      </c>
      <c r="K10" s="1203"/>
      <c r="L10" s="1203"/>
      <c r="M10" s="490"/>
      <c r="N10" s="484"/>
    </row>
    <row r="11" spans="1:14" ht="16.5" thickBot="1" x14ac:dyDescent="0.3">
      <c r="A11" s="484"/>
      <c r="B11" s="491"/>
      <c r="C11" s="494"/>
      <c r="D11" s="489"/>
      <c r="E11" s="484"/>
      <c r="F11" s="245" t="s">
        <v>108</v>
      </c>
      <c r="G11" s="490"/>
      <c r="H11" s="484"/>
      <c r="I11" s="491"/>
      <c r="J11" s="484"/>
      <c r="K11" s="489"/>
      <c r="L11" s="484"/>
      <c r="M11" s="490"/>
      <c r="N11" s="484"/>
    </row>
    <row r="12" spans="1:14" ht="12.75" customHeight="1" x14ac:dyDescent="0.25">
      <c r="A12" s="484"/>
      <c r="B12" s="491"/>
      <c r="C12" s="1194" t="s">
        <v>748</v>
      </c>
      <c r="D12" s="1195"/>
      <c r="E12" s="1196"/>
      <c r="F12" s="511">
        <f>IF('Table 1'!$D$3=0,"",IF(OR(FirstMonth="January",FirstMonth="February",FirstMonth="March",FirstMonth="April",FirstMonth="May",FirstMonth="June" ),QuestYear-2,QuestYear-1))</f>
        <v>2025</v>
      </c>
      <c r="G12" s="688"/>
      <c r="H12" s="484"/>
      <c r="I12" s="491"/>
      <c r="J12" s="484"/>
      <c r="K12" s="489"/>
      <c r="L12" s="484"/>
      <c r="M12" s="490"/>
      <c r="N12" s="484"/>
    </row>
    <row r="13" spans="1:14" ht="12.75" customHeight="1" thickBot="1" x14ac:dyDescent="0.3">
      <c r="A13" s="484"/>
      <c r="B13" s="491"/>
      <c r="C13" s="1207" t="s">
        <v>1289</v>
      </c>
      <c r="D13" s="1192"/>
      <c r="E13" s="1193"/>
      <c r="F13" s="514"/>
      <c r="G13" s="490"/>
      <c r="H13" s="484"/>
      <c r="I13" s="491"/>
      <c r="J13" s="484"/>
      <c r="K13" s="489"/>
      <c r="L13" s="484"/>
      <c r="M13" s="490"/>
      <c r="N13" s="484"/>
    </row>
    <row r="14" spans="1:14" ht="12.75" customHeight="1" x14ac:dyDescent="0.25">
      <c r="A14" s="484"/>
      <c r="B14" s="491"/>
      <c r="C14" s="519">
        <v>1</v>
      </c>
      <c r="D14" s="520" t="s">
        <v>843</v>
      </c>
      <c r="E14" s="521"/>
      <c r="F14" s="1013">
        <f>'Table 5b_5c'!J30</f>
        <v>56756</v>
      </c>
      <c r="G14" s="490"/>
      <c r="H14" s="484"/>
      <c r="I14" s="491"/>
      <c r="J14" s="484"/>
      <c r="K14" s="489"/>
      <c r="L14" s="484"/>
      <c r="M14" s="490"/>
      <c r="N14" s="484"/>
    </row>
    <row r="15" spans="1:14" ht="12.75" customHeight="1" x14ac:dyDescent="0.25">
      <c r="A15" s="484"/>
      <c r="B15" s="491"/>
      <c r="C15" s="522">
        <v>2</v>
      </c>
      <c r="D15" s="501" t="s">
        <v>842</v>
      </c>
      <c r="E15" s="502"/>
      <c r="F15" s="1016">
        <f>'Table 5b_5c'!J31</f>
        <v>909</v>
      </c>
      <c r="G15" s="490"/>
      <c r="H15" s="484"/>
      <c r="I15" s="491"/>
      <c r="J15" s="484"/>
      <c r="K15" s="489"/>
      <c r="L15" s="484"/>
      <c r="M15" s="490"/>
      <c r="N15" s="484"/>
    </row>
    <row r="16" spans="1:14" ht="12.75" customHeight="1" x14ac:dyDescent="0.25">
      <c r="A16" s="484"/>
      <c r="B16" s="491"/>
      <c r="C16" s="523">
        <v>3</v>
      </c>
      <c r="D16" s="430" t="s">
        <v>841</v>
      </c>
      <c r="E16" s="689" t="s">
        <v>76</v>
      </c>
      <c r="F16" s="1011">
        <f>'Table 5b_5c'!J35</f>
        <v>4410</v>
      </c>
      <c r="G16" s="490"/>
      <c r="H16" s="484"/>
      <c r="I16" s="491"/>
      <c r="J16" s="484"/>
      <c r="K16" s="489"/>
      <c r="L16" s="484"/>
      <c r="M16" s="490"/>
      <c r="N16" s="484"/>
    </row>
    <row r="17" spans="1:14" ht="12.75" customHeight="1" x14ac:dyDescent="0.25">
      <c r="A17" s="484"/>
      <c r="B17" s="491"/>
      <c r="C17" s="522">
        <v>4</v>
      </c>
      <c r="D17" s="524" t="s">
        <v>729</v>
      </c>
      <c r="E17" s="690" t="s">
        <v>753</v>
      </c>
      <c r="F17" s="1011">
        <f>'Table 5b_5c'!J36</f>
        <v>4497</v>
      </c>
      <c r="G17" s="490"/>
      <c r="H17" s="484"/>
      <c r="I17" s="491"/>
      <c r="J17" s="484"/>
      <c r="K17" s="489"/>
      <c r="L17" s="484"/>
      <c r="M17" s="490"/>
      <c r="N17" s="484"/>
    </row>
    <row r="18" spans="1:14" ht="12.75" customHeight="1" thickBot="1" x14ac:dyDescent="0.3">
      <c r="A18" s="484"/>
      <c r="B18" s="491"/>
      <c r="C18" s="236">
        <v>5</v>
      </c>
      <c r="D18" s="691" t="s">
        <v>1290</v>
      </c>
      <c r="E18" s="692"/>
      <c r="F18" s="1012">
        <f>(F14-F15-(F17-F16))</f>
        <v>55760</v>
      </c>
      <c r="G18" s="490"/>
      <c r="H18" s="484"/>
      <c r="I18" s="491"/>
      <c r="J18" s="484"/>
      <c r="K18" s="489"/>
      <c r="L18" s="484"/>
      <c r="M18" s="490"/>
      <c r="N18" s="484"/>
    </row>
    <row r="19" spans="1:14" ht="12.75" customHeight="1" thickBot="1" x14ac:dyDescent="0.3">
      <c r="A19" s="484"/>
      <c r="B19" s="491"/>
      <c r="C19" s="494"/>
      <c r="D19" s="489"/>
      <c r="E19" s="484"/>
      <c r="F19" s="484"/>
      <c r="G19" s="490"/>
      <c r="H19" s="484"/>
      <c r="I19" s="491"/>
      <c r="J19" s="484"/>
      <c r="K19" s="489"/>
      <c r="L19" s="484"/>
      <c r="M19" s="490"/>
      <c r="N19" s="484"/>
    </row>
    <row r="20" spans="1:14" ht="12.75" customHeight="1" x14ac:dyDescent="0.25">
      <c r="A20" s="484"/>
      <c r="B20" s="491"/>
      <c r="C20" s="1194" t="s">
        <v>750</v>
      </c>
      <c r="D20" s="1195"/>
      <c r="E20" s="1196"/>
      <c r="F20" s="511">
        <f>IF('Table 1'!$D$3=0,"",IF(OR(FirstMonth="January",FirstMonth="February",FirstMonth="March",FirstMonth="April",FirstMonth="May",FirstMonth="June" ),QuestYear-2,QuestYear-1))</f>
        <v>2025</v>
      </c>
      <c r="G20" s="490"/>
      <c r="H20" s="484"/>
      <c r="I20" s="491"/>
      <c r="J20" s="484"/>
      <c r="K20" s="489"/>
      <c r="L20" s="484"/>
      <c r="M20" s="490"/>
      <c r="N20" s="484"/>
    </row>
    <row r="21" spans="1:14" ht="12.75" customHeight="1" thickBot="1" x14ac:dyDescent="0.3">
      <c r="A21" s="484"/>
      <c r="B21" s="491"/>
      <c r="C21" s="1207" t="s">
        <v>749</v>
      </c>
      <c r="D21" s="1192"/>
      <c r="E21" s="1193"/>
      <c r="F21" s="507"/>
      <c r="G21" s="490"/>
      <c r="H21" s="484"/>
      <c r="I21" s="491"/>
      <c r="J21" s="484"/>
      <c r="K21" s="489"/>
      <c r="L21" s="484"/>
      <c r="M21" s="490"/>
      <c r="N21" s="484"/>
    </row>
    <row r="22" spans="1:14" ht="12.75" customHeight="1" x14ac:dyDescent="0.25">
      <c r="A22" s="484"/>
      <c r="B22" s="491"/>
      <c r="C22" s="522">
        <v>6</v>
      </c>
      <c r="D22" s="497" t="s">
        <v>851</v>
      </c>
      <c r="E22" s="498"/>
      <c r="F22" s="1011">
        <f>'Table 5b_5c'!M28</f>
        <v>10777</v>
      </c>
      <c r="G22" s="490"/>
      <c r="H22" s="484"/>
      <c r="I22" s="491"/>
      <c r="J22" s="484"/>
      <c r="K22" s="489"/>
      <c r="L22" s="484"/>
      <c r="M22" s="490"/>
      <c r="N22" s="484"/>
    </row>
    <row r="23" spans="1:14" ht="12.75" customHeight="1" x14ac:dyDescent="0.25">
      <c r="A23" s="484"/>
      <c r="B23" s="491"/>
      <c r="C23" s="522">
        <v>7</v>
      </c>
      <c r="D23" s="499" t="s">
        <v>850</v>
      </c>
      <c r="E23" s="500"/>
      <c r="F23" s="1011">
        <f>'Table 5b_5c'!M29</f>
        <v>0</v>
      </c>
      <c r="G23" s="490"/>
      <c r="H23" s="484"/>
      <c r="I23" s="491"/>
      <c r="J23" s="484"/>
      <c r="K23" s="489"/>
      <c r="L23" s="484"/>
      <c r="M23" s="490"/>
      <c r="N23" s="484"/>
    </row>
    <row r="24" spans="1:14" ht="12.75" customHeight="1" x14ac:dyDescent="0.25">
      <c r="A24" s="484"/>
      <c r="B24" s="491"/>
      <c r="C24" s="522">
        <v>8</v>
      </c>
      <c r="D24" s="501" t="s">
        <v>849</v>
      </c>
      <c r="E24" s="502"/>
      <c r="F24" s="1011">
        <f>'Table 5b_5c'!M37</f>
        <v>263</v>
      </c>
      <c r="G24" s="490"/>
      <c r="H24" s="484"/>
      <c r="I24" s="491"/>
      <c r="J24" s="484"/>
      <c r="K24" s="489"/>
      <c r="L24" s="484"/>
      <c r="M24" s="490"/>
      <c r="N24" s="484"/>
    </row>
    <row r="25" spans="1:14" ht="12.75" customHeight="1" x14ac:dyDescent="0.25">
      <c r="A25" s="484"/>
      <c r="B25" s="491"/>
      <c r="C25" s="522">
        <v>9</v>
      </c>
      <c r="D25" s="503" t="s">
        <v>848</v>
      </c>
      <c r="E25" s="500"/>
      <c r="F25" s="1011">
        <f>'Table 5b_5c'!J32</f>
        <v>55592</v>
      </c>
      <c r="G25" s="490"/>
      <c r="H25" s="484"/>
      <c r="I25" s="491"/>
      <c r="J25" s="484"/>
      <c r="K25" s="489"/>
      <c r="L25" s="484"/>
      <c r="M25" s="490"/>
      <c r="N25" s="484"/>
    </row>
    <row r="26" spans="1:14" ht="12.75" customHeight="1" thickBot="1" x14ac:dyDescent="0.3">
      <c r="A26" s="484"/>
      <c r="B26" s="491"/>
      <c r="C26" s="434">
        <v>10</v>
      </c>
      <c r="D26" s="693" t="s">
        <v>1291</v>
      </c>
      <c r="E26" s="227"/>
      <c r="F26" s="1012">
        <f>IF(ISERROR((F22-F23-F24)/F25),0,((F22-F23-F24)/F25))</f>
        <v>0.18912793207655779</v>
      </c>
      <c r="G26" s="688"/>
      <c r="H26" s="484"/>
      <c r="I26" s="491"/>
      <c r="J26" s="484"/>
      <c r="K26" s="489"/>
      <c r="L26" s="484"/>
      <c r="M26" s="490"/>
      <c r="N26" s="484"/>
    </row>
    <row r="27" spans="1:14" ht="12.75" customHeight="1" thickBot="1" x14ac:dyDescent="0.3">
      <c r="A27" s="484"/>
      <c r="B27" s="491"/>
      <c r="C27" s="494"/>
      <c r="D27" s="489"/>
      <c r="E27" s="484"/>
      <c r="F27" s="484"/>
      <c r="G27" s="490"/>
      <c r="H27" s="484"/>
      <c r="I27" s="491"/>
      <c r="J27" s="484"/>
      <c r="K27" s="489"/>
      <c r="L27" s="484"/>
      <c r="M27" s="490"/>
      <c r="N27" s="484"/>
    </row>
    <row r="28" spans="1:14" ht="12.75" customHeight="1" x14ac:dyDescent="0.25">
      <c r="A28" s="484"/>
      <c r="B28" s="491"/>
      <c r="C28" s="1194" t="s">
        <v>1292</v>
      </c>
      <c r="D28" s="1195"/>
      <c r="E28" s="1196"/>
      <c r="F28" s="511">
        <f>IF('Table 1'!$D$3=0,"",IF(OR(FirstMonth="January",FirstMonth="February",FirstMonth="March",FirstMonth="April",FirstMonth="May",FirstMonth="June" ),QuestYear-2,QuestYear-1))</f>
        <v>2025</v>
      </c>
      <c r="G28" s="490"/>
      <c r="H28" s="484"/>
      <c r="I28" s="491"/>
      <c r="J28" s="484"/>
      <c r="K28" s="489"/>
      <c r="L28" s="484"/>
      <c r="M28" s="490"/>
      <c r="N28" s="484"/>
    </row>
    <row r="29" spans="1:14" ht="12.75" customHeight="1" thickBot="1" x14ac:dyDescent="0.3">
      <c r="A29" s="484"/>
      <c r="B29" s="491"/>
      <c r="C29" s="1191" t="s">
        <v>1293</v>
      </c>
      <c r="D29" s="1209"/>
      <c r="E29" s="1210"/>
      <c r="F29" s="514"/>
      <c r="G29" s="490"/>
      <c r="H29" s="484"/>
      <c r="I29" s="491"/>
      <c r="J29" s="484"/>
      <c r="K29" s="489"/>
      <c r="L29" s="484"/>
      <c r="M29" s="490"/>
      <c r="N29" s="484"/>
    </row>
    <row r="30" spans="1:14" ht="12.75" customHeight="1" x14ac:dyDescent="0.25">
      <c r="A30" s="484"/>
      <c r="B30" s="491"/>
      <c r="C30" s="519">
        <v>11</v>
      </c>
      <c r="D30" s="515" t="s">
        <v>846</v>
      </c>
      <c r="E30" s="516"/>
      <c r="F30" s="1013">
        <f>'Table 5b_5c'!M34</f>
        <v>5664</v>
      </c>
      <c r="G30" s="490"/>
      <c r="H30" s="484"/>
      <c r="I30" s="491"/>
      <c r="J30" s="484"/>
      <c r="K30" s="489"/>
      <c r="L30" s="484"/>
      <c r="M30" s="490"/>
      <c r="N30" s="484"/>
    </row>
    <row r="31" spans="1:14" ht="12.75" customHeight="1" x14ac:dyDescent="0.25">
      <c r="A31" s="484"/>
      <c r="B31" s="491"/>
      <c r="C31" s="238">
        <v>12</v>
      </c>
      <c r="D31" s="694" t="s">
        <v>1294</v>
      </c>
      <c r="E31" s="229"/>
      <c r="F31" s="1014">
        <f>F30-F24</f>
        <v>5401</v>
      </c>
      <c r="G31" s="490"/>
      <c r="H31" s="484"/>
      <c r="I31" s="491"/>
      <c r="J31" s="484"/>
      <c r="K31" s="489"/>
      <c r="L31" s="484"/>
      <c r="M31" s="490"/>
      <c r="N31" s="484"/>
    </row>
    <row r="32" spans="1:14" ht="12.75" customHeight="1" thickBot="1" x14ac:dyDescent="0.3">
      <c r="A32" s="484"/>
      <c r="B32" s="491"/>
      <c r="C32" s="434">
        <v>13</v>
      </c>
      <c r="D32" s="693" t="s">
        <v>1295</v>
      </c>
      <c r="E32" s="435"/>
      <c r="F32" s="1015">
        <f>F31*1.065</f>
        <v>5752.0649999999996</v>
      </c>
      <c r="G32" s="688"/>
      <c r="H32" s="484"/>
      <c r="I32" s="491"/>
      <c r="J32" s="484"/>
      <c r="K32" s="489"/>
      <c r="L32" s="484"/>
      <c r="M32" s="490"/>
      <c r="N32" s="484"/>
    </row>
    <row r="33" spans="1:14" ht="12.75" customHeight="1" thickBot="1" x14ac:dyDescent="0.3">
      <c r="A33" s="484"/>
      <c r="B33" s="491"/>
      <c r="C33" s="494"/>
      <c r="D33" s="489"/>
      <c r="E33" s="484"/>
      <c r="F33" s="484"/>
      <c r="G33" s="490"/>
      <c r="H33" s="484"/>
      <c r="I33" s="491"/>
      <c r="J33" s="484"/>
      <c r="K33" s="489"/>
      <c r="L33" s="484"/>
      <c r="M33" s="490"/>
      <c r="N33" s="484"/>
    </row>
    <row r="34" spans="1:14" ht="12.75" customHeight="1" x14ac:dyDescent="0.25">
      <c r="A34" s="484"/>
      <c r="B34" s="491"/>
      <c r="C34" s="1187" t="s">
        <v>754</v>
      </c>
      <c r="D34" s="1195"/>
      <c r="E34" s="1196"/>
      <c r="F34" s="511">
        <f>IF('Table 1'!$D$3=0,"",IF(OR(FirstMonth="January",FirstMonth="February",FirstMonth="March",FirstMonth="April",FirstMonth="May",FirstMonth="June" ),QuestYear-2,QuestYear-1))</f>
        <v>2025</v>
      </c>
      <c r="G34" s="490"/>
      <c r="H34" s="484"/>
      <c r="I34" s="491"/>
      <c r="J34" s="484"/>
      <c r="K34" s="489"/>
      <c r="L34" s="484"/>
      <c r="M34" s="490"/>
      <c r="N34" s="484"/>
    </row>
    <row r="35" spans="1:14" ht="12.75" customHeight="1" thickBot="1" x14ac:dyDescent="0.3">
      <c r="A35" s="484"/>
      <c r="B35" s="491"/>
      <c r="C35" s="1191" t="s">
        <v>755</v>
      </c>
      <c r="D35" s="1209"/>
      <c r="E35" s="1210"/>
      <c r="F35" s="490"/>
      <c r="G35" s="490"/>
      <c r="H35" s="484"/>
      <c r="I35" s="491"/>
      <c r="J35" s="484"/>
      <c r="K35" s="489"/>
      <c r="L35" s="484"/>
      <c r="M35" s="490"/>
      <c r="N35" s="484"/>
    </row>
    <row r="36" spans="1:14" ht="12.75" customHeight="1" x14ac:dyDescent="0.25">
      <c r="A36" s="484"/>
      <c r="B36" s="491"/>
      <c r="C36" s="519">
        <v>14</v>
      </c>
      <c r="D36" s="695" t="s">
        <v>838</v>
      </c>
      <c r="E36" s="531"/>
      <c r="F36" s="1013">
        <f>'Table 5b_5c'!AH30</f>
        <v>81653</v>
      </c>
      <c r="G36" s="490"/>
      <c r="H36" s="484"/>
      <c r="I36" s="491"/>
      <c r="J36" s="484"/>
      <c r="K36" s="489"/>
      <c r="L36" s="484"/>
      <c r="M36" s="490"/>
      <c r="N36" s="484"/>
    </row>
    <row r="37" spans="1:14" ht="12.75" customHeight="1" x14ac:dyDescent="0.25">
      <c r="A37" s="484"/>
      <c r="B37" s="491"/>
      <c r="C37" s="571">
        <v>15</v>
      </c>
      <c r="D37" s="503" t="s">
        <v>756</v>
      </c>
      <c r="E37" s="533"/>
      <c r="F37" s="1017">
        <f>'Table 5b_5c'!M30</f>
        <v>18032</v>
      </c>
      <c r="G37" s="490"/>
      <c r="H37" s="484"/>
      <c r="I37" s="491"/>
      <c r="J37" s="484"/>
      <c r="K37" s="489"/>
      <c r="L37" s="484"/>
      <c r="M37" s="490"/>
      <c r="N37" s="484"/>
    </row>
    <row r="38" spans="1:14" ht="12.75" customHeight="1" x14ac:dyDescent="0.25">
      <c r="A38" s="484"/>
      <c r="B38" s="491"/>
      <c r="C38" s="571">
        <v>16</v>
      </c>
      <c r="D38" s="503" t="s">
        <v>837</v>
      </c>
      <c r="E38" s="533"/>
      <c r="F38" s="1017">
        <f>'Table 5b_5c'!AH31</f>
        <v>99624</v>
      </c>
      <c r="G38" s="490"/>
      <c r="H38" s="484"/>
      <c r="I38" s="491"/>
      <c r="J38" s="484"/>
      <c r="K38" s="489"/>
      <c r="L38" s="484"/>
      <c r="M38" s="490"/>
      <c r="N38" s="484"/>
    </row>
    <row r="39" spans="1:14" ht="12.75" customHeight="1" x14ac:dyDescent="0.25">
      <c r="A39" s="484"/>
      <c r="B39" s="491"/>
      <c r="C39" s="571">
        <v>17</v>
      </c>
      <c r="D39" s="503" t="s">
        <v>757</v>
      </c>
      <c r="E39" s="533"/>
      <c r="F39" s="1017">
        <f>'Table 5b_5c'!M31</f>
        <v>13489</v>
      </c>
      <c r="G39" s="490"/>
      <c r="H39" s="484"/>
      <c r="I39" s="491"/>
      <c r="J39" s="484"/>
      <c r="K39" s="489"/>
      <c r="L39" s="484"/>
      <c r="M39" s="490"/>
      <c r="N39" s="484"/>
    </row>
    <row r="40" spans="1:14" ht="12.75" customHeight="1" x14ac:dyDescent="0.25">
      <c r="A40" s="484"/>
      <c r="B40" s="491"/>
      <c r="C40" s="571">
        <v>18</v>
      </c>
      <c r="D40" s="503" t="s">
        <v>836</v>
      </c>
      <c r="E40" s="533"/>
      <c r="F40" s="1017">
        <f>'Table 5b_5c'!AH33</f>
        <v>12317</v>
      </c>
      <c r="G40" s="490"/>
      <c r="H40" s="484"/>
      <c r="I40" s="491"/>
      <c r="J40" s="484"/>
      <c r="K40" s="489"/>
      <c r="L40" s="484"/>
      <c r="M40" s="490"/>
      <c r="N40" s="484"/>
    </row>
    <row r="41" spans="1:14" ht="12.75" customHeight="1" x14ac:dyDescent="0.25">
      <c r="A41" s="484"/>
      <c r="B41" s="491"/>
      <c r="C41" s="571">
        <v>19</v>
      </c>
      <c r="D41" s="503" t="s">
        <v>758</v>
      </c>
      <c r="E41" s="533"/>
      <c r="F41" s="1017">
        <f>'Table 5b_5c'!M33</f>
        <v>0</v>
      </c>
      <c r="G41" s="490"/>
      <c r="H41" s="484"/>
      <c r="I41" s="491"/>
      <c r="J41" s="484"/>
      <c r="K41" s="489"/>
      <c r="L41" s="484"/>
      <c r="M41" s="490"/>
      <c r="N41" s="484"/>
    </row>
    <row r="42" spans="1:14" ht="12.75" customHeight="1" x14ac:dyDescent="0.25">
      <c r="A42" s="484"/>
      <c r="B42" s="491"/>
      <c r="C42" s="571">
        <v>20</v>
      </c>
      <c r="D42" s="502" t="s">
        <v>835</v>
      </c>
      <c r="E42" s="696" t="s">
        <v>76</v>
      </c>
      <c r="F42" s="1017">
        <f>'Table 5b_5c'!AH35</f>
        <v>8960</v>
      </c>
      <c r="G42" s="490"/>
      <c r="H42" s="484"/>
      <c r="I42" s="491"/>
      <c r="J42" s="484"/>
      <c r="K42" s="489"/>
      <c r="L42" s="484"/>
      <c r="M42" s="490"/>
      <c r="N42" s="484"/>
    </row>
    <row r="43" spans="1:14" ht="12.75" customHeight="1" x14ac:dyDescent="0.25">
      <c r="A43" s="484"/>
      <c r="B43" s="491"/>
      <c r="C43" s="571">
        <v>21</v>
      </c>
      <c r="D43" s="535" t="s">
        <v>729</v>
      </c>
      <c r="E43" s="697" t="s">
        <v>753</v>
      </c>
      <c r="F43" s="1017">
        <f>'Table 5b_5c'!AH36</f>
        <v>9157</v>
      </c>
      <c r="G43" s="490"/>
      <c r="H43" s="484"/>
      <c r="I43" s="491"/>
      <c r="J43" s="484"/>
      <c r="K43" s="489"/>
      <c r="L43" s="484"/>
      <c r="M43" s="490"/>
      <c r="N43" s="484"/>
    </row>
    <row r="44" spans="1:14" ht="12.75" customHeight="1" x14ac:dyDescent="0.25">
      <c r="A44" s="484"/>
      <c r="B44" s="491"/>
      <c r="C44" s="571">
        <v>22</v>
      </c>
      <c r="D44" s="502" t="s">
        <v>922</v>
      </c>
      <c r="E44" s="696" t="s">
        <v>76</v>
      </c>
      <c r="F44" s="1017">
        <f>'Table 5b_5c'!M35</f>
        <v>1808</v>
      </c>
      <c r="G44" s="490"/>
      <c r="H44" s="484"/>
      <c r="I44" s="491"/>
      <c r="J44" s="484"/>
      <c r="K44" s="489"/>
      <c r="L44" s="484"/>
      <c r="M44" s="490"/>
      <c r="N44" s="484"/>
    </row>
    <row r="45" spans="1:14" ht="12.75" customHeight="1" x14ac:dyDescent="0.25">
      <c r="A45" s="484"/>
      <c r="B45" s="491"/>
      <c r="C45" s="571">
        <v>23</v>
      </c>
      <c r="D45" s="535" t="s">
        <v>699</v>
      </c>
      <c r="E45" s="697" t="s">
        <v>753</v>
      </c>
      <c r="F45" s="1017">
        <f>'Table 5b_5c'!M36</f>
        <v>1495</v>
      </c>
      <c r="G45" s="490"/>
      <c r="H45" s="484"/>
      <c r="I45" s="491"/>
      <c r="J45" s="484"/>
      <c r="K45" s="489"/>
      <c r="L45" s="484"/>
      <c r="M45" s="490"/>
      <c r="N45" s="484"/>
    </row>
    <row r="46" spans="1:14" ht="12.75" customHeight="1" x14ac:dyDescent="0.25">
      <c r="A46" s="484"/>
      <c r="B46" s="491"/>
      <c r="C46" s="698">
        <v>24</v>
      </c>
      <c r="D46" s="699" t="s">
        <v>1296</v>
      </c>
      <c r="E46" s="437"/>
      <c r="F46" s="1014">
        <f>(F36-F37)-(F38-F39)-(F40-F41)-(F43-F45-(F42-F44))</f>
        <v>-35341</v>
      </c>
      <c r="G46" s="490"/>
      <c r="H46" s="484"/>
      <c r="I46" s="491"/>
      <c r="J46" s="484"/>
      <c r="K46" s="489"/>
      <c r="L46" s="484"/>
      <c r="M46" s="490"/>
      <c r="N46" s="484"/>
    </row>
    <row r="47" spans="1:14" ht="12.75" customHeight="1" thickBot="1" x14ac:dyDescent="0.3">
      <c r="A47" s="484"/>
      <c r="B47" s="491"/>
      <c r="C47" s="700">
        <v>25</v>
      </c>
      <c r="D47" s="701" t="s">
        <v>1297</v>
      </c>
      <c r="E47" s="439"/>
      <c r="F47" s="1015">
        <f>F46*1.065</f>
        <v>-37638.165000000001</v>
      </c>
      <c r="G47" s="490"/>
      <c r="H47" s="484"/>
      <c r="I47" s="491"/>
      <c r="J47" s="484"/>
      <c r="K47" s="489"/>
      <c r="L47" s="484"/>
      <c r="M47" s="490"/>
      <c r="N47" s="484"/>
    </row>
    <row r="48" spans="1:14" ht="12.75" customHeight="1" x14ac:dyDescent="0.25">
      <c r="A48" s="484"/>
      <c r="B48" s="491"/>
      <c r="C48" s="484"/>
      <c r="D48" s="484"/>
      <c r="E48" s="484"/>
      <c r="F48" s="484"/>
      <c r="G48" s="490"/>
      <c r="H48" s="484"/>
      <c r="I48" s="491"/>
      <c r="J48" s="484"/>
      <c r="K48" s="489"/>
      <c r="L48" s="484"/>
      <c r="M48" s="490"/>
      <c r="N48" s="484"/>
    </row>
    <row r="49" spans="1:14" ht="12.75" customHeight="1" thickBot="1" x14ac:dyDescent="0.3">
      <c r="A49" s="484"/>
      <c r="B49" s="491"/>
      <c r="C49" s="484"/>
      <c r="D49" s="484"/>
      <c r="E49" s="484"/>
      <c r="F49" s="484"/>
      <c r="G49" s="490"/>
      <c r="H49" s="484"/>
      <c r="I49" s="491"/>
      <c r="J49" s="484"/>
      <c r="K49" s="489"/>
      <c r="L49" s="484"/>
      <c r="M49" s="490"/>
      <c r="N49" s="484"/>
    </row>
    <row r="50" spans="1:14" ht="12.75" customHeight="1" thickBot="1" x14ac:dyDescent="0.3">
      <c r="A50" s="484"/>
      <c r="B50" s="491"/>
      <c r="C50" s="484"/>
      <c r="D50" s="702" t="s">
        <v>1298</v>
      </c>
      <c r="E50" s="768">
        <v>1</v>
      </c>
      <c r="F50" s="484"/>
      <c r="G50" s="490"/>
      <c r="H50" s="484"/>
      <c r="I50" s="491"/>
      <c r="J50" s="484"/>
      <c r="K50" s="489"/>
      <c r="L50" s="484"/>
      <c r="M50" s="490"/>
      <c r="N50" s="484"/>
    </row>
    <row r="51" spans="1:14" ht="12.75" customHeight="1" thickBot="1" x14ac:dyDescent="0.3">
      <c r="A51" s="484"/>
      <c r="B51" s="491"/>
      <c r="C51" s="494"/>
      <c r="D51" s="489"/>
      <c r="E51" s="484"/>
      <c r="F51" s="484"/>
      <c r="G51" s="490"/>
      <c r="H51" s="484"/>
      <c r="I51" s="491"/>
      <c r="J51" s="484"/>
      <c r="K51" s="489"/>
      <c r="L51" s="484"/>
      <c r="M51" s="490"/>
      <c r="N51" s="484"/>
    </row>
    <row r="52" spans="1:14" ht="12.75" customHeight="1" x14ac:dyDescent="0.25">
      <c r="A52" s="484"/>
      <c r="B52" s="491"/>
      <c r="C52" s="1194" t="s">
        <v>759</v>
      </c>
      <c r="D52" s="1195"/>
      <c r="E52" s="1196"/>
      <c r="F52" s="511">
        <f>IF('Table 1'!$D$3=0,"",IF(OR(FirstMonth="January",FirstMonth="February",FirstMonth="March",FirstMonth="April",FirstMonth="May",FirstMonth="June" ),QuestYear-2,QuestYear-1))</f>
        <v>2025</v>
      </c>
      <c r="G52" s="490"/>
      <c r="H52" s="484"/>
      <c r="I52" s="491"/>
      <c r="J52" s="484"/>
      <c r="K52" s="489"/>
      <c r="L52" s="484"/>
      <c r="M52" s="490"/>
      <c r="N52" s="484"/>
    </row>
    <row r="53" spans="1:14" ht="12.75" customHeight="1" x14ac:dyDescent="0.25">
      <c r="A53" s="484"/>
      <c r="B53" s="491"/>
      <c r="C53" s="1184" t="s">
        <v>1299</v>
      </c>
      <c r="D53" s="1206"/>
      <c r="E53" s="1206"/>
      <c r="F53" s="514"/>
      <c r="G53" s="490"/>
      <c r="H53" s="484"/>
      <c r="I53" s="491"/>
      <c r="J53" s="484"/>
      <c r="K53" s="489"/>
      <c r="L53" s="484"/>
      <c r="M53" s="490"/>
      <c r="N53" s="484"/>
    </row>
    <row r="54" spans="1:14" ht="12.75" customHeight="1" x14ac:dyDescent="0.25">
      <c r="A54" s="484"/>
      <c r="B54" s="491"/>
      <c r="C54" s="703"/>
      <c r="D54" s="489"/>
      <c r="E54" s="489"/>
      <c r="F54" s="514"/>
      <c r="G54" s="490"/>
      <c r="H54" s="484"/>
      <c r="I54" s="491"/>
      <c r="J54" s="484"/>
      <c r="K54" s="489"/>
      <c r="L54" s="484"/>
      <c r="M54" s="490"/>
      <c r="N54" s="484"/>
    </row>
    <row r="55" spans="1:14" ht="12.75" customHeight="1" x14ac:dyDescent="0.25">
      <c r="A55" s="484"/>
      <c r="B55" s="491"/>
      <c r="C55" s="703"/>
      <c r="D55" s="489"/>
      <c r="E55" s="489"/>
      <c r="F55" s="514"/>
      <c r="G55" s="490"/>
      <c r="H55" s="484"/>
      <c r="I55" s="491"/>
      <c r="J55" s="484"/>
      <c r="K55" s="489"/>
      <c r="L55" s="484"/>
      <c r="M55" s="490"/>
      <c r="N55" s="484"/>
    </row>
    <row r="56" spans="1:14" ht="12.75" customHeight="1" x14ac:dyDescent="0.25">
      <c r="A56" s="484"/>
      <c r="B56" s="491"/>
      <c r="C56" s="703"/>
      <c r="D56" s="489"/>
      <c r="E56" s="489"/>
      <c r="F56" s="514"/>
      <c r="G56" s="490"/>
      <c r="H56" s="484"/>
      <c r="I56" s="491"/>
      <c r="J56" s="484"/>
      <c r="K56" s="489"/>
      <c r="L56" s="484"/>
      <c r="M56" s="490"/>
      <c r="N56" s="484"/>
    </row>
    <row r="57" spans="1:14" ht="12.75" customHeight="1" x14ac:dyDescent="0.25">
      <c r="A57" s="484"/>
      <c r="B57" s="491"/>
      <c r="C57" s="703"/>
      <c r="D57" s="489"/>
      <c r="E57" s="489"/>
      <c r="F57" s="514"/>
      <c r="G57" s="490"/>
      <c r="H57" s="484"/>
      <c r="I57" s="491"/>
      <c r="J57" s="484"/>
      <c r="K57" s="489"/>
      <c r="L57" s="484"/>
      <c r="M57" s="490"/>
      <c r="N57" s="484"/>
    </row>
    <row r="58" spans="1:14" ht="12.75" customHeight="1" x14ac:dyDescent="0.25">
      <c r="A58" s="484"/>
      <c r="B58" s="491"/>
      <c r="C58" s="703"/>
      <c r="D58" s="489"/>
      <c r="E58" s="489"/>
      <c r="F58" s="514"/>
      <c r="G58" s="490"/>
      <c r="H58" s="484"/>
      <c r="I58" s="491"/>
      <c r="J58" s="484"/>
      <c r="K58" s="489"/>
      <c r="L58" s="484"/>
      <c r="M58" s="490"/>
      <c r="N58" s="484"/>
    </row>
    <row r="59" spans="1:14" ht="12.75" customHeight="1" thickBot="1" x14ac:dyDescent="0.3">
      <c r="A59" s="484"/>
      <c r="B59" s="491"/>
      <c r="C59" s="703"/>
      <c r="D59" s="489"/>
      <c r="E59" s="489"/>
      <c r="F59" s="514"/>
      <c r="G59" s="490"/>
      <c r="H59" s="484"/>
      <c r="I59" s="491"/>
      <c r="J59" s="484"/>
      <c r="K59" s="245"/>
      <c r="L59" s="245" t="s">
        <v>108</v>
      </c>
      <c r="M59" s="490"/>
      <c r="N59" s="484"/>
    </row>
    <row r="60" spans="1:14" ht="12.75" customHeight="1" thickBot="1" x14ac:dyDescent="0.3">
      <c r="A60" s="484"/>
      <c r="B60" s="491"/>
      <c r="C60" s="703"/>
      <c r="D60" s="489"/>
      <c r="E60" s="704"/>
      <c r="F60" s="514"/>
      <c r="G60" s="490"/>
      <c r="H60" s="484"/>
      <c r="I60" s="491"/>
      <c r="J60" s="488"/>
      <c r="K60" s="567" t="s">
        <v>764</v>
      </c>
      <c r="L60" s="511">
        <f>IF('Table 1'!$D$3=0,"",IF(OR(FirstMonth="January",FirstMonth="February",FirstMonth="March",FirstMonth="April",FirstMonth="May",FirstMonth="June" ),QuestYear-2,QuestYear-1))</f>
        <v>2025</v>
      </c>
      <c r="M60" s="490"/>
      <c r="N60" s="484"/>
    </row>
    <row r="61" spans="1:14" ht="12.75" customHeight="1" thickBot="1" x14ac:dyDescent="0.25">
      <c r="A61" s="484"/>
      <c r="B61" s="491"/>
      <c r="C61" s="705"/>
      <c r="D61" s="706" t="s">
        <v>1300</v>
      </c>
      <c r="E61" s="706"/>
      <c r="F61" s="707"/>
      <c r="G61" s="490"/>
      <c r="H61" s="484"/>
      <c r="I61" s="491"/>
      <c r="J61" s="1184" t="s">
        <v>765</v>
      </c>
      <c r="K61" s="1198"/>
      <c r="L61" s="570"/>
      <c r="M61" s="490"/>
      <c r="N61" s="484"/>
    </row>
    <row r="62" spans="1:14" ht="12.75" customHeight="1" x14ac:dyDescent="0.2">
      <c r="A62" s="484"/>
      <c r="B62" s="491"/>
      <c r="C62" s="708">
        <v>26</v>
      </c>
      <c r="D62" s="709" t="s">
        <v>1301</v>
      </c>
      <c r="E62" s="710"/>
      <c r="F62" s="1062">
        <f>F18*0.96+F47</f>
        <v>15891.434999999998</v>
      </c>
      <c r="G62" s="490"/>
      <c r="H62" s="484"/>
      <c r="I62" s="491"/>
      <c r="J62" s="519">
        <v>35</v>
      </c>
      <c r="K62" s="1076" t="s">
        <v>830</v>
      </c>
      <c r="L62" s="1013">
        <f>'Table 5b_5c'!N34</f>
        <v>4183.57</v>
      </c>
      <c r="M62" s="490"/>
      <c r="N62" s="484"/>
    </row>
    <row r="63" spans="1:14" ht="12.75" customHeight="1" x14ac:dyDescent="0.2">
      <c r="A63" s="484"/>
      <c r="B63" s="491"/>
      <c r="C63" s="440">
        <v>27</v>
      </c>
      <c r="D63" s="711" t="s">
        <v>1302</v>
      </c>
      <c r="E63" s="443"/>
      <c r="F63" s="1063">
        <f>IF(OR(MOD($F$52,400)=0,AND(MOD($F$52,4)=0,MOD($F$52,100)&lt;&gt;0)),F62/366,F62/365)</f>
        <v>43.538178082191777</v>
      </c>
      <c r="G63" s="490"/>
      <c r="H63" s="484"/>
      <c r="I63" s="491"/>
      <c r="J63" s="522">
        <v>36</v>
      </c>
      <c r="K63" s="430" t="s">
        <v>828</v>
      </c>
      <c r="L63" s="1011">
        <f>'Table 5b_5c'!Q34</f>
        <v>1.37</v>
      </c>
      <c r="M63" s="490"/>
      <c r="N63" s="484"/>
    </row>
    <row r="64" spans="1:14" ht="12.75" customHeight="1" thickBot="1" x14ac:dyDescent="0.25">
      <c r="A64" s="484"/>
      <c r="B64" s="491"/>
      <c r="C64" s="444">
        <v>28</v>
      </c>
      <c r="D64" s="712" t="s">
        <v>1303</v>
      </c>
      <c r="E64" s="240"/>
      <c r="F64" s="1064">
        <f>F63*90</f>
        <v>3918.4360273972597</v>
      </c>
      <c r="G64" s="490"/>
      <c r="H64" s="484"/>
      <c r="I64" s="491"/>
      <c r="J64" s="571">
        <v>37</v>
      </c>
      <c r="K64" s="430" t="s">
        <v>826</v>
      </c>
      <c r="L64" s="1011">
        <f>'Table 5b_5c'!R34</f>
        <v>0</v>
      </c>
      <c r="M64" s="490"/>
      <c r="N64" s="484"/>
    </row>
    <row r="65" spans="1:14" ht="12.75" customHeight="1" x14ac:dyDescent="0.2">
      <c r="A65" s="484"/>
      <c r="B65" s="491"/>
      <c r="C65" s="578"/>
      <c r="D65" s="548" t="s">
        <v>1304</v>
      </c>
      <c r="E65" s="530"/>
      <c r="F65" s="549"/>
      <c r="G65" s="490"/>
      <c r="H65" s="484"/>
      <c r="I65" s="491"/>
      <c r="J65" s="571">
        <v>38</v>
      </c>
      <c r="K65" s="430" t="s">
        <v>825</v>
      </c>
      <c r="L65" s="1011">
        <f>'Table 5b_5c'!S34</f>
        <v>3439</v>
      </c>
      <c r="M65" s="490"/>
      <c r="N65" s="484"/>
    </row>
    <row r="66" spans="1:14" ht="12.75" customHeight="1" x14ac:dyDescent="0.2">
      <c r="A66" s="484"/>
      <c r="B66" s="491"/>
      <c r="C66" s="440">
        <v>29</v>
      </c>
      <c r="D66" s="713" t="s">
        <v>1305</v>
      </c>
      <c r="E66" s="441"/>
      <c r="F66" s="1014">
        <f>F18-F26*F18+F47</f>
        <v>7576.0615074111338</v>
      </c>
      <c r="G66" s="490"/>
      <c r="H66" s="484"/>
      <c r="I66" s="491"/>
      <c r="J66" s="571">
        <v>39</v>
      </c>
      <c r="K66" s="430" t="s">
        <v>823</v>
      </c>
      <c r="L66" s="1011">
        <f>'Table 5b_5c'!V34</f>
        <v>72.72</v>
      </c>
      <c r="M66" s="490"/>
      <c r="N66" s="484"/>
    </row>
    <row r="67" spans="1:14" ht="12.75" customHeight="1" x14ac:dyDescent="0.2">
      <c r="A67" s="484"/>
      <c r="B67" s="491"/>
      <c r="C67" s="440">
        <v>30</v>
      </c>
      <c r="D67" s="711" t="s">
        <v>1306</v>
      </c>
      <c r="E67" s="442"/>
      <c r="F67" s="1065">
        <f>IF(OR(MOD($F$52,400)=0,AND(MOD($F$52,4)=0,MOD($F$52,100)&lt;&gt;0)),F66/366,F66/365)</f>
        <v>20.756332897016804</v>
      </c>
      <c r="G67" s="490"/>
      <c r="H67" s="484"/>
      <c r="I67" s="491"/>
      <c r="J67" s="571">
        <v>40</v>
      </c>
      <c r="K67" s="430" t="s">
        <v>821</v>
      </c>
      <c r="L67" s="1011">
        <f>'Table 5b_5c'!Y34</f>
        <v>5350.64</v>
      </c>
      <c r="M67" s="490"/>
      <c r="N67" s="484"/>
    </row>
    <row r="68" spans="1:14" ht="12.75" customHeight="1" thickBot="1" x14ac:dyDescent="0.25">
      <c r="A68" s="484"/>
      <c r="B68" s="491"/>
      <c r="C68" s="444">
        <v>31</v>
      </c>
      <c r="D68" s="712" t="s">
        <v>1307</v>
      </c>
      <c r="E68" s="445"/>
      <c r="F68" s="1012">
        <f>F67*90</f>
        <v>1868.0699607315123</v>
      </c>
      <c r="G68" s="490"/>
      <c r="H68" s="484"/>
      <c r="I68" s="491"/>
      <c r="J68" s="571">
        <v>41</v>
      </c>
      <c r="K68" s="430" t="s">
        <v>819</v>
      </c>
      <c r="L68" s="1011">
        <f>'Table 5b_5c'!AB34</f>
        <v>0</v>
      </c>
      <c r="M68" s="490"/>
      <c r="N68" s="484"/>
    </row>
    <row r="69" spans="1:14" ht="12.75" customHeight="1" x14ac:dyDescent="0.2">
      <c r="A69" s="484"/>
      <c r="B69" s="491"/>
      <c r="C69" s="579"/>
      <c r="D69" s="550" t="s">
        <v>1308</v>
      </c>
      <c r="E69" s="530"/>
      <c r="F69" s="551"/>
      <c r="G69" s="490"/>
      <c r="H69" s="484"/>
      <c r="I69" s="491"/>
      <c r="J69" s="235">
        <v>42</v>
      </c>
      <c r="K69" s="446" t="s">
        <v>1309</v>
      </c>
      <c r="L69" s="1014">
        <f>L62+L63+L64+L65+L66+L67+L68</f>
        <v>13047.3</v>
      </c>
      <c r="M69" s="490"/>
      <c r="N69" s="484"/>
    </row>
    <row r="70" spans="1:14" ht="12.75" customHeight="1" x14ac:dyDescent="0.2">
      <c r="A70" s="484"/>
      <c r="B70" s="491"/>
      <c r="C70" s="440">
        <v>32</v>
      </c>
      <c r="D70" s="713" t="s">
        <v>1310</v>
      </c>
      <c r="E70" s="437"/>
      <c r="F70" s="1020">
        <f>F18-F32+F47</f>
        <v>12369.769999999997</v>
      </c>
      <c r="G70" s="490"/>
      <c r="H70" s="484"/>
      <c r="I70" s="491"/>
      <c r="J70" s="235">
        <v>43</v>
      </c>
      <c r="K70" s="446" t="s">
        <v>1311</v>
      </c>
      <c r="L70" s="1014">
        <f>L69*1.2</f>
        <v>15656.759999999998</v>
      </c>
      <c r="M70" s="490"/>
      <c r="N70" s="484"/>
    </row>
    <row r="71" spans="1:14" ht="12.75" customHeight="1" x14ac:dyDescent="0.2">
      <c r="A71" s="484"/>
      <c r="B71" s="491"/>
      <c r="C71" s="440">
        <v>33</v>
      </c>
      <c r="D71" s="711" t="s">
        <v>1312</v>
      </c>
      <c r="E71" s="443"/>
      <c r="F71" s="1063">
        <f>IF(OR(MOD($F$52,400)=0,AND(MOD($F$52,4)=0,MOD($F$52,100)&lt;&gt;0)),F70/366,F70/365)</f>
        <v>33.889780821917796</v>
      </c>
      <c r="G71" s="490"/>
      <c r="H71" s="484"/>
      <c r="I71" s="491"/>
      <c r="J71" s="235">
        <v>44</v>
      </c>
      <c r="K71" s="446" t="s">
        <v>1313</v>
      </c>
      <c r="L71" s="1020">
        <f>IF(OR(MOD($L$60,400)=0,AND(MOD($L$60,4)=0,MOD($L$60,100)&lt;&gt;0)),L70/366,L70/365)</f>
        <v>42.895232876712328</v>
      </c>
      <c r="M71" s="490"/>
      <c r="N71" s="484"/>
    </row>
    <row r="72" spans="1:14" ht="12.75" customHeight="1" thickBot="1" x14ac:dyDescent="0.25">
      <c r="A72" s="484"/>
      <c r="B72" s="491"/>
      <c r="C72" s="444">
        <f>C71+1</f>
        <v>34</v>
      </c>
      <c r="D72" s="712" t="s">
        <v>1314</v>
      </c>
      <c r="E72" s="240"/>
      <c r="F72" s="1021">
        <f>F71*90</f>
        <v>3050.0802739726018</v>
      </c>
      <c r="G72" s="490"/>
      <c r="H72" s="484"/>
      <c r="I72" s="491"/>
      <c r="J72" s="236">
        <v>45</v>
      </c>
      <c r="K72" s="714" t="s">
        <v>1315</v>
      </c>
      <c r="L72" s="1012">
        <f>L71*61</f>
        <v>2616.6092054794522</v>
      </c>
      <c r="M72" s="490"/>
      <c r="N72" s="484"/>
    </row>
    <row r="73" spans="1:14" ht="12.75" customHeight="1" thickBot="1" x14ac:dyDescent="0.25">
      <c r="A73" s="484"/>
      <c r="B73" s="574"/>
      <c r="C73" s="559"/>
      <c r="D73" s="518"/>
      <c r="E73" s="518"/>
      <c r="F73" s="556"/>
      <c r="G73" s="557"/>
      <c r="H73" s="553"/>
      <c r="I73" s="558"/>
      <c r="J73" s="559"/>
      <c r="K73" s="560"/>
      <c r="L73" s="556"/>
      <c r="M73" s="561"/>
      <c r="N73" s="484"/>
    </row>
    <row r="74" spans="1:14" ht="12.75" customHeight="1" x14ac:dyDescent="0.2">
      <c r="A74" s="484"/>
      <c r="B74" s="484"/>
      <c r="C74" s="537"/>
      <c r="D74" s="539"/>
      <c r="E74" s="539"/>
      <c r="F74" s="540"/>
      <c r="G74" s="553"/>
      <c r="H74" s="553"/>
      <c r="I74" s="553"/>
      <c r="J74" s="537"/>
      <c r="K74" s="555"/>
      <c r="L74" s="540"/>
      <c r="M74" s="484"/>
      <c r="N74" s="484"/>
    </row>
    <row r="75" spans="1:14" ht="12.75" customHeight="1" thickBot="1" x14ac:dyDescent="0.25">
      <c r="A75" s="484"/>
      <c r="B75" s="484"/>
      <c r="C75" s="539"/>
      <c r="D75" s="539"/>
      <c r="E75" s="539"/>
      <c r="F75" s="245" t="s">
        <v>108</v>
      </c>
      <c r="G75" s="484"/>
      <c r="H75" s="755" t="s">
        <v>1316</v>
      </c>
      <c r="I75" s="613"/>
      <c r="J75" s="613"/>
      <c r="K75" s="756"/>
      <c r="L75" s="715"/>
      <c r="M75" s="613"/>
      <c r="N75" s="715" t="s">
        <v>1317</v>
      </c>
    </row>
    <row r="76" spans="1:14" ht="12.75" customHeight="1" x14ac:dyDescent="0.2">
      <c r="A76" s="484"/>
      <c r="B76" s="484"/>
      <c r="C76" s="1187" t="s">
        <v>766</v>
      </c>
      <c r="D76" s="1188"/>
      <c r="E76" s="1189"/>
      <c r="F76" s="511">
        <f>IF('Table 1'!$D$3=0,"",IF(OR(FirstMonth="January",FirstMonth="February",FirstMonth="March",FirstMonth="April",FirstMonth="May",FirstMonth="June" ),QuestYear-2,QuestYear-1))</f>
        <v>2025</v>
      </c>
      <c r="G76" s="484"/>
      <c r="H76" s="757">
        <v>1</v>
      </c>
      <c r="I76" s="613" t="s">
        <v>1318</v>
      </c>
      <c r="J76" s="613"/>
      <c r="K76" s="715" t="s">
        <v>1319</v>
      </c>
      <c r="L76" s="715" t="s">
        <v>1320</v>
      </c>
      <c r="M76" s="715" t="s">
        <v>1321</v>
      </c>
      <c r="N76" s="715" t="s">
        <v>1322</v>
      </c>
    </row>
    <row r="77" spans="1:14" ht="12.75" customHeight="1" x14ac:dyDescent="0.2">
      <c r="A77" s="484"/>
      <c r="B77" s="484"/>
      <c r="C77" s="1199" t="s">
        <v>1323</v>
      </c>
      <c r="D77" s="1200"/>
      <c r="E77" s="1201"/>
      <c r="F77" s="490"/>
      <c r="G77" s="484"/>
      <c r="H77" s="757">
        <v>2</v>
      </c>
      <c r="I77" s="613" t="s">
        <v>1324</v>
      </c>
      <c r="J77" s="613"/>
      <c r="K77" s="758">
        <f>+F64</f>
        <v>3918.4360273972597</v>
      </c>
      <c r="L77" s="758">
        <f>+F68</f>
        <v>1868.0699607315123</v>
      </c>
      <c r="M77" s="758">
        <f>+F72</f>
        <v>3050.0802739726018</v>
      </c>
      <c r="N77" s="758">
        <f>+L72</f>
        <v>2616.6092054794522</v>
      </c>
    </row>
    <row r="78" spans="1:14" ht="12.75" customHeight="1" thickBot="1" x14ac:dyDescent="0.25">
      <c r="A78" s="484"/>
      <c r="B78" s="484"/>
      <c r="C78" s="1199" t="s">
        <v>1325</v>
      </c>
      <c r="D78" s="1204"/>
      <c r="E78" s="1205"/>
      <c r="F78" s="760" t="str">
        <f>IF(F79=L72,RIGHT(J9,18),RIGHT(C9,11))</f>
        <v>Net Imports</v>
      </c>
      <c r="G78" s="484"/>
      <c r="H78" s="757">
        <v>3</v>
      </c>
      <c r="I78" s="613" t="s">
        <v>1326</v>
      </c>
      <c r="J78" s="613"/>
      <c r="K78" s="758">
        <f>+F63</f>
        <v>43.538178082191777</v>
      </c>
      <c r="L78" s="758">
        <f>+F67</f>
        <v>20.756332897016804</v>
      </c>
      <c r="M78" s="758">
        <f>+F71</f>
        <v>33.889780821917796</v>
      </c>
      <c r="N78" s="758">
        <f>+L71</f>
        <v>42.895232876712328</v>
      </c>
    </row>
    <row r="79" spans="1:14" ht="12.75" customHeight="1" x14ac:dyDescent="0.25">
      <c r="A79" s="484"/>
      <c r="B79" s="484"/>
      <c r="C79" s="716">
        <v>46</v>
      </c>
      <c r="D79" s="717" t="s">
        <v>811</v>
      </c>
      <c r="E79" s="450"/>
      <c r="F79" s="1022">
        <f>MAX(IF(E50=1,F64,IF(E50=2,F68,F72)),L72)</f>
        <v>3918.4360273972597</v>
      </c>
      <c r="G79" s="489"/>
      <c r="H79" s="720"/>
      <c r="I79" s="613"/>
      <c r="J79" s="613"/>
      <c r="K79" s="613">
        <v>90</v>
      </c>
      <c r="L79" s="613">
        <v>90</v>
      </c>
      <c r="M79" s="613">
        <v>90</v>
      </c>
      <c r="N79" s="613">
        <v>61</v>
      </c>
    </row>
    <row r="80" spans="1:14" ht="12.75" customHeight="1" thickBot="1" x14ac:dyDescent="0.3">
      <c r="A80" s="484"/>
      <c r="B80" s="484"/>
      <c r="C80" s="718">
        <v>47</v>
      </c>
      <c r="D80" s="719" t="s">
        <v>1327</v>
      </c>
      <c r="E80" s="240"/>
      <c r="F80" s="1012">
        <f>HLOOKUP($F$79,K77:N79,2,FALSE)</f>
        <v>43.538178082191777</v>
      </c>
      <c r="G80" s="484"/>
      <c r="H80" s="489"/>
      <c r="I80" s="484"/>
      <c r="J80" s="484"/>
      <c r="K80" s="720"/>
      <c r="L80" s="613"/>
      <c r="M80" s="613"/>
      <c r="N80" s="613"/>
    </row>
    <row r="81" spans="1:14" ht="12.75" customHeight="1" x14ac:dyDescent="0.25">
      <c r="A81" s="484"/>
      <c r="B81" s="484"/>
      <c r="C81" s="494"/>
      <c r="D81" s="489"/>
      <c r="E81" s="484"/>
      <c r="F81" s="613">
        <f>HLOOKUP($F$79,K77:N79,3,FALSE)</f>
        <v>90</v>
      </c>
      <c r="G81" s="484"/>
      <c r="H81" s="489"/>
      <c r="I81" s="484"/>
      <c r="J81" s="484"/>
      <c r="K81" s="489"/>
      <c r="L81" s="484"/>
      <c r="M81" s="484"/>
      <c r="N81" s="484"/>
    </row>
    <row r="82" spans="1:14" ht="13.5" thickBot="1" x14ac:dyDescent="0.25">
      <c r="A82" s="484"/>
      <c r="B82" s="484"/>
      <c r="C82" s="541"/>
      <c r="D82" s="539"/>
      <c r="E82" s="539"/>
      <c r="F82" s="540"/>
      <c r="G82" s="484"/>
      <c r="H82" s="484"/>
      <c r="I82" s="484"/>
      <c r="J82" s="484"/>
      <c r="K82" s="484"/>
      <c r="L82" s="484"/>
      <c r="M82" s="484"/>
      <c r="N82" s="484"/>
    </row>
    <row r="83" spans="1:14" x14ac:dyDescent="0.2">
      <c r="A83" s="484"/>
      <c r="B83" s="488"/>
      <c r="C83" s="588"/>
      <c r="D83" s="517"/>
      <c r="E83" s="517"/>
      <c r="F83" s="589"/>
      <c r="G83" s="486"/>
      <c r="H83" s="486"/>
      <c r="I83" s="486"/>
      <c r="J83" s="486"/>
      <c r="K83" s="486"/>
      <c r="L83" s="486"/>
      <c r="M83" s="487"/>
      <c r="N83" s="484"/>
    </row>
    <row r="84" spans="1:14" ht="18" x14ac:dyDescent="0.25">
      <c r="A84" s="484"/>
      <c r="B84" s="491"/>
      <c r="C84" s="541"/>
      <c r="D84" s="590"/>
      <c r="E84" s="484"/>
      <c r="F84" s="591"/>
      <c r="G84" s="721" t="s">
        <v>1328</v>
      </c>
      <c r="H84" s="582"/>
      <c r="I84" s="582"/>
      <c r="J84" s="582"/>
      <c r="K84" s="484"/>
      <c r="L84" s="484"/>
      <c r="M84" s="490"/>
      <c r="N84" s="484"/>
    </row>
    <row r="85" spans="1:14" ht="16.5" customHeight="1" x14ac:dyDescent="0.2">
      <c r="A85" s="484"/>
      <c r="B85" s="491"/>
      <c r="C85" s="541"/>
      <c r="D85" s="539"/>
      <c r="E85" s="539"/>
      <c r="F85" s="540"/>
      <c r="G85" s="484"/>
      <c r="H85" s="484"/>
      <c r="I85" s="484"/>
      <c r="J85" s="484"/>
      <c r="K85" s="484"/>
      <c r="L85" s="484"/>
      <c r="M85" s="490"/>
      <c r="N85" s="484"/>
    </row>
    <row r="86" spans="1:14" x14ac:dyDescent="0.2">
      <c r="A86" s="484"/>
      <c r="B86" s="491"/>
      <c r="C86" s="1202" t="s">
        <v>1329</v>
      </c>
      <c r="D86" s="1203"/>
      <c r="E86" s="1203"/>
      <c r="F86" s="1203"/>
      <c r="G86" s="484"/>
      <c r="H86" s="484"/>
      <c r="I86" s="484"/>
      <c r="J86" s="1202" t="s">
        <v>1330</v>
      </c>
      <c r="K86" s="1203"/>
      <c r="L86" s="1203"/>
      <c r="M86" s="490"/>
      <c r="N86" s="484"/>
    </row>
    <row r="87" spans="1:14" ht="13.5" thickBot="1" x14ac:dyDescent="0.25">
      <c r="A87" s="484"/>
      <c r="B87" s="491"/>
      <c r="C87" s="541"/>
      <c r="D87" s="539"/>
      <c r="E87" s="539"/>
      <c r="F87" s="245" t="s">
        <v>108</v>
      </c>
      <c r="G87" s="484"/>
      <c r="H87" s="484"/>
      <c r="I87" s="484"/>
      <c r="J87" s="541"/>
      <c r="K87" s="539"/>
      <c r="L87" s="245" t="s">
        <v>108</v>
      </c>
      <c r="M87" s="490"/>
      <c r="N87" s="484"/>
    </row>
    <row r="88" spans="1:14" x14ac:dyDescent="0.2">
      <c r="A88" s="484"/>
      <c r="B88" s="491"/>
      <c r="C88" s="1194" t="s">
        <v>1331</v>
      </c>
      <c r="D88" s="1195"/>
      <c r="E88" s="1196"/>
      <c r="F88" s="612" t="str">
        <f>IF(FirstMonth=0,"",FirstMonth &amp; " " &amp; QuestYear)</f>
        <v>September 2026</v>
      </c>
      <c r="G88" s="484"/>
      <c r="H88" s="484"/>
      <c r="I88" s="484"/>
      <c r="J88" s="1194" t="s">
        <v>1332</v>
      </c>
      <c r="K88" s="1196"/>
      <c r="L88" s="612" t="str">
        <f>IF(FirstMonth=0,"",FirstMonth &amp; " " &amp; QuestYear)</f>
        <v>September 2026</v>
      </c>
      <c r="M88" s="490"/>
      <c r="N88" s="484"/>
    </row>
    <row r="89" spans="1:14" ht="13.5" thickBot="1" x14ac:dyDescent="0.25">
      <c r="A89" s="484"/>
      <c r="B89" s="491"/>
      <c r="C89" s="1191" t="s">
        <v>810</v>
      </c>
      <c r="D89" s="1192"/>
      <c r="E89" s="1193"/>
      <c r="F89" s="601"/>
      <c r="G89" s="484"/>
      <c r="H89" s="484"/>
      <c r="I89" s="484"/>
      <c r="J89" s="1191" t="s">
        <v>810</v>
      </c>
      <c r="K89" s="1193"/>
      <c r="L89" s="601"/>
      <c r="M89" s="490"/>
      <c r="N89" s="484"/>
    </row>
    <row r="90" spans="1:14" x14ac:dyDescent="0.2">
      <c r="A90" s="484"/>
      <c r="B90" s="491"/>
      <c r="C90" s="519">
        <v>48</v>
      </c>
      <c r="D90" s="515" t="s">
        <v>809</v>
      </c>
      <c r="E90" s="531"/>
      <c r="F90" s="1013">
        <f>'Table 5b_5c'!J25</f>
        <v>801</v>
      </c>
      <c r="G90" s="484"/>
      <c r="H90" s="484"/>
      <c r="I90" s="484"/>
      <c r="J90" s="519">
        <v>48</v>
      </c>
      <c r="K90" s="515" t="s">
        <v>809</v>
      </c>
      <c r="L90" s="1013">
        <f>'Table 5b_5c'!J25</f>
        <v>801</v>
      </c>
      <c r="M90" s="490"/>
      <c r="N90" s="484"/>
    </row>
    <row r="91" spans="1:14" ht="13.5" thickBot="1" x14ac:dyDescent="0.25">
      <c r="A91" s="484"/>
      <c r="B91" s="491"/>
      <c r="C91" s="236">
        <v>49</v>
      </c>
      <c r="D91" s="722" t="s">
        <v>1333</v>
      </c>
      <c r="E91" s="234"/>
      <c r="F91" s="1015">
        <f>F90*0.96</f>
        <v>768.95999999999992</v>
      </c>
      <c r="G91" s="484"/>
      <c r="H91" s="484"/>
      <c r="I91" s="484"/>
      <c r="J91" s="236">
        <v>49</v>
      </c>
      <c r="K91" s="722" t="s">
        <v>1333</v>
      </c>
      <c r="L91" s="1015">
        <f>L90*0.96</f>
        <v>768.95999999999992</v>
      </c>
      <c r="M91" s="490"/>
      <c r="N91" s="484"/>
    </row>
    <row r="92" spans="1:14" ht="13.5" thickBot="1" x14ac:dyDescent="0.25">
      <c r="A92" s="484"/>
      <c r="B92" s="491"/>
      <c r="C92" s="537"/>
      <c r="D92" s="596"/>
      <c r="E92" s="596"/>
      <c r="F92" s="540"/>
      <c r="G92" s="484"/>
      <c r="H92" s="484"/>
      <c r="I92" s="484"/>
      <c r="J92" s="484"/>
      <c r="K92" s="484"/>
      <c r="L92" s="484"/>
      <c r="M92" s="490"/>
      <c r="N92" s="484"/>
    </row>
    <row r="93" spans="1:14" x14ac:dyDescent="0.2">
      <c r="A93" s="484"/>
      <c r="B93" s="491"/>
      <c r="C93" s="1194" t="s">
        <v>1334</v>
      </c>
      <c r="D93" s="1195"/>
      <c r="E93" s="1196"/>
      <c r="F93" s="612" t="str">
        <f>IF(FirstMonth=0,"",FirstMonth &amp; " " &amp; QuestYear)</f>
        <v>September 2026</v>
      </c>
      <c r="G93" s="484"/>
      <c r="H93" s="484"/>
      <c r="I93" s="484"/>
      <c r="J93" s="1194" t="s">
        <v>1335</v>
      </c>
      <c r="K93" s="1196"/>
      <c r="L93" s="612" t="str">
        <f>IF(FirstMonth=0,"",FirstMonth &amp; " " &amp; QuestYear)</f>
        <v>September 2026</v>
      </c>
      <c r="M93" s="490"/>
      <c r="N93" s="484"/>
    </row>
    <row r="94" spans="1:14" ht="13.5" thickBot="1" x14ac:dyDescent="0.25">
      <c r="A94" s="484"/>
      <c r="B94" s="491"/>
      <c r="C94" s="1191" t="s">
        <v>1336</v>
      </c>
      <c r="D94" s="1192"/>
      <c r="E94" s="1193"/>
      <c r="F94" s="601"/>
      <c r="G94" s="484"/>
      <c r="H94" s="484"/>
      <c r="I94" s="484"/>
      <c r="J94" s="1191" t="s">
        <v>1337</v>
      </c>
      <c r="K94" s="1193"/>
      <c r="L94" s="586"/>
      <c r="M94" s="490"/>
      <c r="N94" s="484"/>
    </row>
    <row r="95" spans="1:14" x14ac:dyDescent="0.2">
      <c r="A95" s="484"/>
      <c r="B95" s="491"/>
      <c r="C95" s="519">
        <v>50</v>
      </c>
      <c r="D95" s="515" t="s">
        <v>805</v>
      </c>
      <c r="E95" s="531"/>
      <c r="F95" s="1013">
        <f>'Table 5b_5c'!AH25</f>
        <v>1490</v>
      </c>
      <c r="G95" s="484"/>
      <c r="H95" s="484"/>
      <c r="I95" s="484"/>
      <c r="J95" s="608">
        <v>54</v>
      </c>
      <c r="K95" s="609" t="s">
        <v>804</v>
      </c>
      <c r="L95" s="1013">
        <f>'Table 5b_5c'!N25</f>
        <v>555</v>
      </c>
      <c r="M95" s="490"/>
      <c r="N95" s="484"/>
    </row>
    <row r="96" spans="1:14" x14ac:dyDescent="0.2">
      <c r="A96" s="484"/>
      <c r="B96" s="491"/>
      <c r="C96" s="571">
        <v>51</v>
      </c>
      <c r="D96" s="499" t="s">
        <v>779</v>
      </c>
      <c r="E96" s="533"/>
      <c r="F96" s="1011">
        <f>'Table 5b_5c'!M25</f>
        <v>0</v>
      </c>
      <c r="G96" s="484"/>
      <c r="H96" s="484"/>
      <c r="I96" s="484"/>
      <c r="J96" s="571">
        <v>55</v>
      </c>
      <c r="K96" s="430" t="s">
        <v>803</v>
      </c>
      <c r="L96" s="1011">
        <f>'Table 5b_5c'!Q25</f>
        <v>0</v>
      </c>
      <c r="M96" s="490"/>
      <c r="N96" s="484"/>
    </row>
    <row r="97" spans="1:14" x14ac:dyDescent="0.2">
      <c r="A97" s="484"/>
      <c r="B97" s="491"/>
      <c r="C97" s="235">
        <v>52</v>
      </c>
      <c r="D97" s="723" t="s">
        <v>1338</v>
      </c>
      <c r="E97" s="453"/>
      <c r="F97" s="1014">
        <f>F95-F96</f>
        <v>1490</v>
      </c>
      <c r="G97" s="484"/>
      <c r="H97" s="484"/>
      <c r="I97" s="484"/>
      <c r="J97" s="571">
        <v>56</v>
      </c>
      <c r="K97" s="430" t="s">
        <v>801</v>
      </c>
      <c r="L97" s="1011">
        <f>'Table 5b_5c'!R25</f>
        <v>0</v>
      </c>
      <c r="M97" s="490"/>
      <c r="N97" s="484"/>
    </row>
    <row r="98" spans="1:14" ht="12.75" customHeight="1" thickBot="1" x14ac:dyDescent="0.25">
      <c r="A98" s="484"/>
      <c r="B98" s="491"/>
      <c r="C98" s="236">
        <v>53</v>
      </c>
      <c r="D98" s="722" t="s">
        <v>1339</v>
      </c>
      <c r="E98" s="234"/>
      <c r="F98" s="1015">
        <f>F97*1.065</f>
        <v>1586.85</v>
      </c>
      <c r="G98" s="484"/>
      <c r="H98" s="484"/>
      <c r="I98" s="484"/>
      <c r="J98" s="571">
        <v>57</v>
      </c>
      <c r="K98" s="430" t="s">
        <v>799</v>
      </c>
      <c r="L98" s="1011">
        <f>'Table 5b_5c'!S25</f>
        <v>124</v>
      </c>
      <c r="M98" s="490"/>
      <c r="N98" s="484"/>
    </row>
    <row r="99" spans="1:14" x14ac:dyDescent="0.2">
      <c r="A99" s="484"/>
      <c r="B99" s="491"/>
      <c r="C99" s="541"/>
      <c r="D99" s="539"/>
      <c r="E99" s="539"/>
      <c r="F99" s="540"/>
      <c r="G99" s="484"/>
      <c r="H99" s="484"/>
      <c r="I99" s="484"/>
      <c r="J99" s="571">
        <v>58</v>
      </c>
      <c r="K99" s="430" t="s">
        <v>798</v>
      </c>
      <c r="L99" s="1011">
        <f>'Table 5b_5c'!V25</f>
        <v>0</v>
      </c>
      <c r="M99" s="490"/>
      <c r="N99" s="484"/>
    </row>
    <row r="100" spans="1:14" x14ac:dyDescent="0.2">
      <c r="A100" s="484"/>
      <c r="B100" s="491"/>
      <c r="C100" s="541"/>
      <c r="D100" s="539"/>
      <c r="E100" s="539"/>
      <c r="F100" s="540"/>
      <c r="G100" s="484"/>
      <c r="H100" s="484"/>
      <c r="I100" s="484"/>
      <c r="J100" s="571">
        <v>59</v>
      </c>
      <c r="K100" s="430" t="s">
        <v>797</v>
      </c>
      <c r="L100" s="1011">
        <f>'Table 5b_5c'!Y25</f>
        <v>809</v>
      </c>
      <c r="M100" s="490"/>
      <c r="N100" s="484"/>
    </row>
    <row r="101" spans="1:14" x14ac:dyDescent="0.2">
      <c r="A101" s="484"/>
      <c r="B101" s="491"/>
      <c r="C101" s="541"/>
      <c r="D101" s="539"/>
      <c r="E101" s="539"/>
      <c r="F101" s="540"/>
      <c r="G101" s="484"/>
      <c r="H101" s="484"/>
      <c r="I101" s="484"/>
      <c r="J101" s="571">
        <v>60</v>
      </c>
      <c r="K101" s="430" t="s">
        <v>796</v>
      </c>
      <c r="L101" s="1011">
        <f>'Table 5b_5c'!AB25</f>
        <v>2</v>
      </c>
      <c r="M101" s="490"/>
      <c r="N101" s="484"/>
    </row>
    <row r="102" spans="1:14" x14ac:dyDescent="0.2">
      <c r="A102" s="484"/>
      <c r="B102" s="491"/>
      <c r="C102" s="541"/>
      <c r="D102" s="539"/>
      <c r="E102" s="539"/>
      <c r="F102" s="540"/>
      <c r="G102" s="484"/>
      <c r="H102" s="484"/>
      <c r="I102" s="484"/>
      <c r="J102" s="235">
        <v>61</v>
      </c>
      <c r="K102" s="446" t="s">
        <v>1340</v>
      </c>
      <c r="L102" s="1014">
        <f>L95+L96+L97+L98+L99+L100+L101</f>
        <v>1490</v>
      </c>
      <c r="M102" s="490"/>
      <c r="N102" s="484"/>
    </row>
    <row r="103" spans="1:14" ht="13.5" thickBot="1" x14ac:dyDescent="0.25">
      <c r="A103" s="484"/>
      <c r="B103" s="491"/>
      <c r="C103" s="541"/>
      <c r="D103" s="539"/>
      <c r="E103" s="539"/>
      <c r="F103" s="540"/>
      <c r="G103" s="484"/>
      <c r="H103" s="484"/>
      <c r="I103" s="484"/>
      <c r="J103" s="236">
        <v>62</v>
      </c>
      <c r="K103" s="447" t="s">
        <v>1341</v>
      </c>
      <c r="L103" s="1012">
        <f>L102*1.2</f>
        <v>1788</v>
      </c>
      <c r="M103" s="490"/>
      <c r="N103" s="484"/>
    </row>
    <row r="104" spans="1:14" ht="13.5" thickBot="1" x14ac:dyDescent="0.25">
      <c r="A104" s="484"/>
      <c r="B104" s="491"/>
      <c r="C104" s="541"/>
      <c r="D104" s="539"/>
      <c r="E104" s="539"/>
      <c r="F104" s="540"/>
      <c r="G104" s="484"/>
      <c r="H104" s="484"/>
      <c r="I104" s="484"/>
      <c r="J104" s="484"/>
      <c r="K104" s="484"/>
      <c r="L104" s="610"/>
      <c r="M104" s="490"/>
      <c r="N104" s="484"/>
    </row>
    <row r="105" spans="1:14" x14ac:dyDescent="0.2">
      <c r="A105" s="484"/>
      <c r="B105" s="491"/>
      <c r="C105" s="1194" t="s">
        <v>1342</v>
      </c>
      <c r="D105" s="1195"/>
      <c r="E105" s="1196"/>
      <c r="F105" s="612" t="str">
        <f>IF(FirstMonth=0,"",FirstMonth &amp; " " &amp; QuestYear)</f>
        <v>September 2026</v>
      </c>
      <c r="G105" s="484"/>
      <c r="H105" s="484"/>
      <c r="I105" s="484"/>
      <c r="J105" s="1194" t="s">
        <v>1343</v>
      </c>
      <c r="K105" s="1196"/>
      <c r="L105" s="612" t="str">
        <f>IF(FirstMonth=0,"",FirstMonth &amp; " " &amp; QuestYear)</f>
        <v>September 2026</v>
      </c>
      <c r="M105" s="490"/>
      <c r="N105" s="484"/>
    </row>
    <row r="106" spans="1:14" ht="13.5" thickBot="1" x14ac:dyDescent="0.25">
      <c r="A106" s="484"/>
      <c r="B106" s="491"/>
      <c r="C106" s="1191" t="s">
        <v>1344</v>
      </c>
      <c r="D106" s="1192"/>
      <c r="E106" s="1193"/>
      <c r="F106" s="586"/>
      <c r="G106" s="484"/>
      <c r="H106" s="484"/>
      <c r="I106" s="484"/>
      <c r="J106" s="1191" t="s">
        <v>1345</v>
      </c>
      <c r="K106" s="1193"/>
      <c r="L106" s="586"/>
      <c r="M106" s="490"/>
      <c r="N106" s="484"/>
    </row>
    <row r="107" spans="1:14" x14ac:dyDescent="0.2">
      <c r="A107" s="484"/>
      <c r="B107" s="491"/>
      <c r="C107" s="238">
        <v>63</v>
      </c>
      <c r="D107" s="724" t="s">
        <v>1346</v>
      </c>
      <c r="E107" s="450"/>
      <c r="F107" s="1060">
        <f>(F91+F98)*0.9</f>
        <v>2120.2289999999998</v>
      </c>
      <c r="G107" s="484"/>
      <c r="H107" s="484"/>
      <c r="I107" s="484"/>
      <c r="J107" s="239">
        <v>65</v>
      </c>
      <c r="K107" s="725" t="s">
        <v>1347</v>
      </c>
      <c r="L107" s="1060">
        <f>(F91+L103)*0.9</f>
        <v>2301.2640000000001</v>
      </c>
      <c r="M107" s="490"/>
      <c r="N107" s="484"/>
    </row>
    <row r="108" spans="1:14" ht="13.5" thickBot="1" x14ac:dyDescent="0.25">
      <c r="A108" s="484"/>
      <c r="B108" s="491"/>
      <c r="C108" s="236">
        <v>64</v>
      </c>
      <c r="D108" s="726" t="s">
        <v>1348</v>
      </c>
      <c r="E108" s="240"/>
      <c r="F108" s="1012">
        <f>IF(ISERROR(F107/F80),0,(F107/F80))</f>
        <v>48.698156270972383</v>
      </c>
      <c r="G108" s="727" t="s">
        <v>784</v>
      </c>
      <c r="H108" s="484"/>
      <c r="I108" s="484"/>
      <c r="J108" s="236">
        <v>66</v>
      </c>
      <c r="K108" s="728" t="s">
        <v>1349</v>
      </c>
      <c r="L108" s="1012">
        <f>IF(ISERROR(L107/F80),0,(L107/F80))</f>
        <v>52.856231045213988</v>
      </c>
      <c r="M108" s="729" t="s">
        <v>784</v>
      </c>
      <c r="N108" s="484"/>
    </row>
    <row r="109" spans="1:14" ht="13.5" thickBot="1" x14ac:dyDescent="0.25">
      <c r="A109" s="484"/>
      <c r="B109" s="574"/>
      <c r="C109" s="602"/>
      <c r="D109" s="603"/>
      <c r="E109" s="603"/>
      <c r="F109" s="556"/>
      <c r="G109" s="603"/>
      <c r="H109" s="603"/>
      <c r="I109" s="603"/>
      <c r="J109" s="603"/>
      <c r="K109" s="603"/>
      <c r="L109" s="603"/>
      <c r="M109" s="561"/>
      <c r="N109" s="484"/>
    </row>
    <row r="110" spans="1:14" x14ac:dyDescent="0.2">
      <c r="A110" s="484"/>
      <c r="B110" s="484"/>
      <c r="C110" s="484"/>
      <c r="D110" s="484"/>
      <c r="E110" s="484"/>
      <c r="F110" s="540"/>
      <c r="G110" s="484"/>
      <c r="H110" s="484"/>
      <c r="I110" s="484"/>
      <c r="J110" s="484"/>
      <c r="K110" s="484"/>
      <c r="L110" s="484"/>
      <c r="M110" s="484"/>
      <c r="N110" s="484"/>
    </row>
    <row r="111" spans="1:14" x14ac:dyDescent="0.2">
      <c r="A111" s="575"/>
      <c r="B111" s="484"/>
      <c r="C111" s="1197" t="str">
        <f>CONCATENATE(IF(F108&gt;=F81,"MS is compliant to directive 2009/119/EC - Annex III (a)","MS is not compliant to directive 2009/119/EC - Annex III (a)")," - Naphtha yield calculation: ",VLOOKUP($E$50,$H$76:$I$78,2,FALSE))</f>
        <v>MS is not compliant to directive 2009/119/EC - Annex III (a) - Naphtha yield calculation: 4% default value for naphtha yield</v>
      </c>
      <c r="D111" s="1197"/>
      <c r="E111" s="1197"/>
      <c r="F111" s="1197"/>
      <c r="G111" s="484"/>
      <c r="H111" s="484"/>
      <c r="I111" s="484"/>
      <c r="J111" s="753" t="str">
        <f>CONCATENATE(IF(L108&gt;F81,"MS is compliant to directive 2009/119/EC - Annex III (b)","MS is not compliant to directive 2009/119/EC - Annex III (b)")," - Naphtha yield calculation: ",VLOOKUP($E$50,$H$76:$I$78,2,FALSE))</f>
        <v>MS is not compliant to directive 2009/119/EC - Annex III (b) - Naphtha yield calculation: 4% default value for naphtha yield</v>
      </c>
      <c r="K111" s="730"/>
      <c r="L111" s="484"/>
      <c r="M111" s="484"/>
      <c r="N111" s="484"/>
    </row>
    <row r="112" spans="1:14" x14ac:dyDescent="0.2">
      <c r="A112" s="575"/>
      <c r="B112" s="484"/>
      <c r="C112" s="484"/>
      <c r="D112" s="540"/>
      <c r="E112" s="484"/>
      <c r="F112" s="484"/>
      <c r="G112" s="484"/>
      <c r="H112" s="484"/>
      <c r="I112" s="484"/>
      <c r="J112" s="484"/>
      <c r="K112" s="484"/>
      <c r="L112" s="484"/>
      <c r="M112" s="484"/>
      <c r="N112" s="484"/>
    </row>
    <row r="113" spans="1:14" x14ac:dyDescent="0.2">
      <c r="A113" s="484"/>
      <c r="B113" s="484"/>
      <c r="C113" s="484"/>
      <c r="D113" s="484"/>
      <c r="E113" s="484"/>
      <c r="F113" s="484"/>
      <c r="G113" s="484"/>
      <c r="H113" s="484"/>
      <c r="I113" s="484"/>
      <c r="J113" s="484"/>
      <c r="K113" s="484"/>
      <c r="L113" s="484"/>
      <c r="M113" s="484"/>
      <c r="N113" s="484"/>
    </row>
    <row r="114" spans="1:14" x14ac:dyDescent="0.2">
      <c r="A114" s="484"/>
      <c r="B114" s="484"/>
      <c r="C114" s="484"/>
      <c r="D114" s="484"/>
      <c r="E114" s="484"/>
      <c r="F114" s="484"/>
      <c r="G114" s="484"/>
      <c r="H114" s="484"/>
      <c r="I114" s="484"/>
      <c r="J114" s="484"/>
      <c r="K114" s="484"/>
      <c r="L114" s="484"/>
      <c r="M114" s="484"/>
      <c r="N114" s="484"/>
    </row>
    <row r="115" spans="1:14" x14ac:dyDescent="0.2">
      <c r="A115" s="484"/>
      <c r="B115" s="484"/>
      <c r="C115" s="484"/>
      <c r="D115" s="731" t="s">
        <v>733</v>
      </c>
      <c r="E115" s="484"/>
      <c r="F115" s="484"/>
      <c r="G115" s="484"/>
      <c r="H115" s="484"/>
      <c r="I115" s="484"/>
      <c r="J115" s="484"/>
      <c r="K115" s="484"/>
      <c r="L115" s="484"/>
      <c r="M115" s="484"/>
      <c r="N115" s="484"/>
    </row>
    <row r="116" spans="1:14" x14ac:dyDescent="0.2">
      <c r="A116" s="484"/>
      <c r="B116" s="484"/>
      <c r="C116" s="484"/>
      <c r="D116" s="484"/>
      <c r="E116" s="484"/>
      <c r="F116" s="484"/>
      <c r="G116" s="484"/>
      <c r="H116" s="484"/>
      <c r="I116" s="484"/>
      <c r="J116" s="484"/>
      <c r="K116" s="484"/>
      <c r="L116" s="484"/>
      <c r="M116" s="484"/>
      <c r="N116" s="484"/>
    </row>
    <row r="117" spans="1:14" x14ac:dyDescent="0.2">
      <c r="A117" s="484"/>
      <c r="B117" s="484"/>
      <c r="C117" s="484"/>
      <c r="D117" s="484"/>
      <c r="E117" s="484"/>
      <c r="F117" s="484"/>
      <c r="G117" s="484"/>
      <c r="H117" s="484"/>
      <c r="I117" s="484"/>
      <c r="J117" s="484"/>
      <c r="K117" s="484"/>
      <c r="L117" s="484"/>
      <c r="M117" s="484"/>
      <c r="N117" s="484"/>
    </row>
    <row r="118" spans="1:14" x14ac:dyDescent="0.2">
      <c r="A118" s="484"/>
      <c r="B118" s="484"/>
      <c r="C118" s="484"/>
      <c r="D118" s="484"/>
      <c r="E118" s="484"/>
      <c r="F118" s="484"/>
      <c r="G118" s="484"/>
      <c r="H118" s="484"/>
      <c r="I118" s="484"/>
      <c r="J118" s="484"/>
      <c r="K118" s="484"/>
      <c r="L118" s="484"/>
      <c r="M118" s="484"/>
      <c r="N118" s="484"/>
    </row>
    <row r="119" spans="1:14" ht="13.5" thickBot="1" x14ac:dyDescent="0.25">
      <c r="A119" s="484"/>
      <c r="B119" s="484"/>
      <c r="C119" s="484"/>
      <c r="D119" s="604"/>
      <c r="E119" s="604"/>
      <c r="F119" s="607" t="s">
        <v>786</v>
      </c>
      <c r="G119" s="563"/>
      <c r="H119" s="563"/>
      <c r="I119" s="484"/>
      <c r="J119" s="484"/>
      <c r="K119" s="484"/>
      <c r="L119" s="484"/>
      <c r="M119" s="484"/>
      <c r="N119" s="484"/>
    </row>
    <row r="120" spans="1:14" x14ac:dyDescent="0.2">
      <c r="A120" s="484"/>
      <c r="B120" s="484"/>
      <c r="C120" s="488"/>
      <c r="D120" s="486"/>
      <c r="E120" s="605"/>
      <c r="F120" s="487"/>
      <c r="G120" s="484"/>
      <c r="H120" s="484"/>
      <c r="I120" s="769">
        <v>2</v>
      </c>
      <c r="J120" s="613"/>
      <c r="K120" s="613"/>
      <c r="L120" s="484"/>
      <c r="M120" s="484"/>
      <c r="N120" s="484"/>
    </row>
    <row r="121" spans="1:14" x14ac:dyDescent="0.2">
      <c r="A121" s="484"/>
      <c r="B121" s="484"/>
      <c r="C121" s="491"/>
      <c r="D121" s="1173" t="s">
        <v>787</v>
      </c>
      <c r="E121" s="1174"/>
      <c r="F121" s="490"/>
      <c r="G121" s="484"/>
      <c r="H121" s="484"/>
      <c r="I121" s="613" t="str">
        <f>IF(I120=1,C86,J86)</f>
        <v>Annex III (b)</v>
      </c>
      <c r="J121" s="613"/>
      <c r="K121" s="613"/>
      <c r="L121" s="484"/>
      <c r="M121" s="484"/>
      <c r="N121" s="484"/>
    </row>
    <row r="122" spans="1:14" x14ac:dyDescent="0.2">
      <c r="A122" s="484"/>
      <c r="B122" s="484"/>
      <c r="C122" s="491"/>
      <c r="D122" s="1173" t="s">
        <v>1350</v>
      </c>
      <c r="E122" s="1174"/>
      <c r="F122" s="1061">
        <f>ROUND(IF(I120=1,F108,L108),3)</f>
        <v>52.856000000000002</v>
      </c>
      <c r="G122" s="484"/>
      <c r="H122" s="484"/>
      <c r="I122" s="759" t="str">
        <f>IF(OR(AND(F108&gt;=F81,I120=1),AND(L108&gt;F81,I120=2)),"MS is compliant to directive 2009/119/EC","MS is not compliant to directive 2009/119/EC")</f>
        <v>MS is not compliant to directive 2009/119/EC</v>
      </c>
      <c r="J122" s="613"/>
      <c r="K122" s="613"/>
      <c r="L122" s="484"/>
      <c r="M122" s="484"/>
      <c r="N122" s="484"/>
    </row>
    <row r="123" spans="1:14" ht="13.5" thickBot="1" x14ac:dyDescent="0.25">
      <c r="A123" s="484"/>
      <c r="B123" s="484"/>
      <c r="C123" s="574"/>
      <c r="D123" s="603"/>
      <c r="E123" s="606"/>
      <c r="F123" s="561"/>
      <c r="G123" s="484"/>
      <c r="H123" s="484"/>
      <c r="I123" s="484"/>
      <c r="J123" s="484"/>
      <c r="K123" s="484"/>
      <c r="L123" s="484"/>
      <c r="M123" s="484"/>
      <c r="N123" s="484"/>
    </row>
    <row r="124" spans="1:14" x14ac:dyDescent="0.2">
      <c r="A124" s="484"/>
      <c r="B124" s="484"/>
      <c r="C124" s="484"/>
      <c r="D124" s="484"/>
      <c r="E124" s="484"/>
      <c r="F124" s="484"/>
      <c r="G124" s="484"/>
      <c r="H124" s="484"/>
      <c r="I124" s="1175"/>
      <c r="J124" s="1175"/>
      <c r="K124" s="1175"/>
      <c r="L124" s="484"/>
      <c r="M124" s="484"/>
      <c r="N124" s="484"/>
    </row>
    <row r="125" spans="1:14" x14ac:dyDescent="0.2">
      <c r="A125" s="484"/>
      <c r="B125" s="484"/>
      <c r="C125" s="484"/>
      <c r="D125" s="484"/>
      <c r="E125" s="484"/>
      <c r="F125" s="484"/>
      <c r="G125" s="484"/>
      <c r="H125" s="484"/>
      <c r="I125" s="484"/>
      <c r="J125" s="484"/>
      <c r="K125" s="484"/>
      <c r="L125" s="484"/>
      <c r="M125" s="484"/>
      <c r="N125" s="484"/>
    </row>
    <row r="126" spans="1:14" x14ac:dyDescent="0.2">
      <c r="A126" s="484"/>
      <c r="B126" s="484"/>
      <c r="C126" s="484"/>
      <c r="D126" s="484"/>
      <c r="E126" s="484"/>
      <c r="F126" s="484"/>
      <c r="G126" s="484"/>
      <c r="H126" s="484"/>
      <c r="I126" s="1175"/>
      <c r="J126" s="1175"/>
      <c r="K126" s="1175"/>
      <c r="L126" s="484"/>
      <c r="M126" s="484"/>
      <c r="N126" s="484"/>
    </row>
  </sheetData>
  <sheetProtection algorithmName="SHA-512" hashValue="q6o8ADm7xkUdSnHdlo5q4YYmmpUGCq0m6mretlj5lTBmoVs7Hdn52aPeAz7K0tq4AqZXEHI+yw/Bs3hSx+ZMqw==" saltValue="03QtI/ygm7CGtgGfhyDD7A==" spinCount="100000" sheet="1" objects="1" scenarios="1"/>
  <mergeCells count="37">
    <mergeCell ref="J9:L9"/>
    <mergeCell ref="C10:F10"/>
    <mergeCell ref="J10:L10"/>
    <mergeCell ref="C12:E12"/>
    <mergeCell ref="C35:E35"/>
    <mergeCell ref="C52:E52"/>
    <mergeCell ref="C53:E53"/>
    <mergeCell ref="C13:E13"/>
    <mergeCell ref="C9:F9"/>
    <mergeCell ref="C20:E20"/>
    <mergeCell ref="C21:E21"/>
    <mergeCell ref="C28:E28"/>
    <mergeCell ref="C29:E29"/>
    <mergeCell ref="C34:E34"/>
    <mergeCell ref="J61:K61"/>
    <mergeCell ref="C76:E76"/>
    <mergeCell ref="C77:E77"/>
    <mergeCell ref="C86:F86"/>
    <mergeCell ref="J86:L86"/>
    <mergeCell ref="C78:E78"/>
    <mergeCell ref="C88:E88"/>
    <mergeCell ref="J88:K88"/>
    <mergeCell ref="C89:E89"/>
    <mergeCell ref="J89:K89"/>
    <mergeCell ref="C93:E93"/>
    <mergeCell ref="J93:K93"/>
    <mergeCell ref="C94:E94"/>
    <mergeCell ref="J94:K94"/>
    <mergeCell ref="C105:E105"/>
    <mergeCell ref="J105:K105"/>
    <mergeCell ref="I126:K126"/>
    <mergeCell ref="C106:E106"/>
    <mergeCell ref="J106:K106"/>
    <mergeCell ref="C111:F111"/>
    <mergeCell ref="D121:E121"/>
    <mergeCell ref="D122:E122"/>
    <mergeCell ref="I124:K124"/>
  </mergeCells>
  <conditionalFormatting sqref="F67">
    <cfRule type="cellIs" priority="10" stopIfTrue="1" operator="equal">
      <formula>MIN(F67,F71,F75)</formula>
    </cfRule>
  </conditionalFormatting>
  <conditionalFormatting sqref="D119">
    <cfRule type="expression" dxfId="284" priority="8" stopIfTrue="1">
      <formula>OR(AND(F108&gt;=90,#REF!=1),AND(L108&gt;=61,#REF!=2))</formula>
    </cfRule>
    <cfRule type="expression" dxfId="283" priority="9" stopIfTrue="1">
      <formula>OR(AND(F108&lt;90,#REF!=1),AND(L108&lt;61,#REF!=2))</formula>
    </cfRule>
  </conditionalFormatting>
  <conditionalFormatting sqref="E119">
    <cfRule type="expression" dxfId="282" priority="6" stopIfTrue="1">
      <formula>(OR(AND(G109&gt;=90,#REF!=1),AND(M109&gt;=61,#REF!=2)))</formula>
    </cfRule>
    <cfRule type="expression" dxfId="281" priority="7" stopIfTrue="1">
      <formula>(OR(AND(G109&lt;90,#REF!=1),AND(M109&lt;61,#REF!=2)))</formula>
    </cfRule>
  </conditionalFormatting>
  <conditionalFormatting sqref="J111">
    <cfRule type="expression" dxfId="280" priority="4" stopIfTrue="1">
      <formula>L108&gt;=F81</formula>
    </cfRule>
    <cfRule type="expression" dxfId="279" priority="5" stopIfTrue="1">
      <formula>L108&lt;F81</formula>
    </cfRule>
  </conditionalFormatting>
  <conditionalFormatting sqref="F63">
    <cfRule type="cellIs" priority="3" stopIfTrue="1" operator="equal">
      <formula>MIN(F63,F67,F71)</formula>
    </cfRule>
  </conditionalFormatting>
  <conditionalFormatting sqref="F73">
    <cfRule type="cellIs" dxfId="278" priority="2" stopIfTrue="1" operator="equal">
      <formula>MIN(F64,F68,F73)</formula>
    </cfRule>
  </conditionalFormatting>
  <conditionalFormatting sqref="F74">
    <cfRule type="cellIs" dxfId="277" priority="1" stopIfTrue="1" operator="equal">
      <formula>MIN(F65,F69,F74)</formula>
    </cfRule>
  </conditionalFormatting>
  <conditionalFormatting sqref="F71">
    <cfRule type="cellIs" priority="11" stopIfTrue="1" operator="equal">
      <formula>MIN(F71,F75,#REF!)</formula>
    </cfRule>
  </conditionalFormatting>
  <conditionalFormatting sqref="L71">
    <cfRule type="cellIs" priority="12" stopIfTrue="1" operator="equal">
      <formula>MIN(L71,#REF!,#REF!)</formula>
    </cfRule>
  </conditionalFormatting>
  <conditionalFormatting sqref="C111">
    <cfRule type="expression" dxfId="276" priority="13" stopIfTrue="1">
      <formula>F108&gt;=F81</formula>
    </cfRule>
    <cfRule type="expression" dxfId="275" priority="14" stopIfTrue="1">
      <formula>F108&lt;F81</formula>
    </cfRule>
  </conditionalFormatting>
  <conditionalFormatting sqref="F65">
    <cfRule type="cellIs" dxfId="274" priority="15" stopIfTrue="1" operator="equal">
      <formula>MIN(F65,F70,F78)</formula>
    </cfRule>
  </conditionalFormatting>
  <conditionalFormatting sqref="F69">
    <cfRule type="cellIs" dxfId="273" priority="16" stopIfTrue="1" operator="equal">
      <formula>MIN(F65,F69,F78)</formula>
    </cfRule>
  </conditionalFormatting>
  <conditionalFormatting sqref="I122">
    <cfRule type="containsText" dxfId="272" priority="17" stopIfTrue="1" operator="containsText" text="MS is compliant">
      <formula>NOT(ISERROR(SEARCH("MS is compliant",I122)))</formula>
    </cfRule>
    <cfRule type="containsText" dxfId="271" priority="18" stopIfTrue="1" operator="containsText" text="MS is not compliant">
      <formula>NOT(ISERROR(SEARCH("MS is not compliant",I122)))</formula>
    </cfRule>
  </conditionalFormatting>
  <pageMargins left="0.39370078740157483" right="0.39370078740157483" top="0.78740157480314965" bottom="0.78740157480314965" header="0.39370078740157483" footer="0.39370078740157483"/>
  <pageSetup paperSize="8" scale="53" orientation="portrait" r:id="rId1"/>
  <headerFooter alignWithMargins="0">
    <oddHeader>&amp;A</oddHeader>
    <oddFooter>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7105" r:id="rId4" name="Group Box 1">
              <controlPr defaultSize="0" autoFill="0" autoPict="0">
                <anchor moveWithCells="1">
                  <from>
                    <xdr:col>3</xdr:col>
                    <xdr:colOff>9525</xdr:colOff>
                    <xdr:row>53</xdr:row>
                    <xdr:rowOff>133350</xdr:rowOff>
                  </from>
                  <to>
                    <xdr:col>3</xdr:col>
                    <xdr:colOff>5629275</xdr:colOff>
                    <xdr:row>59</xdr:row>
                    <xdr:rowOff>28575</xdr:rowOff>
                  </to>
                </anchor>
              </controlPr>
            </control>
          </mc:Choice>
        </mc:AlternateContent>
        <mc:AlternateContent xmlns:mc="http://schemas.openxmlformats.org/markup-compatibility/2006">
          <mc:Choice Requires="x14">
            <control shapeId="47106" r:id="rId5" name="Option Button 2">
              <controlPr locked="0" defaultSize="0" autoFill="0" autoLine="0" autoPict="0">
                <anchor moveWithCells="1">
                  <from>
                    <xdr:col>3</xdr:col>
                    <xdr:colOff>114300</xdr:colOff>
                    <xdr:row>54</xdr:row>
                    <xdr:rowOff>95250</xdr:rowOff>
                  </from>
                  <to>
                    <xdr:col>3</xdr:col>
                    <xdr:colOff>2905125</xdr:colOff>
                    <xdr:row>55</xdr:row>
                    <xdr:rowOff>142875</xdr:rowOff>
                  </to>
                </anchor>
              </controlPr>
            </control>
          </mc:Choice>
        </mc:AlternateContent>
        <mc:AlternateContent xmlns:mc="http://schemas.openxmlformats.org/markup-compatibility/2006">
          <mc:Choice Requires="x14">
            <control shapeId="47107" r:id="rId6" name="Option Button 3">
              <controlPr locked="0" defaultSize="0" autoFill="0" autoLine="0" autoPict="0">
                <anchor moveWithCells="1">
                  <from>
                    <xdr:col>3</xdr:col>
                    <xdr:colOff>114300</xdr:colOff>
                    <xdr:row>56</xdr:row>
                    <xdr:rowOff>9525</xdr:rowOff>
                  </from>
                  <to>
                    <xdr:col>3</xdr:col>
                    <xdr:colOff>2943225</xdr:colOff>
                    <xdr:row>57</xdr:row>
                    <xdr:rowOff>66675</xdr:rowOff>
                  </to>
                </anchor>
              </controlPr>
            </control>
          </mc:Choice>
        </mc:AlternateContent>
        <mc:AlternateContent xmlns:mc="http://schemas.openxmlformats.org/markup-compatibility/2006">
          <mc:Choice Requires="x14">
            <control shapeId="47108" r:id="rId7" name="Option Button 4">
              <controlPr locked="0" defaultSize="0" autoFill="0" autoLine="0" autoPict="0">
                <anchor moveWithCells="1">
                  <from>
                    <xdr:col>3</xdr:col>
                    <xdr:colOff>114300</xdr:colOff>
                    <xdr:row>57</xdr:row>
                    <xdr:rowOff>85725</xdr:rowOff>
                  </from>
                  <to>
                    <xdr:col>3</xdr:col>
                    <xdr:colOff>2924175</xdr:colOff>
                    <xdr:row>58</xdr:row>
                    <xdr:rowOff>142875</xdr:rowOff>
                  </to>
                </anchor>
              </controlPr>
            </control>
          </mc:Choice>
        </mc:AlternateContent>
        <mc:AlternateContent xmlns:mc="http://schemas.openxmlformats.org/markup-compatibility/2006">
          <mc:Choice Requires="x14">
            <control shapeId="47114" r:id="rId8" name="Group Box 10">
              <controlPr defaultSize="0" autoFill="0" autoPict="0">
                <anchor moveWithCells="1">
                  <from>
                    <xdr:col>4</xdr:col>
                    <xdr:colOff>476250</xdr:colOff>
                    <xdr:row>112</xdr:row>
                    <xdr:rowOff>142875</xdr:rowOff>
                  </from>
                  <to>
                    <xdr:col>10</xdr:col>
                    <xdr:colOff>638175</xdr:colOff>
                    <xdr:row>115</xdr:row>
                    <xdr:rowOff>66675</xdr:rowOff>
                  </to>
                </anchor>
              </controlPr>
            </control>
          </mc:Choice>
        </mc:AlternateContent>
        <mc:AlternateContent xmlns:mc="http://schemas.openxmlformats.org/markup-compatibility/2006">
          <mc:Choice Requires="x14">
            <control shapeId="47115" r:id="rId9" name="Option Button 11">
              <controlPr defaultSize="0" autoFill="0" autoLine="0" autoPict="0">
                <anchor moveWithCells="1">
                  <from>
                    <xdr:col>4</xdr:col>
                    <xdr:colOff>504825</xdr:colOff>
                    <xdr:row>113</xdr:row>
                    <xdr:rowOff>104775</xdr:rowOff>
                  </from>
                  <to>
                    <xdr:col>6</xdr:col>
                    <xdr:colOff>0</xdr:colOff>
                    <xdr:row>114</xdr:row>
                    <xdr:rowOff>152400</xdr:rowOff>
                  </to>
                </anchor>
              </controlPr>
            </control>
          </mc:Choice>
        </mc:AlternateContent>
        <mc:AlternateContent xmlns:mc="http://schemas.openxmlformats.org/markup-compatibility/2006">
          <mc:Choice Requires="x14">
            <control shapeId="47116" r:id="rId10" name="Option Button 12">
              <controlPr defaultSize="0" autoFill="0" autoLine="0" autoPict="0">
                <anchor moveWithCells="1">
                  <from>
                    <xdr:col>8</xdr:col>
                    <xdr:colOff>238125</xdr:colOff>
                    <xdr:row>113</xdr:row>
                    <xdr:rowOff>85725</xdr:rowOff>
                  </from>
                  <to>
                    <xdr:col>10</xdr:col>
                    <xdr:colOff>581025</xdr:colOff>
                    <xdr:row>114</xdr:row>
                    <xdr:rowOff>142875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indexed="10"/>
  </sheetPr>
  <dimension ref="B2:K111"/>
  <sheetViews>
    <sheetView showGridLines="0" topLeftCell="A6" zoomScale="85" zoomScaleNormal="85" workbookViewId="0"/>
  </sheetViews>
  <sheetFormatPr defaultColWidth="9.140625" defaultRowHeight="12.75" x14ac:dyDescent="0.2"/>
  <cols>
    <col min="1" max="1" width="2" customWidth="1"/>
    <col min="3" max="3" width="20.7109375" customWidth="1"/>
    <col min="4" max="4" width="14.42578125" bestFit="1" customWidth="1"/>
    <col min="5" max="5" width="5.42578125" customWidth="1"/>
    <col min="6" max="6" width="6.42578125" bestFit="1" customWidth="1"/>
    <col min="11" max="11" width="6.42578125" bestFit="1" customWidth="1"/>
  </cols>
  <sheetData>
    <row r="2" spans="2:7" ht="24.75" customHeight="1" x14ac:dyDescent="0.2">
      <c r="B2" s="114" t="s">
        <v>226</v>
      </c>
      <c r="C2" s="115"/>
    </row>
    <row r="7" spans="2:7" ht="13.5" thickBot="1" x14ac:dyDescent="0.25">
      <c r="C7" s="116" t="s">
        <v>227</v>
      </c>
      <c r="F7" s="1090" t="s">
        <v>900</v>
      </c>
      <c r="G7" s="1090" t="s">
        <v>942</v>
      </c>
    </row>
    <row r="8" spans="2:7" x14ac:dyDescent="0.2">
      <c r="C8" s="282" t="s">
        <v>228</v>
      </c>
      <c r="D8" s="288" t="s">
        <v>229</v>
      </c>
      <c r="E8" s="307" t="s">
        <v>230</v>
      </c>
      <c r="F8" s="307">
        <v>1</v>
      </c>
      <c r="G8" s="283">
        <v>0</v>
      </c>
    </row>
    <row r="9" spans="2:7" x14ac:dyDescent="0.2">
      <c r="C9" s="291" t="s">
        <v>930</v>
      </c>
      <c r="D9" s="292" t="s">
        <v>931</v>
      </c>
      <c r="E9" s="310" t="s">
        <v>932</v>
      </c>
      <c r="F9" s="310">
        <v>0</v>
      </c>
      <c r="G9" s="293">
        <v>1</v>
      </c>
    </row>
    <row r="10" spans="2:7" x14ac:dyDescent="0.2">
      <c r="C10" s="1073" t="s">
        <v>554</v>
      </c>
      <c r="D10" s="1074" t="s">
        <v>502</v>
      </c>
      <c r="E10" s="1075" t="s">
        <v>501</v>
      </c>
      <c r="F10" s="1071">
        <v>0</v>
      </c>
      <c r="G10" s="1072">
        <v>1</v>
      </c>
    </row>
    <row r="11" spans="2:7" x14ac:dyDescent="0.2">
      <c r="C11" s="284" t="s">
        <v>14</v>
      </c>
      <c r="D11" s="289" t="s">
        <v>231</v>
      </c>
      <c r="E11" s="308" t="s">
        <v>232</v>
      </c>
      <c r="F11" s="308">
        <v>0</v>
      </c>
      <c r="G11" s="285">
        <v>0</v>
      </c>
    </row>
    <row r="12" spans="2:7" x14ac:dyDescent="0.2">
      <c r="C12" s="286" t="s">
        <v>15</v>
      </c>
      <c r="D12" s="290" t="s">
        <v>233</v>
      </c>
      <c r="E12" s="309" t="s">
        <v>234</v>
      </c>
      <c r="F12" s="309">
        <v>1</v>
      </c>
      <c r="G12" s="287">
        <v>0</v>
      </c>
    </row>
    <row r="13" spans="2:7" x14ac:dyDescent="0.2">
      <c r="C13" s="1073" t="s">
        <v>556</v>
      </c>
      <c r="D13" s="1074" t="s">
        <v>506</v>
      </c>
      <c r="E13" s="1075" t="s">
        <v>505</v>
      </c>
      <c r="F13" s="1071">
        <v>0</v>
      </c>
      <c r="G13" s="1072">
        <v>1</v>
      </c>
    </row>
    <row r="14" spans="2:7" x14ac:dyDescent="0.2">
      <c r="C14" s="286" t="s">
        <v>18</v>
      </c>
      <c r="D14" s="290" t="s">
        <v>235</v>
      </c>
      <c r="E14" s="309" t="s">
        <v>236</v>
      </c>
      <c r="F14" s="309">
        <v>1</v>
      </c>
      <c r="G14" s="287">
        <v>0</v>
      </c>
    </row>
    <row r="15" spans="2:7" x14ac:dyDescent="0.2">
      <c r="C15" s="291" t="s">
        <v>595</v>
      </c>
      <c r="D15" s="292" t="s">
        <v>538</v>
      </c>
      <c r="E15" s="310" t="s">
        <v>537</v>
      </c>
      <c r="F15" s="310">
        <v>0</v>
      </c>
      <c r="G15" s="293">
        <v>1</v>
      </c>
    </row>
    <row r="16" spans="2:7" x14ac:dyDescent="0.2">
      <c r="C16" s="291" t="s">
        <v>20</v>
      </c>
      <c r="D16" s="292" t="s">
        <v>434</v>
      </c>
      <c r="E16" s="310" t="s">
        <v>433</v>
      </c>
      <c r="F16" s="310">
        <v>1</v>
      </c>
      <c r="G16" s="293">
        <v>0</v>
      </c>
    </row>
    <row r="17" spans="3:7" x14ac:dyDescent="0.2">
      <c r="C17" s="286" t="s">
        <v>22</v>
      </c>
      <c r="D17" s="290" t="s">
        <v>237</v>
      </c>
      <c r="E17" s="309" t="s">
        <v>238</v>
      </c>
      <c r="F17" s="309">
        <v>0</v>
      </c>
      <c r="G17" s="287">
        <v>0</v>
      </c>
    </row>
    <row r="18" spans="3:7" x14ac:dyDescent="0.2">
      <c r="C18" s="286" t="s">
        <v>613</v>
      </c>
      <c r="D18" s="290" t="s">
        <v>618</v>
      </c>
      <c r="E18" s="309" t="s">
        <v>617</v>
      </c>
      <c r="F18" s="309">
        <v>0</v>
      </c>
      <c r="G18" s="287">
        <v>0</v>
      </c>
    </row>
    <row r="19" spans="3:7" x14ac:dyDescent="0.2">
      <c r="C19" s="1079" t="s">
        <v>23</v>
      </c>
      <c r="D19" s="1080" t="s">
        <v>440</v>
      </c>
      <c r="E19" s="1081" t="s">
        <v>439</v>
      </c>
      <c r="F19" s="309">
        <v>0</v>
      </c>
      <c r="G19" s="287">
        <v>0</v>
      </c>
    </row>
    <row r="20" spans="3:7" x14ac:dyDescent="0.2">
      <c r="C20" s="1079" t="s">
        <v>964</v>
      </c>
      <c r="D20" s="1080" t="s">
        <v>1035</v>
      </c>
      <c r="E20" s="1081" t="s">
        <v>1034</v>
      </c>
      <c r="F20" s="309">
        <v>0</v>
      </c>
      <c r="G20" s="287">
        <v>0</v>
      </c>
    </row>
    <row r="21" spans="3:7" x14ac:dyDescent="0.2">
      <c r="C21" s="291" t="s">
        <v>567</v>
      </c>
      <c r="D21" s="292" t="s">
        <v>540</v>
      </c>
      <c r="E21" s="310" t="s">
        <v>539</v>
      </c>
      <c r="F21" s="310">
        <v>1</v>
      </c>
      <c r="G21" s="293">
        <v>0</v>
      </c>
    </row>
    <row r="22" spans="3:7" x14ac:dyDescent="0.2">
      <c r="C22" s="291" t="s">
        <v>150</v>
      </c>
      <c r="D22" s="292" t="s">
        <v>446</v>
      </c>
      <c r="E22" s="310" t="s">
        <v>445</v>
      </c>
      <c r="F22" s="310">
        <v>1</v>
      </c>
      <c r="G22" s="293">
        <v>0</v>
      </c>
    </row>
    <row r="23" spans="3:7" x14ac:dyDescent="0.2">
      <c r="C23" s="286" t="s">
        <v>25</v>
      </c>
      <c r="D23" s="290" t="s">
        <v>239</v>
      </c>
      <c r="E23" s="309" t="s">
        <v>240</v>
      </c>
      <c r="F23" s="309">
        <v>1</v>
      </c>
      <c r="G23" s="287">
        <v>0</v>
      </c>
    </row>
    <row r="24" spans="3:7" x14ac:dyDescent="0.2">
      <c r="C24" s="286" t="s">
        <v>26</v>
      </c>
      <c r="D24" s="290" t="s">
        <v>241</v>
      </c>
      <c r="E24" s="309" t="s">
        <v>242</v>
      </c>
      <c r="F24" s="309">
        <v>1</v>
      </c>
      <c r="G24" s="287">
        <v>0</v>
      </c>
    </row>
    <row r="25" spans="3:7" x14ac:dyDescent="0.2">
      <c r="C25" s="286" t="s">
        <v>557</v>
      </c>
      <c r="D25" s="290" t="s">
        <v>508</v>
      </c>
      <c r="E25" s="309" t="s">
        <v>507</v>
      </c>
      <c r="F25" s="309">
        <v>1</v>
      </c>
      <c r="G25" s="287">
        <v>0</v>
      </c>
    </row>
    <row r="26" spans="3:7" x14ac:dyDescent="0.2">
      <c r="C26" s="286" t="s">
        <v>29</v>
      </c>
      <c r="D26" s="290" t="s">
        <v>243</v>
      </c>
      <c r="E26" s="309" t="s">
        <v>244</v>
      </c>
      <c r="F26" s="309">
        <v>1</v>
      </c>
      <c r="G26" s="287">
        <v>0</v>
      </c>
    </row>
    <row r="27" spans="3:7" x14ac:dyDescent="0.2">
      <c r="C27" s="286" t="s">
        <v>30</v>
      </c>
      <c r="D27" s="290" t="s">
        <v>245</v>
      </c>
      <c r="E27" s="309" t="s">
        <v>246</v>
      </c>
      <c r="F27" s="309">
        <v>1</v>
      </c>
      <c r="G27" s="287">
        <v>0</v>
      </c>
    </row>
    <row r="28" spans="3:7" x14ac:dyDescent="0.2">
      <c r="C28" s="291" t="s">
        <v>558</v>
      </c>
      <c r="D28" s="292" t="s">
        <v>510</v>
      </c>
      <c r="E28" s="310" t="s">
        <v>509</v>
      </c>
      <c r="F28" s="310">
        <v>0</v>
      </c>
      <c r="G28" s="293">
        <v>1</v>
      </c>
    </row>
    <row r="29" spans="3:7" x14ac:dyDescent="0.2">
      <c r="C29" s="286" t="s">
        <v>32</v>
      </c>
      <c r="D29" s="290" t="s">
        <v>247</v>
      </c>
      <c r="E29" s="309" t="s">
        <v>248</v>
      </c>
      <c r="F29" s="309">
        <v>1</v>
      </c>
      <c r="G29" s="287">
        <v>0</v>
      </c>
    </row>
    <row r="30" spans="3:7" x14ac:dyDescent="0.2">
      <c r="C30" s="286" t="s">
        <v>33</v>
      </c>
      <c r="D30" s="290" t="s">
        <v>249</v>
      </c>
      <c r="E30" s="309" t="s">
        <v>250</v>
      </c>
      <c r="F30" s="309">
        <v>1</v>
      </c>
      <c r="G30" s="287">
        <v>0</v>
      </c>
    </row>
    <row r="31" spans="3:7" x14ac:dyDescent="0.2">
      <c r="C31" s="286" t="s">
        <v>34</v>
      </c>
      <c r="D31" s="290" t="s">
        <v>251</v>
      </c>
      <c r="E31" s="309" t="s">
        <v>252</v>
      </c>
      <c r="F31" s="309">
        <v>1</v>
      </c>
      <c r="G31" s="287">
        <v>0</v>
      </c>
    </row>
    <row r="32" spans="3:7" x14ac:dyDescent="0.2">
      <c r="C32" s="286" t="s">
        <v>35</v>
      </c>
      <c r="D32" s="290" t="s">
        <v>253</v>
      </c>
      <c r="E32" s="309" t="s">
        <v>254</v>
      </c>
      <c r="F32" s="309">
        <v>0</v>
      </c>
      <c r="G32" s="287">
        <v>0</v>
      </c>
    </row>
    <row r="33" spans="3:7" x14ac:dyDescent="0.2">
      <c r="C33" s="1079" t="s">
        <v>36</v>
      </c>
      <c r="D33" s="1080" t="s">
        <v>456</v>
      </c>
      <c r="E33" s="1081" t="s">
        <v>455</v>
      </c>
      <c r="F33" s="309">
        <v>0</v>
      </c>
      <c r="G33" s="287">
        <v>0</v>
      </c>
    </row>
    <row r="34" spans="3:7" x14ac:dyDescent="0.2">
      <c r="C34" s="286" t="s">
        <v>39</v>
      </c>
      <c r="D34" s="290" t="s">
        <v>255</v>
      </c>
      <c r="E34" s="309" t="s">
        <v>256</v>
      </c>
      <c r="F34" s="309">
        <v>1</v>
      </c>
      <c r="G34" s="287">
        <v>0</v>
      </c>
    </row>
    <row r="35" spans="3:7" x14ac:dyDescent="0.2">
      <c r="C35" s="286" t="s">
        <v>97</v>
      </c>
      <c r="D35" s="290" t="s">
        <v>573</v>
      </c>
      <c r="E35" s="309" t="s">
        <v>572</v>
      </c>
      <c r="F35" s="309">
        <v>0</v>
      </c>
      <c r="G35" s="287">
        <v>0</v>
      </c>
    </row>
    <row r="36" spans="3:7" x14ac:dyDescent="0.2">
      <c r="C36" s="286" t="s">
        <v>40</v>
      </c>
      <c r="D36" s="290" t="s">
        <v>257</v>
      </c>
      <c r="E36" s="309" t="s">
        <v>258</v>
      </c>
      <c r="F36" s="309">
        <v>1</v>
      </c>
      <c r="G36" s="287">
        <v>0</v>
      </c>
    </row>
    <row r="37" spans="3:7" x14ac:dyDescent="0.2">
      <c r="C37" s="286" t="s">
        <v>41</v>
      </c>
      <c r="D37" s="290" t="s">
        <v>259</v>
      </c>
      <c r="E37" s="309" t="s">
        <v>260</v>
      </c>
      <c r="F37" s="309">
        <v>0</v>
      </c>
      <c r="G37" s="287">
        <v>0</v>
      </c>
    </row>
    <row r="38" spans="3:7" x14ac:dyDescent="0.2">
      <c r="C38" s="286" t="s">
        <v>42</v>
      </c>
      <c r="D38" s="290" t="s">
        <v>261</v>
      </c>
      <c r="E38" s="309" t="s">
        <v>262</v>
      </c>
      <c r="F38" s="309">
        <v>0</v>
      </c>
      <c r="G38" s="287">
        <v>0</v>
      </c>
    </row>
    <row r="39" spans="3:7" x14ac:dyDescent="0.2">
      <c r="C39" s="291" t="s">
        <v>936</v>
      </c>
      <c r="D39" s="292" t="s">
        <v>928</v>
      </c>
      <c r="E39" s="310" t="s">
        <v>929</v>
      </c>
      <c r="F39" s="310">
        <v>1</v>
      </c>
      <c r="G39" s="293">
        <v>1</v>
      </c>
    </row>
    <row r="40" spans="3:7" x14ac:dyDescent="0.2">
      <c r="C40" s="291" t="s">
        <v>561</v>
      </c>
      <c r="D40" s="292" t="s">
        <v>516</v>
      </c>
      <c r="E40" s="310" t="s">
        <v>515</v>
      </c>
      <c r="F40" s="310">
        <v>1</v>
      </c>
      <c r="G40" s="293">
        <v>0</v>
      </c>
    </row>
    <row r="41" spans="3:7" x14ac:dyDescent="0.2">
      <c r="C41" s="291" t="s">
        <v>935</v>
      </c>
      <c r="D41" s="292" t="s">
        <v>933</v>
      </c>
      <c r="E41" s="310" t="s">
        <v>934</v>
      </c>
      <c r="F41" s="310">
        <v>0</v>
      </c>
      <c r="G41" s="293">
        <v>0</v>
      </c>
    </row>
    <row r="42" spans="3:7" x14ac:dyDescent="0.2">
      <c r="C42" s="291" t="s">
        <v>562</v>
      </c>
      <c r="D42" s="292" t="s">
        <v>518</v>
      </c>
      <c r="E42" s="310" t="s">
        <v>517</v>
      </c>
      <c r="F42" s="310">
        <v>1</v>
      </c>
      <c r="G42" s="293">
        <v>0</v>
      </c>
    </row>
    <row r="43" spans="3:7" x14ac:dyDescent="0.2">
      <c r="C43" s="286" t="s">
        <v>44</v>
      </c>
      <c r="D43" s="290" t="s">
        <v>263</v>
      </c>
      <c r="E43" s="309" t="s">
        <v>264</v>
      </c>
      <c r="F43" s="309">
        <v>1</v>
      </c>
      <c r="G43" s="287">
        <v>0</v>
      </c>
    </row>
    <row r="44" spans="3:7" x14ac:dyDescent="0.2">
      <c r="C44" s="291" t="s">
        <v>151</v>
      </c>
      <c r="D44" s="292" t="s">
        <v>470</v>
      </c>
      <c r="E44" s="310" t="s">
        <v>469</v>
      </c>
      <c r="F44" s="310">
        <v>1</v>
      </c>
      <c r="G44" s="293">
        <v>0</v>
      </c>
    </row>
    <row r="45" spans="3:7" x14ac:dyDescent="0.2">
      <c r="C45" s="286" t="s">
        <v>46</v>
      </c>
      <c r="D45" s="290" t="s">
        <v>265</v>
      </c>
      <c r="E45" s="309" t="s">
        <v>266</v>
      </c>
      <c r="F45" s="309">
        <v>0</v>
      </c>
      <c r="G45" s="287">
        <v>0</v>
      </c>
    </row>
    <row r="46" spans="3:7" x14ac:dyDescent="0.2">
      <c r="C46" s="636" t="s">
        <v>939</v>
      </c>
      <c r="D46" s="292" t="s">
        <v>520</v>
      </c>
      <c r="E46" s="310" t="s">
        <v>519</v>
      </c>
      <c r="F46" s="310">
        <v>0</v>
      </c>
      <c r="G46" s="293">
        <v>1</v>
      </c>
    </row>
    <row r="47" spans="3:7" x14ac:dyDescent="0.2">
      <c r="C47" s="291" t="s">
        <v>568</v>
      </c>
      <c r="D47" s="292" t="s">
        <v>543</v>
      </c>
      <c r="E47" s="310" t="s">
        <v>542</v>
      </c>
      <c r="F47" s="310">
        <v>1</v>
      </c>
      <c r="G47" s="293">
        <v>1</v>
      </c>
    </row>
    <row r="48" spans="3:7" x14ac:dyDescent="0.2">
      <c r="C48" s="635" t="s">
        <v>677</v>
      </c>
      <c r="D48" s="1099" t="s">
        <v>883</v>
      </c>
      <c r="E48" s="1100" t="s">
        <v>882</v>
      </c>
      <c r="F48" s="310">
        <v>0</v>
      </c>
      <c r="G48" s="293">
        <v>0</v>
      </c>
    </row>
    <row r="49" spans="3:7" x14ac:dyDescent="0.2">
      <c r="C49" s="286" t="s">
        <v>47</v>
      </c>
      <c r="D49" s="290" t="s">
        <v>267</v>
      </c>
      <c r="E49" s="309" t="s">
        <v>268</v>
      </c>
      <c r="F49" s="309">
        <v>1</v>
      </c>
      <c r="G49" s="287">
        <v>0</v>
      </c>
    </row>
    <row r="50" spans="3:7" x14ac:dyDescent="0.2">
      <c r="C50" s="286" t="s">
        <v>48</v>
      </c>
      <c r="D50" s="290" t="s">
        <v>269</v>
      </c>
      <c r="E50" s="309" t="s">
        <v>269</v>
      </c>
      <c r="F50" s="309">
        <v>0</v>
      </c>
      <c r="G50" s="287">
        <v>0</v>
      </c>
    </row>
    <row r="51" spans="3:7" x14ac:dyDescent="0.2">
      <c r="C51" s="635" t="s">
        <v>1365</v>
      </c>
      <c r="D51" s="1087" t="s">
        <v>1402</v>
      </c>
      <c r="E51" s="310" t="s">
        <v>541</v>
      </c>
      <c r="F51" s="310">
        <v>1</v>
      </c>
      <c r="G51" s="293">
        <v>1</v>
      </c>
    </row>
    <row r="52" spans="3:7" x14ac:dyDescent="0.2">
      <c r="C52" s="286" t="s">
        <v>50</v>
      </c>
      <c r="D52" s="290" t="s">
        <v>270</v>
      </c>
      <c r="E52" s="309" t="s">
        <v>271</v>
      </c>
      <c r="F52" s="309">
        <v>0</v>
      </c>
      <c r="G52" s="287">
        <v>0</v>
      </c>
    </row>
    <row r="53" spans="3:7" x14ac:dyDescent="0.2">
      <c r="C53" s="286" t="s">
        <v>56</v>
      </c>
      <c r="D53" s="290" t="s">
        <v>272</v>
      </c>
      <c r="E53" s="309" t="s">
        <v>273</v>
      </c>
      <c r="F53" s="309">
        <v>1</v>
      </c>
      <c r="G53" s="287">
        <v>0</v>
      </c>
    </row>
    <row r="54" spans="3:7" x14ac:dyDescent="0.2">
      <c r="C54" s="286" t="s">
        <v>57</v>
      </c>
      <c r="D54" s="290" t="s">
        <v>274</v>
      </c>
      <c r="E54" s="309" t="s">
        <v>275</v>
      </c>
      <c r="F54" s="309">
        <v>1</v>
      </c>
      <c r="G54" s="287">
        <v>0</v>
      </c>
    </row>
    <row r="55" spans="3:7" x14ac:dyDescent="0.2">
      <c r="C55" s="291" t="s">
        <v>59</v>
      </c>
      <c r="D55" s="292" t="s">
        <v>488</v>
      </c>
      <c r="E55" s="310" t="s">
        <v>487</v>
      </c>
      <c r="F55" s="310">
        <v>1</v>
      </c>
      <c r="G55" s="293">
        <v>0</v>
      </c>
    </row>
    <row r="56" spans="3:7" x14ac:dyDescent="0.2">
      <c r="C56" s="286" t="s">
        <v>620</v>
      </c>
      <c r="D56" s="290" t="s">
        <v>522</v>
      </c>
      <c r="E56" s="309" t="s">
        <v>521</v>
      </c>
      <c r="F56" s="309">
        <v>0</v>
      </c>
      <c r="G56" s="287">
        <v>0</v>
      </c>
    </row>
    <row r="57" spans="3:7" x14ac:dyDescent="0.2">
      <c r="C57" s="291" t="s">
        <v>569</v>
      </c>
      <c r="D57" s="292" t="s">
        <v>545</v>
      </c>
      <c r="E57" s="310" t="s">
        <v>544</v>
      </c>
      <c r="F57" s="310">
        <v>1</v>
      </c>
      <c r="G57" s="293">
        <v>1</v>
      </c>
    </row>
    <row r="58" spans="3:7" x14ac:dyDescent="0.2">
      <c r="C58" s="286" t="s">
        <v>99</v>
      </c>
      <c r="D58" s="290" t="s">
        <v>276</v>
      </c>
      <c r="E58" s="309" t="s">
        <v>277</v>
      </c>
      <c r="F58" s="309">
        <v>1</v>
      </c>
      <c r="G58" s="287">
        <v>0</v>
      </c>
    </row>
    <row r="59" spans="3:7" x14ac:dyDescent="0.2">
      <c r="C59" s="286" t="s">
        <v>570</v>
      </c>
      <c r="D59" s="290" t="s">
        <v>547</v>
      </c>
      <c r="E59" s="309" t="s">
        <v>546</v>
      </c>
      <c r="F59" s="309">
        <v>1</v>
      </c>
      <c r="G59" s="287">
        <v>0</v>
      </c>
    </row>
    <row r="60" spans="3:7" x14ac:dyDescent="0.2">
      <c r="C60" s="286" t="s">
        <v>62</v>
      </c>
      <c r="D60" s="290" t="s">
        <v>278</v>
      </c>
      <c r="E60" s="309" t="s">
        <v>279</v>
      </c>
      <c r="F60" s="309">
        <v>1</v>
      </c>
      <c r="G60" s="287">
        <v>0</v>
      </c>
    </row>
    <row r="61" spans="3:7" x14ac:dyDescent="0.2">
      <c r="C61" s="286" t="s">
        <v>63</v>
      </c>
      <c r="D61" s="290" t="s">
        <v>280</v>
      </c>
      <c r="E61" s="309" t="s">
        <v>281</v>
      </c>
      <c r="F61" s="309">
        <v>1</v>
      </c>
      <c r="G61" s="287">
        <v>0</v>
      </c>
    </row>
    <row r="62" spans="3:7" x14ac:dyDescent="0.2">
      <c r="C62" s="286" t="s">
        <v>64</v>
      </c>
      <c r="D62" s="290" t="s">
        <v>282</v>
      </c>
      <c r="E62" s="309" t="s">
        <v>283</v>
      </c>
      <c r="F62" s="309">
        <v>0</v>
      </c>
      <c r="G62" s="287">
        <v>0</v>
      </c>
    </row>
    <row r="63" spans="3:7" x14ac:dyDescent="0.2">
      <c r="C63" s="286" t="s">
        <v>66</v>
      </c>
      <c r="D63" s="290" t="s">
        <v>284</v>
      </c>
      <c r="E63" s="309" t="s">
        <v>285</v>
      </c>
      <c r="F63" s="309">
        <v>1</v>
      </c>
      <c r="G63" s="287">
        <v>0</v>
      </c>
    </row>
    <row r="64" spans="3:7" x14ac:dyDescent="0.2">
      <c r="C64" s="291" t="s">
        <v>565</v>
      </c>
      <c r="D64" s="292" t="s">
        <v>528</v>
      </c>
      <c r="E64" s="310" t="s">
        <v>527</v>
      </c>
      <c r="F64" s="310">
        <v>0</v>
      </c>
      <c r="G64" s="293">
        <v>1</v>
      </c>
    </row>
    <row r="65" spans="3:7" x14ac:dyDescent="0.2">
      <c r="C65" s="286" t="s">
        <v>67</v>
      </c>
      <c r="D65" s="290" t="s">
        <v>286</v>
      </c>
      <c r="E65" s="309" t="s">
        <v>287</v>
      </c>
      <c r="F65" s="309">
        <v>1</v>
      </c>
      <c r="G65" s="287">
        <v>0</v>
      </c>
    </row>
    <row r="66" spans="3:7" x14ac:dyDescent="0.2">
      <c r="C66" s="286" t="s">
        <v>68</v>
      </c>
      <c r="D66" s="290" t="s">
        <v>288</v>
      </c>
      <c r="E66" s="309" t="s">
        <v>289</v>
      </c>
      <c r="F66" s="309">
        <v>0</v>
      </c>
      <c r="G66" s="287">
        <v>0</v>
      </c>
    </row>
    <row r="67" spans="3:7" ht="13.5" thickBot="1" x14ac:dyDescent="0.25">
      <c r="C67" s="121" t="s">
        <v>950</v>
      </c>
      <c r="D67" s="637" t="s">
        <v>951</v>
      </c>
      <c r="E67" s="639" t="s">
        <v>952</v>
      </c>
      <c r="F67" s="640">
        <v>0</v>
      </c>
      <c r="G67" s="638">
        <v>0</v>
      </c>
    </row>
    <row r="70" spans="3:7" ht="13.5" thickBot="1" x14ac:dyDescent="0.25">
      <c r="C70" s="116" t="s">
        <v>290</v>
      </c>
    </row>
    <row r="71" spans="3:7" x14ac:dyDescent="0.2">
      <c r="C71" s="117" t="s">
        <v>291</v>
      </c>
      <c r="D71" s="118" t="s">
        <v>292</v>
      </c>
    </row>
    <row r="72" spans="3:7" x14ac:dyDescent="0.2">
      <c r="C72" s="119" t="s">
        <v>293</v>
      </c>
      <c r="D72" s="120" t="s">
        <v>294</v>
      </c>
    </row>
    <row r="73" spans="3:7" x14ac:dyDescent="0.2">
      <c r="C73" s="119" t="s">
        <v>295</v>
      </c>
      <c r="D73" s="120" t="s">
        <v>296</v>
      </c>
    </row>
    <row r="74" spans="3:7" x14ac:dyDescent="0.2">
      <c r="C74" s="119" t="s">
        <v>297</v>
      </c>
      <c r="D74" s="120" t="s">
        <v>298</v>
      </c>
    </row>
    <row r="75" spans="3:7" x14ac:dyDescent="0.2">
      <c r="C75" s="119" t="s">
        <v>299</v>
      </c>
      <c r="D75" s="120" t="s">
        <v>300</v>
      </c>
    </row>
    <row r="76" spans="3:7" x14ac:dyDescent="0.2">
      <c r="C76" s="119" t="s">
        <v>301</v>
      </c>
      <c r="D76" s="120" t="s">
        <v>302</v>
      </c>
    </row>
    <row r="77" spans="3:7" x14ac:dyDescent="0.2">
      <c r="C77" s="119" t="s">
        <v>303</v>
      </c>
      <c r="D77" s="120" t="s">
        <v>304</v>
      </c>
    </row>
    <row r="78" spans="3:7" x14ac:dyDescent="0.2">
      <c r="C78" s="119" t="s">
        <v>305</v>
      </c>
      <c r="D78" s="120" t="s">
        <v>306</v>
      </c>
    </row>
    <row r="79" spans="3:7" x14ac:dyDescent="0.2">
      <c r="C79" s="119" t="s">
        <v>307</v>
      </c>
      <c r="D79" s="120" t="s">
        <v>308</v>
      </c>
    </row>
    <row r="80" spans="3:7" x14ac:dyDescent="0.2">
      <c r="C80" s="119" t="s">
        <v>309</v>
      </c>
      <c r="D80" s="120" t="s">
        <v>310</v>
      </c>
    </row>
    <row r="81" spans="2:11" x14ac:dyDescent="0.2">
      <c r="C81" s="119" t="s">
        <v>311</v>
      </c>
      <c r="D81" s="120" t="s">
        <v>312</v>
      </c>
    </row>
    <row r="82" spans="2:11" ht="13.5" thickBot="1" x14ac:dyDescent="0.25">
      <c r="C82" s="121" t="s">
        <v>313</v>
      </c>
      <c r="D82" s="122" t="s">
        <v>314</v>
      </c>
    </row>
    <row r="85" spans="2:11" x14ac:dyDescent="0.2">
      <c r="C85" s="123" t="s">
        <v>315</v>
      </c>
      <c r="D85" s="126" t="b">
        <v>1</v>
      </c>
    </row>
    <row r="87" spans="2:11" ht="31.5" x14ac:dyDescent="0.2">
      <c r="F87" s="124" t="s">
        <v>317</v>
      </c>
      <c r="G87" s="125" t="s">
        <v>318</v>
      </c>
      <c r="K87" s="124" t="s">
        <v>317</v>
      </c>
    </row>
    <row r="88" spans="2:11" ht="20.25" x14ac:dyDescent="0.2">
      <c r="B88" s="114" t="s">
        <v>316</v>
      </c>
      <c r="C88" s="115"/>
      <c r="D88" s="115"/>
    </row>
    <row r="92" spans="2:11" x14ac:dyDescent="0.2">
      <c r="C92" s="123" t="s">
        <v>319</v>
      </c>
      <c r="D92" s="477">
        <f>MATCH(FirstMonth,MonthList,0)</f>
        <v>9</v>
      </c>
    </row>
    <row r="94" spans="2:11" x14ac:dyDescent="0.2">
      <c r="C94" s="123" t="s">
        <v>320</v>
      </c>
      <c r="D94" s="477" t="str">
        <f>INDEX(ParamMonth,MonthIndex,2)</f>
        <v>SEP</v>
      </c>
    </row>
    <row r="96" spans="2:11" x14ac:dyDescent="0.2">
      <c r="C96" s="123" t="s">
        <v>321</v>
      </c>
      <c r="D96" s="477">
        <f>IF(CountryUser=0,1,MATCH(CountryUser,CountryList,0))</f>
        <v>42</v>
      </c>
    </row>
    <row r="98" spans="3:5" x14ac:dyDescent="0.2">
      <c r="C98" s="123" t="s">
        <v>322</v>
      </c>
      <c r="D98" s="477" t="str">
        <f>INDEX(ParamCountry,D96,3)</f>
        <v>NL</v>
      </c>
    </row>
    <row r="99" spans="3:5" x14ac:dyDescent="0.2">
      <c r="C99" s="123" t="s">
        <v>323</v>
      </c>
      <c r="D99" s="477" t="str">
        <f>INDEX(ParamCountry,D96,2)</f>
        <v>NETHLAND</v>
      </c>
    </row>
    <row r="100" spans="3:5" x14ac:dyDescent="0.2">
      <c r="C100" s="123" t="s">
        <v>901</v>
      </c>
      <c r="D100" s="477">
        <f>INDEX(ParamCountry,D96,4)</f>
        <v>1</v>
      </c>
    </row>
    <row r="101" spans="3:5" x14ac:dyDescent="0.2">
      <c r="C101" s="123" t="s">
        <v>943</v>
      </c>
      <c r="D101" s="477">
        <f>INDEX(ParamCountry,D96,5)</f>
        <v>0</v>
      </c>
    </row>
    <row r="102" spans="3:5" x14ac:dyDescent="0.2">
      <c r="C102" s="123" t="s">
        <v>597</v>
      </c>
      <c r="D102" s="477" t="s">
        <v>308</v>
      </c>
      <c r="E102" s="127" t="s">
        <v>324</v>
      </c>
    </row>
    <row r="103" spans="3:5" x14ac:dyDescent="0.2">
      <c r="C103" s="123" t="s">
        <v>598</v>
      </c>
      <c r="D103" s="477">
        <v>2026</v>
      </c>
      <c r="E103" s="127" t="s">
        <v>324</v>
      </c>
    </row>
    <row r="104" spans="3:5" x14ac:dyDescent="0.2">
      <c r="C104" s="123" t="s">
        <v>599</v>
      </c>
      <c r="D104" s="477">
        <f>IF(ISERROR(MATCH(D102,MonthCodes,0)),100,MATCH(D102,MonthCodes,0))</f>
        <v>9</v>
      </c>
    </row>
    <row r="106" spans="3:5" x14ac:dyDescent="0.2">
      <c r="C106" s="123" t="s">
        <v>325</v>
      </c>
      <c r="D106" s="477" t="s">
        <v>267</v>
      </c>
      <c r="E106" s="127" t="s">
        <v>324</v>
      </c>
    </row>
    <row r="107" spans="3:5" x14ac:dyDescent="0.2">
      <c r="C107" s="123"/>
      <c r="D107" s="477">
        <f>IF(ISERROR(MATCH(CsvCountry,CountryIeaList,0))=FALSE,MATCH(CsvCountry,CountryIeaList,0),IF(ISERROR(MATCH(CsvCountry,CountryIsoList,0))=FALSE,MATCH(CsvCountry,CountryIsoList,0),0))</f>
        <v>42</v>
      </c>
      <c r="E107" s="127"/>
    </row>
    <row r="108" spans="3:5" x14ac:dyDescent="0.2">
      <c r="C108" s="123" t="s">
        <v>326</v>
      </c>
      <c r="D108" s="477" t="str">
        <f>IF(ISERROR(INDEX(ParamCountry,D107,1)),"UNKNOWN",INDEX(ParamCountry,D107,1))</f>
        <v>Netherlands</v>
      </c>
      <c r="E108" s="127" t="s">
        <v>327</v>
      </c>
    </row>
    <row r="109" spans="3:5" x14ac:dyDescent="0.2">
      <c r="C109" s="123" t="s">
        <v>328</v>
      </c>
      <c r="D109" s="477" t="str">
        <f>INDEX(MonthList,PosiMonth1,1)</f>
        <v>September</v>
      </c>
      <c r="E109" s="127" t="s">
        <v>327</v>
      </c>
    </row>
    <row r="111" spans="3:5" x14ac:dyDescent="0.2">
      <c r="C111" s="123" t="s">
        <v>610</v>
      </c>
      <c r="D111" s="477">
        <f>SUM(DataT1)+SUM(DataT2)+SUM(DataT3)+SUM(DataT4)+SUM(DataT5)+SUM(DataT5b_5c_1)+SUM(DataT5b_5c_2)+SUM(DataT5b_5c_4)+SUM(DataT6)+SUM(DataT6b)+SUM(DataT7)+SUM(DataT8)+SUM(DataT8b)+SUM(DataT8c)+SUM(DataT9)</f>
        <v>1228028.226</v>
      </c>
    </row>
  </sheetData>
  <sheetProtection algorithmName="SHA-512" hashValue="QU9HIq3zVLWhT2I3/HAkTJdB+twUpaKGjFCbq/jPtoIZkSJbJNzPmE5jw2d/Ij/iqSCu3vd/cR2O2KlAgvMSJg==" saltValue="MuA46rE8atVQg0UaMi6x+g==" spinCount="100000" sheet="1" objects="1" scenarios="1"/>
  <phoneticPr fontId="44" type="noConversion"/>
  <pageMargins left="0.75" right="0.75" top="1" bottom="1" header="0.5" footer="0.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FillFormsWithAValue">
                <anchor>
                  <from>
                    <xdr:col>8</xdr:col>
                    <xdr:colOff>114300</xdr:colOff>
                    <xdr:row>17</xdr:row>
                    <xdr:rowOff>114300</xdr:rowOff>
                  </from>
                  <to>
                    <xdr:col>11</xdr:col>
                    <xdr:colOff>533400</xdr:colOff>
                    <xdr:row>22</xdr:row>
                    <xdr:rowOff>57150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indexed="10"/>
  </sheetPr>
  <dimension ref="B2:AL964"/>
  <sheetViews>
    <sheetView showGridLines="0" zoomScaleNormal="100" workbookViewId="0"/>
  </sheetViews>
  <sheetFormatPr defaultColWidth="9.140625" defaultRowHeight="12.75" x14ac:dyDescent="0.2"/>
  <cols>
    <col min="1" max="1" width="2.5703125" customWidth="1"/>
    <col min="2" max="2" width="2.7109375" customWidth="1"/>
    <col min="3" max="3" width="43.28515625" customWidth="1"/>
    <col min="4" max="4" width="11.7109375" style="159" customWidth="1"/>
    <col min="33" max="33" width="9.140625" customWidth="1"/>
    <col min="34" max="34" width="7" bestFit="1" customWidth="1"/>
    <col min="35" max="35" width="5.42578125" bestFit="1" customWidth="1"/>
  </cols>
  <sheetData>
    <row r="2" spans="2:15" ht="31.5" x14ac:dyDescent="0.2">
      <c r="B2" s="133" t="s">
        <v>418</v>
      </c>
      <c r="C2" s="134"/>
      <c r="D2" s="134"/>
      <c r="E2" s="134"/>
      <c r="F2" s="134"/>
      <c r="G2" s="134"/>
      <c r="H2" s="134"/>
    </row>
    <row r="4" spans="2:15" ht="15.75" x14ac:dyDescent="0.2">
      <c r="B4" s="457" t="s">
        <v>596</v>
      </c>
    </row>
    <row r="8" spans="2:15" x14ac:dyDescent="0.2">
      <c r="B8" s="5" t="s">
        <v>103</v>
      </c>
      <c r="C8" s="2"/>
      <c r="D8" s="160"/>
      <c r="E8" s="2"/>
      <c r="F8" s="2"/>
      <c r="G8" s="2"/>
      <c r="H8" s="2"/>
      <c r="I8" s="2"/>
      <c r="J8" s="2"/>
      <c r="K8" s="2"/>
    </row>
    <row r="9" spans="2:15" x14ac:dyDescent="0.2">
      <c r="B9" s="2"/>
      <c r="C9" s="2"/>
      <c r="D9" s="160"/>
      <c r="E9" s="6"/>
      <c r="F9" s="6"/>
      <c r="G9" s="6"/>
      <c r="H9" s="6"/>
      <c r="I9" s="6"/>
      <c r="J9" s="6"/>
      <c r="K9" s="21" t="s">
        <v>108</v>
      </c>
    </row>
    <row r="10" spans="2:15" ht="12.75" customHeight="1" x14ac:dyDescent="0.2">
      <c r="B10" s="23"/>
      <c r="C10" s="173"/>
      <c r="D10" s="173"/>
      <c r="E10" s="1106" t="s">
        <v>625</v>
      </c>
      <c r="F10" s="1106" t="s">
        <v>646</v>
      </c>
      <c r="G10" s="1106" t="s">
        <v>647</v>
      </c>
      <c r="H10" s="1108" t="s">
        <v>666</v>
      </c>
      <c r="I10" s="166"/>
      <c r="J10" s="1106" t="s">
        <v>648</v>
      </c>
      <c r="K10" s="311" t="s">
        <v>645</v>
      </c>
      <c r="N10" s="458"/>
      <c r="O10" s="459"/>
    </row>
    <row r="11" spans="2:15" ht="24" customHeight="1" x14ac:dyDescent="0.2">
      <c r="B11" s="172"/>
      <c r="C11" s="27"/>
      <c r="D11" s="171"/>
      <c r="E11" s="1107"/>
      <c r="F11" s="1107"/>
      <c r="G11" s="1107"/>
      <c r="H11" s="1109"/>
      <c r="I11" s="99" t="s">
        <v>667</v>
      </c>
      <c r="J11" s="1107"/>
      <c r="K11" s="312"/>
      <c r="N11" s="458"/>
      <c r="O11" s="459"/>
    </row>
    <row r="12" spans="2:15" ht="12.75" customHeight="1" x14ac:dyDescent="0.2">
      <c r="B12" s="22"/>
      <c r="C12" s="83"/>
      <c r="D12" s="77"/>
      <c r="E12" s="78" t="s">
        <v>152</v>
      </c>
      <c r="F12" s="79" t="s">
        <v>153</v>
      </c>
      <c r="G12" s="79" t="s">
        <v>154</v>
      </c>
      <c r="H12" s="79" t="s">
        <v>155</v>
      </c>
      <c r="I12" s="99" t="s">
        <v>156</v>
      </c>
      <c r="J12" s="79" t="s">
        <v>157</v>
      </c>
      <c r="K12" s="80" t="s">
        <v>158</v>
      </c>
    </row>
    <row r="13" spans="2:15" x14ac:dyDescent="0.2">
      <c r="B13" s="81" t="s">
        <v>105</v>
      </c>
      <c r="C13" s="82" t="s">
        <v>649</v>
      </c>
      <c r="D13" s="149">
        <v>1</v>
      </c>
      <c r="E13" s="897"/>
      <c r="F13" s="897"/>
      <c r="G13" s="305"/>
      <c r="H13" s="897"/>
      <c r="I13" s="305"/>
      <c r="J13" s="897"/>
      <c r="K13" s="898">
        <f>ROUND(E13+F13+H13+J13,3)</f>
        <v>0</v>
      </c>
    </row>
    <row r="14" spans="2:15" x14ac:dyDescent="0.2">
      <c r="B14" s="18" t="s">
        <v>105</v>
      </c>
      <c r="C14" s="14" t="s">
        <v>852</v>
      </c>
      <c r="D14" s="150">
        <v>2</v>
      </c>
      <c r="E14" s="305"/>
      <c r="F14" s="305"/>
      <c r="G14" s="305"/>
      <c r="H14" s="897"/>
      <c r="I14" s="899"/>
      <c r="J14" s="897"/>
      <c r="K14" s="898">
        <f>ROUND(SUM(H14,J14),3)</f>
        <v>0</v>
      </c>
    </row>
    <row r="15" spans="2:15" ht="13.5" x14ac:dyDescent="0.2">
      <c r="B15" s="18" t="s">
        <v>105</v>
      </c>
      <c r="C15" s="15" t="s">
        <v>104</v>
      </c>
      <c r="D15" s="151">
        <v>3</v>
      </c>
      <c r="E15" s="305"/>
      <c r="F15" s="305"/>
      <c r="G15" s="897"/>
      <c r="H15" s="305"/>
      <c r="I15" s="305"/>
      <c r="J15" s="305"/>
      <c r="K15" s="898">
        <f>ROUND(G15,3)</f>
        <v>0</v>
      </c>
    </row>
    <row r="16" spans="2:15" ht="13.5" x14ac:dyDescent="0.2">
      <c r="B16" s="18" t="s">
        <v>105</v>
      </c>
      <c r="C16" s="15" t="s">
        <v>650</v>
      </c>
      <c r="D16" s="151">
        <v>4</v>
      </c>
      <c r="E16" s="897"/>
      <c r="F16" s="305"/>
      <c r="G16" s="897"/>
      <c r="H16" s="305"/>
      <c r="I16" s="305"/>
      <c r="J16" s="305"/>
      <c r="K16" s="898">
        <f>ROUND(E16+G16,3)</f>
        <v>0</v>
      </c>
    </row>
    <row r="17" spans="2:31" ht="13.5" customHeight="1" x14ac:dyDescent="0.2">
      <c r="B17" s="18" t="s">
        <v>105</v>
      </c>
      <c r="C17" s="15" t="s">
        <v>651</v>
      </c>
      <c r="D17" s="151">
        <v>5</v>
      </c>
      <c r="E17" s="897"/>
      <c r="F17" s="897"/>
      <c r="G17" s="897"/>
      <c r="H17" s="897"/>
      <c r="I17" s="305"/>
      <c r="J17" s="897"/>
      <c r="K17" s="898">
        <f t="shared" ref="K17:K24" si="0">ROUND(SUM(E17:H17,J17),3)</f>
        <v>0</v>
      </c>
    </row>
    <row r="18" spans="2:31" ht="13.5" x14ac:dyDescent="0.2">
      <c r="B18" s="18" t="s">
        <v>106</v>
      </c>
      <c r="C18" s="15" t="s">
        <v>652</v>
      </c>
      <c r="D18" s="151">
        <v>6</v>
      </c>
      <c r="E18" s="897"/>
      <c r="F18" s="897"/>
      <c r="G18" s="897"/>
      <c r="H18" s="897"/>
      <c r="I18" s="305"/>
      <c r="J18" s="897"/>
      <c r="K18" s="898">
        <f t="shared" si="0"/>
        <v>0</v>
      </c>
    </row>
    <row r="19" spans="2:31" ht="13.5" x14ac:dyDescent="0.2">
      <c r="B19" s="222" t="s">
        <v>106</v>
      </c>
      <c r="C19" s="223" t="s">
        <v>884</v>
      </c>
      <c r="D19" s="150">
        <v>7</v>
      </c>
      <c r="E19" s="897"/>
      <c r="F19" s="897"/>
      <c r="G19" s="897"/>
      <c r="H19" s="897"/>
      <c r="I19" s="899"/>
      <c r="J19" s="897"/>
      <c r="K19" s="898">
        <f t="shared" si="0"/>
        <v>0</v>
      </c>
    </row>
    <row r="20" spans="2:31" ht="13.5" x14ac:dyDescent="0.2">
      <c r="B20" s="18" t="s">
        <v>106</v>
      </c>
      <c r="C20" s="15" t="s">
        <v>869</v>
      </c>
      <c r="D20" s="150">
        <v>8</v>
      </c>
      <c r="E20" s="897"/>
      <c r="F20" s="897"/>
      <c r="G20" s="897"/>
      <c r="H20" s="897"/>
      <c r="I20" s="899"/>
      <c r="J20" s="897"/>
      <c r="K20" s="898">
        <f t="shared" si="0"/>
        <v>0</v>
      </c>
    </row>
    <row r="21" spans="2:31" x14ac:dyDescent="0.2">
      <c r="B21" s="18" t="s">
        <v>107</v>
      </c>
      <c r="C21" s="16" t="s">
        <v>653</v>
      </c>
      <c r="D21" s="152">
        <v>9</v>
      </c>
      <c r="E21" s="898">
        <f>ROUND(E13+E16+E17-+E18-E19-E20,3)</f>
        <v>0</v>
      </c>
      <c r="F21" s="898">
        <f>ROUND(F13+F17-F18-F19-F20,3)</f>
        <v>0</v>
      </c>
      <c r="G21" s="898">
        <f>ROUND(G15+G16+G17-G18-G19-G20,3)</f>
        <v>0</v>
      </c>
      <c r="H21" s="898">
        <f>ROUND(H13+H14+H17-H18-H19-H20,3)</f>
        <v>0</v>
      </c>
      <c r="I21" s="900">
        <f>ROUND(I14-I19-I20,3)</f>
        <v>0</v>
      </c>
      <c r="J21" s="898">
        <f>ROUND(J13+J14+J17-J18-J19-J20,3)</f>
        <v>0</v>
      </c>
      <c r="K21" s="898">
        <f t="shared" si="0"/>
        <v>0</v>
      </c>
    </row>
    <row r="22" spans="2:31" x14ac:dyDescent="0.2">
      <c r="B22" s="18" t="s">
        <v>106</v>
      </c>
      <c r="C22" s="16" t="s">
        <v>7</v>
      </c>
      <c r="D22" s="152">
        <v>10</v>
      </c>
      <c r="E22" s="898">
        <f t="shared" ref="E22:J22" si="1">ROUND(E21-E23,3)</f>
        <v>0</v>
      </c>
      <c r="F22" s="898">
        <f t="shared" si="1"/>
        <v>0</v>
      </c>
      <c r="G22" s="898">
        <f t="shared" si="1"/>
        <v>0</v>
      </c>
      <c r="H22" s="898">
        <f t="shared" si="1"/>
        <v>0</v>
      </c>
      <c r="I22" s="900">
        <f t="shared" si="1"/>
        <v>0</v>
      </c>
      <c r="J22" s="898">
        <f t="shared" si="1"/>
        <v>0</v>
      </c>
      <c r="K22" s="898">
        <f t="shared" si="0"/>
        <v>0</v>
      </c>
    </row>
    <row r="23" spans="2:31" x14ac:dyDescent="0.2">
      <c r="B23" s="19" t="s">
        <v>107</v>
      </c>
      <c r="C23" s="17" t="s">
        <v>853</v>
      </c>
      <c r="D23" s="146">
        <v>11</v>
      </c>
      <c r="E23" s="901"/>
      <c r="F23" s="901"/>
      <c r="G23" s="901"/>
      <c r="H23" s="901"/>
      <c r="I23" s="901"/>
      <c r="J23" s="901"/>
      <c r="K23" s="902">
        <f t="shared" si="0"/>
        <v>0</v>
      </c>
    </row>
    <row r="24" spans="2:31" x14ac:dyDescent="0.2">
      <c r="B24" s="22"/>
      <c r="C24" s="76" t="s">
        <v>654</v>
      </c>
      <c r="D24" s="149">
        <v>12</v>
      </c>
      <c r="E24" s="897"/>
      <c r="F24" s="897"/>
      <c r="G24" s="897"/>
      <c r="H24" s="897"/>
      <c r="I24" s="899"/>
      <c r="J24" s="897"/>
      <c r="K24" s="898">
        <f t="shared" si="0"/>
        <v>0</v>
      </c>
    </row>
    <row r="29" spans="2:31" x14ac:dyDescent="0.2">
      <c r="B29" s="5" t="s">
        <v>102</v>
      </c>
      <c r="C29" s="3"/>
      <c r="D29" s="3"/>
      <c r="E29" s="6"/>
      <c r="F29" s="6"/>
      <c r="G29" s="6"/>
      <c r="H29" s="6"/>
      <c r="I29" s="6"/>
      <c r="J29" s="6"/>
      <c r="K29" s="6"/>
      <c r="L29" s="6"/>
      <c r="M29" s="6"/>
      <c r="N29" s="6"/>
      <c r="O29" s="6"/>
      <c r="P29" s="6"/>
      <c r="Q29" s="6"/>
      <c r="R29" s="6"/>
      <c r="S29" s="6"/>
      <c r="T29" s="6"/>
      <c r="U29" s="6"/>
      <c r="V29" s="6"/>
      <c r="W29" s="6"/>
      <c r="X29" s="6"/>
      <c r="Y29" s="6"/>
      <c r="Z29" s="6"/>
      <c r="AA29" s="6"/>
      <c r="AB29" s="6"/>
      <c r="AC29" s="6"/>
      <c r="AD29" s="25" t="s">
        <v>632</v>
      </c>
    </row>
    <row r="30" spans="2:31" ht="12.75" customHeight="1" x14ac:dyDescent="0.2">
      <c r="B30" s="168"/>
      <c r="C30" s="169"/>
      <c r="D30" s="167"/>
      <c r="E30" s="1124" t="s">
        <v>656</v>
      </c>
      <c r="F30" s="1124" t="s">
        <v>657</v>
      </c>
      <c r="G30" s="1124" t="s">
        <v>658</v>
      </c>
      <c r="H30" s="1124" t="s">
        <v>8</v>
      </c>
      <c r="I30" s="1124" t="s">
        <v>9</v>
      </c>
      <c r="J30" s="1126" t="s">
        <v>10</v>
      </c>
      <c r="K30" s="1114" t="s">
        <v>659</v>
      </c>
      <c r="L30" s="329"/>
      <c r="M30" s="194"/>
      <c r="N30" s="1122" t="s">
        <v>660</v>
      </c>
      <c r="O30" s="1124" t="s">
        <v>661</v>
      </c>
      <c r="P30" s="1116" t="s">
        <v>668</v>
      </c>
      <c r="Q30" s="191"/>
      <c r="R30" s="192"/>
      <c r="S30" s="1126" t="s">
        <v>664</v>
      </c>
      <c r="T30" s="193"/>
      <c r="U30" s="190"/>
      <c r="V30" s="1118" t="s">
        <v>670</v>
      </c>
      <c r="W30" s="190"/>
      <c r="X30" s="194"/>
      <c r="Y30" s="1114" t="s">
        <v>628</v>
      </c>
      <c r="Z30" s="190"/>
      <c r="AA30" s="190"/>
      <c r="AB30" s="194"/>
      <c r="AC30" s="1128" t="s">
        <v>629</v>
      </c>
      <c r="AD30" s="1124" t="s">
        <v>630</v>
      </c>
      <c r="AE30" s="1120" t="s">
        <v>631</v>
      </c>
    </row>
    <row r="31" spans="2:31" ht="56.25" x14ac:dyDescent="0.2">
      <c r="B31" s="170"/>
      <c r="C31" s="84"/>
      <c r="D31" s="165"/>
      <c r="E31" s="1125"/>
      <c r="F31" s="1125"/>
      <c r="G31" s="1125"/>
      <c r="H31" s="1125"/>
      <c r="I31" s="1125"/>
      <c r="J31" s="1127"/>
      <c r="K31" s="1115"/>
      <c r="L31" s="184" t="s">
        <v>623</v>
      </c>
      <c r="M31" s="195" t="s">
        <v>626</v>
      </c>
      <c r="N31" s="1123"/>
      <c r="O31" s="1125"/>
      <c r="P31" s="1117"/>
      <c r="Q31" s="186" t="s">
        <v>662</v>
      </c>
      <c r="R31" s="187" t="s">
        <v>663</v>
      </c>
      <c r="S31" s="1127"/>
      <c r="T31" s="188" t="s">
        <v>627</v>
      </c>
      <c r="U31" s="189" t="s">
        <v>669</v>
      </c>
      <c r="V31" s="1119"/>
      <c r="W31" s="184" t="s">
        <v>624</v>
      </c>
      <c r="X31" s="196" t="s">
        <v>671</v>
      </c>
      <c r="Y31" s="1115"/>
      <c r="Z31" s="187" t="s">
        <v>674</v>
      </c>
      <c r="AA31" s="186" t="s">
        <v>1411</v>
      </c>
      <c r="AB31" s="196" t="s">
        <v>872</v>
      </c>
      <c r="AC31" s="1129"/>
      <c r="AD31" s="1125"/>
      <c r="AE31" s="1121"/>
    </row>
    <row r="32" spans="2:31" x14ac:dyDescent="0.2">
      <c r="B32" s="40"/>
      <c r="C32" s="34"/>
      <c r="D32" s="84"/>
      <c r="E32" s="78" t="s">
        <v>152</v>
      </c>
      <c r="F32" s="79" t="s">
        <v>153</v>
      </c>
      <c r="G32" s="79" t="s">
        <v>154</v>
      </c>
      <c r="H32" s="79" t="s">
        <v>155</v>
      </c>
      <c r="I32" s="79" t="s">
        <v>156</v>
      </c>
      <c r="J32" s="85" t="s">
        <v>157</v>
      </c>
      <c r="K32" s="174" t="s">
        <v>158</v>
      </c>
      <c r="L32" s="85" t="s">
        <v>159</v>
      </c>
      <c r="M32" s="331" t="s">
        <v>160</v>
      </c>
      <c r="N32" s="78" t="s">
        <v>161</v>
      </c>
      <c r="O32" s="79" t="s">
        <v>162</v>
      </c>
      <c r="P32" s="175" t="s">
        <v>163</v>
      </c>
      <c r="Q32" s="85" t="s">
        <v>164</v>
      </c>
      <c r="R32" s="85" t="s">
        <v>165</v>
      </c>
      <c r="S32" s="331" t="s">
        <v>166</v>
      </c>
      <c r="T32" s="86" t="s">
        <v>167</v>
      </c>
      <c r="U32" s="100" t="s">
        <v>168</v>
      </c>
      <c r="V32" s="176" t="s">
        <v>169</v>
      </c>
      <c r="W32" s="87" t="s">
        <v>170</v>
      </c>
      <c r="X32" s="331" t="s">
        <v>171</v>
      </c>
      <c r="Y32" s="176" t="s">
        <v>172</v>
      </c>
      <c r="Z32" s="86" t="s">
        <v>173</v>
      </c>
      <c r="AA32" s="89" t="s">
        <v>174</v>
      </c>
      <c r="AB32" s="331" t="s">
        <v>175</v>
      </c>
      <c r="AC32" s="78" t="s">
        <v>176</v>
      </c>
      <c r="AD32" s="79" t="s">
        <v>177</v>
      </c>
      <c r="AE32" s="80" t="s">
        <v>181</v>
      </c>
    </row>
    <row r="33" spans="2:31" ht="13.5" x14ac:dyDescent="0.2">
      <c r="B33" s="41" t="s">
        <v>105</v>
      </c>
      <c r="C33" s="35" t="s">
        <v>633</v>
      </c>
      <c r="D33" s="153">
        <v>1</v>
      </c>
      <c r="E33" s="903"/>
      <c r="F33" s="897"/>
      <c r="G33" s="897"/>
      <c r="H33" s="897"/>
      <c r="I33" s="897"/>
      <c r="J33" s="904"/>
      <c r="K33" s="905"/>
      <c r="L33" s="904"/>
      <c r="M33" s="906"/>
      <c r="N33" s="903"/>
      <c r="O33" s="897"/>
      <c r="P33" s="907"/>
      <c r="Q33" s="904"/>
      <c r="R33" s="904"/>
      <c r="S33" s="904"/>
      <c r="T33" s="908"/>
      <c r="U33" s="899"/>
      <c r="V33" s="909"/>
      <c r="W33" s="903"/>
      <c r="X33" s="906"/>
      <c r="Y33" s="909"/>
      <c r="Z33" s="897"/>
      <c r="AA33" s="904"/>
      <c r="AB33" s="906"/>
      <c r="AC33" s="903"/>
      <c r="AD33" s="897"/>
      <c r="AE33" s="898">
        <f>ROUND(SUM(E33:K33,N33:P33,S33,V33,Y33,AC33:AD33),3)</f>
        <v>0</v>
      </c>
    </row>
    <row r="34" spans="2:31" x14ac:dyDescent="0.2">
      <c r="B34" s="41" t="s">
        <v>105</v>
      </c>
      <c r="C34" s="35" t="s">
        <v>854</v>
      </c>
      <c r="D34" s="153">
        <v>2</v>
      </c>
      <c r="E34" s="333"/>
      <c r="F34" s="305"/>
      <c r="G34" s="897"/>
      <c r="H34" s="897"/>
      <c r="I34" s="897"/>
      <c r="J34" s="904"/>
      <c r="K34" s="905"/>
      <c r="L34" s="904"/>
      <c r="M34" s="906"/>
      <c r="N34" s="903"/>
      <c r="O34" s="897"/>
      <c r="P34" s="907"/>
      <c r="Q34" s="904"/>
      <c r="R34" s="904"/>
      <c r="S34" s="904"/>
      <c r="T34" s="908"/>
      <c r="U34" s="899"/>
      <c r="V34" s="909"/>
      <c r="W34" s="903"/>
      <c r="X34" s="906"/>
      <c r="Y34" s="909"/>
      <c r="Z34" s="897"/>
      <c r="AA34" s="904"/>
      <c r="AB34" s="906"/>
      <c r="AC34" s="903"/>
      <c r="AD34" s="897"/>
      <c r="AE34" s="898">
        <f>ROUND(SUM(G34:K34,N34:P34,S34,V34,Y34,AC34:AD34),3)</f>
        <v>0</v>
      </c>
    </row>
    <row r="35" spans="2:31" x14ac:dyDescent="0.2">
      <c r="B35" s="41" t="s">
        <v>105</v>
      </c>
      <c r="C35" s="35" t="s">
        <v>634</v>
      </c>
      <c r="D35" s="153">
        <v>3</v>
      </c>
      <c r="E35" s="333"/>
      <c r="F35" s="305"/>
      <c r="G35" s="897"/>
      <c r="H35" s="897"/>
      <c r="I35" s="897"/>
      <c r="J35" s="904"/>
      <c r="K35" s="910"/>
      <c r="L35" s="904"/>
      <c r="M35" s="906"/>
      <c r="N35" s="903"/>
      <c r="O35" s="897"/>
      <c r="P35" s="907"/>
      <c r="Q35" s="904"/>
      <c r="R35" s="904"/>
      <c r="S35" s="904"/>
      <c r="T35" s="908"/>
      <c r="U35" s="899"/>
      <c r="V35" s="909"/>
      <c r="W35" s="903"/>
      <c r="X35" s="906"/>
      <c r="Y35" s="909"/>
      <c r="Z35" s="897"/>
      <c r="AA35" s="904"/>
      <c r="AB35" s="906"/>
      <c r="AC35" s="903"/>
      <c r="AD35" s="897"/>
      <c r="AE35" s="898">
        <f>ROUND(SUM(G35:K35,N35:P35,S35,V35,Y35,AC35:AD35),3)</f>
        <v>0</v>
      </c>
    </row>
    <row r="36" spans="2:31" x14ac:dyDescent="0.2">
      <c r="B36" s="41" t="s">
        <v>106</v>
      </c>
      <c r="C36" s="35" t="s">
        <v>635</v>
      </c>
      <c r="D36" s="153">
        <v>4</v>
      </c>
      <c r="E36" s="333"/>
      <c r="F36" s="305"/>
      <c r="G36" s="897"/>
      <c r="H36" s="897"/>
      <c r="I36" s="897"/>
      <c r="J36" s="904"/>
      <c r="K36" s="910"/>
      <c r="L36" s="904"/>
      <c r="M36" s="906"/>
      <c r="N36" s="903"/>
      <c r="O36" s="897"/>
      <c r="P36" s="907"/>
      <c r="Q36" s="904"/>
      <c r="R36" s="904"/>
      <c r="S36" s="904"/>
      <c r="T36" s="908"/>
      <c r="U36" s="899"/>
      <c r="V36" s="909"/>
      <c r="W36" s="903"/>
      <c r="X36" s="906"/>
      <c r="Y36" s="909"/>
      <c r="Z36" s="897"/>
      <c r="AA36" s="904"/>
      <c r="AB36" s="906"/>
      <c r="AC36" s="903"/>
      <c r="AD36" s="897"/>
      <c r="AE36" s="898">
        <f>ROUND(SUM(G36:K36,N36:P36,S36,V36,Y36,AC36:AD36),3)</f>
        <v>0</v>
      </c>
    </row>
    <row r="37" spans="2:31" ht="13.5" x14ac:dyDescent="0.2">
      <c r="B37" s="41" t="s">
        <v>105</v>
      </c>
      <c r="C37" s="36" t="s">
        <v>636</v>
      </c>
      <c r="D37" s="154">
        <v>5</v>
      </c>
      <c r="E37" s="333"/>
      <c r="F37" s="305"/>
      <c r="G37" s="305"/>
      <c r="H37" s="897"/>
      <c r="I37" s="897"/>
      <c r="J37" s="904"/>
      <c r="K37" s="910"/>
      <c r="L37" s="904"/>
      <c r="M37" s="906"/>
      <c r="N37" s="903"/>
      <c r="O37" s="897"/>
      <c r="P37" s="907"/>
      <c r="Q37" s="904"/>
      <c r="R37" s="904"/>
      <c r="S37" s="904"/>
      <c r="T37" s="908"/>
      <c r="U37" s="899"/>
      <c r="V37" s="909"/>
      <c r="W37" s="903"/>
      <c r="X37" s="906"/>
      <c r="Y37" s="909"/>
      <c r="Z37" s="897"/>
      <c r="AA37" s="904"/>
      <c r="AB37" s="906"/>
      <c r="AC37" s="903"/>
      <c r="AD37" s="897"/>
      <c r="AE37" s="898">
        <f>ROUND(SUM(H37:K37,N37:P37,S37,V37,Y37,AC37:AD37),3)</f>
        <v>0</v>
      </c>
    </row>
    <row r="38" spans="2:31" ht="13.5" x14ac:dyDescent="0.2">
      <c r="B38" s="41" t="s">
        <v>106</v>
      </c>
      <c r="C38" s="36" t="s">
        <v>637</v>
      </c>
      <c r="D38" s="154">
        <v>6</v>
      </c>
      <c r="E38" s="333"/>
      <c r="F38" s="305"/>
      <c r="G38" s="305"/>
      <c r="H38" s="897"/>
      <c r="I38" s="897"/>
      <c r="J38" s="904"/>
      <c r="K38" s="910"/>
      <c r="L38" s="904"/>
      <c r="M38" s="906"/>
      <c r="N38" s="903"/>
      <c r="O38" s="897"/>
      <c r="P38" s="907"/>
      <c r="Q38" s="904"/>
      <c r="R38" s="904"/>
      <c r="S38" s="904"/>
      <c r="T38" s="908"/>
      <c r="U38" s="899"/>
      <c r="V38" s="909"/>
      <c r="W38" s="903"/>
      <c r="X38" s="906"/>
      <c r="Y38" s="909"/>
      <c r="Z38" s="897"/>
      <c r="AA38" s="904"/>
      <c r="AB38" s="906"/>
      <c r="AC38" s="903"/>
      <c r="AD38" s="897"/>
      <c r="AE38" s="898">
        <f>ROUND(SUM(H38:K38,N38:P38,S38,V38,Y38,AC38:AD38),3)</f>
        <v>0</v>
      </c>
    </row>
    <row r="39" spans="2:31" x14ac:dyDescent="0.2">
      <c r="B39" s="41" t="s">
        <v>106</v>
      </c>
      <c r="C39" s="35" t="s">
        <v>638</v>
      </c>
      <c r="D39" s="153">
        <v>7</v>
      </c>
      <c r="E39" s="333"/>
      <c r="F39" s="305"/>
      <c r="G39" s="897"/>
      <c r="H39" s="897"/>
      <c r="I39" s="897"/>
      <c r="J39" s="904"/>
      <c r="K39" s="905"/>
      <c r="L39" s="904"/>
      <c r="M39" s="906"/>
      <c r="N39" s="903"/>
      <c r="O39" s="897"/>
      <c r="P39" s="907"/>
      <c r="Q39" s="904"/>
      <c r="R39" s="904"/>
      <c r="S39" s="904"/>
      <c r="T39" s="908"/>
      <c r="U39" s="899"/>
      <c r="V39" s="909"/>
      <c r="W39" s="903"/>
      <c r="X39" s="906"/>
      <c r="Y39" s="909"/>
      <c r="Z39" s="897"/>
      <c r="AA39" s="904"/>
      <c r="AB39" s="906"/>
      <c r="AC39" s="903"/>
      <c r="AD39" s="897"/>
      <c r="AE39" s="898">
        <f>ROUND(SUM(G39:K39,N39:P39,S39,V39,Y39,AC39:AD39),3)</f>
        <v>0</v>
      </c>
    </row>
    <row r="40" spans="2:31" ht="13.5" x14ac:dyDescent="0.2">
      <c r="B40" s="41" t="s">
        <v>105</v>
      </c>
      <c r="C40" s="36" t="s">
        <v>639</v>
      </c>
      <c r="D40" s="154">
        <v>8</v>
      </c>
      <c r="E40" s="903"/>
      <c r="F40" s="897"/>
      <c r="G40" s="897"/>
      <c r="H40" s="897"/>
      <c r="I40" s="897"/>
      <c r="J40" s="904"/>
      <c r="K40" s="905"/>
      <c r="L40" s="904"/>
      <c r="M40" s="906"/>
      <c r="N40" s="903"/>
      <c r="O40" s="897"/>
      <c r="P40" s="907"/>
      <c r="Q40" s="904"/>
      <c r="R40" s="904"/>
      <c r="S40" s="904"/>
      <c r="T40" s="908"/>
      <c r="U40" s="899"/>
      <c r="V40" s="909"/>
      <c r="W40" s="903"/>
      <c r="X40" s="906"/>
      <c r="Y40" s="909"/>
      <c r="Z40" s="897"/>
      <c r="AA40" s="904"/>
      <c r="AB40" s="906"/>
      <c r="AC40" s="903"/>
      <c r="AD40" s="897"/>
      <c r="AE40" s="898">
        <f>ROUND(SUM(E40:K40,N40:P40,S40,V40,Y40,AC40:AD40),3)</f>
        <v>0</v>
      </c>
    </row>
    <row r="41" spans="2:31" ht="13.5" x14ac:dyDescent="0.2">
      <c r="B41" s="41" t="s">
        <v>106</v>
      </c>
      <c r="C41" s="36" t="s">
        <v>640</v>
      </c>
      <c r="D41" s="154">
        <v>9</v>
      </c>
      <c r="E41" s="333"/>
      <c r="F41" s="333"/>
      <c r="G41" s="897"/>
      <c r="H41" s="897"/>
      <c r="I41" s="897"/>
      <c r="J41" s="904"/>
      <c r="K41" s="905"/>
      <c r="L41" s="904"/>
      <c r="M41" s="906"/>
      <c r="N41" s="903"/>
      <c r="O41" s="897"/>
      <c r="P41" s="907"/>
      <c r="Q41" s="904"/>
      <c r="R41" s="904"/>
      <c r="S41" s="904"/>
      <c r="T41" s="908"/>
      <c r="U41" s="899"/>
      <c r="V41" s="909"/>
      <c r="W41" s="903"/>
      <c r="X41" s="906"/>
      <c r="Y41" s="909"/>
      <c r="Z41" s="897"/>
      <c r="AA41" s="904"/>
      <c r="AB41" s="906"/>
      <c r="AC41" s="903"/>
      <c r="AD41" s="897"/>
      <c r="AE41" s="898">
        <f>ROUND(SUM(G41:K41,N41:P41,S41,V41,Y41,AC41:AD41),3)</f>
        <v>0</v>
      </c>
    </row>
    <row r="42" spans="2:31" ht="13.5" x14ac:dyDescent="0.2">
      <c r="B42" s="41" t="s">
        <v>106</v>
      </c>
      <c r="C42" s="36" t="s">
        <v>869</v>
      </c>
      <c r="D42" s="154">
        <v>10</v>
      </c>
      <c r="E42" s="333"/>
      <c r="F42" s="305"/>
      <c r="G42" s="305"/>
      <c r="H42" s="897"/>
      <c r="I42" s="897"/>
      <c r="J42" s="904"/>
      <c r="K42" s="905"/>
      <c r="L42" s="904"/>
      <c r="M42" s="906"/>
      <c r="N42" s="903"/>
      <c r="O42" s="897"/>
      <c r="P42" s="907"/>
      <c r="Q42" s="904"/>
      <c r="R42" s="904"/>
      <c r="S42" s="904"/>
      <c r="T42" s="908"/>
      <c r="U42" s="899"/>
      <c r="V42" s="909"/>
      <c r="W42" s="903"/>
      <c r="X42" s="906"/>
      <c r="Y42" s="909"/>
      <c r="Z42" s="897"/>
      <c r="AA42" s="904"/>
      <c r="AB42" s="906"/>
      <c r="AC42" s="903"/>
      <c r="AD42" s="897"/>
      <c r="AE42" s="898">
        <f>ROUND(SUM(H42:K42,N42:P42,S42,V42,Y42,AC42:AD42),3)</f>
        <v>0</v>
      </c>
    </row>
    <row r="43" spans="2:31" x14ac:dyDescent="0.2">
      <c r="B43" s="41" t="s">
        <v>107</v>
      </c>
      <c r="C43" s="37" t="s">
        <v>864</v>
      </c>
      <c r="D43" s="155">
        <v>11</v>
      </c>
      <c r="E43" s="911">
        <f>ROUND(E33+E40,3)</f>
        <v>0</v>
      </c>
      <c r="F43" s="911">
        <f>ROUND(F33+F40,3)</f>
        <v>0</v>
      </c>
      <c r="G43" s="898">
        <f>ROUND(G33+G34+G35-G36-G39+G40-G41,3)</f>
        <v>0</v>
      </c>
      <c r="H43" s="898">
        <f t="shared" ref="H43:AD43" si="2">ROUND(H33+H34+H35-H36+H37-H38-H39+H40-H41-H42,3)</f>
        <v>0</v>
      </c>
      <c r="I43" s="898">
        <f t="shared" si="2"/>
        <v>0</v>
      </c>
      <c r="J43" s="912">
        <f t="shared" si="2"/>
        <v>0</v>
      </c>
      <c r="K43" s="913">
        <f t="shared" si="2"/>
        <v>0</v>
      </c>
      <c r="L43" s="912">
        <f t="shared" si="2"/>
        <v>0</v>
      </c>
      <c r="M43" s="914">
        <f t="shared" si="2"/>
        <v>0</v>
      </c>
      <c r="N43" s="911">
        <f t="shared" si="2"/>
        <v>0</v>
      </c>
      <c r="O43" s="898">
        <f t="shared" si="2"/>
        <v>0</v>
      </c>
      <c r="P43" s="898">
        <f t="shared" si="2"/>
        <v>0</v>
      </c>
      <c r="Q43" s="898">
        <f t="shared" si="2"/>
        <v>0</v>
      </c>
      <c r="R43" s="898">
        <f t="shared" si="2"/>
        <v>0</v>
      </c>
      <c r="S43" s="912">
        <f t="shared" si="2"/>
        <v>0</v>
      </c>
      <c r="T43" s="913">
        <f t="shared" si="2"/>
        <v>0</v>
      </c>
      <c r="U43" s="900">
        <f t="shared" si="2"/>
        <v>0</v>
      </c>
      <c r="V43" s="900">
        <f t="shared" si="2"/>
        <v>0</v>
      </c>
      <c r="W43" s="911">
        <f t="shared" si="2"/>
        <v>0</v>
      </c>
      <c r="X43" s="915">
        <f t="shared" si="2"/>
        <v>0</v>
      </c>
      <c r="Y43" s="911">
        <f t="shared" si="2"/>
        <v>0</v>
      </c>
      <c r="Z43" s="898">
        <f t="shared" si="2"/>
        <v>0</v>
      </c>
      <c r="AA43" s="898">
        <f t="shared" ref="AA43" si="3">ROUND(AA33+AA34+AA35-AA36+AA37-AA38-AA39+AA40-AA41-AA42,3)</f>
        <v>0</v>
      </c>
      <c r="AB43" s="915">
        <f t="shared" si="2"/>
        <v>0</v>
      </c>
      <c r="AC43" s="911">
        <f t="shared" si="2"/>
        <v>0</v>
      </c>
      <c r="AD43" s="898">
        <f t="shared" si="2"/>
        <v>0</v>
      </c>
      <c r="AE43" s="898">
        <f>ROUND(SUM(E43:K43,N43:P43,S43,V43,Y43,AC43:AD43),3)</f>
        <v>0</v>
      </c>
    </row>
    <row r="44" spans="2:31" x14ac:dyDescent="0.2">
      <c r="B44" s="41" t="s">
        <v>106</v>
      </c>
      <c r="C44" s="37" t="s">
        <v>7</v>
      </c>
      <c r="D44" s="155">
        <v>12</v>
      </c>
      <c r="E44" s="911">
        <f t="shared" ref="E44:AD44" si="4">ROUND(E43-E45,3)</f>
        <v>0</v>
      </c>
      <c r="F44" s="898">
        <f t="shared" si="4"/>
        <v>0</v>
      </c>
      <c r="G44" s="898">
        <f t="shared" si="4"/>
        <v>0</v>
      </c>
      <c r="H44" s="898">
        <f t="shared" si="4"/>
        <v>0</v>
      </c>
      <c r="I44" s="898">
        <f t="shared" si="4"/>
        <v>0</v>
      </c>
      <c r="J44" s="912">
        <f t="shared" si="4"/>
        <v>0</v>
      </c>
      <c r="K44" s="913">
        <f t="shared" si="4"/>
        <v>0</v>
      </c>
      <c r="L44" s="912">
        <f t="shared" si="4"/>
        <v>0</v>
      </c>
      <c r="M44" s="914">
        <f t="shared" si="4"/>
        <v>0</v>
      </c>
      <c r="N44" s="911">
        <f t="shared" si="4"/>
        <v>0</v>
      </c>
      <c r="O44" s="898">
        <f t="shared" si="4"/>
        <v>0</v>
      </c>
      <c r="P44" s="898">
        <f t="shared" si="4"/>
        <v>0</v>
      </c>
      <c r="Q44" s="898">
        <f t="shared" si="4"/>
        <v>0</v>
      </c>
      <c r="R44" s="898">
        <f t="shared" si="4"/>
        <v>0</v>
      </c>
      <c r="S44" s="912">
        <f t="shared" si="4"/>
        <v>0</v>
      </c>
      <c r="T44" s="913">
        <f t="shared" si="4"/>
        <v>0</v>
      </c>
      <c r="U44" s="900">
        <f t="shared" si="4"/>
        <v>0</v>
      </c>
      <c r="V44" s="900">
        <f t="shared" si="4"/>
        <v>0</v>
      </c>
      <c r="W44" s="911">
        <f t="shared" si="4"/>
        <v>0</v>
      </c>
      <c r="X44" s="915">
        <f t="shared" si="4"/>
        <v>0</v>
      </c>
      <c r="Y44" s="911">
        <f t="shared" si="4"/>
        <v>0</v>
      </c>
      <c r="Z44" s="898">
        <f t="shared" si="4"/>
        <v>0</v>
      </c>
      <c r="AA44" s="898">
        <f t="shared" ref="AA44" si="5">ROUND(AA43-AA45,3)</f>
        <v>0</v>
      </c>
      <c r="AB44" s="915">
        <f t="shared" si="4"/>
        <v>0</v>
      </c>
      <c r="AC44" s="911">
        <f t="shared" si="4"/>
        <v>0</v>
      </c>
      <c r="AD44" s="898">
        <f t="shared" si="4"/>
        <v>0</v>
      </c>
      <c r="AE44" s="898">
        <f>ROUND(SUM(E44:K44,N44:P44,S44,V44,Y44,AC44:AD44),3)</f>
        <v>0</v>
      </c>
    </row>
    <row r="45" spans="2:31" x14ac:dyDescent="0.2">
      <c r="B45" s="224" t="s">
        <v>107</v>
      </c>
      <c r="C45" s="38" t="s">
        <v>855</v>
      </c>
      <c r="D45" s="153">
        <v>13</v>
      </c>
      <c r="E45" s="916"/>
      <c r="F45" s="917"/>
      <c r="G45" s="917"/>
      <c r="H45" s="917"/>
      <c r="I45" s="917"/>
      <c r="J45" s="918"/>
      <c r="K45" s="919"/>
      <c r="L45" s="918"/>
      <c r="M45" s="920"/>
      <c r="N45" s="916"/>
      <c r="O45" s="917"/>
      <c r="P45" s="921"/>
      <c r="Q45" s="918"/>
      <c r="R45" s="918"/>
      <c r="S45" s="918"/>
      <c r="T45" s="922"/>
      <c r="U45" s="923"/>
      <c r="V45" s="924"/>
      <c r="W45" s="916"/>
      <c r="X45" s="920"/>
      <c r="Y45" s="924"/>
      <c r="Z45" s="917"/>
      <c r="AA45" s="918"/>
      <c r="AB45" s="920"/>
      <c r="AC45" s="916"/>
      <c r="AD45" s="917"/>
      <c r="AE45" s="925">
        <f>ROUND(SUM(E45:K45,N45:P45,S45,V45,Y45,AC45:AD45),3)</f>
        <v>0</v>
      </c>
    </row>
    <row r="46" spans="2:31" ht="13.5" x14ac:dyDescent="0.2">
      <c r="B46" s="42"/>
      <c r="C46" s="39" t="s">
        <v>641</v>
      </c>
      <c r="D46" s="153">
        <v>14</v>
      </c>
      <c r="E46" s="333"/>
      <c r="F46" s="305"/>
      <c r="G46" s="305"/>
      <c r="H46" s="305"/>
      <c r="I46" s="305"/>
      <c r="J46" s="334"/>
      <c r="K46" s="335"/>
      <c r="L46" s="334"/>
      <c r="M46" s="336"/>
      <c r="N46" s="903"/>
      <c r="O46" s="903"/>
      <c r="P46" s="909"/>
      <c r="Q46" s="903"/>
      <c r="R46" s="926"/>
      <c r="S46" s="334"/>
      <c r="T46" s="335"/>
      <c r="U46" s="305"/>
      <c r="V46" s="333"/>
      <c r="W46" s="333"/>
      <c r="X46" s="336"/>
      <c r="Y46" s="333"/>
      <c r="Z46" s="305"/>
      <c r="AA46" s="334"/>
      <c r="AB46" s="336"/>
      <c r="AC46" s="333"/>
      <c r="AD46" s="305"/>
      <c r="AE46" s="898">
        <f>ROUND(SUM(N46:P46),3)</f>
        <v>0</v>
      </c>
    </row>
    <row r="47" spans="2:31" x14ac:dyDescent="0.2">
      <c r="B47" s="43"/>
      <c r="C47" s="6" t="s">
        <v>642</v>
      </c>
      <c r="D47" s="153">
        <v>15</v>
      </c>
      <c r="E47" s="903"/>
      <c r="F47" s="897"/>
      <c r="G47" s="897"/>
      <c r="H47" s="897"/>
      <c r="I47" s="897"/>
      <c r="J47" s="904"/>
      <c r="K47" s="927"/>
      <c r="L47" s="904"/>
      <c r="M47" s="906"/>
      <c r="N47" s="903"/>
      <c r="O47" s="897"/>
      <c r="P47" s="907"/>
      <c r="Q47" s="904"/>
      <c r="R47" s="904"/>
      <c r="S47" s="904"/>
      <c r="T47" s="908"/>
      <c r="U47" s="899"/>
      <c r="V47" s="909"/>
      <c r="W47" s="903"/>
      <c r="X47" s="906"/>
      <c r="Y47" s="909"/>
      <c r="Z47" s="897"/>
      <c r="AA47" s="904"/>
      <c r="AB47" s="906"/>
      <c r="AC47" s="903"/>
      <c r="AD47" s="897"/>
      <c r="AE47" s="898">
        <f>ROUND(SUM(E47:K47,N47:P47,S47,V47,Y47,AC47:AD47),3)</f>
        <v>0</v>
      </c>
    </row>
    <row r="48" spans="2:31" x14ac:dyDescent="0.2">
      <c r="B48" s="43"/>
      <c r="C48" s="6" t="s">
        <v>643</v>
      </c>
      <c r="D48" s="153">
        <v>16</v>
      </c>
      <c r="E48" s="333"/>
      <c r="F48" s="305"/>
      <c r="G48" s="305"/>
      <c r="H48" s="305"/>
      <c r="I48" s="897"/>
      <c r="J48" s="334"/>
      <c r="K48" s="335"/>
      <c r="L48" s="334"/>
      <c r="M48" s="336"/>
      <c r="N48" s="333"/>
      <c r="O48" s="305"/>
      <c r="P48" s="305"/>
      <c r="Q48" s="334"/>
      <c r="R48" s="334"/>
      <c r="S48" s="334"/>
      <c r="T48" s="335"/>
      <c r="U48" s="305"/>
      <c r="V48" s="333"/>
      <c r="W48" s="333"/>
      <c r="X48" s="336"/>
      <c r="Y48" s="333"/>
      <c r="Z48" s="305"/>
      <c r="AA48" s="334"/>
      <c r="AB48" s="336"/>
      <c r="AC48" s="333"/>
      <c r="AD48" s="305"/>
      <c r="AE48" s="898">
        <f>ROUND(I48,3)</f>
        <v>0</v>
      </c>
    </row>
    <row r="49" spans="2:35" x14ac:dyDescent="0.2">
      <c r="B49" s="43"/>
      <c r="C49" s="6" t="s">
        <v>665</v>
      </c>
      <c r="D49" s="153">
        <v>17</v>
      </c>
      <c r="E49" s="333"/>
      <c r="F49" s="305"/>
      <c r="G49" s="305"/>
      <c r="H49" s="305"/>
      <c r="I49" s="334"/>
      <c r="J49" s="334"/>
      <c r="K49" s="335"/>
      <c r="L49" s="334"/>
      <c r="M49" s="336"/>
      <c r="N49" s="333"/>
      <c r="O49" s="305"/>
      <c r="P49" s="305"/>
      <c r="Q49" s="334"/>
      <c r="R49" s="334"/>
      <c r="S49" s="334"/>
      <c r="T49" s="335"/>
      <c r="U49" s="897"/>
      <c r="V49" s="907"/>
      <c r="W49" s="897"/>
      <c r="X49" s="897"/>
      <c r="Y49" s="333"/>
      <c r="Z49" s="305"/>
      <c r="AA49" s="334"/>
      <c r="AB49" s="336"/>
      <c r="AC49" s="333"/>
      <c r="AD49" s="305"/>
      <c r="AE49" s="898">
        <f>ROUND(V49,3)</f>
        <v>0</v>
      </c>
    </row>
    <row r="50" spans="2:35" ht="13.5" x14ac:dyDescent="0.2">
      <c r="B50" s="88"/>
      <c r="C50" s="337" t="s">
        <v>865</v>
      </c>
      <c r="D50" s="153">
        <v>18</v>
      </c>
      <c r="E50" s="903"/>
      <c r="F50" s="897"/>
      <c r="G50" s="897"/>
      <c r="H50" s="897"/>
      <c r="I50" s="897"/>
      <c r="J50" s="904"/>
      <c r="K50" s="927"/>
      <c r="L50" s="904"/>
      <c r="M50" s="906"/>
      <c r="N50" s="903"/>
      <c r="O50" s="897"/>
      <c r="P50" s="907"/>
      <c r="Q50" s="904"/>
      <c r="R50" s="904"/>
      <c r="S50" s="904"/>
      <c r="T50" s="908"/>
      <c r="U50" s="899"/>
      <c r="V50" s="909"/>
      <c r="W50" s="903"/>
      <c r="X50" s="906"/>
      <c r="Y50" s="909"/>
      <c r="Z50" s="897"/>
      <c r="AA50" s="904"/>
      <c r="AB50" s="906"/>
      <c r="AC50" s="903"/>
      <c r="AD50" s="897"/>
      <c r="AE50" s="898">
        <f>ROUND(SUM(E50:K50,N50:P50,S50,V50,Y50,AC50:AD50),3)</f>
        <v>0</v>
      </c>
    </row>
    <row r="51" spans="2:35" ht="13.5" x14ac:dyDescent="0.2">
      <c r="B51" s="88"/>
      <c r="C51" s="337" t="s">
        <v>866</v>
      </c>
      <c r="D51" s="154">
        <v>19</v>
      </c>
      <c r="E51" s="333"/>
      <c r="F51" s="305"/>
      <c r="G51" s="897"/>
      <c r="H51" s="897"/>
      <c r="I51" s="897"/>
      <c r="J51" s="904"/>
      <c r="K51" s="927"/>
      <c r="L51" s="904"/>
      <c r="M51" s="906"/>
      <c r="N51" s="903"/>
      <c r="O51" s="897"/>
      <c r="P51" s="907"/>
      <c r="Q51" s="904"/>
      <c r="R51" s="904"/>
      <c r="S51" s="904"/>
      <c r="T51" s="908"/>
      <c r="U51" s="899"/>
      <c r="V51" s="909"/>
      <c r="W51" s="903"/>
      <c r="X51" s="906"/>
      <c r="Y51" s="909"/>
      <c r="Z51" s="897"/>
      <c r="AA51" s="904"/>
      <c r="AB51" s="906"/>
      <c r="AC51" s="903"/>
      <c r="AD51" s="897"/>
      <c r="AE51" s="898">
        <f>ROUND(SUM(G51:K51,N51:P51,S51,V51,Y51,AC51:AD51),3)</f>
        <v>0</v>
      </c>
    </row>
    <row r="52" spans="2:35" x14ac:dyDescent="0.2">
      <c r="B52" s="88"/>
      <c r="C52" s="337" t="s">
        <v>867</v>
      </c>
      <c r="D52" s="153">
        <v>20</v>
      </c>
      <c r="E52" s="333"/>
      <c r="F52" s="305"/>
      <c r="G52" s="305"/>
      <c r="H52" s="305"/>
      <c r="I52" s="305"/>
      <c r="J52" s="334"/>
      <c r="K52" s="335"/>
      <c r="L52" s="334"/>
      <c r="M52" s="336"/>
      <c r="N52" s="333"/>
      <c r="O52" s="305"/>
      <c r="P52" s="305"/>
      <c r="Q52" s="334"/>
      <c r="R52" s="334"/>
      <c r="S52" s="334"/>
      <c r="T52" s="335"/>
      <c r="U52" s="305"/>
      <c r="V52" s="333"/>
      <c r="W52" s="333"/>
      <c r="X52" s="336"/>
      <c r="Y52" s="333"/>
      <c r="Z52" s="305"/>
      <c r="AA52" s="334"/>
      <c r="AB52" s="336"/>
      <c r="AC52" s="333"/>
      <c r="AD52" s="305"/>
      <c r="AE52" s="897">
        <f>ROUND(AE45-AE51,3)</f>
        <v>0</v>
      </c>
    </row>
    <row r="56" spans="2:35" x14ac:dyDescent="0.2">
      <c r="C56" s="28" t="s">
        <v>179</v>
      </c>
      <c r="D56" s="28"/>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25" t="s">
        <v>108</v>
      </c>
    </row>
    <row r="57" spans="2:35" ht="12.75" customHeight="1" x14ac:dyDescent="0.2">
      <c r="C57" s="181"/>
      <c r="D57" s="182"/>
      <c r="E57" s="1124" t="s">
        <v>656</v>
      </c>
      <c r="F57" s="1124" t="s">
        <v>657</v>
      </c>
      <c r="G57" s="1124" t="s">
        <v>647</v>
      </c>
      <c r="H57" s="1150" t="s">
        <v>666</v>
      </c>
      <c r="I57" s="1150" t="s">
        <v>885</v>
      </c>
      <c r="J57" s="1213" t="s">
        <v>886</v>
      </c>
      <c r="K57" s="1122" t="s">
        <v>8</v>
      </c>
      <c r="L57" s="1124" t="s">
        <v>9</v>
      </c>
      <c r="M57" s="1150" t="s">
        <v>10</v>
      </c>
      <c r="N57" s="1114" t="s">
        <v>659</v>
      </c>
      <c r="O57" s="329"/>
      <c r="P57" s="190"/>
      <c r="Q57" s="1122" t="s">
        <v>660</v>
      </c>
      <c r="R57" s="1124" t="s">
        <v>661</v>
      </c>
      <c r="S57" s="1116" t="s">
        <v>668</v>
      </c>
      <c r="T57" s="191"/>
      <c r="U57" s="192"/>
      <c r="V57" s="1126" t="s">
        <v>664</v>
      </c>
      <c r="W57" s="193"/>
      <c r="X57" s="190"/>
      <c r="Y57" s="1118" t="s">
        <v>670</v>
      </c>
      <c r="Z57" s="190"/>
      <c r="AA57" s="190"/>
      <c r="AB57" s="1114" t="s">
        <v>628</v>
      </c>
      <c r="AC57" s="190"/>
      <c r="AD57" s="190"/>
      <c r="AE57" s="190"/>
      <c r="AF57" s="1122" t="s">
        <v>629</v>
      </c>
      <c r="AG57" s="1150" t="s">
        <v>630</v>
      </c>
      <c r="AH57" s="1120" t="s">
        <v>631</v>
      </c>
      <c r="AI57" s="1120" t="s">
        <v>679</v>
      </c>
    </row>
    <row r="58" spans="2:35" ht="12.75" customHeight="1" x14ac:dyDescent="0.2">
      <c r="C58" s="183"/>
      <c r="D58" s="171"/>
      <c r="E58" s="1125"/>
      <c r="F58" s="1125"/>
      <c r="G58" s="1125"/>
      <c r="H58" s="1125"/>
      <c r="I58" s="1138"/>
      <c r="J58" s="1148"/>
      <c r="K58" s="1123"/>
      <c r="L58" s="1125"/>
      <c r="M58" s="1138"/>
      <c r="N58" s="1115"/>
      <c r="O58" s="184" t="s">
        <v>623</v>
      </c>
      <c r="P58" s="195" t="s">
        <v>626</v>
      </c>
      <c r="Q58" s="1123"/>
      <c r="R58" s="1125"/>
      <c r="S58" s="1117"/>
      <c r="T58" s="186" t="s">
        <v>662</v>
      </c>
      <c r="U58" s="187" t="s">
        <v>663</v>
      </c>
      <c r="V58" s="1127"/>
      <c r="W58" s="188" t="s">
        <v>627</v>
      </c>
      <c r="X58" s="189" t="s">
        <v>669</v>
      </c>
      <c r="Y58" s="1119"/>
      <c r="Z58" s="184" t="s">
        <v>624</v>
      </c>
      <c r="AA58" s="196" t="s">
        <v>671</v>
      </c>
      <c r="AB58" s="1115"/>
      <c r="AC58" s="187" t="s">
        <v>674</v>
      </c>
      <c r="AD58" s="186" t="s">
        <v>1411</v>
      </c>
      <c r="AE58" s="196" t="s">
        <v>872</v>
      </c>
      <c r="AF58" s="1123"/>
      <c r="AG58" s="1138"/>
      <c r="AH58" s="1121"/>
      <c r="AI58" s="1121"/>
    </row>
    <row r="59" spans="2:35" x14ac:dyDescent="0.2">
      <c r="C59" s="92"/>
      <c r="D59" s="77"/>
      <c r="E59" s="87" t="s">
        <v>152</v>
      </c>
      <c r="F59" s="86" t="s">
        <v>153</v>
      </c>
      <c r="G59" s="86" t="s">
        <v>154</v>
      </c>
      <c r="H59" s="86" t="s">
        <v>155</v>
      </c>
      <c r="I59" s="86" t="s">
        <v>156</v>
      </c>
      <c r="J59" s="93" t="s">
        <v>157</v>
      </c>
      <c r="K59" s="87" t="s">
        <v>158</v>
      </c>
      <c r="L59" s="87" t="s">
        <v>159</v>
      </c>
      <c r="M59" s="96" t="s">
        <v>160</v>
      </c>
      <c r="N59" s="179" t="s">
        <v>161</v>
      </c>
      <c r="O59" s="86" t="s">
        <v>162</v>
      </c>
      <c r="P59" s="89" t="s">
        <v>163</v>
      </c>
      <c r="Q59" s="95" t="s">
        <v>164</v>
      </c>
      <c r="R59" s="177" t="s">
        <v>165</v>
      </c>
      <c r="S59" s="180" t="s">
        <v>166</v>
      </c>
      <c r="T59" s="86" t="s">
        <v>167</v>
      </c>
      <c r="U59" s="86" t="s">
        <v>168</v>
      </c>
      <c r="V59" s="94" t="s">
        <v>169</v>
      </c>
      <c r="W59" s="87" t="s">
        <v>170</v>
      </c>
      <c r="X59" s="101" t="s">
        <v>171</v>
      </c>
      <c r="Y59" s="176" t="s">
        <v>172</v>
      </c>
      <c r="Z59" s="177" t="s">
        <v>173</v>
      </c>
      <c r="AA59" s="89" t="s">
        <v>174</v>
      </c>
      <c r="AB59" s="179" t="s">
        <v>175</v>
      </c>
      <c r="AC59" s="177" t="s">
        <v>176</v>
      </c>
      <c r="AD59" s="177" t="s">
        <v>177</v>
      </c>
      <c r="AE59" s="89" t="s">
        <v>181</v>
      </c>
      <c r="AF59" s="178" t="s">
        <v>417</v>
      </c>
      <c r="AG59" s="89" t="s">
        <v>672</v>
      </c>
      <c r="AH59" s="90" t="s">
        <v>678</v>
      </c>
      <c r="AI59" s="90" t="s">
        <v>499</v>
      </c>
    </row>
    <row r="60" spans="2:35" x14ac:dyDescent="0.2">
      <c r="C60" s="91" t="s">
        <v>930</v>
      </c>
      <c r="D60" s="145">
        <v>1</v>
      </c>
      <c r="E60" s="897"/>
      <c r="F60" s="897"/>
      <c r="G60" s="897"/>
      <c r="H60" s="897"/>
      <c r="I60" s="897"/>
      <c r="J60" s="915">
        <f t="shared" ref="J60:J92" si="6">ROUND(SUM(E60:I60),3)</f>
        <v>0</v>
      </c>
      <c r="K60" s="903"/>
      <c r="L60" s="903"/>
      <c r="M60" s="926"/>
      <c r="N60" s="927"/>
      <c r="O60" s="928"/>
      <c r="P60" s="904"/>
      <c r="Q60" s="908"/>
      <c r="R60" s="928"/>
      <c r="S60" s="907"/>
      <c r="T60" s="928"/>
      <c r="U60" s="904"/>
      <c r="V60" s="904"/>
      <c r="W60" s="929"/>
      <c r="X60" s="899"/>
      <c r="Y60" s="909"/>
      <c r="Z60" s="928"/>
      <c r="AA60" s="904"/>
      <c r="AB60" s="927"/>
      <c r="AC60" s="928"/>
      <c r="AD60" s="928"/>
      <c r="AE60" s="904"/>
      <c r="AF60" s="908"/>
      <c r="AG60" s="928"/>
      <c r="AH60" s="898">
        <f t="shared" ref="AH60:AH92" si="7">ROUND(SUM(K60:N60,Q60:S60,V60,Y60,AB60,AF60:AG60),3)</f>
        <v>0</v>
      </c>
      <c r="AI60" s="898">
        <f t="shared" ref="AI60:AI92" si="8">ROUND(SUM(J60,AH60),3)</f>
        <v>0</v>
      </c>
    </row>
    <row r="61" spans="2:35" x14ac:dyDescent="0.2">
      <c r="C61" s="74" t="s">
        <v>12</v>
      </c>
      <c r="D61" s="146">
        <v>2</v>
      </c>
      <c r="E61" s="897"/>
      <c r="F61" s="897"/>
      <c r="G61" s="897"/>
      <c r="H61" s="897"/>
      <c r="I61" s="897"/>
      <c r="J61" s="915">
        <f t="shared" si="6"/>
        <v>0</v>
      </c>
      <c r="K61" s="903"/>
      <c r="L61" s="903"/>
      <c r="M61" s="926"/>
      <c r="N61" s="927"/>
      <c r="O61" s="928"/>
      <c r="P61" s="904"/>
      <c r="Q61" s="908"/>
      <c r="R61" s="928"/>
      <c r="S61" s="907"/>
      <c r="T61" s="928"/>
      <c r="U61" s="904"/>
      <c r="V61" s="904"/>
      <c r="W61" s="929"/>
      <c r="X61" s="899"/>
      <c r="Y61" s="909"/>
      <c r="Z61" s="928"/>
      <c r="AA61" s="904"/>
      <c r="AB61" s="927"/>
      <c r="AC61" s="928"/>
      <c r="AD61" s="928"/>
      <c r="AE61" s="904"/>
      <c r="AF61" s="908"/>
      <c r="AG61" s="928"/>
      <c r="AH61" s="898">
        <f t="shared" si="7"/>
        <v>0</v>
      </c>
      <c r="AI61" s="898">
        <f t="shared" si="8"/>
        <v>0</v>
      </c>
    </row>
    <row r="62" spans="2:35" x14ac:dyDescent="0.2">
      <c r="C62" s="74" t="s">
        <v>953</v>
      </c>
      <c r="D62" s="146">
        <v>3</v>
      </c>
      <c r="E62" s="897"/>
      <c r="F62" s="897"/>
      <c r="G62" s="897"/>
      <c r="H62" s="897"/>
      <c r="I62" s="897"/>
      <c r="J62" s="915">
        <f t="shared" si="6"/>
        <v>0</v>
      </c>
      <c r="K62" s="903"/>
      <c r="L62" s="903"/>
      <c r="M62" s="926"/>
      <c r="N62" s="927"/>
      <c r="O62" s="928"/>
      <c r="P62" s="904"/>
      <c r="Q62" s="908"/>
      <c r="R62" s="928"/>
      <c r="S62" s="907"/>
      <c r="T62" s="928"/>
      <c r="U62" s="904"/>
      <c r="V62" s="904"/>
      <c r="W62" s="929"/>
      <c r="X62" s="899"/>
      <c r="Y62" s="909"/>
      <c r="Z62" s="928"/>
      <c r="AA62" s="904"/>
      <c r="AB62" s="927"/>
      <c r="AC62" s="928"/>
      <c r="AD62" s="928"/>
      <c r="AE62" s="904"/>
      <c r="AF62" s="908"/>
      <c r="AG62" s="928"/>
      <c r="AH62" s="898">
        <f t="shared" si="7"/>
        <v>0</v>
      </c>
      <c r="AI62" s="898">
        <f t="shared" si="8"/>
        <v>0</v>
      </c>
    </row>
    <row r="63" spans="2:35" x14ac:dyDescent="0.2">
      <c r="C63" s="74" t="s">
        <v>178</v>
      </c>
      <c r="D63" s="146">
        <v>4</v>
      </c>
      <c r="E63" s="897"/>
      <c r="F63" s="897"/>
      <c r="G63" s="897"/>
      <c r="H63" s="897"/>
      <c r="I63" s="897"/>
      <c r="J63" s="915">
        <f t="shared" si="6"/>
        <v>0</v>
      </c>
      <c r="K63" s="903"/>
      <c r="L63" s="903"/>
      <c r="M63" s="926"/>
      <c r="N63" s="927"/>
      <c r="O63" s="928"/>
      <c r="P63" s="904"/>
      <c r="Q63" s="908"/>
      <c r="R63" s="928"/>
      <c r="S63" s="907"/>
      <c r="T63" s="928"/>
      <c r="U63" s="904"/>
      <c r="V63" s="904"/>
      <c r="W63" s="929"/>
      <c r="X63" s="899"/>
      <c r="Y63" s="909"/>
      <c r="Z63" s="928"/>
      <c r="AA63" s="904"/>
      <c r="AB63" s="927"/>
      <c r="AC63" s="928"/>
      <c r="AD63" s="928"/>
      <c r="AE63" s="904"/>
      <c r="AF63" s="908"/>
      <c r="AG63" s="928"/>
      <c r="AH63" s="898">
        <f t="shared" si="7"/>
        <v>0</v>
      </c>
      <c r="AI63" s="898">
        <f t="shared" si="8"/>
        <v>0</v>
      </c>
    </row>
    <row r="64" spans="2:35" x14ac:dyDescent="0.2">
      <c r="C64" s="74" t="s">
        <v>13</v>
      </c>
      <c r="D64" s="146">
        <v>5</v>
      </c>
      <c r="E64" s="897"/>
      <c r="F64" s="897"/>
      <c r="G64" s="897"/>
      <c r="H64" s="897"/>
      <c r="I64" s="897"/>
      <c r="J64" s="915">
        <f t="shared" si="6"/>
        <v>0</v>
      </c>
      <c r="K64" s="903"/>
      <c r="L64" s="903"/>
      <c r="M64" s="926"/>
      <c r="N64" s="927"/>
      <c r="O64" s="928"/>
      <c r="P64" s="904"/>
      <c r="Q64" s="908"/>
      <c r="R64" s="928"/>
      <c r="S64" s="907"/>
      <c r="T64" s="928"/>
      <c r="U64" s="904"/>
      <c r="V64" s="904"/>
      <c r="W64" s="929"/>
      <c r="X64" s="899"/>
      <c r="Y64" s="909"/>
      <c r="Z64" s="928"/>
      <c r="AA64" s="904"/>
      <c r="AB64" s="927"/>
      <c r="AC64" s="928"/>
      <c r="AD64" s="928"/>
      <c r="AE64" s="904"/>
      <c r="AF64" s="908"/>
      <c r="AG64" s="928"/>
      <c r="AH64" s="898">
        <f t="shared" si="7"/>
        <v>0</v>
      </c>
      <c r="AI64" s="898">
        <f t="shared" si="8"/>
        <v>0</v>
      </c>
    </row>
    <row r="65" spans="3:35" x14ac:dyDescent="0.2">
      <c r="C65" s="74" t="s">
        <v>554</v>
      </c>
      <c r="D65" s="146">
        <v>6</v>
      </c>
      <c r="E65" s="897"/>
      <c r="F65" s="897"/>
      <c r="G65" s="897"/>
      <c r="H65" s="897"/>
      <c r="I65" s="897"/>
      <c r="J65" s="915">
        <f t="shared" si="6"/>
        <v>0</v>
      </c>
      <c r="K65" s="903"/>
      <c r="L65" s="903"/>
      <c r="M65" s="926"/>
      <c r="N65" s="927"/>
      <c r="O65" s="928"/>
      <c r="P65" s="904"/>
      <c r="Q65" s="908"/>
      <c r="R65" s="928"/>
      <c r="S65" s="907"/>
      <c r="T65" s="928"/>
      <c r="U65" s="904"/>
      <c r="V65" s="904"/>
      <c r="W65" s="929"/>
      <c r="X65" s="899"/>
      <c r="Y65" s="909"/>
      <c r="Z65" s="928"/>
      <c r="AA65" s="904"/>
      <c r="AB65" s="927"/>
      <c r="AC65" s="928"/>
      <c r="AD65" s="928"/>
      <c r="AE65" s="904"/>
      <c r="AF65" s="908"/>
      <c r="AG65" s="928"/>
      <c r="AH65" s="898">
        <f t="shared" si="7"/>
        <v>0</v>
      </c>
      <c r="AI65" s="898">
        <f t="shared" si="8"/>
        <v>0</v>
      </c>
    </row>
    <row r="66" spans="3:35" x14ac:dyDescent="0.2">
      <c r="C66" s="74" t="s">
        <v>954</v>
      </c>
      <c r="D66" s="146">
        <v>7</v>
      </c>
      <c r="E66" s="897"/>
      <c r="F66" s="897"/>
      <c r="G66" s="897"/>
      <c r="H66" s="897"/>
      <c r="I66" s="897"/>
      <c r="J66" s="915">
        <f t="shared" si="6"/>
        <v>0</v>
      </c>
      <c r="K66" s="903"/>
      <c r="L66" s="903"/>
      <c r="M66" s="926"/>
      <c r="N66" s="927"/>
      <c r="O66" s="928"/>
      <c r="P66" s="904"/>
      <c r="Q66" s="908"/>
      <c r="R66" s="928"/>
      <c r="S66" s="907"/>
      <c r="T66" s="928"/>
      <c r="U66" s="904"/>
      <c r="V66" s="904"/>
      <c r="W66" s="929"/>
      <c r="X66" s="899"/>
      <c r="Y66" s="909"/>
      <c r="Z66" s="928"/>
      <c r="AA66" s="904"/>
      <c r="AB66" s="927"/>
      <c r="AC66" s="928"/>
      <c r="AD66" s="928"/>
      <c r="AE66" s="904"/>
      <c r="AF66" s="908"/>
      <c r="AG66" s="928"/>
      <c r="AH66" s="898">
        <f t="shared" si="7"/>
        <v>0</v>
      </c>
      <c r="AI66" s="898">
        <f t="shared" si="8"/>
        <v>0</v>
      </c>
    </row>
    <row r="67" spans="3:35" x14ac:dyDescent="0.2">
      <c r="C67" s="74" t="s">
        <v>14</v>
      </c>
      <c r="D67" s="146">
        <v>8</v>
      </c>
      <c r="E67" s="897"/>
      <c r="F67" s="897"/>
      <c r="G67" s="897"/>
      <c r="H67" s="897"/>
      <c r="I67" s="897"/>
      <c r="J67" s="915">
        <f t="shared" si="6"/>
        <v>0</v>
      </c>
      <c r="K67" s="903"/>
      <c r="L67" s="903"/>
      <c r="M67" s="926"/>
      <c r="N67" s="927"/>
      <c r="O67" s="928"/>
      <c r="P67" s="904"/>
      <c r="Q67" s="908"/>
      <c r="R67" s="928"/>
      <c r="S67" s="907"/>
      <c r="T67" s="928"/>
      <c r="U67" s="904"/>
      <c r="V67" s="904"/>
      <c r="W67" s="929"/>
      <c r="X67" s="899"/>
      <c r="Y67" s="909"/>
      <c r="Z67" s="928"/>
      <c r="AA67" s="904"/>
      <c r="AB67" s="927"/>
      <c r="AC67" s="928"/>
      <c r="AD67" s="928"/>
      <c r="AE67" s="904"/>
      <c r="AF67" s="908"/>
      <c r="AG67" s="928"/>
      <c r="AH67" s="898">
        <f t="shared" si="7"/>
        <v>0</v>
      </c>
      <c r="AI67" s="898">
        <f t="shared" si="8"/>
        <v>0</v>
      </c>
    </row>
    <row r="68" spans="3:35" x14ac:dyDescent="0.2">
      <c r="C68" s="74" t="s">
        <v>15</v>
      </c>
      <c r="D68" s="146">
        <v>9</v>
      </c>
      <c r="E68" s="897"/>
      <c r="F68" s="897"/>
      <c r="G68" s="897"/>
      <c r="H68" s="897"/>
      <c r="I68" s="897"/>
      <c r="J68" s="915">
        <f t="shared" si="6"/>
        <v>0</v>
      </c>
      <c r="K68" s="903"/>
      <c r="L68" s="903"/>
      <c r="M68" s="926"/>
      <c r="N68" s="927"/>
      <c r="O68" s="928"/>
      <c r="P68" s="904"/>
      <c r="Q68" s="908"/>
      <c r="R68" s="928"/>
      <c r="S68" s="907"/>
      <c r="T68" s="928"/>
      <c r="U68" s="904"/>
      <c r="V68" s="904"/>
      <c r="W68" s="929"/>
      <c r="X68" s="899"/>
      <c r="Y68" s="909"/>
      <c r="Z68" s="928"/>
      <c r="AA68" s="904"/>
      <c r="AB68" s="927"/>
      <c r="AC68" s="928"/>
      <c r="AD68" s="928"/>
      <c r="AE68" s="904"/>
      <c r="AF68" s="908"/>
      <c r="AG68" s="928"/>
      <c r="AH68" s="898">
        <f t="shared" si="7"/>
        <v>0</v>
      </c>
      <c r="AI68" s="898">
        <f t="shared" si="8"/>
        <v>0</v>
      </c>
    </row>
    <row r="69" spans="3:35" x14ac:dyDescent="0.2">
      <c r="C69" s="74" t="s">
        <v>555</v>
      </c>
      <c r="D69" s="146">
        <v>10</v>
      </c>
      <c r="E69" s="897"/>
      <c r="F69" s="897"/>
      <c r="G69" s="897"/>
      <c r="H69" s="897"/>
      <c r="I69" s="897"/>
      <c r="J69" s="915">
        <f t="shared" si="6"/>
        <v>0</v>
      </c>
      <c r="K69" s="903"/>
      <c r="L69" s="903"/>
      <c r="M69" s="926"/>
      <c r="N69" s="927"/>
      <c r="O69" s="928"/>
      <c r="P69" s="904"/>
      <c r="Q69" s="908"/>
      <c r="R69" s="928"/>
      <c r="S69" s="907"/>
      <c r="T69" s="928"/>
      <c r="U69" s="904"/>
      <c r="V69" s="904"/>
      <c r="W69" s="929"/>
      <c r="X69" s="899"/>
      <c r="Y69" s="909"/>
      <c r="Z69" s="928"/>
      <c r="AA69" s="904"/>
      <c r="AB69" s="927"/>
      <c r="AC69" s="928"/>
      <c r="AD69" s="928"/>
      <c r="AE69" s="904"/>
      <c r="AF69" s="908"/>
      <c r="AG69" s="928"/>
      <c r="AH69" s="898">
        <f t="shared" si="7"/>
        <v>0</v>
      </c>
      <c r="AI69" s="898">
        <f t="shared" si="8"/>
        <v>0</v>
      </c>
    </row>
    <row r="70" spans="3:35" x14ac:dyDescent="0.2">
      <c r="C70" s="74" t="s">
        <v>16</v>
      </c>
      <c r="D70" s="146">
        <v>11</v>
      </c>
      <c r="E70" s="897"/>
      <c r="F70" s="897"/>
      <c r="G70" s="897"/>
      <c r="H70" s="897"/>
      <c r="I70" s="897"/>
      <c r="J70" s="915">
        <f t="shared" si="6"/>
        <v>0</v>
      </c>
      <c r="K70" s="903"/>
      <c r="L70" s="903"/>
      <c r="M70" s="926"/>
      <c r="N70" s="927"/>
      <c r="O70" s="928"/>
      <c r="P70" s="904"/>
      <c r="Q70" s="908"/>
      <c r="R70" s="928"/>
      <c r="S70" s="907"/>
      <c r="T70" s="928"/>
      <c r="U70" s="904"/>
      <c r="V70" s="904"/>
      <c r="W70" s="929"/>
      <c r="X70" s="899"/>
      <c r="Y70" s="909"/>
      <c r="Z70" s="928"/>
      <c r="AA70" s="904"/>
      <c r="AB70" s="927"/>
      <c r="AC70" s="928"/>
      <c r="AD70" s="928"/>
      <c r="AE70" s="904"/>
      <c r="AF70" s="908"/>
      <c r="AG70" s="928"/>
      <c r="AH70" s="898">
        <f t="shared" si="7"/>
        <v>0</v>
      </c>
      <c r="AI70" s="898">
        <f t="shared" si="8"/>
        <v>0</v>
      </c>
    </row>
    <row r="71" spans="3:35" x14ac:dyDescent="0.2">
      <c r="C71" s="74" t="s">
        <v>17</v>
      </c>
      <c r="D71" s="146">
        <v>12</v>
      </c>
      <c r="E71" s="897"/>
      <c r="F71" s="897"/>
      <c r="G71" s="897"/>
      <c r="H71" s="897"/>
      <c r="I71" s="897"/>
      <c r="J71" s="915">
        <f t="shared" si="6"/>
        <v>0</v>
      </c>
      <c r="K71" s="903"/>
      <c r="L71" s="903"/>
      <c r="M71" s="926"/>
      <c r="N71" s="927"/>
      <c r="O71" s="928"/>
      <c r="P71" s="904"/>
      <c r="Q71" s="908"/>
      <c r="R71" s="928"/>
      <c r="S71" s="907"/>
      <c r="T71" s="928"/>
      <c r="U71" s="904"/>
      <c r="V71" s="904"/>
      <c r="W71" s="929"/>
      <c r="X71" s="899"/>
      <c r="Y71" s="909"/>
      <c r="Z71" s="928"/>
      <c r="AA71" s="904"/>
      <c r="AB71" s="927"/>
      <c r="AC71" s="928"/>
      <c r="AD71" s="928"/>
      <c r="AE71" s="904"/>
      <c r="AF71" s="908"/>
      <c r="AG71" s="928"/>
      <c r="AH71" s="898">
        <f t="shared" si="7"/>
        <v>0</v>
      </c>
      <c r="AI71" s="898">
        <f t="shared" si="8"/>
        <v>0</v>
      </c>
    </row>
    <row r="72" spans="3:35" x14ac:dyDescent="0.2">
      <c r="C72" s="225" t="s">
        <v>955</v>
      </c>
      <c r="D72" s="146">
        <v>13</v>
      </c>
      <c r="E72" s="897"/>
      <c r="F72" s="897"/>
      <c r="G72" s="897"/>
      <c r="H72" s="897"/>
      <c r="I72" s="897"/>
      <c r="J72" s="915">
        <f t="shared" si="6"/>
        <v>0</v>
      </c>
      <c r="K72" s="903"/>
      <c r="L72" s="903"/>
      <c r="M72" s="926"/>
      <c r="N72" s="927"/>
      <c r="O72" s="928"/>
      <c r="P72" s="904"/>
      <c r="Q72" s="908"/>
      <c r="R72" s="928"/>
      <c r="S72" s="907"/>
      <c r="T72" s="928"/>
      <c r="U72" s="904"/>
      <c r="V72" s="904"/>
      <c r="W72" s="929"/>
      <c r="X72" s="899"/>
      <c r="Y72" s="909"/>
      <c r="Z72" s="928"/>
      <c r="AA72" s="904"/>
      <c r="AB72" s="927"/>
      <c r="AC72" s="928"/>
      <c r="AD72" s="928"/>
      <c r="AE72" s="904"/>
      <c r="AF72" s="908"/>
      <c r="AG72" s="928"/>
      <c r="AH72" s="898">
        <f t="shared" si="7"/>
        <v>0</v>
      </c>
      <c r="AI72" s="898">
        <f t="shared" si="8"/>
        <v>0</v>
      </c>
    </row>
    <row r="73" spans="3:35" x14ac:dyDescent="0.2">
      <c r="C73" s="74" t="s">
        <v>956</v>
      </c>
      <c r="D73" s="146">
        <v>14</v>
      </c>
      <c r="E73" s="897"/>
      <c r="F73" s="897"/>
      <c r="G73" s="897"/>
      <c r="H73" s="897"/>
      <c r="I73" s="897"/>
      <c r="J73" s="915">
        <f t="shared" si="6"/>
        <v>0</v>
      </c>
      <c r="K73" s="903"/>
      <c r="L73" s="903"/>
      <c r="M73" s="926"/>
      <c r="N73" s="927"/>
      <c r="O73" s="928"/>
      <c r="P73" s="904"/>
      <c r="Q73" s="908"/>
      <c r="R73" s="928"/>
      <c r="S73" s="907"/>
      <c r="T73" s="928"/>
      <c r="U73" s="904"/>
      <c r="V73" s="904"/>
      <c r="W73" s="929"/>
      <c r="X73" s="899"/>
      <c r="Y73" s="909"/>
      <c r="Z73" s="928"/>
      <c r="AA73" s="904"/>
      <c r="AB73" s="927"/>
      <c r="AC73" s="928"/>
      <c r="AD73" s="928"/>
      <c r="AE73" s="904"/>
      <c r="AF73" s="908"/>
      <c r="AG73" s="928"/>
      <c r="AH73" s="898">
        <f t="shared" si="7"/>
        <v>0</v>
      </c>
      <c r="AI73" s="898">
        <f t="shared" si="8"/>
        <v>0</v>
      </c>
    </row>
    <row r="74" spans="3:35" x14ac:dyDescent="0.2">
      <c r="C74" s="74" t="s">
        <v>556</v>
      </c>
      <c r="D74" s="146">
        <v>15</v>
      </c>
      <c r="E74" s="897"/>
      <c r="F74" s="897"/>
      <c r="G74" s="897"/>
      <c r="H74" s="897"/>
      <c r="I74" s="897"/>
      <c r="J74" s="915">
        <f t="shared" si="6"/>
        <v>0</v>
      </c>
      <c r="K74" s="903"/>
      <c r="L74" s="903"/>
      <c r="M74" s="926"/>
      <c r="N74" s="927"/>
      <c r="O74" s="928"/>
      <c r="P74" s="904"/>
      <c r="Q74" s="908"/>
      <c r="R74" s="928"/>
      <c r="S74" s="907"/>
      <c r="T74" s="928"/>
      <c r="U74" s="904"/>
      <c r="V74" s="904"/>
      <c r="W74" s="929"/>
      <c r="X74" s="899"/>
      <c r="Y74" s="909"/>
      <c r="Z74" s="928"/>
      <c r="AA74" s="904"/>
      <c r="AB74" s="927"/>
      <c r="AC74" s="928"/>
      <c r="AD74" s="928"/>
      <c r="AE74" s="904"/>
      <c r="AF74" s="908"/>
      <c r="AG74" s="928"/>
      <c r="AH74" s="898">
        <f t="shared" si="7"/>
        <v>0</v>
      </c>
      <c r="AI74" s="898">
        <f t="shared" si="8"/>
        <v>0</v>
      </c>
    </row>
    <row r="75" spans="3:35" x14ac:dyDescent="0.2">
      <c r="C75" s="74" t="s">
        <v>18</v>
      </c>
      <c r="D75" s="146">
        <v>16</v>
      </c>
      <c r="E75" s="897"/>
      <c r="F75" s="897"/>
      <c r="G75" s="897"/>
      <c r="H75" s="897"/>
      <c r="I75" s="897"/>
      <c r="J75" s="915">
        <f t="shared" si="6"/>
        <v>0</v>
      </c>
      <c r="K75" s="903"/>
      <c r="L75" s="903"/>
      <c r="M75" s="926"/>
      <c r="N75" s="927"/>
      <c r="O75" s="928"/>
      <c r="P75" s="904"/>
      <c r="Q75" s="908"/>
      <c r="R75" s="928"/>
      <c r="S75" s="907"/>
      <c r="T75" s="928"/>
      <c r="U75" s="904"/>
      <c r="V75" s="904"/>
      <c r="W75" s="929"/>
      <c r="X75" s="899"/>
      <c r="Y75" s="909"/>
      <c r="Z75" s="928"/>
      <c r="AA75" s="904"/>
      <c r="AB75" s="927"/>
      <c r="AC75" s="928"/>
      <c r="AD75" s="928"/>
      <c r="AE75" s="904"/>
      <c r="AF75" s="908"/>
      <c r="AG75" s="928"/>
      <c r="AH75" s="898">
        <f t="shared" si="7"/>
        <v>0</v>
      </c>
      <c r="AI75" s="898">
        <f t="shared" si="8"/>
        <v>0</v>
      </c>
    </row>
    <row r="76" spans="3:35" x14ac:dyDescent="0.2">
      <c r="C76" s="74" t="s">
        <v>957</v>
      </c>
      <c r="D76" s="146">
        <v>17</v>
      </c>
      <c r="E76" s="897"/>
      <c r="F76" s="897"/>
      <c r="G76" s="897"/>
      <c r="H76" s="897"/>
      <c r="I76" s="897"/>
      <c r="J76" s="915">
        <f t="shared" si="6"/>
        <v>0</v>
      </c>
      <c r="K76" s="903"/>
      <c r="L76" s="903"/>
      <c r="M76" s="926"/>
      <c r="N76" s="927"/>
      <c r="O76" s="928"/>
      <c r="P76" s="904"/>
      <c r="Q76" s="908"/>
      <c r="R76" s="928"/>
      <c r="S76" s="907"/>
      <c r="T76" s="928"/>
      <c r="U76" s="904"/>
      <c r="V76" s="904"/>
      <c r="W76" s="929"/>
      <c r="X76" s="899"/>
      <c r="Y76" s="909"/>
      <c r="Z76" s="928"/>
      <c r="AA76" s="904"/>
      <c r="AB76" s="927"/>
      <c r="AC76" s="928"/>
      <c r="AD76" s="928"/>
      <c r="AE76" s="904"/>
      <c r="AF76" s="908"/>
      <c r="AG76" s="928"/>
      <c r="AH76" s="898">
        <f t="shared" si="7"/>
        <v>0</v>
      </c>
      <c r="AI76" s="898">
        <f t="shared" si="8"/>
        <v>0</v>
      </c>
    </row>
    <row r="77" spans="3:35" x14ac:dyDescent="0.2">
      <c r="C77" s="74" t="s">
        <v>958</v>
      </c>
      <c r="D77" s="146">
        <v>18</v>
      </c>
      <c r="E77" s="897"/>
      <c r="F77" s="897"/>
      <c r="G77" s="897"/>
      <c r="H77" s="897"/>
      <c r="I77" s="897"/>
      <c r="J77" s="915">
        <f t="shared" si="6"/>
        <v>0</v>
      </c>
      <c r="K77" s="903"/>
      <c r="L77" s="903"/>
      <c r="M77" s="926"/>
      <c r="N77" s="927"/>
      <c r="O77" s="928"/>
      <c r="P77" s="904"/>
      <c r="Q77" s="908"/>
      <c r="R77" s="928"/>
      <c r="S77" s="907"/>
      <c r="T77" s="928"/>
      <c r="U77" s="904"/>
      <c r="V77" s="904"/>
      <c r="W77" s="929"/>
      <c r="X77" s="899"/>
      <c r="Y77" s="909"/>
      <c r="Z77" s="928"/>
      <c r="AA77" s="904"/>
      <c r="AB77" s="927"/>
      <c r="AC77" s="928"/>
      <c r="AD77" s="928"/>
      <c r="AE77" s="904"/>
      <c r="AF77" s="908"/>
      <c r="AG77" s="928"/>
      <c r="AH77" s="898">
        <f t="shared" si="7"/>
        <v>0</v>
      </c>
      <c r="AI77" s="898">
        <f t="shared" si="8"/>
        <v>0</v>
      </c>
    </row>
    <row r="78" spans="3:35" x14ac:dyDescent="0.2">
      <c r="C78" s="74" t="s">
        <v>959</v>
      </c>
      <c r="D78" s="146">
        <v>19</v>
      </c>
      <c r="E78" s="899"/>
      <c r="F78" s="899"/>
      <c r="G78" s="899"/>
      <c r="H78" s="899"/>
      <c r="I78" s="899"/>
      <c r="J78" s="915">
        <f t="shared" si="6"/>
        <v>0</v>
      </c>
      <c r="K78" s="930"/>
      <c r="L78" s="930"/>
      <c r="M78" s="931"/>
      <c r="N78" s="927"/>
      <c r="O78" s="928"/>
      <c r="P78" s="928"/>
      <c r="Q78" s="932"/>
      <c r="R78" s="928"/>
      <c r="S78" s="907"/>
      <c r="T78" s="928"/>
      <c r="U78" s="928"/>
      <c r="V78" s="928"/>
      <c r="W78" s="933"/>
      <c r="X78" s="899"/>
      <c r="Y78" s="909"/>
      <c r="Z78" s="928"/>
      <c r="AA78" s="928"/>
      <c r="AB78" s="927"/>
      <c r="AC78" s="928"/>
      <c r="AD78" s="928"/>
      <c r="AE78" s="928"/>
      <c r="AF78" s="932"/>
      <c r="AG78" s="928"/>
      <c r="AH78" s="898">
        <f t="shared" si="7"/>
        <v>0</v>
      </c>
      <c r="AI78" s="898">
        <f t="shared" si="8"/>
        <v>0</v>
      </c>
    </row>
    <row r="79" spans="3:35" x14ac:dyDescent="0.2">
      <c r="C79" s="74" t="s">
        <v>595</v>
      </c>
      <c r="D79" s="146">
        <v>20</v>
      </c>
      <c r="E79" s="897"/>
      <c r="F79" s="897"/>
      <c r="G79" s="897"/>
      <c r="H79" s="897"/>
      <c r="I79" s="897"/>
      <c r="J79" s="915">
        <f t="shared" si="6"/>
        <v>0</v>
      </c>
      <c r="K79" s="903"/>
      <c r="L79" s="903"/>
      <c r="M79" s="926"/>
      <c r="N79" s="927"/>
      <c r="O79" s="928"/>
      <c r="P79" s="904"/>
      <c r="Q79" s="908"/>
      <c r="R79" s="928"/>
      <c r="S79" s="907"/>
      <c r="T79" s="928"/>
      <c r="U79" s="904"/>
      <c r="V79" s="904"/>
      <c r="W79" s="929"/>
      <c r="X79" s="899"/>
      <c r="Y79" s="909"/>
      <c r="Z79" s="928"/>
      <c r="AA79" s="904"/>
      <c r="AB79" s="927"/>
      <c r="AC79" s="928"/>
      <c r="AD79" s="928"/>
      <c r="AE79" s="904"/>
      <c r="AF79" s="908"/>
      <c r="AG79" s="928"/>
      <c r="AH79" s="898">
        <f t="shared" si="7"/>
        <v>0</v>
      </c>
      <c r="AI79" s="898">
        <f t="shared" si="8"/>
        <v>0</v>
      </c>
    </row>
    <row r="80" spans="3:35" x14ac:dyDescent="0.2">
      <c r="C80" s="74" t="s">
        <v>1424</v>
      </c>
      <c r="D80" s="146">
        <v>21</v>
      </c>
      <c r="E80" s="897"/>
      <c r="F80" s="897"/>
      <c r="G80" s="897"/>
      <c r="H80" s="897"/>
      <c r="I80" s="897"/>
      <c r="J80" s="915">
        <f t="shared" si="6"/>
        <v>0</v>
      </c>
      <c r="K80" s="903"/>
      <c r="L80" s="903"/>
      <c r="M80" s="926"/>
      <c r="N80" s="927"/>
      <c r="O80" s="928"/>
      <c r="P80" s="904"/>
      <c r="Q80" s="908"/>
      <c r="R80" s="928"/>
      <c r="S80" s="907"/>
      <c r="T80" s="928"/>
      <c r="U80" s="904"/>
      <c r="V80" s="904"/>
      <c r="W80" s="929"/>
      <c r="X80" s="899"/>
      <c r="Y80" s="909"/>
      <c r="Z80" s="928"/>
      <c r="AA80" s="904"/>
      <c r="AB80" s="927"/>
      <c r="AC80" s="928"/>
      <c r="AD80" s="928"/>
      <c r="AE80" s="904"/>
      <c r="AF80" s="908"/>
      <c r="AG80" s="928"/>
      <c r="AH80" s="898">
        <f t="shared" ref="AH80" si="9">ROUND(SUM(K80:N80,Q80:S80,V80,Y80,AB80,AF80:AG80),3)</f>
        <v>0</v>
      </c>
      <c r="AI80" s="898">
        <f t="shared" ref="AI80" si="10">ROUND(SUM(J80,AH80),3)</f>
        <v>0</v>
      </c>
    </row>
    <row r="81" spans="3:35" x14ac:dyDescent="0.2">
      <c r="C81" s="74" t="s">
        <v>19</v>
      </c>
      <c r="D81" s="146">
        <v>22</v>
      </c>
      <c r="E81" s="897"/>
      <c r="F81" s="897"/>
      <c r="G81" s="897"/>
      <c r="H81" s="897"/>
      <c r="I81" s="897"/>
      <c r="J81" s="915">
        <f t="shared" si="6"/>
        <v>0</v>
      </c>
      <c r="K81" s="903"/>
      <c r="L81" s="903"/>
      <c r="M81" s="926"/>
      <c r="N81" s="927"/>
      <c r="O81" s="928"/>
      <c r="P81" s="904"/>
      <c r="Q81" s="908"/>
      <c r="R81" s="928"/>
      <c r="S81" s="907"/>
      <c r="T81" s="928"/>
      <c r="U81" s="904"/>
      <c r="V81" s="904"/>
      <c r="W81" s="929"/>
      <c r="X81" s="899"/>
      <c r="Y81" s="909"/>
      <c r="Z81" s="928"/>
      <c r="AA81" s="904"/>
      <c r="AB81" s="927"/>
      <c r="AC81" s="928"/>
      <c r="AD81" s="928"/>
      <c r="AE81" s="904"/>
      <c r="AF81" s="908"/>
      <c r="AG81" s="928"/>
      <c r="AH81" s="898">
        <f t="shared" si="7"/>
        <v>0</v>
      </c>
      <c r="AI81" s="898">
        <f t="shared" si="8"/>
        <v>0</v>
      </c>
    </row>
    <row r="82" spans="3:35" x14ac:dyDescent="0.2">
      <c r="C82" s="74" t="s">
        <v>960</v>
      </c>
      <c r="D82" s="146">
        <v>23</v>
      </c>
      <c r="E82" s="897"/>
      <c r="F82" s="897"/>
      <c r="G82" s="897"/>
      <c r="H82" s="897"/>
      <c r="I82" s="897"/>
      <c r="J82" s="915">
        <f t="shared" si="6"/>
        <v>0</v>
      </c>
      <c r="K82" s="903"/>
      <c r="L82" s="903"/>
      <c r="M82" s="926"/>
      <c r="N82" s="927"/>
      <c r="O82" s="928"/>
      <c r="P82" s="904"/>
      <c r="Q82" s="908"/>
      <c r="R82" s="928"/>
      <c r="S82" s="907"/>
      <c r="T82" s="928"/>
      <c r="U82" s="904"/>
      <c r="V82" s="904"/>
      <c r="W82" s="929"/>
      <c r="X82" s="899"/>
      <c r="Y82" s="909"/>
      <c r="Z82" s="928"/>
      <c r="AA82" s="904"/>
      <c r="AB82" s="927"/>
      <c r="AC82" s="928"/>
      <c r="AD82" s="928"/>
      <c r="AE82" s="904"/>
      <c r="AF82" s="908"/>
      <c r="AG82" s="928"/>
      <c r="AH82" s="898">
        <f t="shared" si="7"/>
        <v>0</v>
      </c>
      <c r="AI82" s="898">
        <f t="shared" si="8"/>
        <v>0</v>
      </c>
    </row>
    <row r="83" spans="3:35" x14ac:dyDescent="0.2">
      <c r="C83" s="74" t="s">
        <v>600</v>
      </c>
      <c r="D83" s="146">
        <v>24</v>
      </c>
      <c r="E83" s="897"/>
      <c r="F83" s="897"/>
      <c r="G83" s="897"/>
      <c r="H83" s="897"/>
      <c r="I83" s="897"/>
      <c r="J83" s="915">
        <f t="shared" si="6"/>
        <v>0</v>
      </c>
      <c r="K83" s="903"/>
      <c r="L83" s="903"/>
      <c r="M83" s="926"/>
      <c r="N83" s="927"/>
      <c r="O83" s="928"/>
      <c r="P83" s="904"/>
      <c r="Q83" s="908"/>
      <c r="R83" s="928"/>
      <c r="S83" s="907"/>
      <c r="T83" s="928"/>
      <c r="U83" s="904"/>
      <c r="V83" s="904"/>
      <c r="W83" s="929"/>
      <c r="X83" s="899"/>
      <c r="Y83" s="909"/>
      <c r="Z83" s="928"/>
      <c r="AA83" s="904"/>
      <c r="AB83" s="927"/>
      <c r="AC83" s="928"/>
      <c r="AD83" s="928"/>
      <c r="AE83" s="904"/>
      <c r="AF83" s="908"/>
      <c r="AG83" s="928"/>
      <c r="AH83" s="898">
        <f t="shared" si="7"/>
        <v>0</v>
      </c>
      <c r="AI83" s="898">
        <f t="shared" si="8"/>
        <v>0</v>
      </c>
    </row>
    <row r="84" spans="3:35" x14ac:dyDescent="0.2">
      <c r="C84" s="74" t="s">
        <v>20</v>
      </c>
      <c r="D84" s="146">
        <v>25</v>
      </c>
      <c r="E84" s="897"/>
      <c r="F84" s="897"/>
      <c r="G84" s="897"/>
      <c r="H84" s="897"/>
      <c r="I84" s="897"/>
      <c r="J84" s="915">
        <f t="shared" si="6"/>
        <v>0</v>
      </c>
      <c r="K84" s="903"/>
      <c r="L84" s="903"/>
      <c r="M84" s="926"/>
      <c r="N84" s="927"/>
      <c r="O84" s="928"/>
      <c r="P84" s="904"/>
      <c r="Q84" s="908"/>
      <c r="R84" s="928"/>
      <c r="S84" s="907"/>
      <c r="T84" s="928"/>
      <c r="U84" s="904"/>
      <c r="V84" s="904"/>
      <c r="W84" s="929"/>
      <c r="X84" s="899"/>
      <c r="Y84" s="909"/>
      <c r="Z84" s="928"/>
      <c r="AA84" s="904"/>
      <c r="AB84" s="927"/>
      <c r="AC84" s="928"/>
      <c r="AD84" s="928"/>
      <c r="AE84" s="904"/>
      <c r="AF84" s="908"/>
      <c r="AG84" s="928"/>
      <c r="AH84" s="898">
        <f t="shared" si="7"/>
        <v>0</v>
      </c>
      <c r="AI84" s="898">
        <f t="shared" si="8"/>
        <v>0</v>
      </c>
    </row>
    <row r="85" spans="3:35" x14ac:dyDescent="0.2">
      <c r="C85" s="74" t="s">
        <v>961</v>
      </c>
      <c r="D85" s="146">
        <v>26</v>
      </c>
      <c r="E85" s="897"/>
      <c r="F85" s="897"/>
      <c r="G85" s="897"/>
      <c r="H85" s="897"/>
      <c r="I85" s="897"/>
      <c r="J85" s="915">
        <f t="shared" si="6"/>
        <v>0</v>
      </c>
      <c r="K85" s="903"/>
      <c r="L85" s="903"/>
      <c r="M85" s="926"/>
      <c r="N85" s="927"/>
      <c r="O85" s="928"/>
      <c r="P85" s="904"/>
      <c r="Q85" s="908"/>
      <c r="R85" s="928"/>
      <c r="S85" s="907"/>
      <c r="T85" s="928"/>
      <c r="U85" s="904"/>
      <c r="V85" s="904"/>
      <c r="W85" s="929"/>
      <c r="X85" s="899"/>
      <c r="Y85" s="909"/>
      <c r="Z85" s="928"/>
      <c r="AA85" s="904"/>
      <c r="AB85" s="927"/>
      <c r="AC85" s="928"/>
      <c r="AD85" s="928"/>
      <c r="AE85" s="904"/>
      <c r="AF85" s="908"/>
      <c r="AG85" s="928"/>
      <c r="AH85" s="898">
        <f t="shared" si="7"/>
        <v>0</v>
      </c>
      <c r="AI85" s="898">
        <f t="shared" si="8"/>
        <v>0</v>
      </c>
    </row>
    <row r="86" spans="3:35" x14ac:dyDescent="0.2">
      <c r="C86" s="74" t="s">
        <v>21</v>
      </c>
      <c r="D86" s="146">
        <v>27</v>
      </c>
      <c r="E86" s="897"/>
      <c r="F86" s="897"/>
      <c r="G86" s="897"/>
      <c r="H86" s="897"/>
      <c r="I86" s="897"/>
      <c r="J86" s="915">
        <f t="shared" si="6"/>
        <v>0</v>
      </c>
      <c r="K86" s="903"/>
      <c r="L86" s="903"/>
      <c r="M86" s="926"/>
      <c r="N86" s="927"/>
      <c r="O86" s="928"/>
      <c r="P86" s="904"/>
      <c r="Q86" s="908"/>
      <c r="R86" s="928"/>
      <c r="S86" s="907"/>
      <c r="T86" s="928"/>
      <c r="U86" s="904"/>
      <c r="V86" s="904"/>
      <c r="W86" s="929"/>
      <c r="X86" s="899"/>
      <c r="Y86" s="909"/>
      <c r="Z86" s="928"/>
      <c r="AA86" s="904"/>
      <c r="AB86" s="927"/>
      <c r="AC86" s="928"/>
      <c r="AD86" s="928"/>
      <c r="AE86" s="904"/>
      <c r="AF86" s="908"/>
      <c r="AG86" s="928"/>
      <c r="AH86" s="898">
        <f t="shared" si="7"/>
        <v>0</v>
      </c>
      <c r="AI86" s="898">
        <f t="shared" si="8"/>
        <v>0</v>
      </c>
    </row>
    <row r="87" spans="3:35" x14ac:dyDescent="0.2">
      <c r="C87" s="74" t="s">
        <v>22</v>
      </c>
      <c r="D87" s="146">
        <v>28</v>
      </c>
      <c r="E87" s="897"/>
      <c r="F87" s="897"/>
      <c r="G87" s="897"/>
      <c r="H87" s="897"/>
      <c r="I87" s="897"/>
      <c r="J87" s="915">
        <f t="shared" si="6"/>
        <v>0</v>
      </c>
      <c r="K87" s="903"/>
      <c r="L87" s="903"/>
      <c r="M87" s="926"/>
      <c r="N87" s="927"/>
      <c r="O87" s="928"/>
      <c r="P87" s="904"/>
      <c r="Q87" s="908"/>
      <c r="R87" s="928"/>
      <c r="S87" s="907"/>
      <c r="T87" s="928"/>
      <c r="U87" s="904"/>
      <c r="V87" s="904"/>
      <c r="W87" s="929"/>
      <c r="X87" s="899"/>
      <c r="Y87" s="909"/>
      <c r="Z87" s="928"/>
      <c r="AA87" s="904"/>
      <c r="AB87" s="927"/>
      <c r="AC87" s="928"/>
      <c r="AD87" s="928"/>
      <c r="AE87" s="904"/>
      <c r="AF87" s="908"/>
      <c r="AG87" s="928"/>
      <c r="AH87" s="898">
        <f t="shared" si="7"/>
        <v>0</v>
      </c>
      <c r="AI87" s="898">
        <f t="shared" si="8"/>
        <v>0</v>
      </c>
    </row>
    <row r="88" spans="3:35" x14ac:dyDescent="0.2">
      <c r="C88" s="74" t="s">
        <v>962</v>
      </c>
      <c r="D88" s="146">
        <v>29</v>
      </c>
      <c r="E88" s="897"/>
      <c r="F88" s="897"/>
      <c r="G88" s="897"/>
      <c r="H88" s="897"/>
      <c r="I88" s="897"/>
      <c r="J88" s="915">
        <f t="shared" si="6"/>
        <v>0</v>
      </c>
      <c r="K88" s="903"/>
      <c r="L88" s="903"/>
      <c r="M88" s="926"/>
      <c r="N88" s="927"/>
      <c r="O88" s="928"/>
      <c r="P88" s="904"/>
      <c r="Q88" s="908"/>
      <c r="R88" s="928"/>
      <c r="S88" s="907"/>
      <c r="T88" s="928"/>
      <c r="U88" s="904"/>
      <c r="V88" s="904"/>
      <c r="W88" s="929"/>
      <c r="X88" s="899"/>
      <c r="Y88" s="909"/>
      <c r="Z88" s="928"/>
      <c r="AA88" s="904"/>
      <c r="AB88" s="927"/>
      <c r="AC88" s="928"/>
      <c r="AD88" s="928"/>
      <c r="AE88" s="904"/>
      <c r="AF88" s="908"/>
      <c r="AG88" s="928"/>
      <c r="AH88" s="898">
        <f t="shared" si="7"/>
        <v>0</v>
      </c>
      <c r="AI88" s="898">
        <f t="shared" si="8"/>
        <v>0</v>
      </c>
    </row>
    <row r="89" spans="3:35" x14ac:dyDescent="0.2">
      <c r="C89" s="74" t="s">
        <v>613</v>
      </c>
      <c r="D89" s="146">
        <v>30</v>
      </c>
      <c r="E89" s="897"/>
      <c r="F89" s="897"/>
      <c r="G89" s="897"/>
      <c r="H89" s="897"/>
      <c r="I89" s="897"/>
      <c r="J89" s="915">
        <f t="shared" si="6"/>
        <v>0</v>
      </c>
      <c r="K89" s="903"/>
      <c r="L89" s="903"/>
      <c r="M89" s="926"/>
      <c r="N89" s="927"/>
      <c r="O89" s="928"/>
      <c r="P89" s="904"/>
      <c r="Q89" s="908"/>
      <c r="R89" s="928"/>
      <c r="S89" s="907"/>
      <c r="T89" s="928"/>
      <c r="U89" s="904"/>
      <c r="V89" s="904"/>
      <c r="W89" s="929"/>
      <c r="X89" s="899"/>
      <c r="Y89" s="909"/>
      <c r="Z89" s="928"/>
      <c r="AA89" s="904"/>
      <c r="AB89" s="927"/>
      <c r="AC89" s="928"/>
      <c r="AD89" s="928"/>
      <c r="AE89" s="904"/>
      <c r="AF89" s="908"/>
      <c r="AG89" s="928"/>
      <c r="AH89" s="898">
        <f t="shared" si="7"/>
        <v>0</v>
      </c>
      <c r="AI89" s="898">
        <f t="shared" si="8"/>
        <v>0</v>
      </c>
    </row>
    <row r="90" spans="3:35" x14ac:dyDescent="0.2">
      <c r="C90" s="74" t="s">
        <v>963</v>
      </c>
      <c r="D90" s="146">
        <v>31</v>
      </c>
      <c r="E90" s="897"/>
      <c r="F90" s="897"/>
      <c r="G90" s="897"/>
      <c r="H90" s="897"/>
      <c r="I90" s="897"/>
      <c r="J90" s="915">
        <f t="shared" si="6"/>
        <v>0</v>
      </c>
      <c r="K90" s="903"/>
      <c r="L90" s="903"/>
      <c r="M90" s="926"/>
      <c r="N90" s="927"/>
      <c r="O90" s="928"/>
      <c r="P90" s="904"/>
      <c r="Q90" s="908"/>
      <c r="R90" s="928"/>
      <c r="S90" s="907"/>
      <c r="T90" s="928"/>
      <c r="U90" s="904"/>
      <c r="V90" s="904"/>
      <c r="W90" s="929"/>
      <c r="X90" s="899"/>
      <c r="Y90" s="909"/>
      <c r="Z90" s="928"/>
      <c r="AA90" s="904"/>
      <c r="AB90" s="927"/>
      <c r="AC90" s="928"/>
      <c r="AD90" s="928"/>
      <c r="AE90" s="904"/>
      <c r="AF90" s="908"/>
      <c r="AG90" s="928"/>
      <c r="AH90" s="898">
        <f t="shared" si="7"/>
        <v>0</v>
      </c>
      <c r="AI90" s="898">
        <f t="shared" si="8"/>
        <v>0</v>
      </c>
    </row>
    <row r="91" spans="3:35" x14ac:dyDescent="0.2">
      <c r="C91" s="74" t="s">
        <v>23</v>
      </c>
      <c r="D91" s="146">
        <v>32</v>
      </c>
      <c r="E91" s="897"/>
      <c r="F91" s="897"/>
      <c r="G91" s="897"/>
      <c r="H91" s="897"/>
      <c r="I91" s="897"/>
      <c r="J91" s="915">
        <f t="shared" si="6"/>
        <v>0</v>
      </c>
      <c r="K91" s="903"/>
      <c r="L91" s="903"/>
      <c r="M91" s="926"/>
      <c r="N91" s="927"/>
      <c r="O91" s="928"/>
      <c r="P91" s="904"/>
      <c r="Q91" s="908"/>
      <c r="R91" s="928"/>
      <c r="S91" s="907"/>
      <c r="T91" s="928"/>
      <c r="U91" s="904"/>
      <c r="V91" s="904"/>
      <c r="W91" s="929"/>
      <c r="X91" s="899"/>
      <c r="Y91" s="909"/>
      <c r="Z91" s="928"/>
      <c r="AA91" s="904"/>
      <c r="AB91" s="927"/>
      <c r="AC91" s="928"/>
      <c r="AD91" s="928"/>
      <c r="AE91" s="904"/>
      <c r="AF91" s="908"/>
      <c r="AG91" s="928"/>
      <c r="AH91" s="898">
        <f t="shared" si="7"/>
        <v>0</v>
      </c>
      <c r="AI91" s="898">
        <f t="shared" si="8"/>
        <v>0</v>
      </c>
    </row>
    <row r="92" spans="3:35" x14ac:dyDescent="0.2">
      <c r="C92" s="74" t="s">
        <v>24</v>
      </c>
      <c r="D92" s="146">
        <v>33</v>
      </c>
      <c r="E92" s="897"/>
      <c r="F92" s="897"/>
      <c r="G92" s="897"/>
      <c r="H92" s="897"/>
      <c r="I92" s="897"/>
      <c r="J92" s="915">
        <f t="shared" si="6"/>
        <v>0</v>
      </c>
      <c r="K92" s="903"/>
      <c r="L92" s="903"/>
      <c r="M92" s="926"/>
      <c r="N92" s="927"/>
      <c r="O92" s="928"/>
      <c r="P92" s="904"/>
      <c r="Q92" s="908"/>
      <c r="R92" s="928"/>
      <c r="S92" s="907"/>
      <c r="T92" s="928"/>
      <c r="U92" s="904"/>
      <c r="V92" s="904"/>
      <c r="W92" s="929"/>
      <c r="X92" s="899"/>
      <c r="Y92" s="909"/>
      <c r="Z92" s="928"/>
      <c r="AA92" s="904"/>
      <c r="AB92" s="927"/>
      <c r="AC92" s="928"/>
      <c r="AD92" s="928"/>
      <c r="AE92" s="904"/>
      <c r="AF92" s="908"/>
      <c r="AG92" s="928"/>
      <c r="AH92" s="898">
        <f t="shared" si="7"/>
        <v>0</v>
      </c>
      <c r="AI92" s="898">
        <f t="shared" si="8"/>
        <v>0</v>
      </c>
    </row>
    <row r="93" spans="3:35" x14ac:dyDescent="0.2">
      <c r="C93" s="74" t="s">
        <v>964</v>
      </c>
      <c r="D93" s="146">
        <v>34</v>
      </c>
      <c r="E93" s="897"/>
      <c r="F93" s="897"/>
      <c r="G93" s="897"/>
      <c r="H93" s="897"/>
      <c r="I93" s="897"/>
      <c r="J93" s="915">
        <f t="shared" ref="J93:J125" si="11">ROUND(SUM(E93:I93),3)</f>
        <v>0</v>
      </c>
      <c r="K93" s="903"/>
      <c r="L93" s="903"/>
      <c r="M93" s="926"/>
      <c r="N93" s="927"/>
      <c r="O93" s="928"/>
      <c r="P93" s="904"/>
      <c r="Q93" s="908"/>
      <c r="R93" s="928"/>
      <c r="S93" s="907"/>
      <c r="T93" s="928"/>
      <c r="U93" s="904"/>
      <c r="V93" s="904"/>
      <c r="W93" s="929"/>
      <c r="X93" s="899"/>
      <c r="Y93" s="909"/>
      <c r="Z93" s="928"/>
      <c r="AA93" s="904"/>
      <c r="AB93" s="927"/>
      <c r="AC93" s="928"/>
      <c r="AD93" s="928"/>
      <c r="AE93" s="904"/>
      <c r="AF93" s="908"/>
      <c r="AG93" s="928"/>
      <c r="AH93" s="898">
        <f t="shared" ref="AH93:AH125" si="12">ROUND(SUM(K93:N93,Q93:S93,V93,Y93,AB93,AF93:AG93),3)</f>
        <v>0</v>
      </c>
      <c r="AI93" s="898">
        <f t="shared" ref="AI93:AI125" si="13">ROUND(SUM(J93,AH93),3)</f>
        <v>0</v>
      </c>
    </row>
    <row r="94" spans="3:35" x14ac:dyDescent="0.2">
      <c r="C94" s="74" t="s">
        <v>965</v>
      </c>
      <c r="D94" s="146">
        <v>35</v>
      </c>
      <c r="E94" s="897"/>
      <c r="F94" s="897"/>
      <c r="G94" s="897"/>
      <c r="H94" s="897"/>
      <c r="I94" s="897"/>
      <c r="J94" s="915">
        <f t="shared" si="11"/>
        <v>0</v>
      </c>
      <c r="K94" s="903"/>
      <c r="L94" s="903"/>
      <c r="M94" s="926"/>
      <c r="N94" s="927"/>
      <c r="O94" s="928"/>
      <c r="P94" s="904"/>
      <c r="Q94" s="908"/>
      <c r="R94" s="928"/>
      <c r="S94" s="907"/>
      <c r="T94" s="928"/>
      <c r="U94" s="904"/>
      <c r="V94" s="904"/>
      <c r="W94" s="929"/>
      <c r="X94" s="899"/>
      <c r="Y94" s="909"/>
      <c r="Z94" s="928"/>
      <c r="AA94" s="904"/>
      <c r="AB94" s="927"/>
      <c r="AC94" s="928"/>
      <c r="AD94" s="928"/>
      <c r="AE94" s="904"/>
      <c r="AF94" s="908"/>
      <c r="AG94" s="928"/>
      <c r="AH94" s="898">
        <f t="shared" si="12"/>
        <v>0</v>
      </c>
      <c r="AI94" s="898">
        <f t="shared" si="13"/>
        <v>0</v>
      </c>
    </row>
    <row r="95" spans="3:35" x14ac:dyDescent="0.2">
      <c r="C95" s="74" t="s">
        <v>567</v>
      </c>
      <c r="D95" s="146">
        <v>36</v>
      </c>
      <c r="E95" s="897"/>
      <c r="F95" s="897"/>
      <c r="G95" s="897"/>
      <c r="H95" s="897"/>
      <c r="I95" s="897"/>
      <c r="J95" s="915">
        <f t="shared" si="11"/>
        <v>0</v>
      </c>
      <c r="K95" s="903"/>
      <c r="L95" s="903"/>
      <c r="M95" s="926"/>
      <c r="N95" s="927"/>
      <c r="O95" s="928"/>
      <c r="P95" s="904"/>
      <c r="Q95" s="908"/>
      <c r="R95" s="928"/>
      <c r="S95" s="907"/>
      <c r="T95" s="928"/>
      <c r="U95" s="904"/>
      <c r="V95" s="904"/>
      <c r="W95" s="929"/>
      <c r="X95" s="899"/>
      <c r="Y95" s="909"/>
      <c r="Z95" s="928"/>
      <c r="AA95" s="904"/>
      <c r="AB95" s="927"/>
      <c r="AC95" s="928"/>
      <c r="AD95" s="928"/>
      <c r="AE95" s="904"/>
      <c r="AF95" s="908"/>
      <c r="AG95" s="928"/>
      <c r="AH95" s="898">
        <f t="shared" si="12"/>
        <v>0</v>
      </c>
      <c r="AI95" s="898">
        <f t="shared" si="13"/>
        <v>0</v>
      </c>
    </row>
    <row r="96" spans="3:35" x14ac:dyDescent="0.2">
      <c r="C96" s="74" t="s">
        <v>966</v>
      </c>
      <c r="D96" s="146">
        <v>37</v>
      </c>
      <c r="E96" s="897"/>
      <c r="F96" s="897"/>
      <c r="G96" s="897"/>
      <c r="H96" s="897"/>
      <c r="I96" s="897"/>
      <c r="J96" s="915">
        <f t="shared" si="11"/>
        <v>0</v>
      </c>
      <c r="K96" s="903"/>
      <c r="L96" s="903"/>
      <c r="M96" s="926"/>
      <c r="N96" s="927"/>
      <c r="O96" s="928"/>
      <c r="P96" s="904"/>
      <c r="Q96" s="908"/>
      <c r="R96" s="928"/>
      <c r="S96" s="907"/>
      <c r="T96" s="928"/>
      <c r="U96" s="904"/>
      <c r="V96" s="904"/>
      <c r="W96" s="929"/>
      <c r="X96" s="899"/>
      <c r="Y96" s="909"/>
      <c r="Z96" s="928"/>
      <c r="AA96" s="904"/>
      <c r="AB96" s="927"/>
      <c r="AC96" s="928"/>
      <c r="AD96" s="928"/>
      <c r="AE96" s="904"/>
      <c r="AF96" s="908"/>
      <c r="AG96" s="928"/>
      <c r="AH96" s="898">
        <f t="shared" si="12"/>
        <v>0</v>
      </c>
      <c r="AI96" s="898">
        <f t="shared" si="13"/>
        <v>0</v>
      </c>
    </row>
    <row r="97" spans="3:35" x14ac:dyDescent="0.2">
      <c r="C97" s="74" t="s">
        <v>967</v>
      </c>
      <c r="D97" s="146">
        <v>38</v>
      </c>
      <c r="E97" s="897"/>
      <c r="F97" s="897"/>
      <c r="G97" s="897"/>
      <c r="H97" s="897"/>
      <c r="I97" s="897"/>
      <c r="J97" s="915">
        <f t="shared" si="11"/>
        <v>0</v>
      </c>
      <c r="K97" s="903"/>
      <c r="L97" s="903"/>
      <c r="M97" s="926"/>
      <c r="N97" s="927"/>
      <c r="O97" s="928"/>
      <c r="P97" s="904"/>
      <c r="Q97" s="908"/>
      <c r="R97" s="928"/>
      <c r="S97" s="907"/>
      <c r="T97" s="928"/>
      <c r="U97" s="904"/>
      <c r="V97" s="904"/>
      <c r="W97" s="929"/>
      <c r="X97" s="899"/>
      <c r="Y97" s="909"/>
      <c r="Z97" s="928"/>
      <c r="AA97" s="904"/>
      <c r="AB97" s="927"/>
      <c r="AC97" s="928"/>
      <c r="AD97" s="928"/>
      <c r="AE97" s="904"/>
      <c r="AF97" s="908"/>
      <c r="AG97" s="928"/>
      <c r="AH97" s="898">
        <f t="shared" si="12"/>
        <v>0</v>
      </c>
      <c r="AI97" s="898">
        <f t="shared" si="13"/>
        <v>0</v>
      </c>
    </row>
    <row r="98" spans="3:35" x14ac:dyDescent="0.2">
      <c r="C98" s="74" t="s">
        <v>150</v>
      </c>
      <c r="D98" s="146">
        <v>39</v>
      </c>
      <c r="E98" s="897"/>
      <c r="F98" s="897"/>
      <c r="G98" s="897"/>
      <c r="H98" s="897"/>
      <c r="I98" s="897"/>
      <c r="J98" s="915">
        <f t="shared" si="11"/>
        <v>0</v>
      </c>
      <c r="K98" s="903"/>
      <c r="L98" s="903"/>
      <c r="M98" s="926"/>
      <c r="N98" s="927"/>
      <c r="O98" s="928"/>
      <c r="P98" s="904"/>
      <c r="Q98" s="908"/>
      <c r="R98" s="928"/>
      <c r="S98" s="907"/>
      <c r="T98" s="928"/>
      <c r="U98" s="904"/>
      <c r="V98" s="904"/>
      <c r="W98" s="929"/>
      <c r="X98" s="899"/>
      <c r="Y98" s="909"/>
      <c r="Z98" s="928"/>
      <c r="AA98" s="904"/>
      <c r="AB98" s="927"/>
      <c r="AC98" s="928"/>
      <c r="AD98" s="928"/>
      <c r="AE98" s="904"/>
      <c r="AF98" s="908"/>
      <c r="AG98" s="928"/>
      <c r="AH98" s="898">
        <f t="shared" si="12"/>
        <v>0</v>
      </c>
      <c r="AI98" s="898">
        <f t="shared" si="13"/>
        <v>0</v>
      </c>
    </row>
    <row r="99" spans="3:35" x14ac:dyDescent="0.2">
      <c r="C99" s="74" t="s">
        <v>25</v>
      </c>
      <c r="D99" s="146">
        <v>40</v>
      </c>
      <c r="E99" s="897"/>
      <c r="F99" s="897"/>
      <c r="G99" s="897"/>
      <c r="H99" s="897"/>
      <c r="I99" s="897"/>
      <c r="J99" s="915">
        <f t="shared" si="11"/>
        <v>0</v>
      </c>
      <c r="K99" s="903"/>
      <c r="L99" s="903"/>
      <c r="M99" s="926"/>
      <c r="N99" s="927"/>
      <c r="O99" s="928"/>
      <c r="P99" s="904"/>
      <c r="Q99" s="908"/>
      <c r="R99" s="928"/>
      <c r="S99" s="907"/>
      <c r="T99" s="928"/>
      <c r="U99" s="904"/>
      <c r="V99" s="904"/>
      <c r="W99" s="929"/>
      <c r="X99" s="899"/>
      <c r="Y99" s="909"/>
      <c r="Z99" s="928"/>
      <c r="AA99" s="904"/>
      <c r="AB99" s="927"/>
      <c r="AC99" s="928"/>
      <c r="AD99" s="928"/>
      <c r="AE99" s="904"/>
      <c r="AF99" s="908"/>
      <c r="AG99" s="928"/>
      <c r="AH99" s="898">
        <f t="shared" si="12"/>
        <v>0</v>
      </c>
      <c r="AI99" s="898">
        <f t="shared" si="13"/>
        <v>0</v>
      </c>
    </row>
    <row r="100" spans="3:35" x14ac:dyDescent="0.2">
      <c r="C100" s="74" t="s">
        <v>968</v>
      </c>
      <c r="D100" s="146">
        <v>41</v>
      </c>
      <c r="E100" s="897"/>
      <c r="F100" s="897"/>
      <c r="G100" s="897"/>
      <c r="H100" s="897"/>
      <c r="I100" s="897"/>
      <c r="J100" s="915">
        <f t="shared" si="11"/>
        <v>0</v>
      </c>
      <c r="K100" s="903"/>
      <c r="L100" s="903"/>
      <c r="M100" s="926"/>
      <c r="N100" s="927"/>
      <c r="O100" s="928"/>
      <c r="P100" s="904"/>
      <c r="Q100" s="908"/>
      <c r="R100" s="928"/>
      <c r="S100" s="907"/>
      <c r="T100" s="928"/>
      <c r="U100" s="904"/>
      <c r="V100" s="904"/>
      <c r="W100" s="929"/>
      <c r="X100" s="899"/>
      <c r="Y100" s="909"/>
      <c r="Z100" s="928"/>
      <c r="AA100" s="904"/>
      <c r="AB100" s="927"/>
      <c r="AC100" s="928"/>
      <c r="AD100" s="928"/>
      <c r="AE100" s="904"/>
      <c r="AF100" s="908"/>
      <c r="AG100" s="928"/>
      <c r="AH100" s="898">
        <f t="shared" si="12"/>
        <v>0</v>
      </c>
      <c r="AI100" s="898">
        <f t="shared" si="13"/>
        <v>0</v>
      </c>
    </row>
    <row r="101" spans="3:35" x14ac:dyDescent="0.2">
      <c r="C101" s="74" t="s">
        <v>969</v>
      </c>
      <c r="D101" s="146">
        <v>42</v>
      </c>
      <c r="E101" s="897"/>
      <c r="F101" s="897"/>
      <c r="G101" s="897"/>
      <c r="H101" s="897"/>
      <c r="I101" s="897"/>
      <c r="J101" s="915">
        <f t="shared" si="11"/>
        <v>0</v>
      </c>
      <c r="K101" s="903"/>
      <c r="L101" s="903"/>
      <c r="M101" s="926"/>
      <c r="N101" s="927"/>
      <c r="O101" s="928"/>
      <c r="P101" s="904"/>
      <c r="Q101" s="908"/>
      <c r="R101" s="928"/>
      <c r="S101" s="907"/>
      <c r="T101" s="928"/>
      <c r="U101" s="904"/>
      <c r="V101" s="904"/>
      <c r="W101" s="929"/>
      <c r="X101" s="899"/>
      <c r="Y101" s="909"/>
      <c r="Z101" s="928"/>
      <c r="AA101" s="904"/>
      <c r="AB101" s="927"/>
      <c r="AC101" s="928"/>
      <c r="AD101" s="928"/>
      <c r="AE101" s="904"/>
      <c r="AF101" s="908"/>
      <c r="AG101" s="928"/>
      <c r="AH101" s="898">
        <f t="shared" si="12"/>
        <v>0</v>
      </c>
      <c r="AI101" s="898">
        <f t="shared" si="13"/>
        <v>0</v>
      </c>
    </row>
    <row r="102" spans="3:35" x14ac:dyDescent="0.2">
      <c r="C102" s="74" t="s">
        <v>26</v>
      </c>
      <c r="D102" s="146">
        <v>43</v>
      </c>
      <c r="E102" s="897"/>
      <c r="F102" s="897"/>
      <c r="G102" s="897"/>
      <c r="H102" s="897"/>
      <c r="I102" s="897"/>
      <c r="J102" s="915">
        <f t="shared" si="11"/>
        <v>0</v>
      </c>
      <c r="K102" s="903"/>
      <c r="L102" s="903"/>
      <c r="M102" s="926"/>
      <c r="N102" s="927"/>
      <c r="O102" s="928"/>
      <c r="P102" s="904"/>
      <c r="Q102" s="908"/>
      <c r="R102" s="928"/>
      <c r="S102" s="907"/>
      <c r="T102" s="928"/>
      <c r="U102" s="904"/>
      <c r="V102" s="904"/>
      <c r="W102" s="929"/>
      <c r="X102" s="899"/>
      <c r="Y102" s="909"/>
      <c r="Z102" s="928"/>
      <c r="AA102" s="904"/>
      <c r="AB102" s="927"/>
      <c r="AC102" s="928"/>
      <c r="AD102" s="928"/>
      <c r="AE102" s="904"/>
      <c r="AF102" s="908"/>
      <c r="AG102" s="928"/>
      <c r="AH102" s="898">
        <f t="shared" si="12"/>
        <v>0</v>
      </c>
      <c r="AI102" s="898">
        <f t="shared" si="13"/>
        <v>0</v>
      </c>
    </row>
    <row r="103" spans="3:35" x14ac:dyDescent="0.2">
      <c r="C103" s="74" t="s">
        <v>970</v>
      </c>
      <c r="D103" s="146">
        <v>44</v>
      </c>
      <c r="E103" s="897"/>
      <c r="F103" s="897"/>
      <c r="G103" s="897"/>
      <c r="H103" s="897"/>
      <c r="I103" s="897"/>
      <c r="J103" s="915">
        <f t="shared" si="11"/>
        <v>0</v>
      </c>
      <c r="K103" s="903"/>
      <c r="L103" s="903"/>
      <c r="M103" s="926"/>
      <c r="N103" s="927"/>
      <c r="O103" s="928"/>
      <c r="P103" s="904"/>
      <c r="Q103" s="908"/>
      <c r="R103" s="928"/>
      <c r="S103" s="907"/>
      <c r="T103" s="928"/>
      <c r="U103" s="904"/>
      <c r="V103" s="904"/>
      <c r="W103" s="929"/>
      <c r="X103" s="899"/>
      <c r="Y103" s="909"/>
      <c r="Z103" s="928"/>
      <c r="AA103" s="904"/>
      <c r="AB103" s="927"/>
      <c r="AC103" s="928"/>
      <c r="AD103" s="928"/>
      <c r="AE103" s="904"/>
      <c r="AF103" s="908"/>
      <c r="AG103" s="928"/>
      <c r="AH103" s="898">
        <f t="shared" si="12"/>
        <v>0</v>
      </c>
      <c r="AI103" s="898">
        <f t="shared" si="13"/>
        <v>0</v>
      </c>
    </row>
    <row r="104" spans="3:35" x14ac:dyDescent="0.2">
      <c r="C104" s="74" t="s">
        <v>971</v>
      </c>
      <c r="D104" s="146">
        <v>45</v>
      </c>
      <c r="E104" s="897"/>
      <c r="F104" s="897"/>
      <c r="G104" s="897"/>
      <c r="H104" s="897"/>
      <c r="I104" s="897"/>
      <c r="J104" s="915">
        <f t="shared" si="11"/>
        <v>0</v>
      </c>
      <c r="K104" s="903"/>
      <c r="L104" s="903"/>
      <c r="M104" s="926"/>
      <c r="N104" s="927"/>
      <c r="O104" s="928"/>
      <c r="P104" s="904"/>
      <c r="Q104" s="908"/>
      <c r="R104" s="928"/>
      <c r="S104" s="907"/>
      <c r="T104" s="928"/>
      <c r="U104" s="904"/>
      <c r="V104" s="904"/>
      <c r="W104" s="929"/>
      <c r="X104" s="899"/>
      <c r="Y104" s="909"/>
      <c r="Z104" s="928"/>
      <c r="AA104" s="904"/>
      <c r="AB104" s="927"/>
      <c r="AC104" s="928"/>
      <c r="AD104" s="928"/>
      <c r="AE104" s="904"/>
      <c r="AF104" s="908"/>
      <c r="AG104" s="928"/>
      <c r="AH104" s="898">
        <f t="shared" si="12"/>
        <v>0</v>
      </c>
      <c r="AI104" s="898">
        <f t="shared" si="13"/>
        <v>0</v>
      </c>
    </row>
    <row r="105" spans="3:35" x14ac:dyDescent="0.2">
      <c r="C105" s="74" t="s">
        <v>27</v>
      </c>
      <c r="D105" s="146">
        <v>46</v>
      </c>
      <c r="E105" s="897"/>
      <c r="F105" s="897"/>
      <c r="G105" s="897"/>
      <c r="H105" s="897"/>
      <c r="I105" s="897"/>
      <c r="J105" s="915">
        <f t="shared" si="11"/>
        <v>0</v>
      </c>
      <c r="K105" s="903"/>
      <c r="L105" s="903"/>
      <c r="M105" s="926"/>
      <c r="N105" s="927"/>
      <c r="O105" s="928"/>
      <c r="P105" s="904"/>
      <c r="Q105" s="908"/>
      <c r="R105" s="928"/>
      <c r="S105" s="907"/>
      <c r="T105" s="928"/>
      <c r="U105" s="904"/>
      <c r="V105" s="904"/>
      <c r="W105" s="929"/>
      <c r="X105" s="899"/>
      <c r="Y105" s="909"/>
      <c r="Z105" s="928"/>
      <c r="AA105" s="904"/>
      <c r="AB105" s="927"/>
      <c r="AC105" s="928"/>
      <c r="AD105" s="928"/>
      <c r="AE105" s="904"/>
      <c r="AF105" s="908"/>
      <c r="AG105" s="928"/>
      <c r="AH105" s="898">
        <f t="shared" si="12"/>
        <v>0</v>
      </c>
      <c r="AI105" s="898">
        <f t="shared" si="13"/>
        <v>0</v>
      </c>
    </row>
    <row r="106" spans="3:35" x14ac:dyDescent="0.2">
      <c r="C106" s="74" t="s">
        <v>28</v>
      </c>
      <c r="D106" s="146">
        <v>47</v>
      </c>
      <c r="E106" s="897"/>
      <c r="F106" s="897"/>
      <c r="G106" s="897"/>
      <c r="H106" s="897"/>
      <c r="I106" s="897"/>
      <c r="J106" s="915">
        <f t="shared" si="11"/>
        <v>0</v>
      </c>
      <c r="K106" s="903"/>
      <c r="L106" s="903"/>
      <c r="M106" s="926"/>
      <c r="N106" s="927"/>
      <c r="O106" s="928"/>
      <c r="P106" s="904"/>
      <c r="Q106" s="908"/>
      <c r="R106" s="928"/>
      <c r="S106" s="907"/>
      <c r="T106" s="928"/>
      <c r="U106" s="904"/>
      <c r="V106" s="904"/>
      <c r="W106" s="929"/>
      <c r="X106" s="899"/>
      <c r="Y106" s="909"/>
      <c r="Z106" s="928"/>
      <c r="AA106" s="904"/>
      <c r="AB106" s="927"/>
      <c r="AC106" s="928"/>
      <c r="AD106" s="928"/>
      <c r="AE106" s="904"/>
      <c r="AF106" s="908"/>
      <c r="AG106" s="928"/>
      <c r="AH106" s="898">
        <f t="shared" si="12"/>
        <v>0</v>
      </c>
      <c r="AI106" s="898">
        <f t="shared" si="13"/>
        <v>0</v>
      </c>
    </row>
    <row r="107" spans="3:35" x14ac:dyDescent="0.2">
      <c r="C107" s="74" t="s">
        <v>676</v>
      </c>
      <c r="D107" s="146">
        <v>48</v>
      </c>
      <c r="E107" s="897"/>
      <c r="F107" s="897"/>
      <c r="G107" s="897"/>
      <c r="H107" s="897"/>
      <c r="I107" s="897"/>
      <c r="J107" s="915">
        <f t="shared" si="11"/>
        <v>0</v>
      </c>
      <c r="K107" s="903"/>
      <c r="L107" s="903"/>
      <c r="M107" s="926"/>
      <c r="N107" s="927"/>
      <c r="O107" s="928"/>
      <c r="P107" s="904"/>
      <c r="Q107" s="908"/>
      <c r="R107" s="928"/>
      <c r="S107" s="907"/>
      <c r="T107" s="928"/>
      <c r="U107" s="904"/>
      <c r="V107" s="904"/>
      <c r="W107" s="929"/>
      <c r="X107" s="899"/>
      <c r="Y107" s="909"/>
      <c r="Z107" s="928"/>
      <c r="AA107" s="904"/>
      <c r="AB107" s="927"/>
      <c r="AC107" s="928"/>
      <c r="AD107" s="928"/>
      <c r="AE107" s="904"/>
      <c r="AF107" s="908"/>
      <c r="AG107" s="928"/>
      <c r="AH107" s="898">
        <f t="shared" si="12"/>
        <v>0</v>
      </c>
      <c r="AI107" s="898">
        <f t="shared" si="13"/>
        <v>0</v>
      </c>
    </row>
    <row r="108" spans="3:35" x14ac:dyDescent="0.2">
      <c r="C108" s="74" t="s">
        <v>972</v>
      </c>
      <c r="D108" s="146">
        <v>49</v>
      </c>
      <c r="E108" s="897"/>
      <c r="F108" s="897"/>
      <c r="G108" s="897"/>
      <c r="H108" s="897"/>
      <c r="I108" s="897"/>
      <c r="J108" s="915">
        <f t="shared" si="11"/>
        <v>0</v>
      </c>
      <c r="K108" s="903"/>
      <c r="L108" s="903"/>
      <c r="M108" s="926"/>
      <c r="N108" s="927"/>
      <c r="O108" s="928"/>
      <c r="P108" s="904"/>
      <c r="Q108" s="908"/>
      <c r="R108" s="928"/>
      <c r="S108" s="907"/>
      <c r="T108" s="928"/>
      <c r="U108" s="904"/>
      <c r="V108" s="904"/>
      <c r="W108" s="929"/>
      <c r="X108" s="899"/>
      <c r="Y108" s="909"/>
      <c r="Z108" s="928"/>
      <c r="AA108" s="904"/>
      <c r="AB108" s="927"/>
      <c r="AC108" s="928"/>
      <c r="AD108" s="928"/>
      <c r="AE108" s="904"/>
      <c r="AF108" s="908"/>
      <c r="AG108" s="928"/>
      <c r="AH108" s="898">
        <f t="shared" si="12"/>
        <v>0</v>
      </c>
      <c r="AI108" s="898">
        <f t="shared" si="13"/>
        <v>0</v>
      </c>
    </row>
    <row r="109" spans="3:35" x14ac:dyDescent="0.2">
      <c r="C109" s="74" t="s">
        <v>557</v>
      </c>
      <c r="D109" s="146">
        <v>50</v>
      </c>
      <c r="E109" s="897"/>
      <c r="F109" s="897"/>
      <c r="G109" s="897"/>
      <c r="H109" s="897"/>
      <c r="I109" s="897"/>
      <c r="J109" s="915">
        <f t="shared" si="11"/>
        <v>0</v>
      </c>
      <c r="K109" s="903"/>
      <c r="L109" s="903"/>
      <c r="M109" s="926"/>
      <c r="N109" s="927"/>
      <c r="O109" s="928"/>
      <c r="P109" s="904"/>
      <c r="Q109" s="908"/>
      <c r="R109" s="928"/>
      <c r="S109" s="907"/>
      <c r="T109" s="928"/>
      <c r="U109" s="904"/>
      <c r="V109" s="904"/>
      <c r="W109" s="929"/>
      <c r="X109" s="899"/>
      <c r="Y109" s="909"/>
      <c r="Z109" s="928"/>
      <c r="AA109" s="904"/>
      <c r="AB109" s="927"/>
      <c r="AC109" s="928"/>
      <c r="AD109" s="928"/>
      <c r="AE109" s="904"/>
      <c r="AF109" s="908"/>
      <c r="AG109" s="928"/>
      <c r="AH109" s="898">
        <f t="shared" si="12"/>
        <v>0</v>
      </c>
      <c r="AI109" s="898">
        <f t="shared" si="13"/>
        <v>0</v>
      </c>
    </row>
    <row r="110" spans="3:35" x14ac:dyDescent="0.2">
      <c r="C110" s="74" t="s">
        <v>973</v>
      </c>
      <c r="D110" s="146">
        <v>51</v>
      </c>
      <c r="E110" s="897"/>
      <c r="F110" s="897"/>
      <c r="G110" s="897"/>
      <c r="H110" s="897"/>
      <c r="I110" s="897"/>
      <c r="J110" s="915">
        <f t="shared" si="11"/>
        <v>0</v>
      </c>
      <c r="K110" s="903"/>
      <c r="L110" s="903"/>
      <c r="M110" s="926"/>
      <c r="N110" s="927"/>
      <c r="O110" s="928"/>
      <c r="P110" s="904"/>
      <c r="Q110" s="908"/>
      <c r="R110" s="928"/>
      <c r="S110" s="907"/>
      <c r="T110" s="928"/>
      <c r="U110" s="904"/>
      <c r="V110" s="904"/>
      <c r="W110" s="929"/>
      <c r="X110" s="899"/>
      <c r="Y110" s="909"/>
      <c r="Z110" s="928"/>
      <c r="AA110" s="904"/>
      <c r="AB110" s="927"/>
      <c r="AC110" s="928"/>
      <c r="AD110" s="928"/>
      <c r="AE110" s="904"/>
      <c r="AF110" s="908"/>
      <c r="AG110" s="928"/>
      <c r="AH110" s="898">
        <f t="shared" si="12"/>
        <v>0</v>
      </c>
      <c r="AI110" s="898">
        <f t="shared" si="13"/>
        <v>0</v>
      </c>
    </row>
    <row r="111" spans="3:35" x14ac:dyDescent="0.2">
      <c r="C111" s="74" t="s">
        <v>29</v>
      </c>
      <c r="D111" s="146">
        <v>52</v>
      </c>
      <c r="E111" s="897"/>
      <c r="F111" s="897"/>
      <c r="G111" s="897"/>
      <c r="H111" s="897"/>
      <c r="I111" s="897"/>
      <c r="J111" s="915">
        <f t="shared" si="11"/>
        <v>0</v>
      </c>
      <c r="K111" s="903"/>
      <c r="L111" s="903"/>
      <c r="M111" s="926"/>
      <c r="N111" s="927"/>
      <c r="O111" s="928"/>
      <c r="P111" s="904"/>
      <c r="Q111" s="908"/>
      <c r="R111" s="928"/>
      <c r="S111" s="907"/>
      <c r="T111" s="928"/>
      <c r="U111" s="904"/>
      <c r="V111" s="904"/>
      <c r="W111" s="929"/>
      <c r="X111" s="899"/>
      <c r="Y111" s="909"/>
      <c r="Z111" s="928"/>
      <c r="AA111" s="904"/>
      <c r="AB111" s="927"/>
      <c r="AC111" s="928"/>
      <c r="AD111" s="928"/>
      <c r="AE111" s="904"/>
      <c r="AF111" s="908"/>
      <c r="AG111" s="928"/>
      <c r="AH111" s="898">
        <f t="shared" si="12"/>
        <v>0</v>
      </c>
      <c r="AI111" s="898">
        <f t="shared" si="13"/>
        <v>0</v>
      </c>
    </row>
    <row r="112" spans="3:35" x14ac:dyDescent="0.2">
      <c r="C112" s="74" t="s">
        <v>30</v>
      </c>
      <c r="D112" s="146">
        <v>53</v>
      </c>
      <c r="E112" s="897"/>
      <c r="F112" s="897"/>
      <c r="G112" s="897"/>
      <c r="H112" s="897"/>
      <c r="I112" s="897"/>
      <c r="J112" s="915">
        <f t="shared" si="11"/>
        <v>0</v>
      </c>
      <c r="K112" s="903"/>
      <c r="L112" s="903"/>
      <c r="M112" s="926"/>
      <c r="N112" s="927"/>
      <c r="O112" s="928"/>
      <c r="P112" s="904"/>
      <c r="Q112" s="908"/>
      <c r="R112" s="928"/>
      <c r="S112" s="907"/>
      <c r="T112" s="928"/>
      <c r="U112" s="904"/>
      <c r="V112" s="904"/>
      <c r="W112" s="929"/>
      <c r="X112" s="899"/>
      <c r="Y112" s="909"/>
      <c r="Z112" s="928"/>
      <c r="AA112" s="904"/>
      <c r="AB112" s="927"/>
      <c r="AC112" s="928"/>
      <c r="AD112" s="928"/>
      <c r="AE112" s="904"/>
      <c r="AF112" s="908"/>
      <c r="AG112" s="928"/>
      <c r="AH112" s="898">
        <f t="shared" si="12"/>
        <v>0</v>
      </c>
      <c r="AI112" s="898">
        <f t="shared" si="13"/>
        <v>0</v>
      </c>
    </row>
    <row r="113" spans="3:35" x14ac:dyDescent="0.2">
      <c r="C113" s="74" t="s">
        <v>31</v>
      </c>
      <c r="D113" s="146">
        <v>54</v>
      </c>
      <c r="E113" s="897"/>
      <c r="F113" s="897"/>
      <c r="G113" s="897"/>
      <c r="H113" s="897"/>
      <c r="I113" s="897"/>
      <c r="J113" s="915">
        <f t="shared" si="11"/>
        <v>0</v>
      </c>
      <c r="K113" s="903"/>
      <c r="L113" s="903"/>
      <c r="M113" s="926"/>
      <c r="N113" s="927"/>
      <c r="O113" s="928"/>
      <c r="P113" s="904"/>
      <c r="Q113" s="908"/>
      <c r="R113" s="928"/>
      <c r="S113" s="907"/>
      <c r="T113" s="928"/>
      <c r="U113" s="904"/>
      <c r="V113" s="904"/>
      <c r="W113" s="929"/>
      <c r="X113" s="899"/>
      <c r="Y113" s="909"/>
      <c r="Z113" s="928"/>
      <c r="AA113" s="904"/>
      <c r="AB113" s="927"/>
      <c r="AC113" s="928"/>
      <c r="AD113" s="928"/>
      <c r="AE113" s="904"/>
      <c r="AF113" s="908"/>
      <c r="AG113" s="928"/>
      <c r="AH113" s="898">
        <f t="shared" si="12"/>
        <v>0</v>
      </c>
      <c r="AI113" s="898">
        <f t="shared" si="13"/>
        <v>0</v>
      </c>
    </row>
    <row r="114" spans="3:35" x14ac:dyDescent="0.2">
      <c r="C114" s="74" t="s">
        <v>558</v>
      </c>
      <c r="D114" s="146">
        <v>55</v>
      </c>
      <c r="E114" s="897"/>
      <c r="F114" s="897"/>
      <c r="G114" s="897"/>
      <c r="H114" s="897"/>
      <c r="I114" s="897"/>
      <c r="J114" s="915">
        <f t="shared" si="11"/>
        <v>0</v>
      </c>
      <c r="K114" s="903"/>
      <c r="L114" s="903"/>
      <c r="M114" s="926"/>
      <c r="N114" s="927"/>
      <c r="O114" s="928"/>
      <c r="P114" s="904"/>
      <c r="Q114" s="908"/>
      <c r="R114" s="928"/>
      <c r="S114" s="907"/>
      <c r="T114" s="928"/>
      <c r="U114" s="904"/>
      <c r="V114" s="904"/>
      <c r="W114" s="929"/>
      <c r="X114" s="899"/>
      <c r="Y114" s="909"/>
      <c r="Z114" s="928"/>
      <c r="AA114" s="904"/>
      <c r="AB114" s="927"/>
      <c r="AC114" s="928"/>
      <c r="AD114" s="928"/>
      <c r="AE114" s="904"/>
      <c r="AF114" s="908"/>
      <c r="AG114" s="928"/>
      <c r="AH114" s="898">
        <f t="shared" si="12"/>
        <v>0</v>
      </c>
      <c r="AI114" s="898">
        <f t="shared" si="13"/>
        <v>0</v>
      </c>
    </row>
    <row r="115" spans="3:35" x14ac:dyDescent="0.2">
      <c r="C115" s="74" t="s">
        <v>32</v>
      </c>
      <c r="D115" s="146">
        <v>56</v>
      </c>
      <c r="E115" s="897"/>
      <c r="F115" s="897"/>
      <c r="G115" s="897"/>
      <c r="H115" s="897"/>
      <c r="I115" s="897"/>
      <c r="J115" s="915">
        <f t="shared" si="11"/>
        <v>0</v>
      </c>
      <c r="K115" s="903"/>
      <c r="L115" s="903"/>
      <c r="M115" s="926"/>
      <c r="N115" s="927"/>
      <c r="O115" s="928"/>
      <c r="P115" s="904"/>
      <c r="Q115" s="908"/>
      <c r="R115" s="928"/>
      <c r="S115" s="907"/>
      <c r="T115" s="928"/>
      <c r="U115" s="904"/>
      <c r="V115" s="904"/>
      <c r="W115" s="929"/>
      <c r="X115" s="899"/>
      <c r="Y115" s="909"/>
      <c r="Z115" s="928"/>
      <c r="AA115" s="904"/>
      <c r="AB115" s="927"/>
      <c r="AC115" s="928"/>
      <c r="AD115" s="928"/>
      <c r="AE115" s="904"/>
      <c r="AF115" s="908"/>
      <c r="AG115" s="928"/>
      <c r="AH115" s="898">
        <f t="shared" si="12"/>
        <v>0</v>
      </c>
      <c r="AI115" s="898">
        <f t="shared" si="13"/>
        <v>0</v>
      </c>
    </row>
    <row r="116" spans="3:35" x14ac:dyDescent="0.2">
      <c r="C116" s="74" t="s">
        <v>974</v>
      </c>
      <c r="D116" s="146">
        <v>57</v>
      </c>
      <c r="E116" s="897"/>
      <c r="F116" s="897"/>
      <c r="G116" s="897"/>
      <c r="H116" s="897"/>
      <c r="I116" s="897"/>
      <c r="J116" s="915">
        <f t="shared" si="11"/>
        <v>0</v>
      </c>
      <c r="K116" s="903"/>
      <c r="L116" s="903"/>
      <c r="M116" s="926"/>
      <c r="N116" s="927"/>
      <c r="O116" s="928"/>
      <c r="P116" s="904"/>
      <c r="Q116" s="908"/>
      <c r="R116" s="928"/>
      <c r="S116" s="907"/>
      <c r="T116" s="928"/>
      <c r="U116" s="904"/>
      <c r="V116" s="904"/>
      <c r="W116" s="929"/>
      <c r="X116" s="899"/>
      <c r="Y116" s="909"/>
      <c r="Z116" s="928"/>
      <c r="AA116" s="904"/>
      <c r="AB116" s="927"/>
      <c r="AC116" s="928"/>
      <c r="AD116" s="928"/>
      <c r="AE116" s="904"/>
      <c r="AF116" s="908"/>
      <c r="AG116" s="928"/>
      <c r="AH116" s="898">
        <f t="shared" si="12"/>
        <v>0</v>
      </c>
      <c r="AI116" s="898">
        <f t="shared" si="13"/>
        <v>0</v>
      </c>
    </row>
    <row r="117" spans="3:35" x14ac:dyDescent="0.2">
      <c r="C117" s="74" t="s">
        <v>946</v>
      </c>
      <c r="D117" s="146">
        <v>58</v>
      </c>
      <c r="E117" s="897"/>
      <c r="F117" s="897"/>
      <c r="G117" s="897"/>
      <c r="H117" s="897"/>
      <c r="I117" s="897"/>
      <c r="J117" s="915">
        <f t="shared" si="11"/>
        <v>0</v>
      </c>
      <c r="K117" s="903"/>
      <c r="L117" s="903"/>
      <c r="M117" s="926"/>
      <c r="N117" s="927"/>
      <c r="O117" s="928"/>
      <c r="P117" s="904"/>
      <c r="Q117" s="908"/>
      <c r="R117" s="928"/>
      <c r="S117" s="907"/>
      <c r="T117" s="928"/>
      <c r="U117" s="904"/>
      <c r="V117" s="904"/>
      <c r="W117" s="929"/>
      <c r="X117" s="899"/>
      <c r="Y117" s="909"/>
      <c r="Z117" s="928"/>
      <c r="AA117" s="904"/>
      <c r="AB117" s="927"/>
      <c r="AC117" s="928"/>
      <c r="AD117" s="928"/>
      <c r="AE117" s="904"/>
      <c r="AF117" s="908"/>
      <c r="AG117" s="928"/>
      <c r="AH117" s="898">
        <f t="shared" si="12"/>
        <v>0</v>
      </c>
      <c r="AI117" s="898">
        <f t="shared" si="13"/>
        <v>0</v>
      </c>
    </row>
    <row r="118" spans="3:35" x14ac:dyDescent="0.2">
      <c r="C118" s="74" t="s">
        <v>33</v>
      </c>
      <c r="D118" s="146">
        <v>59</v>
      </c>
      <c r="E118" s="897"/>
      <c r="F118" s="897"/>
      <c r="G118" s="897"/>
      <c r="H118" s="897"/>
      <c r="I118" s="897"/>
      <c r="J118" s="915">
        <f t="shared" si="11"/>
        <v>0</v>
      </c>
      <c r="K118" s="903"/>
      <c r="L118" s="903"/>
      <c r="M118" s="926"/>
      <c r="N118" s="927"/>
      <c r="O118" s="928"/>
      <c r="P118" s="904"/>
      <c r="Q118" s="908"/>
      <c r="R118" s="928"/>
      <c r="S118" s="907"/>
      <c r="T118" s="928"/>
      <c r="U118" s="904"/>
      <c r="V118" s="904"/>
      <c r="W118" s="929"/>
      <c r="X118" s="899"/>
      <c r="Y118" s="909"/>
      <c r="Z118" s="928"/>
      <c r="AA118" s="904"/>
      <c r="AB118" s="927"/>
      <c r="AC118" s="928"/>
      <c r="AD118" s="928"/>
      <c r="AE118" s="904"/>
      <c r="AF118" s="908"/>
      <c r="AG118" s="928"/>
      <c r="AH118" s="898">
        <f t="shared" si="12"/>
        <v>0</v>
      </c>
      <c r="AI118" s="898">
        <f t="shared" si="13"/>
        <v>0</v>
      </c>
    </row>
    <row r="119" spans="3:35" x14ac:dyDescent="0.2">
      <c r="C119" s="74" t="s">
        <v>975</v>
      </c>
      <c r="D119" s="146">
        <v>60</v>
      </c>
      <c r="E119" s="897"/>
      <c r="F119" s="897"/>
      <c r="G119" s="897"/>
      <c r="H119" s="897"/>
      <c r="I119" s="897"/>
      <c r="J119" s="915">
        <f t="shared" si="11"/>
        <v>0</v>
      </c>
      <c r="K119" s="903"/>
      <c r="L119" s="903"/>
      <c r="M119" s="926"/>
      <c r="N119" s="927"/>
      <c r="O119" s="928"/>
      <c r="P119" s="904"/>
      <c r="Q119" s="908"/>
      <c r="R119" s="928"/>
      <c r="S119" s="907"/>
      <c r="T119" s="928"/>
      <c r="U119" s="904"/>
      <c r="V119" s="904"/>
      <c r="W119" s="929"/>
      <c r="X119" s="899"/>
      <c r="Y119" s="909"/>
      <c r="Z119" s="928"/>
      <c r="AA119" s="904"/>
      <c r="AB119" s="927"/>
      <c r="AC119" s="928"/>
      <c r="AD119" s="928"/>
      <c r="AE119" s="904"/>
      <c r="AF119" s="908"/>
      <c r="AG119" s="928"/>
      <c r="AH119" s="898">
        <f t="shared" si="12"/>
        <v>0</v>
      </c>
      <c r="AI119" s="898">
        <f t="shared" si="13"/>
        <v>0</v>
      </c>
    </row>
    <row r="120" spans="3:35" x14ac:dyDescent="0.2">
      <c r="C120" s="74" t="s">
        <v>976</v>
      </c>
      <c r="D120" s="146">
        <v>61</v>
      </c>
      <c r="E120" s="897"/>
      <c r="F120" s="897"/>
      <c r="G120" s="897"/>
      <c r="H120" s="897"/>
      <c r="I120" s="897"/>
      <c r="J120" s="915">
        <f t="shared" si="11"/>
        <v>0</v>
      </c>
      <c r="K120" s="903"/>
      <c r="L120" s="903"/>
      <c r="M120" s="926"/>
      <c r="N120" s="927"/>
      <c r="O120" s="928"/>
      <c r="P120" s="904"/>
      <c r="Q120" s="908"/>
      <c r="R120" s="928"/>
      <c r="S120" s="907"/>
      <c r="T120" s="928"/>
      <c r="U120" s="904"/>
      <c r="V120" s="904"/>
      <c r="W120" s="929"/>
      <c r="X120" s="899"/>
      <c r="Y120" s="909"/>
      <c r="Z120" s="928"/>
      <c r="AA120" s="904"/>
      <c r="AB120" s="927"/>
      <c r="AC120" s="928"/>
      <c r="AD120" s="928"/>
      <c r="AE120" s="904"/>
      <c r="AF120" s="908"/>
      <c r="AG120" s="928"/>
      <c r="AH120" s="898">
        <f t="shared" si="12"/>
        <v>0</v>
      </c>
      <c r="AI120" s="898">
        <f t="shared" si="13"/>
        <v>0</v>
      </c>
    </row>
    <row r="121" spans="3:35" x14ac:dyDescent="0.2">
      <c r="C121" s="74" t="s">
        <v>1425</v>
      </c>
      <c r="D121" s="146">
        <v>62</v>
      </c>
      <c r="E121" s="897"/>
      <c r="F121" s="897"/>
      <c r="G121" s="897"/>
      <c r="H121" s="897"/>
      <c r="I121" s="897"/>
      <c r="J121" s="915">
        <f t="shared" si="11"/>
        <v>0</v>
      </c>
      <c r="K121" s="903"/>
      <c r="L121" s="903"/>
      <c r="M121" s="926"/>
      <c r="N121" s="927"/>
      <c r="O121" s="928"/>
      <c r="P121" s="904"/>
      <c r="Q121" s="908"/>
      <c r="R121" s="928"/>
      <c r="S121" s="907"/>
      <c r="T121" s="928"/>
      <c r="U121" s="904"/>
      <c r="V121" s="904"/>
      <c r="W121" s="929"/>
      <c r="X121" s="899"/>
      <c r="Y121" s="909"/>
      <c r="Z121" s="928"/>
      <c r="AA121" s="904"/>
      <c r="AB121" s="927"/>
      <c r="AC121" s="928"/>
      <c r="AD121" s="928"/>
      <c r="AE121" s="904"/>
      <c r="AF121" s="908"/>
      <c r="AG121" s="928"/>
      <c r="AH121" s="898">
        <f t="shared" ref="AH121" si="14">ROUND(SUM(K121:N121,Q121:S121,V121,Y121,AB121,AF121:AG121),3)</f>
        <v>0</v>
      </c>
      <c r="AI121" s="898">
        <f t="shared" ref="AI121" si="15">ROUND(SUM(J121,AH121),3)</f>
        <v>0</v>
      </c>
    </row>
    <row r="122" spans="3:35" x14ac:dyDescent="0.2">
      <c r="C122" s="74" t="s">
        <v>977</v>
      </c>
      <c r="D122" s="146">
        <v>63</v>
      </c>
      <c r="E122" s="897"/>
      <c r="F122" s="897"/>
      <c r="G122" s="897"/>
      <c r="H122" s="897"/>
      <c r="I122" s="897"/>
      <c r="J122" s="915">
        <f t="shared" si="11"/>
        <v>0</v>
      </c>
      <c r="K122" s="903"/>
      <c r="L122" s="903"/>
      <c r="M122" s="926"/>
      <c r="N122" s="927"/>
      <c r="O122" s="928"/>
      <c r="P122" s="904"/>
      <c r="Q122" s="908"/>
      <c r="R122" s="928"/>
      <c r="S122" s="907"/>
      <c r="T122" s="928"/>
      <c r="U122" s="904"/>
      <c r="V122" s="904"/>
      <c r="W122" s="929"/>
      <c r="X122" s="899"/>
      <c r="Y122" s="909"/>
      <c r="Z122" s="928"/>
      <c r="AA122" s="904"/>
      <c r="AB122" s="927"/>
      <c r="AC122" s="928"/>
      <c r="AD122" s="928"/>
      <c r="AE122" s="904"/>
      <c r="AF122" s="908"/>
      <c r="AG122" s="928"/>
      <c r="AH122" s="898">
        <f t="shared" si="12"/>
        <v>0</v>
      </c>
      <c r="AI122" s="898">
        <f t="shared" si="13"/>
        <v>0</v>
      </c>
    </row>
    <row r="123" spans="3:35" x14ac:dyDescent="0.2">
      <c r="C123" s="74" t="s">
        <v>978</v>
      </c>
      <c r="D123" s="146">
        <v>64</v>
      </c>
      <c r="E123" s="897"/>
      <c r="F123" s="897"/>
      <c r="G123" s="897"/>
      <c r="H123" s="897"/>
      <c r="I123" s="897"/>
      <c r="J123" s="915">
        <f t="shared" si="11"/>
        <v>0</v>
      </c>
      <c r="K123" s="903"/>
      <c r="L123" s="903"/>
      <c r="M123" s="926"/>
      <c r="N123" s="927"/>
      <c r="O123" s="928"/>
      <c r="P123" s="904"/>
      <c r="Q123" s="908"/>
      <c r="R123" s="928"/>
      <c r="S123" s="907"/>
      <c r="T123" s="928"/>
      <c r="U123" s="904"/>
      <c r="V123" s="904"/>
      <c r="W123" s="929"/>
      <c r="X123" s="899"/>
      <c r="Y123" s="909"/>
      <c r="Z123" s="928"/>
      <c r="AA123" s="904"/>
      <c r="AB123" s="927"/>
      <c r="AC123" s="928"/>
      <c r="AD123" s="928"/>
      <c r="AE123" s="904"/>
      <c r="AF123" s="908"/>
      <c r="AG123" s="928"/>
      <c r="AH123" s="898">
        <f t="shared" si="12"/>
        <v>0</v>
      </c>
      <c r="AI123" s="898">
        <f t="shared" si="13"/>
        <v>0</v>
      </c>
    </row>
    <row r="124" spans="3:35" x14ac:dyDescent="0.2">
      <c r="C124" s="74" t="s">
        <v>34</v>
      </c>
      <c r="D124" s="146">
        <v>65</v>
      </c>
      <c r="E124" s="897"/>
      <c r="F124" s="897"/>
      <c r="G124" s="897"/>
      <c r="H124" s="897"/>
      <c r="I124" s="897"/>
      <c r="J124" s="915">
        <f t="shared" si="11"/>
        <v>0</v>
      </c>
      <c r="K124" s="903"/>
      <c r="L124" s="903"/>
      <c r="M124" s="926"/>
      <c r="N124" s="927"/>
      <c r="O124" s="928"/>
      <c r="P124" s="904"/>
      <c r="Q124" s="908"/>
      <c r="R124" s="928"/>
      <c r="S124" s="907"/>
      <c r="T124" s="928"/>
      <c r="U124" s="904"/>
      <c r="V124" s="904"/>
      <c r="W124" s="929"/>
      <c r="X124" s="899"/>
      <c r="Y124" s="909"/>
      <c r="Z124" s="928"/>
      <c r="AA124" s="904"/>
      <c r="AB124" s="927"/>
      <c r="AC124" s="928"/>
      <c r="AD124" s="928"/>
      <c r="AE124" s="904"/>
      <c r="AF124" s="908"/>
      <c r="AG124" s="928"/>
      <c r="AH124" s="898">
        <f t="shared" si="12"/>
        <v>0</v>
      </c>
      <c r="AI124" s="898">
        <f t="shared" si="13"/>
        <v>0</v>
      </c>
    </row>
    <row r="125" spans="3:35" x14ac:dyDescent="0.2">
      <c r="C125" s="74" t="s">
        <v>35</v>
      </c>
      <c r="D125" s="146">
        <v>66</v>
      </c>
      <c r="E125" s="897"/>
      <c r="F125" s="897"/>
      <c r="G125" s="897"/>
      <c r="H125" s="897"/>
      <c r="I125" s="897"/>
      <c r="J125" s="915">
        <f t="shared" si="11"/>
        <v>0</v>
      </c>
      <c r="K125" s="903"/>
      <c r="L125" s="903"/>
      <c r="M125" s="926"/>
      <c r="N125" s="927"/>
      <c r="O125" s="928"/>
      <c r="P125" s="904"/>
      <c r="Q125" s="908"/>
      <c r="R125" s="928"/>
      <c r="S125" s="907"/>
      <c r="T125" s="928"/>
      <c r="U125" s="904"/>
      <c r="V125" s="904"/>
      <c r="W125" s="929"/>
      <c r="X125" s="899"/>
      <c r="Y125" s="909"/>
      <c r="Z125" s="928"/>
      <c r="AA125" s="904"/>
      <c r="AB125" s="927"/>
      <c r="AC125" s="928"/>
      <c r="AD125" s="928"/>
      <c r="AE125" s="904"/>
      <c r="AF125" s="908"/>
      <c r="AG125" s="928"/>
      <c r="AH125" s="898">
        <f t="shared" si="12"/>
        <v>0</v>
      </c>
      <c r="AI125" s="898">
        <f t="shared" si="13"/>
        <v>0</v>
      </c>
    </row>
    <row r="126" spans="3:35" x14ac:dyDescent="0.2">
      <c r="C126" s="74" t="s">
        <v>36</v>
      </c>
      <c r="D126" s="146">
        <v>67</v>
      </c>
      <c r="E126" s="897"/>
      <c r="F126" s="897"/>
      <c r="G126" s="897"/>
      <c r="H126" s="897"/>
      <c r="I126" s="897"/>
      <c r="J126" s="915">
        <f t="shared" ref="J126:J157" si="16">ROUND(SUM(E126:I126),3)</f>
        <v>0</v>
      </c>
      <c r="K126" s="903"/>
      <c r="L126" s="903"/>
      <c r="M126" s="926"/>
      <c r="N126" s="927"/>
      <c r="O126" s="928"/>
      <c r="P126" s="904"/>
      <c r="Q126" s="908"/>
      <c r="R126" s="928"/>
      <c r="S126" s="907"/>
      <c r="T126" s="928"/>
      <c r="U126" s="904"/>
      <c r="V126" s="904"/>
      <c r="W126" s="929"/>
      <c r="X126" s="899"/>
      <c r="Y126" s="909"/>
      <c r="Z126" s="928"/>
      <c r="AA126" s="904"/>
      <c r="AB126" s="927"/>
      <c r="AC126" s="928"/>
      <c r="AD126" s="928"/>
      <c r="AE126" s="904"/>
      <c r="AF126" s="908"/>
      <c r="AG126" s="928"/>
      <c r="AH126" s="898">
        <f t="shared" ref="AH126:AH157" si="17">ROUND(SUM(K126:N126,Q126:S126,V126,Y126,AB126,AF126:AG126),3)</f>
        <v>0</v>
      </c>
      <c r="AI126" s="898">
        <f t="shared" ref="AI126:AI157" si="18">ROUND(SUM(J126,AH126),3)</f>
        <v>0</v>
      </c>
    </row>
    <row r="127" spans="3:35" x14ac:dyDescent="0.2">
      <c r="C127" s="74" t="s">
        <v>37</v>
      </c>
      <c r="D127" s="146">
        <v>68</v>
      </c>
      <c r="E127" s="897"/>
      <c r="F127" s="897"/>
      <c r="G127" s="897"/>
      <c r="H127" s="897"/>
      <c r="I127" s="897"/>
      <c r="J127" s="915">
        <f t="shared" si="16"/>
        <v>0</v>
      </c>
      <c r="K127" s="903"/>
      <c r="L127" s="903"/>
      <c r="M127" s="926"/>
      <c r="N127" s="927"/>
      <c r="O127" s="928"/>
      <c r="P127" s="904"/>
      <c r="Q127" s="908"/>
      <c r="R127" s="928"/>
      <c r="S127" s="907"/>
      <c r="T127" s="928"/>
      <c r="U127" s="904"/>
      <c r="V127" s="904"/>
      <c r="W127" s="929"/>
      <c r="X127" s="899"/>
      <c r="Y127" s="909"/>
      <c r="Z127" s="928"/>
      <c r="AA127" s="904"/>
      <c r="AB127" s="927"/>
      <c r="AC127" s="928"/>
      <c r="AD127" s="928"/>
      <c r="AE127" s="904"/>
      <c r="AF127" s="908"/>
      <c r="AG127" s="928"/>
      <c r="AH127" s="898">
        <f t="shared" si="17"/>
        <v>0</v>
      </c>
      <c r="AI127" s="898">
        <f t="shared" si="18"/>
        <v>0</v>
      </c>
    </row>
    <row r="128" spans="3:35" x14ac:dyDescent="0.2">
      <c r="C128" s="74" t="s">
        <v>979</v>
      </c>
      <c r="D128" s="146">
        <v>69</v>
      </c>
      <c r="E128" s="897"/>
      <c r="F128" s="897"/>
      <c r="G128" s="897"/>
      <c r="H128" s="897"/>
      <c r="I128" s="897"/>
      <c r="J128" s="915">
        <f t="shared" si="16"/>
        <v>0</v>
      </c>
      <c r="K128" s="903"/>
      <c r="L128" s="903"/>
      <c r="M128" s="926"/>
      <c r="N128" s="927"/>
      <c r="O128" s="928"/>
      <c r="P128" s="904"/>
      <c r="Q128" s="908"/>
      <c r="R128" s="928"/>
      <c r="S128" s="907"/>
      <c r="T128" s="928"/>
      <c r="U128" s="904"/>
      <c r="V128" s="904"/>
      <c r="W128" s="929"/>
      <c r="X128" s="899"/>
      <c r="Y128" s="909"/>
      <c r="Z128" s="928"/>
      <c r="AA128" s="904"/>
      <c r="AB128" s="927"/>
      <c r="AC128" s="928"/>
      <c r="AD128" s="928"/>
      <c r="AE128" s="904"/>
      <c r="AF128" s="908"/>
      <c r="AG128" s="928"/>
      <c r="AH128" s="898">
        <f t="shared" si="17"/>
        <v>0</v>
      </c>
      <c r="AI128" s="898">
        <f t="shared" si="18"/>
        <v>0</v>
      </c>
    </row>
    <row r="129" spans="3:35" x14ac:dyDescent="0.2">
      <c r="C129" s="74" t="s">
        <v>38</v>
      </c>
      <c r="D129" s="146">
        <v>70</v>
      </c>
      <c r="E129" s="897"/>
      <c r="F129" s="897"/>
      <c r="G129" s="897"/>
      <c r="H129" s="897"/>
      <c r="I129" s="897"/>
      <c r="J129" s="915">
        <f t="shared" si="16"/>
        <v>0</v>
      </c>
      <c r="K129" s="903"/>
      <c r="L129" s="903"/>
      <c r="M129" s="926"/>
      <c r="N129" s="927"/>
      <c r="O129" s="928"/>
      <c r="P129" s="904"/>
      <c r="Q129" s="908"/>
      <c r="R129" s="928"/>
      <c r="S129" s="907"/>
      <c r="T129" s="928"/>
      <c r="U129" s="904"/>
      <c r="V129" s="904"/>
      <c r="W129" s="929"/>
      <c r="X129" s="899"/>
      <c r="Y129" s="909"/>
      <c r="Z129" s="928"/>
      <c r="AA129" s="904"/>
      <c r="AB129" s="927"/>
      <c r="AC129" s="928"/>
      <c r="AD129" s="928"/>
      <c r="AE129" s="904"/>
      <c r="AF129" s="908"/>
      <c r="AG129" s="928"/>
      <c r="AH129" s="898">
        <f t="shared" si="17"/>
        <v>0</v>
      </c>
      <c r="AI129" s="898">
        <f t="shared" si="18"/>
        <v>0</v>
      </c>
    </row>
    <row r="130" spans="3:35" x14ac:dyDescent="0.2">
      <c r="C130" s="74" t="s">
        <v>39</v>
      </c>
      <c r="D130" s="146">
        <v>71</v>
      </c>
      <c r="E130" s="897"/>
      <c r="F130" s="897"/>
      <c r="G130" s="897"/>
      <c r="H130" s="897"/>
      <c r="I130" s="897"/>
      <c r="J130" s="915">
        <f t="shared" si="16"/>
        <v>0</v>
      </c>
      <c r="K130" s="903"/>
      <c r="L130" s="903"/>
      <c r="M130" s="926"/>
      <c r="N130" s="927"/>
      <c r="O130" s="928"/>
      <c r="P130" s="904"/>
      <c r="Q130" s="908"/>
      <c r="R130" s="928"/>
      <c r="S130" s="907"/>
      <c r="T130" s="928"/>
      <c r="U130" s="904"/>
      <c r="V130" s="904"/>
      <c r="W130" s="929"/>
      <c r="X130" s="899"/>
      <c r="Y130" s="909"/>
      <c r="Z130" s="928"/>
      <c r="AA130" s="904"/>
      <c r="AB130" s="927"/>
      <c r="AC130" s="928"/>
      <c r="AD130" s="928"/>
      <c r="AE130" s="904"/>
      <c r="AF130" s="908"/>
      <c r="AG130" s="928"/>
      <c r="AH130" s="898">
        <f t="shared" si="17"/>
        <v>0</v>
      </c>
      <c r="AI130" s="898">
        <f t="shared" si="18"/>
        <v>0</v>
      </c>
    </row>
    <row r="131" spans="3:35" x14ac:dyDescent="0.2">
      <c r="C131" s="74" t="s">
        <v>97</v>
      </c>
      <c r="D131" s="146">
        <v>72</v>
      </c>
      <c r="E131" s="897"/>
      <c r="F131" s="897"/>
      <c r="G131" s="897"/>
      <c r="H131" s="897"/>
      <c r="I131" s="897"/>
      <c r="J131" s="915">
        <f t="shared" si="16"/>
        <v>0</v>
      </c>
      <c r="K131" s="903"/>
      <c r="L131" s="903"/>
      <c r="M131" s="926"/>
      <c r="N131" s="927"/>
      <c r="O131" s="928"/>
      <c r="P131" s="904"/>
      <c r="Q131" s="908"/>
      <c r="R131" s="928"/>
      <c r="S131" s="907"/>
      <c r="T131" s="928"/>
      <c r="U131" s="904"/>
      <c r="V131" s="904"/>
      <c r="W131" s="929"/>
      <c r="X131" s="899"/>
      <c r="Y131" s="909"/>
      <c r="Z131" s="928"/>
      <c r="AA131" s="904"/>
      <c r="AB131" s="927"/>
      <c r="AC131" s="928"/>
      <c r="AD131" s="928"/>
      <c r="AE131" s="904"/>
      <c r="AF131" s="908"/>
      <c r="AG131" s="928"/>
      <c r="AH131" s="898">
        <f t="shared" si="17"/>
        <v>0</v>
      </c>
      <c r="AI131" s="898">
        <f t="shared" si="18"/>
        <v>0</v>
      </c>
    </row>
    <row r="132" spans="3:35" x14ac:dyDescent="0.2">
      <c r="C132" s="74" t="s">
        <v>40</v>
      </c>
      <c r="D132" s="146">
        <v>73</v>
      </c>
      <c r="E132" s="897"/>
      <c r="F132" s="897"/>
      <c r="G132" s="897"/>
      <c r="H132" s="897"/>
      <c r="I132" s="897"/>
      <c r="J132" s="915">
        <f t="shared" si="16"/>
        <v>0</v>
      </c>
      <c r="K132" s="903"/>
      <c r="L132" s="903"/>
      <c r="M132" s="926"/>
      <c r="N132" s="927"/>
      <c r="O132" s="928"/>
      <c r="P132" s="904"/>
      <c r="Q132" s="908"/>
      <c r="R132" s="928"/>
      <c r="S132" s="907"/>
      <c r="T132" s="928"/>
      <c r="U132" s="904"/>
      <c r="V132" s="904"/>
      <c r="W132" s="929"/>
      <c r="X132" s="899"/>
      <c r="Y132" s="909"/>
      <c r="Z132" s="928"/>
      <c r="AA132" s="904"/>
      <c r="AB132" s="927"/>
      <c r="AC132" s="928"/>
      <c r="AD132" s="928"/>
      <c r="AE132" s="904"/>
      <c r="AF132" s="908"/>
      <c r="AG132" s="928"/>
      <c r="AH132" s="898">
        <f t="shared" si="17"/>
        <v>0</v>
      </c>
      <c r="AI132" s="898">
        <f t="shared" si="18"/>
        <v>0</v>
      </c>
    </row>
    <row r="133" spans="3:35" x14ac:dyDescent="0.2">
      <c r="C133" s="74" t="s">
        <v>980</v>
      </c>
      <c r="D133" s="146">
        <v>74</v>
      </c>
      <c r="E133" s="897"/>
      <c r="F133" s="897"/>
      <c r="G133" s="897"/>
      <c r="H133" s="897"/>
      <c r="I133" s="897"/>
      <c r="J133" s="915">
        <f t="shared" si="16"/>
        <v>0</v>
      </c>
      <c r="K133" s="903"/>
      <c r="L133" s="903"/>
      <c r="M133" s="926"/>
      <c r="N133" s="927"/>
      <c r="O133" s="928"/>
      <c r="P133" s="904"/>
      <c r="Q133" s="908"/>
      <c r="R133" s="928"/>
      <c r="S133" s="907"/>
      <c r="T133" s="928"/>
      <c r="U133" s="904"/>
      <c r="V133" s="904"/>
      <c r="W133" s="929"/>
      <c r="X133" s="899"/>
      <c r="Y133" s="909"/>
      <c r="Z133" s="928"/>
      <c r="AA133" s="904"/>
      <c r="AB133" s="927"/>
      <c r="AC133" s="928"/>
      <c r="AD133" s="928"/>
      <c r="AE133" s="904"/>
      <c r="AF133" s="908"/>
      <c r="AG133" s="928"/>
      <c r="AH133" s="898">
        <f t="shared" si="17"/>
        <v>0</v>
      </c>
      <c r="AI133" s="898">
        <f t="shared" si="18"/>
        <v>0</v>
      </c>
    </row>
    <row r="134" spans="3:35" x14ac:dyDescent="0.2">
      <c r="C134" s="74" t="s">
        <v>41</v>
      </c>
      <c r="D134" s="146">
        <v>75</v>
      </c>
      <c r="E134" s="897"/>
      <c r="F134" s="897"/>
      <c r="G134" s="897"/>
      <c r="H134" s="897"/>
      <c r="I134" s="897"/>
      <c r="J134" s="915">
        <f t="shared" si="16"/>
        <v>0</v>
      </c>
      <c r="K134" s="903"/>
      <c r="L134" s="903"/>
      <c r="M134" s="926"/>
      <c r="N134" s="927"/>
      <c r="O134" s="928"/>
      <c r="P134" s="904"/>
      <c r="Q134" s="908"/>
      <c r="R134" s="928"/>
      <c r="S134" s="907"/>
      <c r="T134" s="928"/>
      <c r="U134" s="904"/>
      <c r="V134" s="904"/>
      <c r="W134" s="929"/>
      <c r="X134" s="899"/>
      <c r="Y134" s="909"/>
      <c r="Z134" s="928"/>
      <c r="AA134" s="904"/>
      <c r="AB134" s="927"/>
      <c r="AC134" s="928"/>
      <c r="AD134" s="928"/>
      <c r="AE134" s="904"/>
      <c r="AF134" s="908"/>
      <c r="AG134" s="928"/>
      <c r="AH134" s="898">
        <f t="shared" si="17"/>
        <v>0</v>
      </c>
      <c r="AI134" s="898">
        <f t="shared" si="18"/>
        <v>0</v>
      </c>
    </row>
    <row r="135" spans="3:35" x14ac:dyDescent="0.2">
      <c r="C135" s="74" t="s">
        <v>981</v>
      </c>
      <c r="D135" s="146">
        <v>76</v>
      </c>
      <c r="E135" s="897"/>
      <c r="F135" s="897"/>
      <c r="G135" s="897"/>
      <c r="H135" s="897"/>
      <c r="I135" s="897"/>
      <c r="J135" s="915">
        <f t="shared" si="16"/>
        <v>0</v>
      </c>
      <c r="K135" s="903"/>
      <c r="L135" s="903"/>
      <c r="M135" s="926"/>
      <c r="N135" s="927"/>
      <c r="O135" s="928"/>
      <c r="P135" s="904"/>
      <c r="Q135" s="908"/>
      <c r="R135" s="928"/>
      <c r="S135" s="907"/>
      <c r="T135" s="928"/>
      <c r="U135" s="904"/>
      <c r="V135" s="904"/>
      <c r="W135" s="929"/>
      <c r="X135" s="899"/>
      <c r="Y135" s="909"/>
      <c r="Z135" s="928"/>
      <c r="AA135" s="904"/>
      <c r="AB135" s="927"/>
      <c r="AC135" s="928"/>
      <c r="AD135" s="928"/>
      <c r="AE135" s="904"/>
      <c r="AF135" s="908"/>
      <c r="AG135" s="928"/>
      <c r="AH135" s="898">
        <f t="shared" si="17"/>
        <v>0</v>
      </c>
      <c r="AI135" s="898">
        <f t="shared" si="18"/>
        <v>0</v>
      </c>
    </row>
    <row r="136" spans="3:35" x14ac:dyDescent="0.2">
      <c r="C136" s="74" t="s">
        <v>559</v>
      </c>
      <c r="D136" s="146">
        <v>77</v>
      </c>
      <c r="E136" s="897"/>
      <c r="F136" s="897"/>
      <c r="G136" s="897"/>
      <c r="H136" s="897"/>
      <c r="I136" s="897"/>
      <c r="J136" s="915">
        <f t="shared" si="16"/>
        <v>0</v>
      </c>
      <c r="K136" s="903"/>
      <c r="L136" s="903"/>
      <c r="M136" s="926"/>
      <c r="N136" s="927"/>
      <c r="O136" s="928"/>
      <c r="P136" s="904"/>
      <c r="Q136" s="908"/>
      <c r="R136" s="928"/>
      <c r="S136" s="907"/>
      <c r="T136" s="928"/>
      <c r="U136" s="904"/>
      <c r="V136" s="904"/>
      <c r="W136" s="929"/>
      <c r="X136" s="899"/>
      <c r="Y136" s="909"/>
      <c r="Z136" s="928"/>
      <c r="AA136" s="904"/>
      <c r="AB136" s="927"/>
      <c r="AC136" s="928"/>
      <c r="AD136" s="928"/>
      <c r="AE136" s="904"/>
      <c r="AF136" s="908"/>
      <c r="AG136" s="928"/>
      <c r="AH136" s="898">
        <f t="shared" si="17"/>
        <v>0</v>
      </c>
      <c r="AI136" s="898">
        <f t="shared" si="18"/>
        <v>0</v>
      </c>
    </row>
    <row r="137" spans="3:35" x14ac:dyDescent="0.2">
      <c r="C137" s="74" t="s">
        <v>982</v>
      </c>
      <c r="D137" s="146">
        <v>78</v>
      </c>
      <c r="E137" s="897"/>
      <c r="F137" s="897"/>
      <c r="G137" s="897"/>
      <c r="H137" s="897"/>
      <c r="I137" s="897"/>
      <c r="J137" s="915">
        <f t="shared" si="16"/>
        <v>0</v>
      </c>
      <c r="K137" s="903"/>
      <c r="L137" s="903"/>
      <c r="M137" s="926"/>
      <c r="N137" s="927"/>
      <c r="O137" s="928"/>
      <c r="P137" s="904"/>
      <c r="Q137" s="908"/>
      <c r="R137" s="928"/>
      <c r="S137" s="907"/>
      <c r="T137" s="928"/>
      <c r="U137" s="904"/>
      <c r="V137" s="904"/>
      <c r="W137" s="929"/>
      <c r="X137" s="899"/>
      <c r="Y137" s="909"/>
      <c r="Z137" s="928"/>
      <c r="AA137" s="904"/>
      <c r="AB137" s="927"/>
      <c r="AC137" s="928"/>
      <c r="AD137" s="928"/>
      <c r="AE137" s="904"/>
      <c r="AF137" s="908"/>
      <c r="AG137" s="928"/>
      <c r="AH137" s="898">
        <f t="shared" si="17"/>
        <v>0</v>
      </c>
      <c r="AI137" s="898">
        <f t="shared" si="18"/>
        <v>0</v>
      </c>
    </row>
    <row r="138" spans="3:35" x14ac:dyDescent="0.2">
      <c r="C138" s="74" t="s">
        <v>42</v>
      </c>
      <c r="D138" s="146">
        <v>79</v>
      </c>
      <c r="E138" s="897"/>
      <c r="F138" s="897"/>
      <c r="G138" s="897"/>
      <c r="H138" s="897"/>
      <c r="I138" s="897"/>
      <c r="J138" s="915">
        <f t="shared" si="16"/>
        <v>0</v>
      </c>
      <c r="K138" s="903"/>
      <c r="L138" s="903"/>
      <c r="M138" s="926"/>
      <c r="N138" s="927"/>
      <c r="O138" s="928"/>
      <c r="P138" s="904"/>
      <c r="Q138" s="908"/>
      <c r="R138" s="928"/>
      <c r="S138" s="907"/>
      <c r="T138" s="928"/>
      <c r="U138" s="904"/>
      <c r="V138" s="904"/>
      <c r="W138" s="929"/>
      <c r="X138" s="899"/>
      <c r="Y138" s="909"/>
      <c r="Z138" s="928"/>
      <c r="AA138" s="904"/>
      <c r="AB138" s="927"/>
      <c r="AC138" s="928"/>
      <c r="AD138" s="928"/>
      <c r="AE138" s="904"/>
      <c r="AF138" s="908"/>
      <c r="AG138" s="928"/>
      <c r="AH138" s="898">
        <f t="shared" si="17"/>
        <v>0</v>
      </c>
      <c r="AI138" s="898">
        <f t="shared" si="18"/>
        <v>0</v>
      </c>
    </row>
    <row r="139" spans="3:35" x14ac:dyDescent="0.2">
      <c r="C139" s="74" t="s">
        <v>983</v>
      </c>
      <c r="D139" s="146">
        <v>80</v>
      </c>
      <c r="E139" s="897"/>
      <c r="F139" s="897"/>
      <c r="G139" s="897"/>
      <c r="H139" s="897"/>
      <c r="I139" s="897"/>
      <c r="J139" s="915">
        <f t="shared" si="16"/>
        <v>0</v>
      </c>
      <c r="K139" s="903"/>
      <c r="L139" s="903"/>
      <c r="M139" s="926"/>
      <c r="N139" s="927"/>
      <c r="O139" s="928"/>
      <c r="P139" s="904"/>
      <c r="Q139" s="908"/>
      <c r="R139" s="928"/>
      <c r="S139" s="907"/>
      <c r="T139" s="928"/>
      <c r="U139" s="904"/>
      <c r="V139" s="904"/>
      <c r="W139" s="929"/>
      <c r="X139" s="899"/>
      <c r="Y139" s="909"/>
      <c r="Z139" s="928"/>
      <c r="AA139" s="904"/>
      <c r="AB139" s="927"/>
      <c r="AC139" s="928"/>
      <c r="AD139" s="928"/>
      <c r="AE139" s="904"/>
      <c r="AF139" s="908"/>
      <c r="AG139" s="928"/>
      <c r="AH139" s="898">
        <f t="shared" si="17"/>
        <v>0</v>
      </c>
      <c r="AI139" s="898">
        <f t="shared" si="18"/>
        <v>0</v>
      </c>
    </row>
    <row r="140" spans="3:35" x14ac:dyDescent="0.2">
      <c r="C140" s="74" t="s">
        <v>43</v>
      </c>
      <c r="D140" s="146">
        <v>81</v>
      </c>
      <c r="E140" s="897"/>
      <c r="F140" s="897"/>
      <c r="G140" s="897"/>
      <c r="H140" s="897"/>
      <c r="I140" s="897"/>
      <c r="J140" s="915">
        <f t="shared" si="16"/>
        <v>0</v>
      </c>
      <c r="K140" s="903"/>
      <c r="L140" s="903"/>
      <c r="M140" s="926"/>
      <c r="N140" s="927"/>
      <c r="O140" s="928"/>
      <c r="P140" s="904"/>
      <c r="Q140" s="908"/>
      <c r="R140" s="928"/>
      <c r="S140" s="907"/>
      <c r="T140" s="928"/>
      <c r="U140" s="904"/>
      <c r="V140" s="904"/>
      <c r="W140" s="929"/>
      <c r="X140" s="899"/>
      <c r="Y140" s="909"/>
      <c r="Z140" s="928"/>
      <c r="AA140" s="904"/>
      <c r="AB140" s="927"/>
      <c r="AC140" s="928"/>
      <c r="AD140" s="928"/>
      <c r="AE140" s="904"/>
      <c r="AF140" s="908"/>
      <c r="AG140" s="928"/>
      <c r="AH140" s="898">
        <f t="shared" si="17"/>
        <v>0</v>
      </c>
      <c r="AI140" s="898">
        <f t="shared" si="18"/>
        <v>0</v>
      </c>
    </row>
    <row r="141" spans="3:35" x14ac:dyDescent="0.2">
      <c r="C141" s="74" t="s">
        <v>560</v>
      </c>
      <c r="D141" s="146">
        <v>82</v>
      </c>
      <c r="E141" s="897"/>
      <c r="F141" s="897"/>
      <c r="G141" s="897"/>
      <c r="H141" s="897"/>
      <c r="I141" s="897"/>
      <c r="J141" s="915">
        <f t="shared" si="16"/>
        <v>0</v>
      </c>
      <c r="K141" s="903"/>
      <c r="L141" s="903"/>
      <c r="M141" s="926"/>
      <c r="N141" s="927"/>
      <c r="O141" s="928"/>
      <c r="P141" s="904"/>
      <c r="Q141" s="908"/>
      <c r="R141" s="928"/>
      <c r="S141" s="907"/>
      <c r="T141" s="928"/>
      <c r="U141" s="904"/>
      <c r="V141" s="904"/>
      <c r="W141" s="929"/>
      <c r="X141" s="899"/>
      <c r="Y141" s="909"/>
      <c r="Z141" s="928"/>
      <c r="AA141" s="904"/>
      <c r="AB141" s="927"/>
      <c r="AC141" s="928"/>
      <c r="AD141" s="928"/>
      <c r="AE141" s="904"/>
      <c r="AF141" s="908"/>
      <c r="AG141" s="928"/>
      <c r="AH141" s="898">
        <f t="shared" si="17"/>
        <v>0</v>
      </c>
      <c r="AI141" s="898">
        <f t="shared" si="18"/>
        <v>0</v>
      </c>
    </row>
    <row r="142" spans="3:35" x14ac:dyDescent="0.2">
      <c r="C142" s="74" t="s">
        <v>984</v>
      </c>
      <c r="D142" s="146">
        <v>83</v>
      </c>
      <c r="E142" s="897"/>
      <c r="F142" s="897"/>
      <c r="G142" s="897"/>
      <c r="H142" s="897"/>
      <c r="I142" s="897"/>
      <c r="J142" s="915">
        <f t="shared" si="16"/>
        <v>0</v>
      </c>
      <c r="K142" s="903"/>
      <c r="L142" s="903"/>
      <c r="M142" s="926"/>
      <c r="N142" s="927"/>
      <c r="O142" s="928"/>
      <c r="P142" s="904"/>
      <c r="Q142" s="908"/>
      <c r="R142" s="928"/>
      <c r="S142" s="907"/>
      <c r="T142" s="928"/>
      <c r="U142" s="904"/>
      <c r="V142" s="904"/>
      <c r="W142" s="929"/>
      <c r="X142" s="899"/>
      <c r="Y142" s="909"/>
      <c r="Z142" s="928"/>
      <c r="AA142" s="904"/>
      <c r="AB142" s="927"/>
      <c r="AC142" s="928"/>
      <c r="AD142" s="928"/>
      <c r="AE142" s="904"/>
      <c r="AF142" s="908"/>
      <c r="AG142" s="928"/>
      <c r="AH142" s="898">
        <f t="shared" si="17"/>
        <v>0</v>
      </c>
      <c r="AI142" s="898">
        <f t="shared" si="18"/>
        <v>0</v>
      </c>
    </row>
    <row r="143" spans="3:35" x14ac:dyDescent="0.2">
      <c r="C143" s="74" t="s">
        <v>561</v>
      </c>
      <c r="D143" s="146">
        <v>84</v>
      </c>
      <c r="E143" s="897"/>
      <c r="F143" s="897"/>
      <c r="G143" s="897"/>
      <c r="H143" s="897"/>
      <c r="I143" s="897"/>
      <c r="J143" s="915">
        <f t="shared" si="16"/>
        <v>0</v>
      </c>
      <c r="K143" s="903"/>
      <c r="L143" s="903"/>
      <c r="M143" s="926"/>
      <c r="N143" s="927"/>
      <c r="O143" s="928"/>
      <c r="P143" s="904"/>
      <c r="Q143" s="908"/>
      <c r="R143" s="928"/>
      <c r="S143" s="907"/>
      <c r="T143" s="928"/>
      <c r="U143" s="904"/>
      <c r="V143" s="904"/>
      <c r="W143" s="929"/>
      <c r="X143" s="899"/>
      <c r="Y143" s="909"/>
      <c r="Z143" s="928"/>
      <c r="AA143" s="904"/>
      <c r="AB143" s="927"/>
      <c r="AC143" s="928"/>
      <c r="AD143" s="928"/>
      <c r="AE143" s="904"/>
      <c r="AF143" s="908"/>
      <c r="AG143" s="928"/>
      <c r="AH143" s="898">
        <f t="shared" si="17"/>
        <v>0</v>
      </c>
      <c r="AI143" s="898">
        <f t="shared" si="18"/>
        <v>0</v>
      </c>
    </row>
    <row r="144" spans="3:35" x14ac:dyDescent="0.2">
      <c r="C144" s="74" t="s">
        <v>70</v>
      </c>
      <c r="D144" s="146">
        <v>85</v>
      </c>
      <c r="E144" s="897"/>
      <c r="F144" s="897"/>
      <c r="G144" s="897"/>
      <c r="H144" s="897"/>
      <c r="I144" s="897"/>
      <c r="J144" s="915">
        <f t="shared" si="16"/>
        <v>0</v>
      </c>
      <c r="K144" s="903"/>
      <c r="L144" s="903"/>
      <c r="M144" s="926"/>
      <c r="N144" s="927"/>
      <c r="O144" s="928"/>
      <c r="P144" s="904"/>
      <c r="Q144" s="908"/>
      <c r="R144" s="928"/>
      <c r="S144" s="907"/>
      <c r="T144" s="928"/>
      <c r="U144" s="904"/>
      <c r="V144" s="904"/>
      <c r="W144" s="929"/>
      <c r="X144" s="899"/>
      <c r="Y144" s="909"/>
      <c r="Z144" s="928"/>
      <c r="AA144" s="904"/>
      <c r="AB144" s="927"/>
      <c r="AC144" s="928"/>
      <c r="AD144" s="928"/>
      <c r="AE144" s="904"/>
      <c r="AF144" s="908"/>
      <c r="AG144" s="928"/>
      <c r="AH144" s="898">
        <f t="shared" si="17"/>
        <v>0</v>
      </c>
      <c r="AI144" s="898">
        <f t="shared" si="18"/>
        <v>0</v>
      </c>
    </row>
    <row r="145" spans="3:35" x14ac:dyDescent="0.2">
      <c r="C145" s="74" t="s">
        <v>985</v>
      </c>
      <c r="D145" s="146">
        <v>86</v>
      </c>
      <c r="E145" s="897"/>
      <c r="F145" s="897"/>
      <c r="G145" s="897"/>
      <c r="H145" s="897"/>
      <c r="I145" s="897"/>
      <c r="J145" s="915">
        <f t="shared" si="16"/>
        <v>0</v>
      </c>
      <c r="K145" s="903"/>
      <c r="L145" s="903"/>
      <c r="M145" s="926"/>
      <c r="N145" s="927"/>
      <c r="O145" s="928"/>
      <c r="P145" s="904"/>
      <c r="Q145" s="908"/>
      <c r="R145" s="928"/>
      <c r="S145" s="907"/>
      <c r="T145" s="928"/>
      <c r="U145" s="904"/>
      <c r="V145" s="904"/>
      <c r="W145" s="929"/>
      <c r="X145" s="899"/>
      <c r="Y145" s="909"/>
      <c r="Z145" s="928"/>
      <c r="AA145" s="904"/>
      <c r="AB145" s="927"/>
      <c r="AC145" s="928"/>
      <c r="AD145" s="928"/>
      <c r="AE145" s="904"/>
      <c r="AF145" s="908"/>
      <c r="AG145" s="928"/>
      <c r="AH145" s="898">
        <f t="shared" si="17"/>
        <v>0</v>
      </c>
      <c r="AI145" s="898">
        <f t="shared" si="18"/>
        <v>0</v>
      </c>
    </row>
    <row r="146" spans="3:35" x14ac:dyDescent="0.2">
      <c r="C146" s="74" t="s">
        <v>921</v>
      </c>
      <c r="D146" s="146">
        <v>87</v>
      </c>
      <c r="E146" s="897"/>
      <c r="F146" s="897"/>
      <c r="G146" s="897"/>
      <c r="H146" s="897"/>
      <c r="I146" s="897"/>
      <c r="J146" s="915">
        <f t="shared" si="16"/>
        <v>0</v>
      </c>
      <c r="K146" s="903"/>
      <c r="L146" s="903"/>
      <c r="M146" s="926"/>
      <c r="N146" s="927"/>
      <c r="O146" s="928"/>
      <c r="P146" s="904"/>
      <c r="Q146" s="908"/>
      <c r="R146" s="928"/>
      <c r="S146" s="907"/>
      <c r="T146" s="928"/>
      <c r="U146" s="904"/>
      <c r="V146" s="904"/>
      <c r="W146" s="929"/>
      <c r="X146" s="899"/>
      <c r="Y146" s="909"/>
      <c r="Z146" s="928"/>
      <c r="AA146" s="904"/>
      <c r="AB146" s="927"/>
      <c r="AC146" s="928"/>
      <c r="AD146" s="928"/>
      <c r="AE146" s="904"/>
      <c r="AF146" s="908"/>
      <c r="AG146" s="928"/>
      <c r="AH146" s="898">
        <f t="shared" si="17"/>
        <v>0</v>
      </c>
      <c r="AI146" s="898">
        <f t="shared" si="18"/>
        <v>0</v>
      </c>
    </row>
    <row r="147" spans="3:35" x14ac:dyDescent="0.2">
      <c r="C147" s="74" t="s">
        <v>935</v>
      </c>
      <c r="D147" s="146">
        <v>88</v>
      </c>
      <c r="E147" s="897"/>
      <c r="F147" s="897"/>
      <c r="G147" s="897"/>
      <c r="H147" s="897"/>
      <c r="I147" s="897"/>
      <c r="J147" s="915">
        <f t="shared" si="16"/>
        <v>0</v>
      </c>
      <c r="K147" s="903"/>
      <c r="L147" s="903"/>
      <c r="M147" s="926"/>
      <c r="N147" s="927"/>
      <c r="O147" s="928"/>
      <c r="P147" s="904"/>
      <c r="Q147" s="908"/>
      <c r="R147" s="928"/>
      <c r="S147" s="907"/>
      <c r="T147" s="928"/>
      <c r="U147" s="904"/>
      <c r="V147" s="904"/>
      <c r="W147" s="929"/>
      <c r="X147" s="899"/>
      <c r="Y147" s="909"/>
      <c r="Z147" s="928"/>
      <c r="AA147" s="904"/>
      <c r="AB147" s="927"/>
      <c r="AC147" s="928"/>
      <c r="AD147" s="928"/>
      <c r="AE147" s="904"/>
      <c r="AF147" s="908"/>
      <c r="AG147" s="928"/>
      <c r="AH147" s="898">
        <f t="shared" si="17"/>
        <v>0</v>
      </c>
      <c r="AI147" s="898">
        <f t="shared" si="18"/>
        <v>0</v>
      </c>
    </row>
    <row r="148" spans="3:35" x14ac:dyDescent="0.2">
      <c r="C148" s="74" t="s">
        <v>562</v>
      </c>
      <c r="D148" s="146">
        <v>89</v>
      </c>
      <c r="E148" s="897"/>
      <c r="F148" s="897"/>
      <c r="G148" s="897"/>
      <c r="H148" s="897"/>
      <c r="I148" s="897"/>
      <c r="J148" s="915">
        <f t="shared" si="16"/>
        <v>0</v>
      </c>
      <c r="K148" s="903"/>
      <c r="L148" s="903"/>
      <c r="M148" s="926"/>
      <c r="N148" s="927"/>
      <c r="O148" s="928"/>
      <c r="P148" s="904"/>
      <c r="Q148" s="908"/>
      <c r="R148" s="928"/>
      <c r="S148" s="907"/>
      <c r="T148" s="928"/>
      <c r="U148" s="904"/>
      <c r="V148" s="904"/>
      <c r="W148" s="929"/>
      <c r="X148" s="899"/>
      <c r="Y148" s="909"/>
      <c r="Z148" s="928"/>
      <c r="AA148" s="904"/>
      <c r="AB148" s="927"/>
      <c r="AC148" s="928"/>
      <c r="AD148" s="928"/>
      <c r="AE148" s="904"/>
      <c r="AF148" s="908"/>
      <c r="AG148" s="928"/>
      <c r="AH148" s="898">
        <f t="shared" si="17"/>
        <v>0</v>
      </c>
      <c r="AI148" s="898">
        <f t="shared" si="18"/>
        <v>0</v>
      </c>
    </row>
    <row r="149" spans="3:35" x14ac:dyDescent="0.2">
      <c r="C149" s="74" t="s">
        <v>44</v>
      </c>
      <c r="D149" s="146">
        <v>90</v>
      </c>
      <c r="E149" s="897"/>
      <c r="F149" s="897"/>
      <c r="G149" s="897"/>
      <c r="H149" s="897"/>
      <c r="I149" s="897"/>
      <c r="J149" s="915">
        <f t="shared" si="16"/>
        <v>0</v>
      </c>
      <c r="K149" s="903"/>
      <c r="L149" s="903"/>
      <c r="M149" s="926"/>
      <c r="N149" s="927"/>
      <c r="O149" s="928"/>
      <c r="P149" s="904"/>
      <c r="Q149" s="908"/>
      <c r="R149" s="928"/>
      <c r="S149" s="907"/>
      <c r="T149" s="928"/>
      <c r="U149" s="904"/>
      <c r="V149" s="904"/>
      <c r="W149" s="929"/>
      <c r="X149" s="899"/>
      <c r="Y149" s="909"/>
      <c r="Z149" s="928"/>
      <c r="AA149" s="904"/>
      <c r="AB149" s="927"/>
      <c r="AC149" s="928"/>
      <c r="AD149" s="928"/>
      <c r="AE149" s="904"/>
      <c r="AF149" s="908"/>
      <c r="AG149" s="928"/>
      <c r="AH149" s="898">
        <f t="shared" si="17"/>
        <v>0</v>
      </c>
      <c r="AI149" s="898">
        <f t="shared" si="18"/>
        <v>0</v>
      </c>
    </row>
    <row r="150" spans="3:35" x14ac:dyDescent="0.2">
      <c r="C150" s="74" t="s">
        <v>986</v>
      </c>
      <c r="D150" s="146">
        <v>91</v>
      </c>
      <c r="E150" s="897"/>
      <c r="F150" s="897"/>
      <c r="G150" s="897"/>
      <c r="H150" s="897"/>
      <c r="I150" s="897"/>
      <c r="J150" s="915">
        <f t="shared" si="16"/>
        <v>0</v>
      </c>
      <c r="K150" s="903"/>
      <c r="L150" s="903"/>
      <c r="M150" s="926"/>
      <c r="N150" s="927"/>
      <c r="O150" s="928"/>
      <c r="P150" s="904"/>
      <c r="Q150" s="908"/>
      <c r="R150" s="928"/>
      <c r="S150" s="907"/>
      <c r="T150" s="928"/>
      <c r="U150" s="904"/>
      <c r="V150" s="904"/>
      <c r="W150" s="929"/>
      <c r="X150" s="899"/>
      <c r="Y150" s="909"/>
      <c r="Z150" s="928"/>
      <c r="AA150" s="904"/>
      <c r="AB150" s="927"/>
      <c r="AC150" s="928"/>
      <c r="AD150" s="928"/>
      <c r="AE150" s="904"/>
      <c r="AF150" s="908"/>
      <c r="AG150" s="928"/>
      <c r="AH150" s="898">
        <f t="shared" si="17"/>
        <v>0</v>
      </c>
      <c r="AI150" s="898">
        <f t="shared" si="18"/>
        <v>0</v>
      </c>
    </row>
    <row r="151" spans="3:35" x14ac:dyDescent="0.2">
      <c r="C151" s="74" t="s">
        <v>45</v>
      </c>
      <c r="D151" s="146">
        <v>92</v>
      </c>
      <c r="E151" s="897"/>
      <c r="F151" s="897"/>
      <c r="G151" s="897"/>
      <c r="H151" s="897"/>
      <c r="I151" s="897"/>
      <c r="J151" s="915">
        <f t="shared" si="16"/>
        <v>0</v>
      </c>
      <c r="K151" s="903"/>
      <c r="L151" s="903"/>
      <c r="M151" s="926"/>
      <c r="N151" s="927"/>
      <c r="O151" s="928"/>
      <c r="P151" s="904"/>
      <c r="Q151" s="908"/>
      <c r="R151" s="928"/>
      <c r="S151" s="907"/>
      <c r="T151" s="928"/>
      <c r="U151" s="904"/>
      <c r="V151" s="904"/>
      <c r="W151" s="929"/>
      <c r="X151" s="899"/>
      <c r="Y151" s="909"/>
      <c r="Z151" s="928"/>
      <c r="AA151" s="904"/>
      <c r="AB151" s="927"/>
      <c r="AC151" s="928"/>
      <c r="AD151" s="928"/>
      <c r="AE151" s="904"/>
      <c r="AF151" s="908"/>
      <c r="AG151" s="928"/>
      <c r="AH151" s="898">
        <f t="shared" si="17"/>
        <v>0</v>
      </c>
      <c r="AI151" s="898">
        <f t="shared" si="18"/>
        <v>0</v>
      </c>
    </row>
    <row r="152" spans="3:35" x14ac:dyDescent="0.2">
      <c r="C152" s="74" t="s">
        <v>151</v>
      </c>
      <c r="D152" s="146">
        <v>93</v>
      </c>
      <c r="E152" s="897"/>
      <c r="F152" s="897"/>
      <c r="G152" s="897"/>
      <c r="H152" s="897"/>
      <c r="I152" s="897"/>
      <c r="J152" s="915">
        <f t="shared" si="16"/>
        <v>0</v>
      </c>
      <c r="K152" s="903"/>
      <c r="L152" s="903"/>
      <c r="M152" s="926"/>
      <c r="N152" s="927"/>
      <c r="O152" s="928"/>
      <c r="P152" s="904"/>
      <c r="Q152" s="908"/>
      <c r="R152" s="928"/>
      <c r="S152" s="907"/>
      <c r="T152" s="928"/>
      <c r="U152" s="904"/>
      <c r="V152" s="904"/>
      <c r="W152" s="929"/>
      <c r="X152" s="899"/>
      <c r="Y152" s="909"/>
      <c r="Z152" s="928"/>
      <c r="AA152" s="904"/>
      <c r="AB152" s="927"/>
      <c r="AC152" s="928"/>
      <c r="AD152" s="928"/>
      <c r="AE152" s="904"/>
      <c r="AF152" s="908"/>
      <c r="AG152" s="928"/>
      <c r="AH152" s="898">
        <f t="shared" si="17"/>
        <v>0</v>
      </c>
      <c r="AI152" s="898">
        <f t="shared" si="18"/>
        <v>0</v>
      </c>
    </row>
    <row r="153" spans="3:35" x14ac:dyDescent="0.2">
      <c r="C153" s="74" t="s">
        <v>987</v>
      </c>
      <c r="D153" s="146">
        <v>94</v>
      </c>
      <c r="E153" s="897"/>
      <c r="F153" s="897"/>
      <c r="G153" s="897"/>
      <c r="H153" s="897"/>
      <c r="I153" s="897"/>
      <c r="J153" s="915">
        <f t="shared" si="16"/>
        <v>0</v>
      </c>
      <c r="K153" s="903"/>
      <c r="L153" s="903"/>
      <c r="M153" s="926"/>
      <c r="N153" s="927"/>
      <c r="O153" s="928"/>
      <c r="P153" s="904"/>
      <c r="Q153" s="908"/>
      <c r="R153" s="928"/>
      <c r="S153" s="907"/>
      <c r="T153" s="928"/>
      <c r="U153" s="904"/>
      <c r="V153" s="904"/>
      <c r="W153" s="929"/>
      <c r="X153" s="899"/>
      <c r="Y153" s="909"/>
      <c r="Z153" s="928"/>
      <c r="AA153" s="904"/>
      <c r="AB153" s="927"/>
      <c r="AC153" s="928"/>
      <c r="AD153" s="928"/>
      <c r="AE153" s="904"/>
      <c r="AF153" s="908"/>
      <c r="AG153" s="928"/>
      <c r="AH153" s="898">
        <f t="shared" si="17"/>
        <v>0</v>
      </c>
      <c r="AI153" s="898">
        <f t="shared" si="18"/>
        <v>0</v>
      </c>
    </row>
    <row r="154" spans="3:35" x14ac:dyDescent="0.2">
      <c r="C154" s="74" t="s">
        <v>988</v>
      </c>
      <c r="D154" s="146">
        <v>95</v>
      </c>
      <c r="E154" s="897"/>
      <c r="F154" s="897"/>
      <c r="G154" s="897"/>
      <c r="H154" s="897"/>
      <c r="I154" s="897"/>
      <c r="J154" s="915">
        <f t="shared" si="16"/>
        <v>0</v>
      </c>
      <c r="K154" s="903"/>
      <c r="L154" s="903"/>
      <c r="M154" s="926"/>
      <c r="N154" s="927"/>
      <c r="O154" s="928"/>
      <c r="P154" s="904"/>
      <c r="Q154" s="908"/>
      <c r="R154" s="928"/>
      <c r="S154" s="907"/>
      <c r="T154" s="928"/>
      <c r="U154" s="904"/>
      <c r="V154" s="904"/>
      <c r="W154" s="929"/>
      <c r="X154" s="899"/>
      <c r="Y154" s="909"/>
      <c r="Z154" s="928"/>
      <c r="AA154" s="904"/>
      <c r="AB154" s="927"/>
      <c r="AC154" s="928"/>
      <c r="AD154" s="928"/>
      <c r="AE154" s="904"/>
      <c r="AF154" s="908"/>
      <c r="AG154" s="928"/>
      <c r="AH154" s="898">
        <f t="shared" si="17"/>
        <v>0</v>
      </c>
      <c r="AI154" s="898">
        <f t="shared" si="18"/>
        <v>0</v>
      </c>
    </row>
    <row r="155" spans="3:35" x14ac:dyDescent="0.2">
      <c r="C155" s="74" t="s">
        <v>989</v>
      </c>
      <c r="D155" s="146">
        <v>96</v>
      </c>
      <c r="E155" s="897"/>
      <c r="F155" s="897"/>
      <c r="G155" s="897"/>
      <c r="H155" s="897"/>
      <c r="I155" s="897"/>
      <c r="J155" s="915">
        <f t="shared" si="16"/>
        <v>0</v>
      </c>
      <c r="K155" s="903"/>
      <c r="L155" s="903"/>
      <c r="M155" s="926"/>
      <c r="N155" s="927"/>
      <c r="O155" s="928"/>
      <c r="P155" s="904"/>
      <c r="Q155" s="908"/>
      <c r="R155" s="928"/>
      <c r="S155" s="907"/>
      <c r="T155" s="928"/>
      <c r="U155" s="904"/>
      <c r="V155" s="904"/>
      <c r="W155" s="929"/>
      <c r="X155" s="899"/>
      <c r="Y155" s="909"/>
      <c r="Z155" s="928"/>
      <c r="AA155" s="904"/>
      <c r="AB155" s="927"/>
      <c r="AC155" s="928"/>
      <c r="AD155" s="928"/>
      <c r="AE155" s="904"/>
      <c r="AF155" s="908"/>
      <c r="AG155" s="928"/>
      <c r="AH155" s="898">
        <f t="shared" si="17"/>
        <v>0</v>
      </c>
      <c r="AI155" s="898">
        <f t="shared" si="18"/>
        <v>0</v>
      </c>
    </row>
    <row r="156" spans="3:35" x14ac:dyDescent="0.2">
      <c r="C156" s="74" t="s">
        <v>46</v>
      </c>
      <c r="D156" s="146">
        <v>97</v>
      </c>
      <c r="E156" s="897"/>
      <c r="F156" s="897"/>
      <c r="G156" s="897"/>
      <c r="H156" s="897"/>
      <c r="I156" s="897"/>
      <c r="J156" s="915">
        <f t="shared" si="16"/>
        <v>0</v>
      </c>
      <c r="K156" s="903"/>
      <c r="L156" s="903"/>
      <c r="M156" s="926"/>
      <c r="N156" s="927"/>
      <c r="O156" s="928"/>
      <c r="P156" s="904"/>
      <c r="Q156" s="908"/>
      <c r="R156" s="928"/>
      <c r="S156" s="907"/>
      <c r="T156" s="928"/>
      <c r="U156" s="904"/>
      <c r="V156" s="904"/>
      <c r="W156" s="929"/>
      <c r="X156" s="899"/>
      <c r="Y156" s="909"/>
      <c r="Z156" s="928"/>
      <c r="AA156" s="904"/>
      <c r="AB156" s="927"/>
      <c r="AC156" s="928"/>
      <c r="AD156" s="928"/>
      <c r="AE156" s="904"/>
      <c r="AF156" s="908"/>
      <c r="AG156" s="928"/>
      <c r="AH156" s="898">
        <f t="shared" si="17"/>
        <v>0</v>
      </c>
      <c r="AI156" s="898">
        <f t="shared" si="18"/>
        <v>0</v>
      </c>
    </row>
    <row r="157" spans="3:35" x14ac:dyDescent="0.2">
      <c r="C157" s="74" t="s">
        <v>990</v>
      </c>
      <c r="D157" s="146">
        <v>98</v>
      </c>
      <c r="E157" s="897"/>
      <c r="F157" s="897"/>
      <c r="G157" s="897"/>
      <c r="H157" s="897"/>
      <c r="I157" s="897"/>
      <c r="J157" s="915">
        <f t="shared" si="16"/>
        <v>0</v>
      </c>
      <c r="K157" s="903"/>
      <c r="L157" s="903"/>
      <c r="M157" s="926"/>
      <c r="N157" s="927"/>
      <c r="O157" s="928"/>
      <c r="P157" s="904"/>
      <c r="Q157" s="908"/>
      <c r="R157" s="928"/>
      <c r="S157" s="907"/>
      <c r="T157" s="928"/>
      <c r="U157" s="904"/>
      <c r="V157" s="904"/>
      <c r="W157" s="929"/>
      <c r="X157" s="899"/>
      <c r="Y157" s="909"/>
      <c r="Z157" s="928"/>
      <c r="AA157" s="904"/>
      <c r="AB157" s="927"/>
      <c r="AC157" s="928"/>
      <c r="AD157" s="928"/>
      <c r="AE157" s="904"/>
      <c r="AF157" s="908"/>
      <c r="AG157" s="928"/>
      <c r="AH157" s="898">
        <f t="shared" si="17"/>
        <v>0</v>
      </c>
      <c r="AI157" s="898">
        <f t="shared" si="18"/>
        <v>0</v>
      </c>
    </row>
    <row r="158" spans="3:35" x14ac:dyDescent="0.2">
      <c r="C158" s="74" t="s">
        <v>991</v>
      </c>
      <c r="D158" s="146">
        <v>99</v>
      </c>
      <c r="E158" s="897"/>
      <c r="F158" s="897"/>
      <c r="G158" s="897"/>
      <c r="H158" s="897"/>
      <c r="I158" s="897"/>
      <c r="J158" s="915">
        <f t="shared" ref="J158:J189" si="19">ROUND(SUM(E158:I158),3)</f>
        <v>0</v>
      </c>
      <c r="K158" s="903"/>
      <c r="L158" s="903"/>
      <c r="M158" s="926"/>
      <c r="N158" s="927"/>
      <c r="O158" s="928"/>
      <c r="P158" s="904"/>
      <c r="Q158" s="908"/>
      <c r="R158" s="928"/>
      <c r="S158" s="907"/>
      <c r="T158" s="928"/>
      <c r="U158" s="904"/>
      <c r="V158" s="904"/>
      <c r="W158" s="929"/>
      <c r="X158" s="899"/>
      <c r="Y158" s="909"/>
      <c r="Z158" s="928"/>
      <c r="AA158" s="904"/>
      <c r="AB158" s="927"/>
      <c r="AC158" s="928"/>
      <c r="AD158" s="928"/>
      <c r="AE158" s="904"/>
      <c r="AF158" s="908"/>
      <c r="AG158" s="928"/>
      <c r="AH158" s="898">
        <f t="shared" ref="AH158:AH189" si="20">ROUND(SUM(K158:N158,Q158:S158,V158,Y158,AB158,AF158:AG158),3)</f>
        <v>0</v>
      </c>
      <c r="AI158" s="898">
        <f t="shared" ref="AI158:AI189" si="21">ROUND(SUM(J158,AH158),3)</f>
        <v>0</v>
      </c>
    </row>
    <row r="159" spans="3:35" x14ac:dyDescent="0.2">
      <c r="C159" s="74" t="s">
        <v>568</v>
      </c>
      <c r="D159" s="146">
        <v>100</v>
      </c>
      <c r="E159" s="897"/>
      <c r="F159" s="897"/>
      <c r="G159" s="897"/>
      <c r="H159" s="897"/>
      <c r="I159" s="897"/>
      <c r="J159" s="915">
        <f t="shared" si="19"/>
        <v>0</v>
      </c>
      <c r="K159" s="903"/>
      <c r="L159" s="903"/>
      <c r="M159" s="926"/>
      <c r="N159" s="927"/>
      <c r="O159" s="928"/>
      <c r="P159" s="904"/>
      <c r="Q159" s="908"/>
      <c r="R159" s="928"/>
      <c r="S159" s="907"/>
      <c r="T159" s="928"/>
      <c r="U159" s="904"/>
      <c r="V159" s="904"/>
      <c r="W159" s="929"/>
      <c r="X159" s="899"/>
      <c r="Y159" s="909"/>
      <c r="Z159" s="928"/>
      <c r="AA159" s="904"/>
      <c r="AB159" s="927"/>
      <c r="AC159" s="928"/>
      <c r="AD159" s="928"/>
      <c r="AE159" s="904"/>
      <c r="AF159" s="908"/>
      <c r="AG159" s="928"/>
      <c r="AH159" s="898">
        <f t="shared" si="20"/>
        <v>0</v>
      </c>
      <c r="AI159" s="898">
        <f t="shared" si="21"/>
        <v>0</v>
      </c>
    </row>
    <row r="160" spans="3:35" x14ac:dyDescent="0.2">
      <c r="C160" s="74" t="s">
        <v>677</v>
      </c>
      <c r="D160" s="146">
        <v>101</v>
      </c>
      <c r="E160" s="897"/>
      <c r="F160" s="897"/>
      <c r="G160" s="897"/>
      <c r="H160" s="897"/>
      <c r="I160" s="897"/>
      <c r="J160" s="915">
        <f t="shared" si="19"/>
        <v>0</v>
      </c>
      <c r="K160" s="903"/>
      <c r="L160" s="903"/>
      <c r="M160" s="926"/>
      <c r="N160" s="927"/>
      <c r="O160" s="928"/>
      <c r="P160" s="904"/>
      <c r="Q160" s="908"/>
      <c r="R160" s="928"/>
      <c r="S160" s="907"/>
      <c r="T160" s="928"/>
      <c r="U160" s="904"/>
      <c r="V160" s="904"/>
      <c r="W160" s="929"/>
      <c r="X160" s="899"/>
      <c r="Y160" s="909"/>
      <c r="Z160" s="928"/>
      <c r="AA160" s="904"/>
      <c r="AB160" s="927"/>
      <c r="AC160" s="928"/>
      <c r="AD160" s="928"/>
      <c r="AE160" s="904"/>
      <c r="AF160" s="908"/>
      <c r="AG160" s="928"/>
      <c r="AH160" s="898">
        <f t="shared" si="20"/>
        <v>0</v>
      </c>
      <c r="AI160" s="898">
        <f t="shared" si="21"/>
        <v>0</v>
      </c>
    </row>
    <row r="161" spans="3:35" x14ac:dyDescent="0.2">
      <c r="C161" s="74" t="s">
        <v>992</v>
      </c>
      <c r="D161" s="146">
        <v>102</v>
      </c>
      <c r="E161" s="897"/>
      <c r="F161" s="897"/>
      <c r="G161" s="897"/>
      <c r="H161" s="897"/>
      <c r="I161" s="897"/>
      <c r="J161" s="915">
        <f t="shared" si="19"/>
        <v>0</v>
      </c>
      <c r="K161" s="903"/>
      <c r="L161" s="903"/>
      <c r="M161" s="926"/>
      <c r="N161" s="927"/>
      <c r="O161" s="928"/>
      <c r="P161" s="904"/>
      <c r="Q161" s="908"/>
      <c r="R161" s="928"/>
      <c r="S161" s="907"/>
      <c r="T161" s="928"/>
      <c r="U161" s="904"/>
      <c r="V161" s="904"/>
      <c r="W161" s="929"/>
      <c r="X161" s="899"/>
      <c r="Y161" s="909"/>
      <c r="Z161" s="928"/>
      <c r="AA161" s="904"/>
      <c r="AB161" s="927"/>
      <c r="AC161" s="928"/>
      <c r="AD161" s="928"/>
      <c r="AE161" s="904"/>
      <c r="AF161" s="908"/>
      <c r="AG161" s="928"/>
      <c r="AH161" s="898">
        <f t="shared" si="20"/>
        <v>0</v>
      </c>
      <c r="AI161" s="898">
        <f t="shared" si="21"/>
        <v>0</v>
      </c>
    </row>
    <row r="162" spans="3:35" x14ac:dyDescent="0.2">
      <c r="C162" s="74" t="s">
        <v>993</v>
      </c>
      <c r="D162" s="146">
        <v>103</v>
      </c>
      <c r="E162" s="897"/>
      <c r="F162" s="897"/>
      <c r="G162" s="897"/>
      <c r="H162" s="897"/>
      <c r="I162" s="897"/>
      <c r="J162" s="915">
        <f t="shared" si="19"/>
        <v>0</v>
      </c>
      <c r="K162" s="903"/>
      <c r="L162" s="903"/>
      <c r="M162" s="926"/>
      <c r="N162" s="927"/>
      <c r="O162" s="928"/>
      <c r="P162" s="904"/>
      <c r="Q162" s="908"/>
      <c r="R162" s="928"/>
      <c r="S162" s="907"/>
      <c r="T162" s="928"/>
      <c r="U162" s="904"/>
      <c r="V162" s="904"/>
      <c r="W162" s="929"/>
      <c r="X162" s="899"/>
      <c r="Y162" s="909"/>
      <c r="Z162" s="928"/>
      <c r="AA162" s="904"/>
      <c r="AB162" s="927"/>
      <c r="AC162" s="928"/>
      <c r="AD162" s="928"/>
      <c r="AE162" s="904"/>
      <c r="AF162" s="908"/>
      <c r="AG162" s="928"/>
      <c r="AH162" s="898">
        <f t="shared" si="20"/>
        <v>0</v>
      </c>
      <c r="AI162" s="898">
        <f t="shared" si="21"/>
        <v>0</v>
      </c>
    </row>
    <row r="163" spans="3:35" x14ac:dyDescent="0.2">
      <c r="C163" s="74" t="s">
        <v>994</v>
      </c>
      <c r="D163" s="146">
        <v>104</v>
      </c>
      <c r="E163" s="897"/>
      <c r="F163" s="897"/>
      <c r="G163" s="897"/>
      <c r="H163" s="897"/>
      <c r="I163" s="897"/>
      <c r="J163" s="915">
        <f t="shared" si="19"/>
        <v>0</v>
      </c>
      <c r="K163" s="903"/>
      <c r="L163" s="903"/>
      <c r="M163" s="926"/>
      <c r="N163" s="927"/>
      <c r="O163" s="928"/>
      <c r="P163" s="904"/>
      <c r="Q163" s="908"/>
      <c r="R163" s="928"/>
      <c r="S163" s="907"/>
      <c r="T163" s="928"/>
      <c r="U163" s="904"/>
      <c r="V163" s="904"/>
      <c r="W163" s="929"/>
      <c r="X163" s="899"/>
      <c r="Y163" s="909"/>
      <c r="Z163" s="928"/>
      <c r="AA163" s="904"/>
      <c r="AB163" s="927"/>
      <c r="AC163" s="928"/>
      <c r="AD163" s="928"/>
      <c r="AE163" s="904"/>
      <c r="AF163" s="908"/>
      <c r="AG163" s="928"/>
      <c r="AH163" s="898">
        <f t="shared" si="20"/>
        <v>0</v>
      </c>
      <c r="AI163" s="898">
        <f t="shared" si="21"/>
        <v>0</v>
      </c>
    </row>
    <row r="164" spans="3:35" x14ac:dyDescent="0.2">
      <c r="C164" s="74" t="s">
        <v>995</v>
      </c>
      <c r="D164" s="146">
        <v>105</v>
      </c>
      <c r="E164" s="897"/>
      <c r="F164" s="897"/>
      <c r="G164" s="897"/>
      <c r="H164" s="897"/>
      <c r="I164" s="897"/>
      <c r="J164" s="915">
        <f t="shared" si="19"/>
        <v>0</v>
      </c>
      <c r="K164" s="903"/>
      <c r="L164" s="903"/>
      <c r="M164" s="926"/>
      <c r="N164" s="927"/>
      <c r="O164" s="928"/>
      <c r="P164" s="904"/>
      <c r="Q164" s="908"/>
      <c r="R164" s="928"/>
      <c r="S164" s="907"/>
      <c r="T164" s="928"/>
      <c r="U164" s="904"/>
      <c r="V164" s="904"/>
      <c r="W164" s="929"/>
      <c r="X164" s="899"/>
      <c r="Y164" s="909"/>
      <c r="Z164" s="928"/>
      <c r="AA164" s="904"/>
      <c r="AB164" s="927"/>
      <c r="AC164" s="928"/>
      <c r="AD164" s="928"/>
      <c r="AE164" s="904"/>
      <c r="AF164" s="908"/>
      <c r="AG164" s="928"/>
      <c r="AH164" s="898">
        <f t="shared" si="20"/>
        <v>0</v>
      </c>
      <c r="AI164" s="898">
        <f t="shared" si="21"/>
        <v>0</v>
      </c>
    </row>
    <row r="165" spans="3:35" x14ac:dyDescent="0.2">
      <c r="C165" s="74" t="s">
        <v>47</v>
      </c>
      <c r="D165" s="146">
        <v>106</v>
      </c>
      <c r="E165" s="897"/>
      <c r="F165" s="897"/>
      <c r="G165" s="897"/>
      <c r="H165" s="897"/>
      <c r="I165" s="897"/>
      <c r="J165" s="915">
        <f t="shared" si="19"/>
        <v>0</v>
      </c>
      <c r="K165" s="903"/>
      <c r="L165" s="903"/>
      <c r="M165" s="926"/>
      <c r="N165" s="927"/>
      <c r="O165" s="928"/>
      <c r="P165" s="904"/>
      <c r="Q165" s="908"/>
      <c r="R165" s="928"/>
      <c r="S165" s="907"/>
      <c r="T165" s="928"/>
      <c r="U165" s="904"/>
      <c r="V165" s="904"/>
      <c r="W165" s="929"/>
      <c r="X165" s="899"/>
      <c r="Y165" s="909"/>
      <c r="Z165" s="928"/>
      <c r="AA165" s="904"/>
      <c r="AB165" s="927"/>
      <c r="AC165" s="928"/>
      <c r="AD165" s="928"/>
      <c r="AE165" s="904"/>
      <c r="AF165" s="908"/>
      <c r="AG165" s="928"/>
      <c r="AH165" s="898">
        <f t="shared" si="20"/>
        <v>0</v>
      </c>
      <c r="AI165" s="898">
        <f t="shared" si="21"/>
        <v>0</v>
      </c>
    </row>
    <row r="166" spans="3:35" x14ac:dyDescent="0.2">
      <c r="C166" s="74" t="s">
        <v>996</v>
      </c>
      <c r="D166" s="146">
        <v>107</v>
      </c>
      <c r="E166" s="897"/>
      <c r="F166" s="897"/>
      <c r="G166" s="897"/>
      <c r="H166" s="897"/>
      <c r="I166" s="897"/>
      <c r="J166" s="915">
        <f t="shared" si="19"/>
        <v>0</v>
      </c>
      <c r="K166" s="903"/>
      <c r="L166" s="903"/>
      <c r="M166" s="926"/>
      <c r="N166" s="927"/>
      <c r="O166" s="928"/>
      <c r="P166" s="904"/>
      <c r="Q166" s="908"/>
      <c r="R166" s="928"/>
      <c r="S166" s="907"/>
      <c r="T166" s="928"/>
      <c r="U166" s="904"/>
      <c r="V166" s="904"/>
      <c r="W166" s="929"/>
      <c r="X166" s="899"/>
      <c r="Y166" s="909"/>
      <c r="Z166" s="928"/>
      <c r="AA166" s="904"/>
      <c r="AB166" s="927"/>
      <c r="AC166" s="928"/>
      <c r="AD166" s="928"/>
      <c r="AE166" s="904"/>
      <c r="AF166" s="908"/>
      <c r="AG166" s="928"/>
      <c r="AH166" s="898">
        <f t="shared" si="20"/>
        <v>0</v>
      </c>
      <c r="AI166" s="898">
        <f t="shared" si="21"/>
        <v>0</v>
      </c>
    </row>
    <row r="167" spans="3:35" x14ac:dyDescent="0.2">
      <c r="C167" s="74" t="s">
        <v>48</v>
      </c>
      <c r="D167" s="146">
        <v>108</v>
      </c>
      <c r="E167" s="897"/>
      <c r="F167" s="897"/>
      <c r="G167" s="897"/>
      <c r="H167" s="897"/>
      <c r="I167" s="897"/>
      <c r="J167" s="915">
        <f t="shared" si="19"/>
        <v>0</v>
      </c>
      <c r="K167" s="903"/>
      <c r="L167" s="903"/>
      <c r="M167" s="926"/>
      <c r="N167" s="927"/>
      <c r="O167" s="928"/>
      <c r="P167" s="904"/>
      <c r="Q167" s="908"/>
      <c r="R167" s="928"/>
      <c r="S167" s="907"/>
      <c r="T167" s="928"/>
      <c r="U167" s="904"/>
      <c r="V167" s="904"/>
      <c r="W167" s="929"/>
      <c r="X167" s="899"/>
      <c r="Y167" s="909"/>
      <c r="Z167" s="928"/>
      <c r="AA167" s="904"/>
      <c r="AB167" s="927"/>
      <c r="AC167" s="928"/>
      <c r="AD167" s="928"/>
      <c r="AE167" s="904"/>
      <c r="AF167" s="908"/>
      <c r="AG167" s="928"/>
      <c r="AH167" s="898">
        <f t="shared" si="20"/>
        <v>0</v>
      </c>
      <c r="AI167" s="898">
        <f t="shared" si="21"/>
        <v>0</v>
      </c>
    </row>
    <row r="168" spans="3:35" x14ac:dyDescent="0.2">
      <c r="C168" s="74" t="s">
        <v>1362</v>
      </c>
      <c r="D168" s="146">
        <v>109</v>
      </c>
      <c r="E168" s="897"/>
      <c r="F168" s="897"/>
      <c r="G168" s="897"/>
      <c r="H168" s="897"/>
      <c r="I168" s="897"/>
      <c r="J168" s="915">
        <f t="shared" si="19"/>
        <v>0</v>
      </c>
      <c r="K168" s="903"/>
      <c r="L168" s="903"/>
      <c r="M168" s="926"/>
      <c r="N168" s="927"/>
      <c r="O168" s="928"/>
      <c r="P168" s="904"/>
      <c r="Q168" s="908"/>
      <c r="R168" s="928"/>
      <c r="S168" s="934"/>
      <c r="T168" s="928"/>
      <c r="U168" s="904"/>
      <c r="V168" s="904"/>
      <c r="W168" s="929"/>
      <c r="X168" s="899"/>
      <c r="Y168" s="909"/>
      <c r="Z168" s="928"/>
      <c r="AA168" s="904"/>
      <c r="AB168" s="927"/>
      <c r="AC168" s="928"/>
      <c r="AD168" s="928"/>
      <c r="AE168" s="904"/>
      <c r="AF168" s="908"/>
      <c r="AG168" s="928"/>
      <c r="AH168" s="898">
        <f t="shared" si="20"/>
        <v>0</v>
      </c>
      <c r="AI168" s="898">
        <f t="shared" si="21"/>
        <v>0</v>
      </c>
    </row>
    <row r="169" spans="3:35" x14ac:dyDescent="0.2">
      <c r="C169" s="74" t="s">
        <v>49</v>
      </c>
      <c r="D169" s="146">
        <v>110</v>
      </c>
      <c r="E169" s="897"/>
      <c r="F169" s="897"/>
      <c r="G169" s="897"/>
      <c r="H169" s="897"/>
      <c r="I169" s="897"/>
      <c r="J169" s="915">
        <f t="shared" si="19"/>
        <v>0</v>
      </c>
      <c r="K169" s="903"/>
      <c r="L169" s="903"/>
      <c r="M169" s="926"/>
      <c r="N169" s="927"/>
      <c r="O169" s="928"/>
      <c r="P169" s="904"/>
      <c r="Q169" s="908"/>
      <c r="R169" s="928"/>
      <c r="S169" s="934"/>
      <c r="T169" s="928"/>
      <c r="U169" s="904"/>
      <c r="V169" s="904"/>
      <c r="W169" s="929"/>
      <c r="X169" s="899"/>
      <c r="Y169" s="909"/>
      <c r="Z169" s="928"/>
      <c r="AA169" s="904"/>
      <c r="AB169" s="927"/>
      <c r="AC169" s="928"/>
      <c r="AD169" s="928"/>
      <c r="AE169" s="904"/>
      <c r="AF169" s="908"/>
      <c r="AG169" s="928"/>
      <c r="AH169" s="898">
        <f t="shared" si="20"/>
        <v>0</v>
      </c>
      <c r="AI169" s="898">
        <f t="shared" si="21"/>
        <v>0</v>
      </c>
    </row>
    <row r="170" spans="3:35" x14ac:dyDescent="0.2">
      <c r="C170" s="74" t="s">
        <v>1365</v>
      </c>
      <c r="D170" s="146">
        <v>111</v>
      </c>
      <c r="E170" s="897"/>
      <c r="F170" s="897"/>
      <c r="G170" s="897"/>
      <c r="H170" s="897"/>
      <c r="I170" s="897"/>
      <c r="J170" s="915">
        <f t="shared" si="19"/>
        <v>0</v>
      </c>
      <c r="K170" s="903"/>
      <c r="L170" s="903"/>
      <c r="M170" s="926"/>
      <c r="N170" s="927"/>
      <c r="O170" s="928"/>
      <c r="P170" s="904"/>
      <c r="Q170" s="908"/>
      <c r="R170" s="928"/>
      <c r="S170" s="907"/>
      <c r="T170" s="928"/>
      <c r="U170" s="904"/>
      <c r="V170" s="904"/>
      <c r="W170" s="929"/>
      <c r="X170" s="899"/>
      <c r="Y170" s="909"/>
      <c r="Z170" s="928"/>
      <c r="AA170" s="904"/>
      <c r="AB170" s="927"/>
      <c r="AC170" s="928"/>
      <c r="AD170" s="928"/>
      <c r="AE170" s="904"/>
      <c r="AF170" s="908"/>
      <c r="AG170" s="928"/>
      <c r="AH170" s="898">
        <f t="shared" si="20"/>
        <v>0</v>
      </c>
      <c r="AI170" s="898">
        <f t="shared" si="21"/>
        <v>0</v>
      </c>
    </row>
    <row r="171" spans="3:35" x14ac:dyDescent="0.2">
      <c r="C171" s="91" t="s">
        <v>50</v>
      </c>
      <c r="D171" s="146">
        <v>112</v>
      </c>
      <c r="E171" s="897"/>
      <c r="F171" s="897"/>
      <c r="G171" s="897"/>
      <c r="H171" s="897"/>
      <c r="I171" s="897"/>
      <c r="J171" s="915">
        <f t="shared" si="19"/>
        <v>0</v>
      </c>
      <c r="K171" s="903"/>
      <c r="L171" s="903"/>
      <c r="M171" s="926"/>
      <c r="N171" s="927"/>
      <c r="O171" s="928"/>
      <c r="P171" s="904"/>
      <c r="Q171" s="908"/>
      <c r="R171" s="928"/>
      <c r="S171" s="907"/>
      <c r="T171" s="928"/>
      <c r="U171" s="904"/>
      <c r="V171" s="904"/>
      <c r="W171" s="929"/>
      <c r="X171" s="899"/>
      <c r="Y171" s="909"/>
      <c r="Z171" s="928"/>
      <c r="AA171" s="904"/>
      <c r="AB171" s="927"/>
      <c r="AC171" s="928"/>
      <c r="AD171" s="928"/>
      <c r="AE171" s="904"/>
      <c r="AF171" s="908"/>
      <c r="AG171" s="928"/>
      <c r="AH171" s="898">
        <f t="shared" si="20"/>
        <v>0</v>
      </c>
      <c r="AI171" s="898">
        <f t="shared" si="21"/>
        <v>0</v>
      </c>
    </row>
    <row r="172" spans="3:35" x14ac:dyDescent="0.2">
      <c r="C172" s="74" t="s">
        <v>51</v>
      </c>
      <c r="D172" s="146">
        <v>113</v>
      </c>
      <c r="E172" s="897"/>
      <c r="F172" s="897"/>
      <c r="G172" s="897"/>
      <c r="H172" s="897"/>
      <c r="I172" s="897"/>
      <c r="J172" s="915">
        <f t="shared" si="19"/>
        <v>0</v>
      </c>
      <c r="K172" s="903"/>
      <c r="L172" s="903"/>
      <c r="M172" s="926"/>
      <c r="N172" s="927"/>
      <c r="O172" s="928"/>
      <c r="P172" s="904"/>
      <c r="Q172" s="908"/>
      <c r="R172" s="928"/>
      <c r="S172" s="907"/>
      <c r="T172" s="928"/>
      <c r="U172" s="904"/>
      <c r="V172" s="904"/>
      <c r="W172" s="929"/>
      <c r="X172" s="899"/>
      <c r="Y172" s="909"/>
      <c r="Z172" s="928"/>
      <c r="AA172" s="904"/>
      <c r="AB172" s="927"/>
      <c r="AC172" s="928"/>
      <c r="AD172" s="928"/>
      <c r="AE172" s="904"/>
      <c r="AF172" s="908"/>
      <c r="AG172" s="928"/>
      <c r="AH172" s="898">
        <f t="shared" si="20"/>
        <v>0</v>
      </c>
      <c r="AI172" s="898">
        <f t="shared" si="21"/>
        <v>0</v>
      </c>
    </row>
    <row r="173" spans="3:35" x14ac:dyDescent="0.2">
      <c r="C173" s="74" t="s">
        <v>52</v>
      </c>
      <c r="D173" s="146">
        <v>114</v>
      </c>
      <c r="E173" s="897"/>
      <c r="F173" s="897"/>
      <c r="G173" s="897"/>
      <c r="H173" s="897"/>
      <c r="I173" s="897"/>
      <c r="J173" s="915">
        <f t="shared" si="19"/>
        <v>0</v>
      </c>
      <c r="K173" s="903"/>
      <c r="L173" s="903"/>
      <c r="M173" s="926"/>
      <c r="N173" s="927"/>
      <c r="O173" s="928"/>
      <c r="P173" s="904"/>
      <c r="Q173" s="908"/>
      <c r="R173" s="928"/>
      <c r="S173" s="907"/>
      <c r="T173" s="928"/>
      <c r="U173" s="904"/>
      <c r="V173" s="904"/>
      <c r="W173" s="929"/>
      <c r="X173" s="899"/>
      <c r="Y173" s="909"/>
      <c r="Z173" s="928"/>
      <c r="AA173" s="904"/>
      <c r="AB173" s="927"/>
      <c r="AC173" s="928"/>
      <c r="AD173" s="928"/>
      <c r="AE173" s="904"/>
      <c r="AF173" s="908"/>
      <c r="AG173" s="928"/>
      <c r="AH173" s="898">
        <f t="shared" si="20"/>
        <v>0</v>
      </c>
      <c r="AI173" s="898">
        <f t="shared" si="21"/>
        <v>0</v>
      </c>
    </row>
    <row r="174" spans="3:35" x14ac:dyDescent="0.2">
      <c r="C174" s="74" t="s">
        <v>997</v>
      </c>
      <c r="D174" s="146">
        <v>115</v>
      </c>
      <c r="E174" s="897"/>
      <c r="F174" s="897"/>
      <c r="G174" s="897"/>
      <c r="H174" s="897"/>
      <c r="I174" s="897"/>
      <c r="J174" s="915">
        <f t="shared" si="19"/>
        <v>0</v>
      </c>
      <c r="K174" s="903"/>
      <c r="L174" s="903"/>
      <c r="M174" s="926"/>
      <c r="N174" s="927"/>
      <c r="O174" s="928"/>
      <c r="P174" s="904"/>
      <c r="Q174" s="908"/>
      <c r="R174" s="928"/>
      <c r="S174" s="907"/>
      <c r="T174" s="928"/>
      <c r="U174" s="904"/>
      <c r="V174" s="904"/>
      <c r="W174" s="929"/>
      <c r="X174" s="899"/>
      <c r="Y174" s="909"/>
      <c r="Z174" s="928"/>
      <c r="AA174" s="904"/>
      <c r="AB174" s="927"/>
      <c r="AC174" s="928"/>
      <c r="AD174" s="928"/>
      <c r="AE174" s="904"/>
      <c r="AF174" s="908"/>
      <c r="AG174" s="928"/>
      <c r="AH174" s="898">
        <f t="shared" si="20"/>
        <v>0</v>
      </c>
      <c r="AI174" s="898">
        <f t="shared" si="21"/>
        <v>0</v>
      </c>
    </row>
    <row r="175" spans="3:35" x14ac:dyDescent="0.2">
      <c r="C175" s="74" t="s">
        <v>53</v>
      </c>
      <c r="D175" s="146">
        <v>116</v>
      </c>
      <c r="E175" s="897"/>
      <c r="F175" s="897"/>
      <c r="G175" s="897"/>
      <c r="H175" s="897"/>
      <c r="I175" s="897"/>
      <c r="J175" s="915">
        <f t="shared" si="19"/>
        <v>0</v>
      </c>
      <c r="K175" s="903"/>
      <c r="L175" s="903"/>
      <c r="M175" s="926"/>
      <c r="N175" s="927"/>
      <c r="O175" s="928"/>
      <c r="P175" s="904"/>
      <c r="Q175" s="908"/>
      <c r="R175" s="928"/>
      <c r="S175" s="907"/>
      <c r="T175" s="928"/>
      <c r="U175" s="904"/>
      <c r="V175" s="904"/>
      <c r="W175" s="929"/>
      <c r="X175" s="899"/>
      <c r="Y175" s="909"/>
      <c r="Z175" s="928"/>
      <c r="AA175" s="904"/>
      <c r="AB175" s="927"/>
      <c r="AC175" s="928"/>
      <c r="AD175" s="928"/>
      <c r="AE175" s="904"/>
      <c r="AF175" s="908"/>
      <c r="AG175" s="928"/>
      <c r="AH175" s="898">
        <f t="shared" si="20"/>
        <v>0</v>
      </c>
      <c r="AI175" s="898">
        <f t="shared" si="21"/>
        <v>0</v>
      </c>
    </row>
    <row r="176" spans="3:35" x14ac:dyDescent="0.2">
      <c r="C176" s="74" t="s">
        <v>614</v>
      </c>
      <c r="D176" s="146">
        <v>117</v>
      </c>
      <c r="E176" s="897"/>
      <c r="F176" s="897"/>
      <c r="G176" s="897"/>
      <c r="H176" s="897"/>
      <c r="I176" s="897"/>
      <c r="J176" s="915">
        <f t="shared" si="19"/>
        <v>0</v>
      </c>
      <c r="K176" s="903"/>
      <c r="L176" s="903"/>
      <c r="M176" s="926"/>
      <c r="N176" s="927"/>
      <c r="O176" s="928"/>
      <c r="P176" s="904"/>
      <c r="Q176" s="908"/>
      <c r="R176" s="928"/>
      <c r="S176" s="907"/>
      <c r="T176" s="928"/>
      <c r="U176" s="904"/>
      <c r="V176" s="904"/>
      <c r="W176" s="929"/>
      <c r="X176" s="899"/>
      <c r="Y176" s="909"/>
      <c r="Z176" s="928"/>
      <c r="AA176" s="904"/>
      <c r="AB176" s="927"/>
      <c r="AC176" s="928"/>
      <c r="AD176" s="928"/>
      <c r="AE176" s="904"/>
      <c r="AF176" s="908"/>
      <c r="AG176" s="928"/>
      <c r="AH176" s="898">
        <f t="shared" si="20"/>
        <v>0</v>
      </c>
      <c r="AI176" s="898">
        <f t="shared" si="21"/>
        <v>0</v>
      </c>
    </row>
    <row r="177" spans="3:35" x14ac:dyDescent="0.2">
      <c r="C177" s="74" t="s">
        <v>601</v>
      </c>
      <c r="D177" s="146">
        <v>118</v>
      </c>
      <c r="E177" s="897"/>
      <c r="F177" s="897"/>
      <c r="G177" s="897"/>
      <c r="H177" s="897"/>
      <c r="I177" s="897"/>
      <c r="J177" s="915">
        <f t="shared" si="19"/>
        <v>0</v>
      </c>
      <c r="K177" s="903"/>
      <c r="L177" s="903"/>
      <c r="M177" s="926"/>
      <c r="N177" s="927"/>
      <c r="O177" s="928"/>
      <c r="P177" s="904"/>
      <c r="Q177" s="908"/>
      <c r="R177" s="928"/>
      <c r="S177" s="907"/>
      <c r="T177" s="928"/>
      <c r="U177" s="904"/>
      <c r="V177" s="904"/>
      <c r="W177" s="929"/>
      <c r="X177" s="899"/>
      <c r="Y177" s="909"/>
      <c r="Z177" s="928"/>
      <c r="AA177" s="904"/>
      <c r="AB177" s="927"/>
      <c r="AC177" s="928"/>
      <c r="AD177" s="928"/>
      <c r="AE177" s="904"/>
      <c r="AF177" s="908"/>
      <c r="AG177" s="928"/>
      <c r="AH177" s="898">
        <f t="shared" si="20"/>
        <v>0</v>
      </c>
      <c r="AI177" s="898">
        <f t="shared" si="21"/>
        <v>0</v>
      </c>
    </row>
    <row r="178" spans="3:35" x14ac:dyDescent="0.2">
      <c r="C178" s="74" t="s">
        <v>998</v>
      </c>
      <c r="D178" s="146">
        <v>119</v>
      </c>
      <c r="E178" s="897"/>
      <c r="F178" s="897"/>
      <c r="G178" s="897"/>
      <c r="H178" s="897"/>
      <c r="I178" s="897"/>
      <c r="J178" s="915">
        <f t="shared" si="19"/>
        <v>0</v>
      </c>
      <c r="K178" s="903"/>
      <c r="L178" s="903"/>
      <c r="M178" s="926"/>
      <c r="N178" s="927"/>
      <c r="O178" s="928"/>
      <c r="P178" s="904"/>
      <c r="Q178" s="908"/>
      <c r="R178" s="928"/>
      <c r="S178" s="907"/>
      <c r="T178" s="928"/>
      <c r="U178" s="904"/>
      <c r="V178" s="904"/>
      <c r="W178" s="929"/>
      <c r="X178" s="899"/>
      <c r="Y178" s="909"/>
      <c r="Z178" s="928"/>
      <c r="AA178" s="904"/>
      <c r="AB178" s="927"/>
      <c r="AC178" s="928"/>
      <c r="AD178" s="928"/>
      <c r="AE178" s="904"/>
      <c r="AF178" s="908"/>
      <c r="AG178" s="928"/>
      <c r="AH178" s="898">
        <f t="shared" si="20"/>
        <v>0</v>
      </c>
      <c r="AI178" s="898">
        <f t="shared" si="21"/>
        <v>0</v>
      </c>
    </row>
    <row r="179" spans="3:35" x14ac:dyDescent="0.2">
      <c r="C179" s="74" t="s">
        <v>71</v>
      </c>
      <c r="D179" s="146">
        <v>120</v>
      </c>
      <c r="E179" s="897"/>
      <c r="F179" s="897"/>
      <c r="G179" s="897"/>
      <c r="H179" s="897"/>
      <c r="I179" s="897"/>
      <c r="J179" s="915">
        <f t="shared" si="19"/>
        <v>0</v>
      </c>
      <c r="K179" s="903"/>
      <c r="L179" s="903"/>
      <c r="M179" s="926"/>
      <c r="N179" s="927"/>
      <c r="O179" s="928"/>
      <c r="P179" s="904"/>
      <c r="Q179" s="908"/>
      <c r="R179" s="928"/>
      <c r="S179" s="907"/>
      <c r="T179" s="928"/>
      <c r="U179" s="904"/>
      <c r="V179" s="904"/>
      <c r="W179" s="929"/>
      <c r="X179" s="899"/>
      <c r="Y179" s="909"/>
      <c r="Z179" s="928"/>
      <c r="AA179" s="904"/>
      <c r="AB179" s="927"/>
      <c r="AC179" s="928"/>
      <c r="AD179" s="928"/>
      <c r="AE179" s="904"/>
      <c r="AF179" s="908"/>
      <c r="AG179" s="928"/>
      <c r="AH179" s="898">
        <f t="shared" si="20"/>
        <v>0</v>
      </c>
      <c r="AI179" s="898">
        <f t="shared" si="21"/>
        <v>0</v>
      </c>
    </row>
    <row r="180" spans="3:35" x14ac:dyDescent="0.2">
      <c r="C180" s="74" t="s">
        <v>999</v>
      </c>
      <c r="D180" s="146">
        <v>121</v>
      </c>
      <c r="E180" s="897"/>
      <c r="F180" s="897"/>
      <c r="G180" s="897"/>
      <c r="H180" s="897"/>
      <c r="I180" s="897"/>
      <c r="J180" s="915">
        <f t="shared" si="19"/>
        <v>0</v>
      </c>
      <c r="K180" s="903"/>
      <c r="L180" s="903"/>
      <c r="M180" s="926"/>
      <c r="N180" s="927"/>
      <c r="O180" s="928"/>
      <c r="P180" s="904"/>
      <c r="Q180" s="908"/>
      <c r="R180" s="928"/>
      <c r="S180" s="907"/>
      <c r="T180" s="928"/>
      <c r="U180" s="904"/>
      <c r="V180" s="904"/>
      <c r="W180" s="929"/>
      <c r="X180" s="899"/>
      <c r="Y180" s="909"/>
      <c r="Z180" s="928"/>
      <c r="AA180" s="904"/>
      <c r="AB180" s="927"/>
      <c r="AC180" s="928"/>
      <c r="AD180" s="928"/>
      <c r="AE180" s="904"/>
      <c r="AF180" s="908"/>
      <c r="AG180" s="928"/>
      <c r="AH180" s="898">
        <f t="shared" si="20"/>
        <v>0</v>
      </c>
      <c r="AI180" s="898">
        <f t="shared" si="21"/>
        <v>0</v>
      </c>
    </row>
    <row r="181" spans="3:35" x14ac:dyDescent="0.2">
      <c r="C181" s="74" t="s">
        <v>54</v>
      </c>
      <c r="D181" s="146">
        <v>122</v>
      </c>
      <c r="E181" s="897"/>
      <c r="F181" s="897"/>
      <c r="G181" s="897"/>
      <c r="H181" s="897"/>
      <c r="I181" s="897"/>
      <c r="J181" s="915">
        <f t="shared" si="19"/>
        <v>0</v>
      </c>
      <c r="K181" s="903"/>
      <c r="L181" s="903"/>
      <c r="M181" s="926"/>
      <c r="N181" s="927"/>
      <c r="O181" s="928"/>
      <c r="P181" s="904"/>
      <c r="Q181" s="908"/>
      <c r="R181" s="928"/>
      <c r="S181" s="907"/>
      <c r="T181" s="928"/>
      <c r="U181" s="904"/>
      <c r="V181" s="904"/>
      <c r="W181" s="929"/>
      <c r="X181" s="899"/>
      <c r="Y181" s="909"/>
      <c r="Z181" s="928"/>
      <c r="AA181" s="904"/>
      <c r="AB181" s="927"/>
      <c r="AC181" s="928"/>
      <c r="AD181" s="928"/>
      <c r="AE181" s="904"/>
      <c r="AF181" s="908"/>
      <c r="AG181" s="928"/>
      <c r="AH181" s="898">
        <f t="shared" si="20"/>
        <v>0</v>
      </c>
      <c r="AI181" s="898">
        <f t="shared" si="21"/>
        <v>0</v>
      </c>
    </row>
    <row r="182" spans="3:35" x14ac:dyDescent="0.2">
      <c r="C182" s="74" t="s">
        <v>55</v>
      </c>
      <c r="D182" s="146">
        <v>123</v>
      </c>
      <c r="E182" s="897"/>
      <c r="F182" s="897"/>
      <c r="G182" s="897"/>
      <c r="H182" s="897"/>
      <c r="I182" s="897"/>
      <c r="J182" s="915">
        <f t="shared" si="19"/>
        <v>0</v>
      </c>
      <c r="K182" s="903"/>
      <c r="L182" s="903"/>
      <c r="M182" s="926"/>
      <c r="N182" s="927"/>
      <c r="O182" s="928"/>
      <c r="P182" s="904"/>
      <c r="Q182" s="908"/>
      <c r="R182" s="928"/>
      <c r="S182" s="907"/>
      <c r="T182" s="928"/>
      <c r="U182" s="904"/>
      <c r="V182" s="904"/>
      <c r="W182" s="929"/>
      <c r="X182" s="899"/>
      <c r="Y182" s="909"/>
      <c r="Z182" s="928"/>
      <c r="AA182" s="904"/>
      <c r="AB182" s="927"/>
      <c r="AC182" s="928"/>
      <c r="AD182" s="928"/>
      <c r="AE182" s="904"/>
      <c r="AF182" s="908"/>
      <c r="AG182" s="928"/>
      <c r="AH182" s="898">
        <f t="shared" si="20"/>
        <v>0</v>
      </c>
      <c r="AI182" s="898">
        <f t="shared" si="21"/>
        <v>0</v>
      </c>
    </row>
    <row r="183" spans="3:35" x14ac:dyDescent="0.2">
      <c r="C183" s="225" t="s">
        <v>98</v>
      </c>
      <c r="D183" s="146">
        <v>124</v>
      </c>
      <c r="E183" s="897"/>
      <c r="F183" s="897"/>
      <c r="G183" s="897"/>
      <c r="H183" s="897"/>
      <c r="I183" s="897"/>
      <c r="J183" s="915">
        <f t="shared" si="19"/>
        <v>0</v>
      </c>
      <c r="K183" s="903"/>
      <c r="L183" s="903"/>
      <c r="M183" s="926"/>
      <c r="N183" s="927"/>
      <c r="O183" s="928"/>
      <c r="P183" s="904"/>
      <c r="Q183" s="908"/>
      <c r="R183" s="928"/>
      <c r="S183" s="907"/>
      <c r="T183" s="928"/>
      <c r="U183" s="904"/>
      <c r="V183" s="904"/>
      <c r="W183" s="929"/>
      <c r="X183" s="899"/>
      <c r="Y183" s="909"/>
      <c r="Z183" s="928"/>
      <c r="AA183" s="904"/>
      <c r="AB183" s="927"/>
      <c r="AC183" s="928"/>
      <c r="AD183" s="928"/>
      <c r="AE183" s="904"/>
      <c r="AF183" s="908"/>
      <c r="AG183" s="928"/>
      <c r="AH183" s="898">
        <f t="shared" si="20"/>
        <v>0</v>
      </c>
      <c r="AI183" s="898">
        <f t="shared" si="21"/>
        <v>0</v>
      </c>
    </row>
    <row r="184" spans="3:35" x14ac:dyDescent="0.2">
      <c r="C184" s="74" t="s">
        <v>56</v>
      </c>
      <c r="D184" s="146">
        <v>125</v>
      </c>
      <c r="E184" s="897"/>
      <c r="F184" s="897"/>
      <c r="G184" s="897"/>
      <c r="H184" s="897"/>
      <c r="I184" s="897"/>
      <c r="J184" s="915">
        <f t="shared" si="19"/>
        <v>0</v>
      </c>
      <c r="K184" s="903"/>
      <c r="L184" s="903"/>
      <c r="M184" s="926"/>
      <c r="N184" s="927"/>
      <c r="O184" s="928"/>
      <c r="P184" s="904"/>
      <c r="Q184" s="908"/>
      <c r="R184" s="928"/>
      <c r="S184" s="907"/>
      <c r="T184" s="928"/>
      <c r="U184" s="904"/>
      <c r="V184" s="904"/>
      <c r="W184" s="929"/>
      <c r="X184" s="899"/>
      <c r="Y184" s="909"/>
      <c r="Z184" s="928"/>
      <c r="AA184" s="904"/>
      <c r="AB184" s="927"/>
      <c r="AC184" s="928"/>
      <c r="AD184" s="928"/>
      <c r="AE184" s="904"/>
      <c r="AF184" s="908"/>
      <c r="AG184" s="928"/>
      <c r="AH184" s="898">
        <f t="shared" si="20"/>
        <v>0</v>
      </c>
      <c r="AI184" s="898">
        <f t="shared" si="21"/>
        <v>0</v>
      </c>
    </row>
    <row r="185" spans="3:35" x14ac:dyDescent="0.2">
      <c r="C185" s="74" t="s">
        <v>57</v>
      </c>
      <c r="D185" s="146">
        <v>126</v>
      </c>
      <c r="E185" s="897"/>
      <c r="F185" s="897"/>
      <c r="G185" s="897"/>
      <c r="H185" s="897"/>
      <c r="I185" s="897"/>
      <c r="J185" s="915">
        <f t="shared" si="19"/>
        <v>0</v>
      </c>
      <c r="K185" s="903"/>
      <c r="L185" s="903"/>
      <c r="M185" s="926"/>
      <c r="N185" s="927"/>
      <c r="O185" s="928"/>
      <c r="P185" s="904"/>
      <c r="Q185" s="908"/>
      <c r="R185" s="928"/>
      <c r="S185" s="907"/>
      <c r="T185" s="928"/>
      <c r="U185" s="904"/>
      <c r="V185" s="904"/>
      <c r="W185" s="929"/>
      <c r="X185" s="899"/>
      <c r="Y185" s="909"/>
      <c r="Z185" s="928"/>
      <c r="AA185" s="904"/>
      <c r="AB185" s="927"/>
      <c r="AC185" s="928"/>
      <c r="AD185" s="928"/>
      <c r="AE185" s="904"/>
      <c r="AF185" s="908"/>
      <c r="AG185" s="928"/>
      <c r="AH185" s="898">
        <f t="shared" si="20"/>
        <v>0</v>
      </c>
      <c r="AI185" s="898">
        <f t="shared" si="21"/>
        <v>0</v>
      </c>
    </row>
    <row r="186" spans="3:35" x14ac:dyDescent="0.2">
      <c r="C186" s="74" t="s">
        <v>58</v>
      </c>
      <c r="D186" s="146">
        <v>127</v>
      </c>
      <c r="E186" s="897"/>
      <c r="F186" s="897"/>
      <c r="G186" s="897"/>
      <c r="H186" s="897"/>
      <c r="I186" s="897"/>
      <c r="J186" s="915">
        <f t="shared" si="19"/>
        <v>0</v>
      </c>
      <c r="K186" s="903"/>
      <c r="L186" s="903"/>
      <c r="M186" s="926"/>
      <c r="N186" s="927"/>
      <c r="O186" s="928"/>
      <c r="P186" s="904"/>
      <c r="Q186" s="908"/>
      <c r="R186" s="928"/>
      <c r="S186" s="907"/>
      <c r="T186" s="928"/>
      <c r="U186" s="904"/>
      <c r="V186" s="904"/>
      <c r="W186" s="929"/>
      <c r="X186" s="899"/>
      <c r="Y186" s="909"/>
      <c r="Z186" s="928"/>
      <c r="AA186" s="904"/>
      <c r="AB186" s="927"/>
      <c r="AC186" s="928"/>
      <c r="AD186" s="928"/>
      <c r="AE186" s="904"/>
      <c r="AF186" s="908"/>
      <c r="AG186" s="928"/>
      <c r="AH186" s="898">
        <f t="shared" si="20"/>
        <v>0</v>
      </c>
      <c r="AI186" s="898">
        <f t="shared" si="21"/>
        <v>0</v>
      </c>
    </row>
    <row r="187" spans="3:35" x14ac:dyDescent="0.2">
      <c r="C187" s="74" t="s">
        <v>59</v>
      </c>
      <c r="D187" s="146">
        <v>128</v>
      </c>
      <c r="E187" s="897"/>
      <c r="F187" s="897"/>
      <c r="G187" s="897"/>
      <c r="H187" s="897"/>
      <c r="I187" s="897"/>
      <c r="J187" s="915">
        <f t="shared" si="19"/>
        <v>0</v>
      </c>
      <c r="K187" s="903"/>
      <c r="L187" s="903"/>
      <c r="M187" s="926"/>
      <c r="N187" s="927"/>
      <c r="O187" s="928"/>
      <c r="P187" s="904"/>
      <c r="Q187" s="908"/>
      <c r="R187" s="928"/>
      <c r="S187" s="907"/>
      <c r="T187" s="928"/>
      <c r="U187" s="904"/>
      <c r="V187" s="904"/>
      <c r="W187" s="929"/>
      <c r="X187" s="899"/>
      <c r="Y187" s="909"/>
      <c r="Z187" s="928"/>
      <c r="AA187" s="904"/>
      <c r="AB187" s="927"/>
      <c r="AC187" s="928"/>
      <c r="AD187" s="928"/>
      <c r="AE187" s="904"/>
      <c r="AF187" s="908"/>
      <c r="AG187" s="928"/>
      <c r="AH187" s="898">
        <f t="shared" si="20"/>
        <v>0</v>
      </c>
      <c r="AI187" s="898">
        <f t="shared" si="21"/>
        <v>0</v>
      </c>
    </row>
    <row r="188" spans="3:35" x14ac:dyDescent="0.2">
      <c r="C188" s="74" t="s">
        <v>621</v>
      </c>
      <c r="D188" s="146">
        <v>129</v>
      </c>
      <c r="E188" s="897"/>
      <c r="F188" s="897"/>
      <c r="G188" s="897"/>
      <c r="H188" s="897"/>
      <c r="I188" s="897"/>
      <c r="J188" s="915">
        <f t="shared" si="19"/>
        <v>0</v>
      </c>
      <c r="K188" s="903"/>
      <c r="L188" s="903"/>
      <c r="M188" s="926"/>
      <c r="N188" s="927"/>
      <c r="O188" s="928"/>
      <c r="P188" s="904"/>
      <c r="Q188" s="908"/>
      <c r="R188" s="928"/>
      <c r="S188" s="907"/>
      <c r="T188" s="928"/>
      <c r="U188" s="904"/>
      <c r="V188" s="904"/>
      <c r="W188" s="929"/>
      <c r="X188" s="899"/>
      <c r="Y188" s="909"/>
      <c r="Z188" s="928"/>
      <c r="AA188" s="904"/>
      <c r="AB188" s="927"/>
      <c r="AC188" s="928"/>
      <c r="AD188" s="928"/>
      <c r="AE188" s="904"/>
      <c r="AF188" s="908"/>
      <c r="AG188" s="928"/>
      <c r="AH188" s="898">
        <f t="shared" si="20"/>
        <v>0</v>
      </c>
      <c r="AI188" s="898">
        <f t="shared" si="21"/>
        <v>0</v>
      </c>
    </row>
    <row r="189" spans="3:35" x14ac:dyDescent="0.2">
      <c r="C189" s="74" t="s">
        <v>1000</v>
      </c>
      <c r="D189" s="146">
        <v>130</v>
      </c>
      <c r="E189" s="899"/>
      <c r="F189" s="899"/>
      <c r="G189" s="899"/>
      <c r="H189" s="899"/>
      <c r="I189" s="899"/>
      <c r="J189" s="915">
        <f t="shared" si="19"/>
        <v>0</v>
      </c>
      <c r="K189" s="930"/>
      <c r="L189" s="930"/>
      <c r="M189" s="931"/>
      <c r="N189" s="927"/>
      <c r="O189" s="928"/>
      <c r="P189" s="928"/>
      <c r="Q189" s="932"/>
      <c r="R189" s="928"/>
      <c r="S189" s="907"/>
      <c r="T189" s="928"/>
      <c r="U189" s="928"/>
      <c r="V189" s="928"/>
      <c r="W189" s="933"/>
      <c r="X189" s="899"/>
      <c r="Y189" s="909"/>
      <c r="Z189" s="928"/>
      <c r="AA189" s="928"/>
      <c r="AB189" s="927"/>
      <c r="AC189" s="928"/>
      <c r="AD189" s="928"/>
      <c r="AE189" s="928"/>
      <c r="AF189" s="932"/>
      <c r="AG189" s="928"/>
      <c r="AH189" s="898">
        <f t="shared" si="20"/>
        <v>0</v>
      </c>
      <c r="AI189" s="898">
        <f t="shared" si="21"/>
        <v>0</v>
      </c>
    </row>
    <row r="190" spans="3:35" x14ac:dyDescent="0.2">
      <c r="C190" s="74" t="s">
        <v>60</v>
      </c>
      <c r="D190" s="146">
        <v>131</v>
      </c>
      <c r="E190" s="897"/>
      <c r="F190" s="897"/>
      <c r="G190" s="897"/>
      <c r="H190" s="897"/>
      <c r="I190" s="897"/>
      <c r="J190" s="915">
        <f t="shared" ref="J190:J221" si="22">ROUND(SUM(E190:I190),3)</f>
        <v>0</v>
      </c>
      <c r="K190" s="903"/>
      <c r="L190" s="903"/>
      <c r="M190" s="926"/>
      <c r="N190" s="927"/>
      <c r="O190" s="928"/>
      <c r="P190" s="904"/>
      <c r="Q190" s="908"/>
      <c r="R190" s="928"/>
      <c r="S190" s="907"/>
      <c r="T190" s="928"/>
      <c r="U190" s="904"/>
      <c r="V190" s="904"/>
      <c r="W190" s="929"/>
      <c r="X190" s="899"/>
      <c r="Y190" s="909"/>
      <c r="Z190" s="928"/>
      <c r="AA190" s="904"/>
      <c r="AB190" s="927"/>
      <c r="AC190" s="928"/>
      <c r="AD190" s="928"/>
      <c r="AE190" s="904"/>
      <c r="AF190" s="908"/>
      <c r="AG190" s="928"/>
      <c r="AH190" s="898">
        <f t="shared" ref="AH190:AH221" si="23">ROUND(SUM(K190:N190,Q190:S190,V190,Y190,AB190,AF190:AG190),3)</f>
        <v>0</v>
      </c>
      <c r="AI190" s="898">
        <f t="shared" ref="AI190:AI221" si="24">ROUND(SUM(J190,AH190),3)</f>
        <v>0</v>
      </c>
    </row>
    <row r="191" spans="3:35" x14ac:dyDescent="0.2">
      <c r="C191" s="74" t="s">
        <v>1001</v>
      </c>
      <c r="D191" s="146">
        <v>132</v>
      </c>
      <c r="E191" s="897"/>
      <c r="F191" s="897"/>
      <c r="G191" s="897"/>
      <c r="H191" s="897"/>
      <c r="I191" s="897"/>
      <c r="J191" s="915">
        <f t="shared" si="22"/>
        <v>0</v>
      </c>
      <c r="K191" s="903"/>
      <c r="L191" s="903"/>
      <c r="M191" s="926"/>
      <c r="N191" s="927"/>
      <c r="O191" s="928"/>
      <c r="P191" s="904"/>
      <c r="Q191" s="908"/>
      <c r="R191" s="928"/>
      <c r="S191" s="907"/>
      <c r="T191" s="928"/>
      <c r="U191" s="904"/>
      <c r="V191" s="904"/>
      <c r="W191" s="929"/>
      <c r="X191" s="899"/>
      <c r="Y191" s="909"/>
      <c r="Z191" s="928"/>
      <c r="AA191" s="904"/>
      <c r="AB191" s="927"/>
      <c r="AC191" s="928"/>
      <c r="AD191" s="928"/>
      <c r="AE191" s="904"/>
      <c r="AF191" s="908"/>
      <c r="AG191" s="928"/>
      <c r="AH191" s="898">
        <f t="shared" si="23"/>
        <v>0</v>
      </c>
      <c r="AI191" s="898">
        <f t="shared" si="24"/>
        <v>0</v>
      </c>
    </row>
    <row r="192" spans="3:35" x14ac:dyDescent="0.2">
      <c r="C192" s="74" t="s">
        <v>569</v>
      </c>
      <c r="D192" s="146">
        <v>133</v>
      </c>
      <c r="E192" s="897"/>
      <c r="F192" s="897"/>
      <c r="G192" s="897"/>
      <c r="H192" s="897"/>
      <c r="I192" s="897"/>
      <c r="J192" s="915">
        <f t="shared" si="22"/>
        <v>0</v>
      </c>
      <c r="K192" s="903"/>
      <c r="L192" s="903"/>
      <c r="M192" s="926"/>
      <c r="N192" s="927"/>
      <c r="O192" s="928"/>
      <c r="P192" s="904"/>
      <c r="Q192" s="908"/>
      <c r="R192" s="928"/>
      <c r="S192" s="907"/>
      <c r="T192" s="928"/>
      <c r="U192" s="904"/>
      <c r="V192" s="904"/>
      <c r="W192" s="929"/>
      <c r="X192" s="899"/>
      <c r="Y192" s="909"/>
      <c r="Z192" s="928"/>
      <c r="AA192" s="904"/>
      <c r="AB192" s="927"/>
      <c r="AC192" s="928"/>
      <c r="AD192" s="928"/>
      <c r="AE192" s="904"/>
      <c r="AF192" s="908"/>
      <c r="AG192" s="928"/>
      <c r="AH192" s="898">
        <f t="shared" si="23"/>
        <v>0</v>
      </c>
      <c r="AI192" s="898">
        <f t="shared" si="24"/>
        <v>0</v>
      </c>
    </row>
    <row r="193" spans="3:35" x14ac:dyDescent="0.2">
      <c r="C193" s="74" t="s">
        <v>1002</v>
      </c>
      <c r="D193" s="146">
        <v>134</v>
      </c>
      <c r="E193" s="897"/>
      <c r="F193" s="897"/>
      <c r="G193" s="897"/>
      <c r="H193" s="897"/>
      <c r="I193" s="897"/>
      <c r="J193" s="915">
        <f t="shared" si="22"/>
        <v>0</v>
      </c>
      <c r="K193" s="903"/>
      <c r="L193" s="903"/>
      <c r="M193" s="926"/>
      <c r="N193" s="927"/>
      <c r="O193" s="928"/>
      <c r="P193" s="904"/>
      <c r="Q193" s="908"/>
      <c r="R193" s="928"/>
      <c r="S193" s="907"/>
      <c r="T193" s="928"/>
      <c r="U193" s="904"/>
      <c r="V193" s="904"/>
      <c r="W193" s="929"/>
      <c r="X193" s="899"/>
      <c r="Y193" s="909"/>
      <c r="Z193" s="928"/>
      <c r="AA193" s="904"/>
      <c r="AB193" s="927"/>
      <c r="AC193" s="928"/>
      <c r="AD193" s="928"/>
      <c r="AE193" s="904"/>
      <c r="AF193" s="908"/>
      <c r="AG193" s="928"/>
      <c r="AH193" s="898">
        <f t="shared" si="23"/>
        <v>0</v>
      </c>
      <c r="AI193" s="898">
        <f t="shared" si="24"/>
        <v>0</v>
      </c>
    </row>
    <row r="194" spans="3:35" x14ac:dyDescent="0.2">
      <c r="C194" s="74" t="s">
        <v>61</v>
      </c>
      <c r="D194" s="146">
        <v>135</v>
      </c>
      <c r="E194" s="897"/>
      <c r="F194" s="897"/>
      <c r="G194" s="897"/>
      <c r="H194" s="897"/>
      <c r="I194" s="897"/>
      <c r="J194" s="915">
        <f t="shared" si="22"/>
        <v>0</v>
      </c>
      <c r="K194" s="903"/>
      <c r="L194" s="903"/>
      <c r="M194" s="926"/>
      <c r="N194" s="927"/>
      <c r="O194" s="928"/>
      <c r="P194" s="904"/>
      <c r="Q194" s="908"/>
      <c r="R194" s="928"/>
      <c r="S194" s="907"/>
      <c r="T194" s="928"/>
      <c r="U194" s="904"/>
      <c r="V194" s="904"/>
      <c r="W194" s="929"/>
      <c r="X194" s="899"/>
      <c r="Y194" s="909"/>
      <c r="Z194" s="928"/>
      <c r="AA194" s="904"/>
      <c r="AB194" s="927"/>
      <c r="AC194" s="928"/>
      <c r="AD194" s="928"/>
      <c r="AE194" s="904"/>
      <c r="AF194" s="908"/>
      <c r="AG194" s="928"/>
      <c r="AH194" s="898">
        <f t="shared" si="23"/>
        <v>0</v>
      </c>
      <c r="AI194" s="898">
        <f t="shared" si="24"/>
        <v>0</v>
      </c>
    </row>
    <row r="195" spans="3:35" x14ac:dyDescent="0.2">
      <c r="C195" s="74" t="s">
        <v>99</v>
      </c>
      <c r="D195" s="146">
        <v>136</v>
      </c>
      <c r="E195" s="897"/>
      <c r="F195" s="897"/>
      <c r="G195" s="897"/>
      <c r="H195" s="897"/>
      <c r="I195" s="897"/>
      <c r="J195" s="915">
        <f t="shared" si="22"/>
        <v>0</v>
      </c>
      <c r="K195" s="903"/>
      <c r="L195" s="903"/>
      <c r="M195" s="926"/>
      <c r="N195" s="927"/>
      <c r="O195" s="928"/>
      <c r="P195" s="904"/>
      <c r="Q195" s="908"/>
      <c r="R195" s="928"/>
      <c r="S195" s="907"/>
      <c r="T195" s="928"/>
      <c r="U195" s="904"/>
      <c r="V195" s="904"/>
      <c r="W195" s="929"/>
      <c r="X195" s="899"/>
      <c r="Y195" s="909"/>
      <c r="Z195" s="928"/>
      <c r="AA195" s="904"/>
      <c r="AB195" s="927"/>
      <c r="AC195" s="928"/>
      <c r="AD195" s="928"/>
      <c r="AE195" s="904"/>
      <c r="AF195" s="908"/>
      <c r="AG195" s="928"/>
      <c r="AH195" s="898">
        <f t="shared" si="23"/>
        <v>0</v>
      </c>
      <c r="AI195" s="898">
        <f t="shared" si="24"/>
        <v>0</v>
      </c>
    </row>
    <row r="196" spans="3:35" x14ac:dyDescent="0.2">
      <c r="C196" s="74" t="s">
        <v>570</v>
      </c>
      <c r="D196" s="146">
        <v>137</v>
      </c>
      <c r="E196" s="897"/>
      <c r="F196" s="897"/>
      <c r="G196" s="897"/>
      <c r="H196" s="897"/>
      <c r="I196" s="897"/>
      <c r="J196" s="915">
        <f t="shared" si="22"/>
        <v>0</v>
      </c>
      <c r="K196" s="903"/>
      <c r="L196" s="903"/>
      <c r="M196" s="926"/>
      <c r="N196" s="927"/>
      <c r="O196" s="928"/>
      <c r="P196" s="904"/>
      <c r="Q196" s="908"/>
      <c r="R196" s="928"/>
      <c r="S196" s="907"/>
      <c r="T196" s="928"/>
      <c r="U196" s="904"/>
      <c r="V196" s="904"/>
      <c r="W196" s="929"/>
      <c r="X196" s="899"/>
      <c r="Y196" s="909"/>
      <c r="Z196" s="928"/>
      <c r="AA196" s="904"/>
      <c r="AB196" s="927"/>
      <c r="AC196" s="928"/>
      <c r="AD196" s="928"/>
      <c r="AE196" s="904"/>
      <c r="AF196" s="908"/>
      <c r="AG196" s="928"/>
      <c r="AH196" s="898">
        <f t="shared" si="23"/>
        <v>0</v>
      </c>
      <c r="AI196" s="898">
        <f t="shared" si="24"/>
        <v>0</v>
      </c>
    </row>
    <row r="197" spans="3:35" x14ac:dyDescent="0.2">
      <c r="C197" s="74" t="s">
        <v>72</v>
      </c>
      <c r="D197" s="146">
        <v>138</v>
      </c>
      <c r="E197" s="897"/>
      <c r="F197" s="897"/>
      <c r="G197" s="897"/>
      <c r="H197" s="897"/>
      <c r="I197" s="897"/>
      <c r="J197" s="915">
        <f t="shared" si="22"/>
        <v>0</v>
      </c>
      <c r="K197" s="903"/>
      <c r="L197" s="903"/>
      <c r="M197" s="926"/>
      <c r="N197" s="927"/>
      <c r="O197" s="928"/>
      <c r="P197" s="904"/>
      <c r="Q197" s="908"/>
      <c r="R197" s="928"/>
      <c r="S197" s="907"/>
      <c r="T197" s="928"/>
      <c r="U197" s="904"/>
      <c r="V197" s="904"/>
      <c r="W197" s="929"/>
      <c r="X197" s="899"/>
      <c r="Y197" s="909"/>
      <c r="Z197" s="928"/>
      <c r="AA197" s="904"/>
      <c r="AB197" s="927"/>
      <c r="AC197" s="928"/>
      <c r="AD197" s="928"/>
      <c r="AE197" s="904"/>
      <c r="AF197" s="908"/>
      <c r="AG197" s="928"/>
      <c r="AH197" s="898">
        <f t="shared" si="23"/>
        <v>0</v>
      </c>
      <c r="AI197" s="898">
        <f t="shared" si="24"/>
        <v>0</v>
      </c>
    </row>
    <row r="198" spans="3:35" x14ac:dyDescent="0.2">
      <c r="C198" s="74" t="s">
        <v>1003</v>
      </c>
      <c r="D198" s="146">
        <v>139</v>
      </c>
      <c r="E198" s="897"/>
      <c r="F198" s="897"/>
      <c r="G198" s="897"/>
      <c r="H198" s="897"/>
      <c r="I198" s="897"/>
      <c r="J198" s="915">
        <f t="shared" si="22"/>
        <v>0</v>
      </c>
      <c r="K198" s="903"/>
      <c r="L198" s="903"/>
      <c r="M198" s="926"/>
      <c r="N198" s="927"/>
      <c r="O198" s="928"/>
      <c r="P198" s="904"/>
      <c r="Q198" s="908"/>
      <c r="R198" s="928"/>
      <c r="S198" s="907"/>
      <c r="T198" s="928"/>
      <c r="U198" s="904"/>
      <c r="V198" s="904"/>
      <c r="W198" s="929"/>
      <c r="X198" s="899"/>
      <c r="Y198" s="909"/>
      <c r="Z198" s="928"/>
      <c r="AA198" s="904"/>
      <c r="AB198" s="927"/>
      <c r="AC198" s="928"/>
      <c r="AD198" s="928"/>
      <c r="AE198" s="904"/>
      <c r="AF198" s="908"/>
      <c r="AG198" s="928"/>
      <c r="AH198" s="898">
        <f t="shared" si="23"/>
        <v>0</v>
      </c>
      <c r="AI198" s="898">
        <f t="shared" si="24"/>
        <v>0</v>
      </c>
    </row>
    <row r="199" spans="3:35" x14ac:dyDescent="0.2">
      <c r="C199" s="74" t="s">
        <v>62</v>
      </c>
      <c r="D199" s="146">
        <v>140</v>
      </c>
      <c r="E199" s="897"/>
      <c r="F199" s="897"/>
      <c r="G199" s="897"/>
      <c r="H199" s="897"/>
      <c r="I199" s="897"/>
      <c r="J199" s="915">
        <f t="shared" si="22"/>
        <v>0</v>
      </c>
      <c r="K199" s="903"/>
      <c r="L199" s="903"/>
      <c r="M199" s="926"/>
      <c r="N199" s="927"/>
      <c r="O199" s="928"/>
      <c r="P199" s="904"/>
      <c r="Q199" s="908"/>
      <c r="R199" s="928"/>
      <c r="S199" s="907"/>
      <c r="T199" s="928"/>
      <c r="U199" s="904"/>
      <c r="V199" s="904"/>
      <c r="W199" s="929"/>
      <c r="X199" s="899"/>
      <c r="Y199" s="909"/>
      <c r="Z199" s="928"/>
      <c r="AA199" s="904"/>
      <c r="AB199" s="927"/>
      <c r="AC199" s="928"/>
      <c r="AD199" s="928"/>
      <c r="AE199" s="904"/>
      <c r="AF199" s="908"/>
      <c r="AG199" s="928"/>
      <c r="AH199" s="898">
        <f t="shared" si="23"/>
        <v>0</v>
      </c>
      <c r="AI199" s="898">
        <f t="shared" si="24"/>
        <v>0</v>
      </c>
    </row>
    <row r="200" spans="3:35" x14ac:dyDescent="0.2">
      <c r="C200" s="74" t="s">
        <v>1004</v>
      </c>
      <c r="D200" s="146">
        <v>141</v>
      </c>
      <c r="E200" s="897"/>
      <c r="F200" s="897"/>
      <c r="G200" s="897"/>
      <c r="H200" s="897"/>
      <c r="I200" s="897"/>
      <c r="J200" s="915">
        <f t="shared" si="22"/>
        <v>0</v>
      </c>
      <c r="K200" s="903"/>
      <c r="L200" s="903"/>
      <c r="M200" s="926"/>
      <c r="N200" s="927"/>
      <c r="O200" s="928"/>
      <c r="P200" s="904"/>
      <c r="Q200" s="908"/>
      <c r="R200" s="928"/>
      <c r="S200" s="907"/>
      <c r="T200" s="928"/>
      <c r="U200" s="904"/>
      <c r="V200" s="904"/>
      <c r="W200" s="929"/>
      <c r="X200" s="899"/>
      <c r="Y200" s="909"/>
      <c r="Z200" s="928"/>
      <c r="AA200" s="904"/>
      <c r="AB200" s="927"/>
      <c r="AC200" s="928"/>
      <c r="AD200" s="928"/>
      <c r="AE200" s="904"/>
      <c r="AF200" s="908"/>
      <c r="AG200" s="928"/>
      <c r="AH200" s="898">
        <f t="shared" si="23"/>
        <v>0</v>
      </c>
      <c r="AI200" s="898">
        <f t="shared" si="24"/>
        <v>0</v>
      </c>
    </row>
    <row r="201" spans="3:35" x14ac:dyDescent="0.2">
      <c r="C201" s="74" t="s">
        <v>1005</v>
      </c>
      <c r="D201" s="146">
        <v>142</v>
      </c>
      <c r="E201" s="897"/>
      <c r="F201" s="897"/>
      <c r="G201" s="897"/>
      <c r="H201" s="897"/>
      <c r="I201" s="897"/>
      <c r="J201" s="915">
        <f t="shared" si="22"/>
        <v>0</v>
      </c>
      <c r="K201" s="903"/>
      <c r="L201" s="903"/>
      <c r="M201" s="926"/>
      <c r="N201" s="927"/>
      <c r="O201" s="928"/>
      <c r="P201" s="904"/>
      <c r="Q201" s="908"/>
      <c r="R201" s="928"/>
      <c r="S201" s="907"/>
      <c r="T201" s="928"/>
      <c r="U201" s="904"/>
      <c r="V201" s="904"/>
      <c r="W201" s="929"/>
      <c r="X201" s="899"/>
      <c r="Y201" s="909"/>
      <c r="Z201" s="928"/>
      <c r="AA201" s="904"/>
      <c r="AB201" s="927"/>
      <c r="AC201" s="928"/>
      <c r="AD201" s="928"/>
      <c r="AE201" s="904"/>
      <c r="AF201" s="908"/>
      <c r="AG201" s="928"/>
      <c r="AH201" s="898">
        <f t="shared" si="23"/>
        <v>0</v>
      </c>
      <c r="AI201" s="898">
        <f t="shared" si="24"/>
        <v>0</v>
      </c>
    </row>
    <row r="202" spans="3:35" x14ac:dyDescent="0.2">
      <c r="C202" s="74" t="s">
        <v>63</v>
      </c>
      <c r="D202" s="146">
        <v>143</v>
      </c>
      <c r="E202" s="897"/>
      <c r="F202" s="897"/>
      <c r="G202" s="897"/>
      <c r="H202" s="897"/>
      <c r="I202" s="897"/>
      <c r="J202" s="915">
        <f t="shared" si="22"/>
        <v>0</v>
      </c>
      <c r="K202" s="903"/>
      <c r="L202" s="903"/>
      <c r="M202" s="926"/>
      <c r="N202" s="927"/>
      <c r="O202" s="928"/>
      <c r="P202" s="904"/>
      <c r="Q202" s="908"/>
      <c r="R202" s="928"/>
      <c r="S202" s="907"/>
      <c r="T202" s="928"/>
      <c r="U202" s="904"/>
      <c r="V202" s="904"/>
      <c r="W202" s="929"/>
      <c r="X202" s="899"/>
      <c r="Y202" s="909"/>
      <c r="Z202" s="928"/>
      <c r="AA202" s="904"/>
      <c r="AB202" s="927"/>
      <c r="AC202" s="928"/>
      <c r="AD202" s="928"/>
      <c r="AE202" s="904"/>
      <c r="AF202" s="908"/>
      <c r="AG202" s="928"/>
      <c r="AH202" s="898">
        <f t="shared" si="23"/>
        <v>0</v>
      </c>
      <c r="AI202" s="898">
        <f t="shared" si="24"/>
        <v>0</v>
      </c>
    </row>
    <row r="203" spans="3:35" x14ac:dyDescent="0.2">
      <c r="C203" s="74" t="s">
        <v>64</v>
      </c>
      <c r="D203" s="146">
        <v>144</v>
      </c>
      <c r="E203" s="897"/>
      <c r="F203" s="897"/>
      <c r="G203" s="897"/>
      <c r="H203" s="897"/>
      <c r="I203" s="897"/>
      <c r="J203" s="915">
        <f t="shared" si="22"/>
        <v>0</v>
      </c>
      <c r="K203" s="903"/>
      <c r="L203" s="903"/>
      <c r="M203" s="926"/>
      <c r="N203" s="927"/>
      <c r="O203" s="928"/>
      <c r="P203" s="904"/>
      <c r="Q203" s="908"/>
      <c r="R203" s="928"/>
      <c r="S203" s="907"/>
      <c r="T203" s="928"/>
      <c r="U203" s="904"/>
      <c r="V203" s="904"/>
      <c r="W203" s="929"/>
      <c r="X203" s="899"/>
      <c r="Y203" s="909"/>
      <c r="Z203" s="928"/>
      <c r="AA203" s="904"/>
      <c r="AB203" s="927"/>
      <c r="AC203" s="928"/>
      <c r="AD203" s="928"/>
      <c r="AE203" s="904"/>
      <c r="AF203" s="908"/>
      <c r="AG203" s="928"/>
      <c r="AH203" s="898">
        <f t="shared" si="23"/>
        <v>0</v>
      </c>
      <c r="AI203" s="898">
        <f t="shared" si="24"/>
        <v>0</v>
      </c>
    </row>
    <row r="204" spans="3:35" x14ac:dyDescent="0.2">
      <c r="C204" s="74" t="s">
        <v>622</v>
      </c>
      <c r="D204" s="146">
        <v>145</v>
      </c>
      <c r="E204" s="897"/>
      <c r="F204" s="897"/>
      <c r="G204" s="897"/>
      <c r="H204" s="897"/>
      <c r="I204" s="897"/>
      <c r="J204" s="915">
        <f t="shared" si="22"/>
        <v>0</v>
      </c>
      <c r="K204" s="903"/>
      <c r="L204" s="903"/>
      <c r="M204" s="926"/>
      <c r="N204" s="927"/>
      <c r="O204" s="928"/>
      <c r="P204" s="904"/>
      <c r="Q204" s="908"/>
      <c r="R204" s="928"/>
      <c r="S204" s="907"/>
      <c r="T204" s="928"/>
      <c r="U204" s="904"/>
      <c r="V204" s="904"/>
      <c r="W204" s="929"/>
      <c r="X204" s="899"/>
      <c r="Y204" s="909"/>
      <c r="Z204" s="928"/>
      <c r="AA204" s="904"/>
      <c r="AB204" s="927"/>
      <c r="AC204" s="928"/>
      <c r="AD204" s="928"/>
      <c r="AE204" s="904"/>
      <c r="AF204" s="908"/>
      <c r="AG204" s="928"/>
      <c r="AH204" s="898">
        <f t="shared" si="23"/>
        <v>0</v>
      </c>
      <c r="AI204" s="898">
        <f t="shared" si="24"/>
        <v>0</v>
      </c>
    </row>
    <row r="205" spans="3:35" x14ac:dyDescent="0.2">
      <c r="C205" s="74" t="s">
        <v>1006</v>
      </c>
      <c r="D205" s="146">
        <v>146</v>
      </c>
      <c r="E205" s="897"/>
      <c r="F205" s="897"/>
      <c r="G205" s="897"/>
      <c r="H205" s="897"/>
      <c r="I205" s="897"/>
      <c r="J205" s="915">
        <f t="shared" si="22"/>
        <v>0</v>
      </c>
      <c r="K205" s="903"/>
      <c r="L205" s="903"/>
      <c r="M205" s="926"/>
      <c r="N205" s="927"/>
      <c r="O205" s="928"/>
      <c r="P205" s="904"/>
      <c r="Q205" s="908"/>
      <c r="R205" s="928"/>
      <c r="S205" s="907"/>
      <c r="T205" s="928"/>
      <c r="U205" s="904"/>
      <c r="V205" s="904"/>
      <c r="W205" s="929"/>
      <c r="X205" s="899"/>
      <c r="Y205" s="909"/>
      <c r="Z205" s="928"/>
      <c r="AA205" s="904"/>
      <c r="AB205" s="927"/>
      <c r="AC205" s="928"/>
      <c r="AD205" s="928"/>
      <c r="AE205" s="904"/>
      <c r="AF205" s="908"/>
      <c r="AG205" s="928"/>
      <c r="AH205" s="898">
        <f t="shared" si="23"/>
        <v>0</v>
      </c>
      <c r="AI205" s="898">
        <f t="shared" si="24"/>
        <v>0</v>
      </c>
    </row>
    <row r="206" spans="3:35" x14ac:dyDescent="0.2">
      <c r="C206" s="74" t="s">
        <v>563</v>
      </c>
      <c r="D206" s="146">
        <v>147</v>
      </c>
      <c r="E206" s="897"/>
      <c r="F206" s="897"/>
      <c r="G206" s="897"/>
      <c r="H206" s="897"/>
      <c r="I206" s="897"/>
      <c r="J206" s="915">
        <f t="shared" si="22"/>
        <v>0</v>
      </c>
      <c r="K206" s="903"/>
      <c r="L206" s="903"/>
      <c r="M206" s="926"/>
      <c r="N206" s="927"/>
      <c r="O206" s="928"/>
      <c r="P206" s="904"/>
      <c r="Q206" s="908"/>
      <c r="R206" s="928"/>
      <c r="S206" s="907"/>
      <c r="T206" s="928"/>
      <c r="U206" s="904"/>
      <c r="V206" s="904"/>
      <c r="W206" s="929"/>
      <c r="X206" s="899"/>
      <c r="Y206" s="909"/>
      <c r="Z206" s="928"/>
      <c r="AA206" s="904"/>
      <c r="AB206" s="927"/>
      <c r="AC206" s="928"/>
      <c r="AD206" s="928"/>
      <c r="AE206" s="904"/>
      <c r="AF206" s="908"/>
      <c r="AG206" s="928"/>
      <c r="AH206" s="898">
        <f t="shared" si="23"/>
        <v>0</v>
      </c>
      <c r="AI206" s="898">
        <f t="shared" si="24"/>
        <v>0</v>
      </c>
    </row>
    <row r="207" spans="3:35" x14ac:dyDescent="0.2">
      <c r="C207" s="74" t="s">
        <v>1007</v>
      </c>
      <c r="D207" s="146">
        <v>148</v>
      </c>
      <c r="E207" s="897"/>
      <c r="F207" s="897"/>
      <c r="G207" s="897"/>
      <c r="H207" s="897"/>
      <c r="I207" s="897"/>
      <c r="J207" s="915">
        <f t="shared" si="22"/>
        <v>0</v>
      </c>
      <c r="K207" s="903"/>
      <c r="L207" s="903"/>
      <c r="M207" s="926"/>
      <c r="N207" s="927"/>
      <c r="O207" s="928"/>
      <c r="P207" s="904"/>
      <c r="Q207" s="908"/>
      <c r="R207" s="928"/>
      <c r="S207" s="907"/>
      <c r="T207" s="928"/>
      <c r="U207" s="904"/>
      <c r="V207" s="904"/>
      <c r="W207" s="929"/>
      <c r="X207" s="899"/>
      <c r="Y207" s="909"/>
      <c r="Z207" s="928"/>
      <c r="AA207" s="904"/>
      <c r="AB207" s="927"/>
      <c r="AC207" s="928"/>
      <c r="AD207" s="928"/>
      <c r="AE207" s="904"/>
      <c r="AF207" s="908"/>
      <c r="AG207" s="928"/>
      <c r="AH207" s="898">
        <f t="shared" si="23"/>
        <v>0</v>
      </c>
      <c r="AI207" s="898">
        <f t="shared" si="24"/>
        <v>0</v>
      </c>
    </row>
    <row r="208" spans="3:35" x14ac:dyDescent="0.2">
      <c r="C208" s="74" t="s">
        <v>73</v>
      </c>
      <c r="D208" s="146">
        <v>149</v>
      </c>
      <c r="E208" s="897"/>
      <c r="F208" s="897"/>
      <c r="G208" s="897"/>
      <c r="H208" s="897"/>
      <c r="I208" s="897"/>
      <c r="J208" s="915">
        <f t="shared" si="22"/>
        <v>0</v>
      </c>
      <c r="K208" s="903"/>
      <c r="L208" s="903"/>
      <c r="M208" s="926"/>
      <c r="N208" s="927"/>
      <c r="O208" s="928"/>
      <c r="P208" s="904"/>
      <c r="Q208" s="908"/>
      <c r="R208" s="928"/>
      <c r="S208" s="907"/>
      <c r="T208" s="928"/>
      <c r="U208" s="904"/>
      <c r="V208" s="904"/>
      <c r="W208" s="929"/>
      <c r="X208" s="899"/>
      <c r="Y208" s="909"/>
      <c r="Z208" s="928"/>
      <c r="AA208" s="904"/>
      <c r="AB208" s="927"/>
      <c r="AC208" s="928"/>
      <c r="AD208" s="928"/>
      <c r="AE208" s="904"/>
      <c r="AF208" s="908"/>
      <c r="AG208" s="928"/>
      <c r="AH208" s="898">
        <f t="shared" si="23"/>
        <v>0</v>
      </c>
      <c r="AI208" s="898">
        <f t="shared" si="24"/>
        <v>0</v>
      </c>
    </row>
    <row r="209" spans="3:35" x14ac:dyDescent="0.2">
      <c r="C209" s="74" t="s">
        <v>1008</v>
      </c>
      <c r="D209" s="146">
        <v>150</v>
      </c>
      <c r="E209" s="897"/>
      <c r="F209" s="897"/>
      <c r="G209" s="897"/>
      <c r="H209" s="897"/>
      <c r="I209" s="897"/>
      <c r="J209" s="915">
        <f t="shared" si="22"/>
        <v>0</v>
      </c>
      <c r="K209" s="903"/>
      <c r="L209" s="903"/>
      <c r="M209" s="926"/>
      <c r="N209" s="927"/>
      <c r="O209" s="928"/>
      <c r="P209" s="904"/>
      <c r="Q209" s="908"/>
      <c r="R209" s="928"/>
      <c r="S209" s="907"/>
      <c r="T209" s="928"/>
      <c r="U209" s="904"/>
      <c r="V209" s="904"/>
      <c r="W209" s="929"/>
      <c r="X209" s="899"/>
      <c r="Y209" s="909"/>
      <c r="Z209" s="928"/>
      <c r="AA209" s="904"/>
      <c r="AB209" s="927"/>
      <c r="AC209" s="928"/>
      <c r="AD209" s="928"/>
      <c r="AE209" s="904"/>
      <c r="AF209" s="908"/>
      <c r="AG209" s="928"/>
      <c r="AH209" s="898">
        <f t="shared" si="23"/>
        <v>0</v>
      </c>
      <c r="AI209" s="898">
        <f t="shared" si="24"/>
        <v>0</v>
      </c>
    </row>
    <row r="210" spans="3:35" x14ac:dyDescent="0.2">
      <c r="C210" s="74" t="s">
        <v>1009</v>
      </c>
      <c r="D210" s="146">
        <v>151</v>
      </c>
      <c r="E210" s="897"/>
      <c r="F210" s="897"/>
      <c r="G210" s="897"/>
      <c r="H210" s="897"/>
      <c r="I210" s="897"/>
      <c r="J210" s="915">
        <f t="shared" si="22"/>
        <v>0</v>
      </c>
      <c r="K210" s="903"/>
      <c r="L210" s="903"/>
      <c r="M210" s="926"/>
      <c r="N210" s="927"/>
      <c r="O210" s="928"/>
      <c r="P210" s="904"/>
      <c r="Q210" s="908"/>
      <c r="R210" s="928"/>
      <c r="S210" s="907"/>
      <c r="T210" s="928"/>
      <c r="U210" s="904"/>
      <c r="V210" s="904"/>
      <c r="W210" s="929"/>
      <c r="X210" s="899"/>
      <c r="Y210" s="909"/>
      <c r="Z210" s="928"/>
      <c r="AA210" s="904"/>
      <c r="AB210" s="927"/>
      <c r="AC210" s="928"/>
      <c r="AD210" s="928"/>
      <c r="AE210" s="904"/>
      <c r="AF210" s="908"/>
      <c r="AG210" s="928"/>
      <c r="AH210" s="898">
        <f t="shared" si="23"/>
        <v>0</v>
      </c>
      <c r="AI210" s="898">
        <f t="shared" si="24"/>
        <v>0</v>
      </c>
    </row>
    <row r="211" spans="3:35" x14ac:dyDescent="0.2">
      <c r="C211" s="74" t="s">
        <v>100</v>
      </c>
      <c r="D211" s="146">
        <v>152</v>
      </c>
      <c r="E211" s="897"/>
      <c r="F211" s="897"/>
      <c r="G211" s="897"/>
      <c r="H211" s="897"/>
      <c r="I211" s="897"/>
      <c r="J211" s="915">
        <f t="shared" si="22"/>
        <v>0</v>
      </c>
      <c r="K211" s="903"/>
      <c r="L211" s="903"/>
      <c r="M211" s="926"/>
      <c r="N211" s="927"/>
      <c r="O211" s="928"/>
      <c r="P211" s="904"/>
      <c r="Q211" s="908"/>
      <c r="R211" s="928"/>
      <c r="S211" s="907"/>
      <c r="T211" s="928"/>
      <c r="U211" s="904"/>
      <c r="V211" s="904"/>
      <c r="W211" s="929"/>
      <c r="X211" s="899"/>
      <c r="Y211" s="909"/>
      <c r="Z211" s="928"/>
      <c r="AA211" s="904"/>
      <c r="AB211" s="927"/>
      <c r="AC211" s="928"/>
      <c r="AD211" s="928"/>
      <c r="AE211" s="904"/>
      <c r="AF211" s="908"/>
      <c r="AG211" s="928"/>
      <c r="AH211" s="898">
        <f t="shared" si="23"/>
        <v>0</v>
      </c>
      <c r="AI211" s="898">
        <f t="shared" si="24"/>
        <v>0</v>
      </c>
    </row>
    <row r="212" spans="3:35" x14ac:dyDescent="0.2">
      <c r="C212" s="74" t="s">
        <v>65</v>
      </c>
      <c r="D212" s="146">
        <v>153</v>
      </c>
      <c r="E212" s="897"/>
      <c r="F212" s="897"/>
      <c r="G212" s="897"/>
      <c r="H212" s="897"/>
      <c r="I212" s="897"/>
      <c r="J212" s="915">
        <f t="shared" si="22"/>
        <v>0</v>
      </c>
      <c r="K212" s="903"/>
      <c r="L212" s="903"/>
      <c r="M212" s="926"/>
      <c r="N212" s="927"/>
      <c r="O212" s="928"/>
      <c r="P212" s="904"/>
      <c r="Q212" s="908"/>
      <c r="R212" s="928"/>
      <c r="S212" s="907"/>
      <c r="T212" s="928"/>
      <c r="U212" s="904"/>
      <c r="V212" s="904"/>
      <c r="W212" s="929"/>
      <c r="X212" s="899"/>
      <c r="Y212" s="909"/>
      <c r="Z212" s="928"/>
      <c r="AA212" s="904"/>
      <c r="AB212" s="927"/>
      <c r="AC212" s="928"/>
      <c r="AD212" s="928"/>
      <c r="AE212" s="904"/>
      <c r="AF212" s="908"/>
      <c r="AG212" s="928"/>
      <c r="AH212" s="898">
        <f t="shared" si="23"/>
        <v>0</v>
      </c>
      <c r="AI212" s="898">
        <f t="shared" si="24"/>
        <v>0</v>
      </c>
    </row>
    <row r="213" spans="3:35" x14ac:dyDescent="0.2">
      <c r="C213" s="74" t="s">
        <v>66</v>
      </c>
      <c r="D213" s="146">
        <v>154</v>
      </c>
      <c r="E213" s="897"/>
      <c r="F213" s="897"/>
      <c r="G213" s="897"/>
      <c r="H213" s="897"/>
      <c r="I213" s="897"/>
      <c r="J213" s="915">
        <f t="shared" si="22"/>
        <v>0</v>
      </c>
      <c r="K213" s="903"/>
      <c r="L213" s="903"/>
      <c r="M213" s="926"/>
      <c r="N213" s="927"/>
      <c r="O213" s="928"/>
      <c r="P213" s="904"/>
      <c r="Q213" s="908"/>
      <c r="R213" s="928"/>
      <c r="S213" s="907"/>
      <c r="T213" s="928"/>
      <c r="U213" s="904"/>
      <c r="V213" s="904"/>
      <c r="W213" s="929"/>
      <c r="X213" s="899"/>
      <c r="Y213" s="909"/>
      <c r="Z213" s="928"/>
      <c r="AA213" s="904"/>
      <c r="AB213" s="927"/>
      <c r="AC213" s="928"/>
      <c r="AD213" s="928"/>
      <c r="AE213" s="904"/>
      <c r="AF213" s="908"/>
      <c r="AG213" s="928"/>
      <c r="AH213" s="898">
        <f t="shared" si="23"/>
        <v>0</v>
      </c>
      <c r="AI213" s="898">
        <f t="shared" si="24"/>
        <v>0</v>
      </c>
    </row>
    <row r="214" spans="3:35" x14ac:dyDescent="0.2">
      <c r="C214" s="74" t="s">
        <v>564</v>
      </c>
      <c r="D214" s="146">
        <v>155</v>
      </c>
      <c r="E214" s="897"/>
      <c r="F214" s="897"/>
      <c r="G214" s="897"/>
      <c r="H214" s="897"/>
      <c r="I214" s="897"/>
      <c r="J214" s="915">
        <f t="shared" si="22"/>
        <v>0</v>
      </c>
      <c r="K214" s="903"/>
      <c r="L214" s="903"/>
      <c r="M214" s="926"/>
      <c r="N214" s="927"/>
      <c r="O214" s="928"/>
      <c r="P214" s="904"/>
      <c r="Q214" s="908"/>
      <c r="R214" s="928"/>
      <c r="S214" s="907"/>
      <c r="T214" s="928"/>
      <c r="U214" s="904"/>
      <c r="V214" s="904"/>
      <c r="W214" s="929"/>
      <c r="X214" s="899"/>
      <c r="Y214" s="909"/>
      <c r="Z214" s="928"/>
      <c r="AA214" s="904"/>
      <c r="AB214" s="927"/>
      <c r="AC214" s="928"/>
      <c r="AD214" s="928"/>
      <c r="AE214" s="904"/>
      <c r="AF214" s="908"/>
      <c r="AG214" s="928"/>
      <c r="AH214" s="898">
        <f t="shared" si="23"/>
        <v>0</v>
      </c>
      <c r="AI214" s="898">
        <f t="shared" si="24"/>
        <v>0</v>
      </c>
    </row>
    <row r="215" spans="3:35" x14ac:dyDescent="0.2">
      <c r="C215" s="74" t="s">
        <v>1010</v>
      </c>
      <c r="D215" s="146">
        <v>156</v>
      </c>
      <c r="E215" s="897"/>
      <c r="F215" s="897"/>
      <c r="G215" s="897"/>
      <c r="H215" s="897"/>
      <c r="I215" s="897"/>
      <c r="J215" s="915">
        <f t="shared" si="22"/>
        <v>0</v>
      </c>
      <c r="K215" s="903"/>
      <c r="L215" s="903"/>
      <c r="M215" s="926"/>
      <c r="N215" s="927"/>
      <c r="O215" s="928"/>
      <c r="P215" s="904"/>
      <c r="Q215" s="908"/>
      <c r="R215" s="928"/>
      <c r="S215" s="907"/>
      <c r="T215" s="928"/>
      <c r="U215" s="904"/>
      <c r="V215" s="904"/>
      <c r="W215" s="929"/>
      <c r="X215" s="899"/>
      <c r="Y215" s="909"/>
      <c r="Z215" s="928"/>
      <c r="AA215" s="904"/>
      <c r="AB215" s="927"/>
      <c r="AC215" s="928"/>
      <c r="AD215" s="928"/>
      <c r="AE215" s="904"/>
      <c r="AF215" s="908"/>
      <c r="AG215" s="928"/>
      <c r="AH215" s="898">
        <f t="shared" si="23"/>
        <v>0</v>
      </c>
      <c r="AI215" s="898">
        <f t="shared" si="24"/>
        <v>0</v>
      </c>
    </row>
    <row r="216" spans="3:35" x14ac:dyDescent="0.2">
      <c r="C216" s="74" t="s">
        <v>565</v>
      </c>
      <c r="D216" s="146">
        <v>157</v>
      </c>
      <c r="E216" s="897"/>
      <c r="F216" s="897"/>
      <c r="G216" s="897"/>
      <c r="H216" s="897"/>
      <c r="I216" s="897"/>
      <c r="J216" s="915">
        <f t="shared" si="22"/>
        <v>0</v>
      </c>
      <c r="K216" s="903"/>
      <c r="L216" s="903"/>
      <c r="M216" s="926"/>
      <c r="N216" s="927"/>
      <c r="O216" s="928"/>
      <c r="P216" s="904"/>
      <c r="Q216" s="908"/>
      <c r="R216" s="928"/>
      <c r="S216" s="907"/>
      <c r="T216" s="928"/>
      <c r="U216" s="904"/>
      <c r="V216" s="904"/>
      <c r="W216" s="929"/>
      <c r="X216" s="899"/>
      <c r="Y216" s="909"/>
      <c r="Z216" s="928"/>
      <c r="AA216" s="904"/>
      <c r="AB216" s="927"/>
      <c r="AC216" s="928"/>
      <c r="AD216" s="928"/>
      <c r="AE216" s="904"/>
      <c r="AF216" s="908"/>
      <c r="AG216" s="928"/>
      <c r="AH216" s="898">
        <f t="shared" si="23"/>
        <v>0</v>
      </c>
      <c r="AI216" s="898">
        <f t="shared" si="24"/>
        <v>0</v>
      </c>
    </row>
    <row r="217" spans="3:35" x14ac:dyDescent="0.2">
      <c r="C217" s="74" t="s">
        <v>96</v>
      </c>
      <c r="D217" s="146">
        <v>158</v>
      </c>
      <c r="E217" s="897"/>
      <c r="F217" s="897"/>
      <c r="G217" s="897"/>
      <c r="H217" s="897"/>
      <c r="I217" s="897"/>
      <c r="J217" s="915">
        <f t="shared" si="22"/>
        <v>0</v>
      </c>
      <c r="K217" s="903"/>
      <c r="L217" s="903"/>
      <c r="M217" s="926"/>
      <c r="N217" s="927"/>
      <c r="O217" s="928"/>
      <c r="P217" s="904"/>
      <c r="Q217" s="908"/>
      <c r="R217" s="928"/>
      <c r="S217" s="907"/>
      <c r="T217" s="928"/>
      <c r="U217" s="904"/>
      <c r="V217" s="904"/>
      <c r="W217" s="929"/>
      <c r="X217" s="899"/>
      <c r="Y217" s="909"/>
      <c r="Z217" s="928"/>
      <c r="AA217" s="904"/>
      <c r="AB217" s="927"/>
      <c r="AC217" s="928"/>
      <c r="AD217" s="928"/>
      <c r="AE217" s="904"/>
      <c r="AF217" s="908"/>
      <c r="AG217" s="928"/>
      <c r="AH217" s="898">
        <f t="shared" si="23"/>
        <v>0</v>
      </c>
      <c r="AI217" s="898">
        <f t="shared" si="24"/>
        <v>0</v>
      </c>
    </row>
    <row r="218" spans="3:35" x14ac:dyDescent="0.2">
      <c r="C218" s="74" t="s">
        <v>67</v>
      </c>
      <c r="D218" s="146">
        <v>159</v>
      </c>
      <c r="E218" s="897"/>
      <c r="F218" s="897"/>
      <c r="G218" s="897"/>
      <c r="H218" s="897"/>
      <c r="I218" s="897"/>
      <c r="J218" s="915">
        <f t="shared" si="22"/>
        <v>0</v>
      </c>
      <c r="K218" s="903"/>
      <c r="L218" s="903"/>
      <c r="M218" s="926"/>
      <c r="N218" s="927"/>
      <c r="O218" s="928"/>
      <c r="P218" s="904"/>
      <c r="Q218" s="908"/>
      <c r="R218" s="928"/>
      <c r="S218" s="907"/>
      <c r="T218" s="928"/>
      <c r="U218" s="904"/>
      <c r="V218" s="904"/>
      <c r="W218" s="929"/>
      <c r="X218" s="899"/>
      <c r="Y218" s="909"/>
      <c r="Z218" s="928"/>
      <c r="AA218" s="904"/>
      <c r="AB218" s="927"/>
      <c r="AC218" s="928"/>
      <c r="AD218" s="928"/>
      <c r="AE218" s="904"/>
      <c r="AF218" s="908"/>
      <c r="AG218" s="928"/>
      <c r="AH218" s="898">
        <f t="shared" si="23"/>
        <v>0</v>
      </c>
      <c r="AI218" s="898">
        <f t="shared" si="24"/>
        <v>0</v>
      </c>
    </row>
    <row r="219" spans="3:35" x14ac:dyDescent="0.2">
      <c r="C219" s="74" t="s">
        <v>68</v>
      </c>
      <c r="D219" s="146">
        <v>160</v>
      </c>
      <c r="E219" s="897"/>
      <c r="F219" s="897"/>
      <c r="G219" s="897"/>
      <c r="H219" s="897"/>
      <c r="I219" s="897"/>
      <c r="J219" s="915">
        <f t="shared" si="22"/>
        <v>0</v>
      </c>
      <c r="K219" s="903"/>
      <c r="L219" s="903"/>
      <c r="M219" s="926"/>
      <c r="N219" s="927"/>
      <c r="O219" s="928"/>
      <c r="P219" s="904"/>
      <c r="Q219" s="908"/>
      <c r="R219" s="928"/>
      <c r="S219" s="907"/>
      <c r="T219" s="928"/>
      <c r="U219" s="904"/>
      <c r="V219" s="904"/>
      <c r="W219" s="929"/>
      <c r="X219" s="899"/>
      <c r="Y219" s="909"/>
      <c r="Z219" s="928"/>
      <c r="AA219" s="904"/>
      <c r="AB219" s="927"/>
      <c r="AC219" s="928"/>
      <c r="AD219" s="928"/>
      <c r="AE219" s="904"/>
      <c r="AF219" s="908"/>
      <c r="AG219" s="928"/>
      <c r="AH219" s="898">
        <f t="shared" si="23"/>
        <v>0</v>
      </c>
      <c r="AI219" s="898">
        <f t="shared" si="24"/>
        <v>0</v>
      </c>
    </row>
    <row r="220" spans="3:35" x14ac:dyDescent="0.2">
      <c r="C220" s="74" t="s">
        <v>1011</v>
      </c>
      <c r="D220" s="146">
        <v>161</v>
      </c>
      <c r="E220" s="897"/>
      <c r="F220" s="897"/>
      <c r="G220" s="897"/>
      <c r="H220" s="897"/>
      <c r="I220" s="897"/>
      <c r="J220" s="915">
        <f t="shared" si="22"/>
        <v>0</v>
      </c>
      <c r="K220" s="903"/>
      <c r="L220" s="903"/>
      <c r="M220" s="926"/>
      <c r="N220" s="927"/>
      <c r="O220" s="928"/>
      <c r="P220" s="904"/>
      <c r="Q220" s="908"/>
      <c r="R220" s="928"/>
      <c r="S220" s="907"/>
      <c r="T220" s="928"/>
      <c r="U220" s="904"/>
      <c r="V220" s="904"/>
      <c r="W220" s="929"/>
      <c r="X220" s="899"/>
      <c r="Y220" s="909"/>
      <c r="Z220" s="928"/>
      <c r="AA220" s="904"/>
      <c r="AB220" s="927"/>
      <c r="AC220" s="928"/>
      <c r="AD220" s="928"/>
      <c r="AE220" s="904"/>
      <c r="AF220" s="908"/>
      <c r="AG220" s="928"/>
      <c r="AH220" s="898">
        <f t="shared" si="23"/>
        <v>0</v>
      </c>
      <c r="AI220" s="898">
        <f t="shared" si="24"/>
        <v>0</v>
      </c>
    </row>
    <row r="221" spans="3:35" x14ac:dyDescent="0.2">
      <c r="C221" s="74" t="s">
        <v>566</v>
      </c>
      <c r="D221" s="146">
        <v>162</v>
      </c>
      <c r="E221" s="897"/>
      <c r="F221" s="897"/>
      <c r="G221" s="897"/>
      <c r="H221" s="897"/>
      <c r="I221" s="897"/>
      <c r="J221" s="915">
        <f t="shared" si="22"/>
        <v>0</v>
      </c>
      <c r="K221" s="903"/>
      <c r="L221" s="903"/>
      <c r="M221" s="926"/>
      <c r="N221" s="927"/>
      <c r="O221" s="928"/>
      <c r="P221" s="904"/>
      <c r="Q221" s="908"/>
      <c r="R221" s="928"/>
      <c r="S221" s="907"/>
      <c r="T221" s="928"/>
      <c r="U221" s="904"/>
      <c r="V221" s="904"/>
      <c r="W221" s="929"/>
      <c r="X221" s="899"/>
      <c r="Y221" s="909"/>
      <c r="Z221" s="928"/>
      <c r="AA221" s="904"/>
      <c r="AB221" s="927"/>
      <c r="AC221" s="928"/>
      <c r="AD221" s="928"/>
      <c r="AE221" s="904"/>
      <c r="AF221" s="908"/>
      <c r="AG221" s="928"/>
      <c r="AH221" s="898">
        <f t="shared" si="23"/>
        <v>0</v>
      </c>
      <c r="AI221" s="898">
        <f t="shared" si="24"/>
        <v>0</v>
      </c>
    </row>
    <row r="222" spans="3:35" x14ac:dyDescent="0.2">
      <c r="C222" s="74" t="s">
        <v>1012</v>
      </c>
      <c r="D222" s="146">
        <v>163</v>
      </c>
      <c r="E222" s="897"/>
      <c r="F222" s="897"/>
      <c r="G222" s="897"/>
      <c r="H222" s="897"/>
      <c r="I222" s="897"/>
      <c r="J222" s="915">
        <f t="shared" ref="J222:J225" si="25">ROUND(SUM(E222:I222),3)</f>
        <v>0</v>
      </c>
      <c r="K222" s="903"/>
      <c r="L222" s="903"/>
      <c r="M222" s="926"/>
      <c r="N222" s="927"/>
      <c r="O222" s="928"/>
      <c r="P222" s="904"/>
      <c r="Q222" s="908"/>
      <c r="R222" s="928"/>
      <c r="S222" s="907"/>
      <c r="T222" s="928"/>
      <c r="U222" s="904"/>
      <c r="V222" s="904"/>
      <c r="W222" s="929"/>
      <c r="X222" s="899"/>
      <c r="Y222" s="909"/>
      <c r="Z222" s="928"/>
      <c r="AA222" s="904"/>
      <c r="AB222" s="927"/>
      <c r="AC222" s="928"/>
      <c r="AD222" s="928"/>
      <c r="AE222" s="904"/>
      <c r="AF222" s="908"/>
      <c r="AG222" s="928"/>
      <c r="AH222" s="898">
        <f t="shared" ref="AH222:AH225" si="26">ROUND(SUM(K222:N222,Q222:S222,V222,Y222,AB222,AF222:AG222),3)</f>
        <v>0</v>
      </c>
      <c r="AI222" s="898">
        <f t="shared" ref="AI222:AI225" si="27">ROUND(SUM(J222,AH222),3)</f>
        <v>0</v>
      </c>
    </row>
    <row r="223" spans="3:35" x14ac:dyDescent="0.2">
      <c r="C223" s="74" t="s">
        <v>1013</v>
      </c>
      <c r="D223" s="146">
        <v>164</v>
      </c>
      <c r="E223" s="897"/>
      <c r="F223" s="897"/>
      <c r="G223" s="897"/>
      <c r="H223" s="897"/>
      <c r="I223" s="897"/>
      <c r="J223" s="915">
        <f t="shared" si="25"/>
        <v>0</v>
      </c>
      <c r="K223" s="903"/>
      <c r="L223" s="903"/>
      <c r="M223" s="926"/>
      <c r="N223" s="927"/>
      <c r="O223" s="928"/>
      <c r="P223" s="904"/>
      <c r="Q223" s="908"/>
      <c r="R223" s="928"/>
      <c r="S223" s="907"/>
      <c r="T223" s="928"/>
      <c r="U223" s="904"/>
      <c r="V223" s="904"/>
      <c r="W223" s="929"/>
      <c r="X223" s="899"/>
      <c r="Y223" s="909"/>
      <c r="Z223" s="928"/>
      <c r="AA223" s="904"/>
      <c r="AB223" s="927"/>
      <c r="AC223" s="928"/>
      <c r="AD223" s="928"/>
      <c r="AE223" s="904"/>
      <c r="AF223" s="908"/>
      <c r="AG223" s="928"/>
      <c r="AH223" s="898">
        <f t="shared" si="26"/>
        <v>0</v>
      </c>
      <c r="AI223" s="898">
        <f t="shared" si="27"/>
        <v>0</v>
      </c>
    </row>
    <row r="224" spans="3:35" x14ac:dyDescent="0.2">
      <c r="C224" s="74" t="s">
        <v>69</v>
      </c>
      <c r="D224" s="146">
        <v>165</v>
      </c>
      <c r="E224" s="897"/>
      <c r="F224" s="897"/>
      <c r="G224" s="897"/>
      <c r="H224" s="897"/>
      <c r="I224" s="897"/>
      <c r="J224" s="915">
        <f t="shared" si="25"/>
        <v>0</v>
      </c>
      <c r="K224" s="903"/>
      <c r="L224" s="903"/>
      <c r="M224" s="926"/>
      <c r="N224" s="927"/>
      <c r="O224" s="928"/>
      <c r="P224" s="904"/>
      <c r="Q224" s="908"/>
      <c r="R224" s="928"/>
      <c r="S224" s="907"/>
      <c r="T224" s="928"/>
      <c r="U224" s="904"/>
      <c r="V224" s="904"/>
      <c r="W224" s="929"/>
      <c r="X224" s="899"/>
      <c r="Y224" s="909"/>
      <c r="Z224" s="928"/>
      <c r="AA224" s="904"/>
      <c r="AB224" s="927"/>
      <c r="AC224" s="928"/>
      <c r="AD224" s="928"/>
      <c r="AE224" s="904"/>
      <c r="AF224" s="908"/>
      <c r="AG224" s="928"/>
      <c r="AH224" s="898">
        <f t="shared" si="26"/>
        <v>0</v>
      </c>
      <c r="AI224" s="898">
        <f t="shared" si="27"/>
        <v>0</v>
      </c>
    </row>
    <row r="225" spans="3:35" ht="13.5" thickBot="1" x14ac:dyDescent="0.25">
      <c r="C225" s="74" t="s">
        <v>1014</v>
      </c>
      <c r="D225" s="146">
        <v>166</v>
      </c>
      <c r="E225" s="897"/>
      <c r="F225" s="897"/>
      <c r="G225" s="897"/>
      <c r="H225" s="897"/>
      <c r="I225" s="897"/>
      <c r="J225" s="915">
        <f t="shared" si="25"/>
        <v>0</v>
      </c>
      <c r="K225" s="903"/>
      <c r="L225" s="903"/>
      <c r="M225" s="926"/>
      <c r="N225" s="927"/>
      <c r="O225" s="928"/>
      <c r="P225" s="904"/>
      <c r="Q225" s="908"/>
      <c r="R225" s="928"/>
      <c r="S225" s="907"/>
      <c r="T225" s="928"/>
      <c r="U225" s="904"/>
      <c r="V225" s="904"/>
      <c r="W225" s="929"/>
      <c r="X225" s="899"/>
      <c r="Y225" s="909"/>
      <c r="Z225" s="928"/>
      <c r="AA225" s="904"/>
      <c r="AB225" s="927"/>
      <c r="AC225" s="928"/>
      <c r="AD225" s="928"/>
      <c r="AE225" s="904"/>
      <c r="AF225" s="908"/>
      <c r="AG225" s="928"/>
      <c r="AH225" s="898">
        <f t="shared" si="26"/>
        <v>0</v>
      </c>
      <c r="AI225" s="898">
        <f t="shared" si="27"/>
        <v>0</v>
      </c>
    </row>
    <row r="226" spans="3:35" ht="13.5" thickBot="1" x14ac:dyDescent="0.25">
      <c r="C226" s="73" t="s">
        <v>944</v>
      </c>
      <c r="D226" s="148">
        <v>167</v>
      </c>
      <c r="E226" s="935">
        <f t="shared" ref="E226:AI226" si="28">ROUND(SUM(E58:E225),3)</f>
        <v>0</v>
      </c>
      <c r="F226" s="935">
        <f t="shared" si="28"/>
        <v>0</v>
      </c>
      <c r="G226" s="935">
        <f t="shared" si="28"/>
        <v>0</v>
      </c>
      <c r="H226" s="935">
        <f t="shared" si="28"/>
        <v>0</v>
      </c>
      <c r="I226" s="935">
        <f t="shared" si="28"/>
        <v>0</v>
      </c>
      <c r="J226" s="935">
        <f>ROUND(SUM(J58:J225),3)</f>
        <v>0</v>
      </c>
      <c r="K226" s="935">
        <f t="shared" si="28"/>
        <v>0</v>
      </c>
      <c r="L226" s="935">
        <f t="shared" si="28"/>
        <v>0</v>
      </c>
      <c r="M226" s="936">
        <f t="shared" si="28"/>
        <v>0</v>
      </c>
      <c r="N226" s="937">
        <f t="shared" si="28"/>
        <v>0</v>
      </c>
      <c r="O226" s="935">
        <f t="shared" si="28"/>
        <v>0</v>
      </c>
      <c r="P226" s="936">
        <f t="shared" si="28"/>
        <v>0</v>
      </c>
      <c r="Q226" s="937">
        <f t="shared" si="28"/>
        <v>0</v>
      </c>
      <c r="R226" s="936">
        <f t="shared" si="28"/>
        <v>0</v>
      </c>
      <c r="S226" s="935">
        <f t="shared" si="28"/>
        <v>0</v>
      </c>
      <c r="T226" s="935">
        <f t="shared" si="28"/>
        <v>0</v>
      </c>
      <c r="U226" s="935">
        <f t="shared" si="28"/>
        <v>0</v>
      </c>
      <c r="V226" s="935">
        <f t="shared" si="28"/>
        <v>0</v>
      </c>
      <c r="W226" s="935">
        <f t="shared" si="28"/>
        <v>0</v>
      </c>
      <c r="X226" s="935">
        <f t="shared" si="28"/>
        <v>0</v>
      </c>
      <c r="Y226" s="935">
        <f t="shared" si="28"/>
        <v>0</v>
      </c>
      <c r="Z226" s="936">
        <f t="shared" si="28"/>
        <v>0</v>
      </c>
      <c r="AA226" s="936">
        <f t="shared" si="28"/>
        <v>0</v>
      </c>
      <c r="AB226" s="937">
        <f t="shared" si="28"/>
        <v>0</v>
      </c>
      <c r="AC226" s="936">
        <f t="shared" si="28"/>
        <v>0</v>
      </c>
      <c r="AD226" s="936">
        <f t="shared" si="28"/>
        <v>0</v>
      </c>
      <c r="AE226" s="936">
        <f t="shared" si="28"/>
        <v>0</v>
      </c>
      <c r="AF226" s="937">
        <f t="shared" si="28"/>
        <v>0</v>
      </c>
      <c r="AG226" s="936">
        <f t="shared" si="28"/>
        <v>0</v>
      </c>
      <c r="AH226" s="938">
        <f t="shared" si="28"/>
        <v>0</v>
      </c>
      <c r="AI226" s="938">
        <f t="shared" si="28"/>
        <v>0</v>
      </c>
    </row>
    <row r="230" spans="3:35" x14ac:dyDescent="0.2">
      <c r="C230" s="5" t="s">
        <v>182</v>
      </c>
      <c r="D230" s="5"/>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25" t="s">
        <v>108</v>
      </c>
    </row>
    <row r="231" spans="3:35" ht="12.75" customHeight="1" x14ac:dyDescent="0.2">
      <c r="C231" s="181"/>
      <c r="D231" s="182"/>
      <c r="E231" s="1124" t="s">
        <v>656</v>
      </c>
      <c r="F231" s="1124" t="s">
        <v>657</v>
      </c>
      <c r="G231" s="1124" t="s">
        <v>647</v>
      </c>
      <c r="H231" s="1150" t="s">
        <v>666</v>
      </c>
      <c r="I231" s="1150" t="s">
        <v>885</v>
      </c>
      <c r="J231" s="1213" t="s">
        <v>886</v>
      </c>
      <c r="K231" s="1122" t="s">
        <v>8</v>
      </c>
      <c r="L231" s="1124" t="s">
        <v>9</v>
      </c>
      <c r="M231" s="1150" t="s">
        <v>10</v>
      </c>
      <c r="N231" s="1114" t="s">
        <v>659</v>
      </c>
      <c r="O231" s="329"/>
      <c r="P231" s="190"/>
      <c r="Q231" s="1122" t="s">
        <v>660</v>
      </c>
      <c r="R231" s="1124" t="s">
        <v>661</v>
      </c>
      <c r="S231" s="1116" t="s">
        <v>668</v>
      </c>
      <c r="T231" s="191"/>
      <c r="U231" s="192"/>
      <c r="V231" s="1126" t="s">
        <v>664</v>
      </c>
      <c r="W231" s="193"/>
      <c r="X231" s="190"/>
      <c r="Y231" s="1118" t="s">
        <v>670</v>
      </c>
      <c r="Z231" s="190"/>
      <c r="AA231" s="190"/>
      <c r="AB231" s="1114" t="s">
        <v>628</v>
      </c>
      <c r="AC231" s="190"/>
      <c r="AD231" s="190"/>
      <c r="AE231" s="190"/>
      <c r="AF231" s="1122" t="s">
        <v>629</v>
      </c>
      <c r="AG231" s="1150" t="s">
        <v>630</v>
      </c>
      <c r="AH231" s="1120" t="s">
        <v>631</v>
      </c>
      <c r="AI231" s="1120" t="s">
        <v>679</v>
      </c>
    </row>
    <row r="232" spans="3:35" ht="56.25" x14ac:dyDescent="0.2">
      <c r="C232" s="183"/>
      <c r="D232" s="171"/>
      <c r="E232" s="1125"/>
      <c r="F232" s="1125"/>
      <c r="G232" s="1125"/>
      <c r="H232" s="1125"/>
      <c r="I232" s="1138"/>
      <c r="J232" s="1148"/>
      <c r="K232" s="1123"/>
      <c r="L232" s="1125"/>
      <c r="M232" s="1138"/>
      <c r="N232" s="1115"/>
      <c r="O232" s="184" t="s">
        <v>623</v>
      </c>
      <c r="P232" s="195" t="s">
        <v>626</v>
      </c>
      <c r="Q232" s="1123"/>
      <c r="R232" s="1125"/>
      <c r="S232" s="1117"/>
      <c r="T232" s="186" t="s">
        <v>662</v>
      </c>
      <c r="U232" s="187" t="s">
        <v>663</v>
      </c>
      <c r="V232" s="1127"/>
      <c r="W232" s="188" t="s">
        <v>627</v>
      </c>
      <c r="X232" s="189" t="s">
        <v>669</v>
      </c>
      <c r="Y232" s="1119"/>
      <c r="Z232" s="184" t="s">
        <v>624</v>
      </c>
      <c r="AA232" s="196" t="s">
        <v>671</v>
      </c>
      <c r="AB232" s="1115"/>
      <c r="AC232" s="187" t="s">
        <v>674</v>
      </c>
      <c r="AD232" s="186" t="s">
        <v>1411</v>
      </c>
      <c r="AE232" s="196" t="s">
        <v>872</v>
      </c>
      <c r="AF232" s="1123"/>
      <c r="AG232" s="1138"/>
      <c r="AH232" s="1121"/>
      <c r="AI232" s="1121"/>
    </row>
    <row r="233" spans="3:35" x14ac:dyDescent="0.2">
      <c r="C233" s="92"/>
      <c r="D233" s="77"/>
      <c r="E233" s="87" t="s">
        <v>152</v>
      </c>
      <c r="F233" s="86" t="s">
        <v>153</v>
      </c>
      <c r="G233" s="86" t="s">
        <v>154</v>
      </c>
      <c r="H233" s="86" t="s">
        <v>155</v>
      </c>
      <c r="I233" s="86" t="s">
        <v>156</v>
      </c>
      <c r="J233" s="93" t="s">
        <v>157</v>
      </c>
      <c r="K233" s="87" t="s">
        <v>158</v>
      </c>
      <c r="L233" s="87" t="s">
        <v>159</v>
      </c>
      <c r="M233" s="96" t="s">
        <v>160</v>
      </c>
      <c r="N233" s="179" t="s">
        <v>161</v>
      </c>
      <c r="O233" s="86" t="s">
        <v>162</v>
      </c>
      <c r="P233" s="89" t="s">
        <v>163</v>
      </c>
      <c r="Q233" s="95" t="s">
        <v>164</v>
      </c>
      <c r="R233" s="177" t="s">
        <v>165</v>
      </c>
      <c r="S233" s="180" t="s">
        <v>166</v>
      </c>
      <c r="T233" s="86" t="s">
        <v>167</v>
      </c>
      <c r="U233" s="86" t="s">
        <v>168</v>
      </c>
      <c r="V233" s="94" t="s">
        <v>169</v>
      </c>
      <c r="W233" s="87" t="s">
        <v>170</v>
      </c>
      <c r="X233" s="101" t="s">
        <v>171</v>
      </c>
      <c r="Y233" s="176" t="s">
        <v>172</v>
      </c>
      <c r="Z233" s="177" t="s">
        <v>173</v>
      </c>
      <c r="AA233" s="89" t="s">
        <v>174</v>
      </c>
      <c r="AB233" s="179" t="s">
        <v>175</v>
      </c>
      <c r="AC233" s="177" t="s">
        <v>176</v>
      </c>
      <c r="AD233" s="177" t="s">
        <v>177</v>
      </c>
      <c r="AE233" s="89" t="s">
        <v>181</v>
      </c>
      <c r="AF233" s="178" t="s">
        <v>417</v>
      </c>
      <c r="AG233" s="89" t="s">
        <v>672</v>
      </c>
      <c r="AH233" s="90" t="s">
        <v>678</v>
      </c>
      <c r="AI233" s="90" t="s">
        <v>499</v>
      </c>
    </row>
    <row r="234" spans="3:35" x14ac:dyDescent="0.2">
      <c r="C234" s="74" t="s">
        <v>930</v>
      </c>
      <c r="D234" s="145">
        <v>1</v>
      </c>
      <c r="E234" s="897"/>
      <c r="F234" s="897"/>
      <c r="G234" s="897"/>
      <c r="H234" s="897"/>
      <c r="I234" s="897"/>
      <c r="J234" s="915">
        <f t="shared" ref="J234:J266" si="29">ROUND(SUM(E234:I234),3)</f>
        <v>0</v>
      </c>
      <c r="K234" s="903"/>
      <c r="L234" s="903"/>
      <c r="M234" s="926"/>
      <c r="N234" s="927"/>
      <c r="O234" s="928"/>
      <c r="P234" s="904"/>
      <c r="Q234" s="908"/>
      <c r="R234" s="928"/>
      <c r="S234" s="907"/>
      <c r="T234" s="928"/>
      <c r="U234" s="904"/>
      <c r="V234" s="904"/>
      <c r="W234" s="929"/>
      <c r="X234" s="899"/>
      <c r="Y234" s="909"/>
      <c r="Z234" s="928"/>
      <c r="AA234" s="904"/>
      <c r="AB234" s="927"/>
      <c r="AC234" s="928"/>
      <c r="AD234" s="928"/>
      <c r="AE234" s="904"/>
      <c r="AF234" s="908"/>
      <c r="AG234" s="928"/>
      <c r="AH234" s="898">
        <f t="shared" ref="AH234:AH262" si="30">ROUND(SUM(K234:M234,N234,Q234:S234,V234,Y234,AB234,AF234:AG234),3)</f>
        <v>0</v>
      </c>
      <c r="AI234" s="898">
        <f t="shared" ref="AI234:AI266" si="31">ROUND(SUM(J234,AH234),3)</f>
        <v>0</v>
      </c>
    </row>
    <row r="235" spans="3:35" x14ac:dyDescent="0.2">
      <c r="C235" s="74" t="s">
        <v>12</v>
      </c>
      <c r="D235" s="146">
        <v>2</v>
      </c>
      <c r="E235" s="897"/>
      <c r="F235" s="897"/>
      <c r="G235" s="897"/>
      <c r="H235" s="897"/>
      <c r="I235" s="897"/>
      <c r="J235" s="915">
        <f t="shared" si="29"/>
        <v>0</v>
      </c>
      <c r="K235" s="903"/>
      <c r="L235" s="903"/>
      <c r="M235" s="926"/>
      <c r="N235" s="927"/>
      <c r="O235" s="928"/>
      <c r="P235" s="904"/>
      <c r="Q235" s="908"/>
      <c r="R235" s="928"/>
      <c r="S235" s="907"/>
      <c r="T235" s="928"/>
      <c r="U235" s="904"/>
      <c r="V235" s="904"/>
      <c r="W235" s="929"/>
      <c r="X235" s="899"/>
      <c r="Y235" s="909"/>
      <c r="Z235" s="928"/>
      <c r="AA235" s="904"/>
      <c r="AB235" s="927"/>
      <c r="AC235" s="928"/>
      <c r="AD235" s="928"/>
      <c r="AE235" s="904"/>
      <c r="AF235" s="908"/>
      <c r="AG235" s="928"/>
      <c r="AH235" s="898">
        <f t="shared" si="30"/>
        <v>0</v>
      </c>
      <c r="AI235" s="898">
        <f t="shared" si="31"/>
        <v>0</v>
      </c>
    </row>
    <row r="236" spans="3:35" x14ac:dyDescent="0.2">
      <c r="C236" s="74" t="s">
        <v>953</v>
      </c>
      <c r="D236" s="145">
        <v>3</v>
      </c>
      <c r="E236" s="897"/>
      <c r="F236" s="897"/>
      <c r="G236" s="897"/>
      <c r="H236" s="897"/>
      <c r="I236" s="897"/>
      <c r="J236" s="915">
        <f t="shared" si="29"/>
        <v>0</v>
      </c>
      <c r="K236" s="903"/>
      <c r="L236" s="903"/>
      <c r="M236" s="926"/>
      <c r="N236" s="927"/>
      <c r="O236" s="928"/>
      <c r="P236" s="904"/>
      <c r="Q236" s="908"/>
      <c r="R236" s="928"/>
      <c r="S236" s="907"/>
      <c r="T236" s="928"/>
      <c r="U236" s="904"/>
      <c r="V236" s="904"/>
      <c r="W236" s="929"/>
      <c r="X236" s="899"/>
      <c r="Y236" s="909"/>
      <c r="Z236" s="928"/>
      <c r="AA236" s="904"/>
      <c r="AB236" s="927"/>
      <c r="AC236" s="928"/>
      <c r="AD236" s="928"/>
      <c r="AE236" s="904"/>
      <c r="AF236" s="908"/>
      <c r="AG236" s="928"/>
      <c r="AH236" s="898">
        <f t="shared" si="30"/>
        <v>0</v>
      </c>
      <c r="AI236" s="898">
        <f t="shared" si="31"/>
        <v>0</v>
      </c>
    </row>
    <row r="237" spans="3:35" x14ac:dyDescent="0.2">
      <c r="C237" s="74" t="s">
        <v>178</v>
      </c>
      <c r="D237" s="146">
        <v>4</v>
      </c>
      <c r="E237" s="897"/>
      <c r="F237" s="897"/>
      <c r="G237" s="897"/>
      <c r="H237" s="897"/>
      <c r="I237" s="897"/>
      <c r="J237" s="915">
        <f t="shared" si="29"/>
        <v>0</v>
      </c>
      <c r="K237" s="903"/>
      <c r="L237" s="903"/>
      <c r="M237" s="926"/>
      <c r="N237" s="927"/>
      <c r="O237" s="928"/>
      <c r="P237" s="904"/>
      <c r="Q237" s="908"/>
      <c r="R237" s="928"/>
      <c r="S237" s="907"/>
      <c r="T237" s="928"/>
      <c r="U237" s="904"/>
      <c r="V237" s="904"/>
      <c r="W237" s="929"/>
      <c r="X237" s="899"/>
      <c r="Y237" s="909"/>
      <c r="Z237" s="928"/>
      <c r="AA237" s="904"/>
      <c r="AB237" s="927"/>
      <c r="AC237" s="928"/>
      <c r="AD237" s="928"/>
      <c r="AE237" s="904"/>
      <c r="AF237" s="908"/>
      <c r="AG237" s="928"/>
      <c r="AH237" s="898">
        <f t="shared" si="30"/>
        <v>0</v>
      </c>
      <c r="AI237" s="898">
        <f t="shared" si="31"/>
        <v>0</v>
      </c>
    </row>
    <row r="238" spans="3:35" x14ac:dyDescent="0.2">
      <c r="C238" s="74" t="s">
        <v>13</v>
      </c>
      <c r="D238" s="145">
        <v>5</v>
      </c>
      <c r="E238" s="897"/>
      <c r="F238" s="897"/>
      <c r="G238" s="897"/>
      <c r="H238" s="897"/>
      <c r="I238" s="897"/>
      <c r="J238" s="915">
        <f t="shared" si="29"/>
        <v>0</v>
      </c>
      <c r="K238" s="903"/>
      <c r="L238" s="903"/>
      <c r="M238" s="926"/>
      <c r="N238" s="927"/>
      <c r="O238" s="928"/>
      <c r="P238" s="904"/>
      <c r="Q238" s="908"/>
      <c r="R238" s="928"/>
      <c r="S238" s="907"/>
      <c r="T238" s="928"/>
      <c r="U238" s="904"/>
      <c r="V238" s="904"/>
      <c r="W238" s="929"/>
      <c r="X238" s="899"/>
      <c r="Y238" s="909"/>
      <c r="Z238" s="928"/>
      <c r="AA238" s="904"/>
      <c r="AB238" s="927"/>
      <c r="AC238" s="928"/>
      <c r="AD238" s="928"/>
      <c r="AE238" s="904"/>
      <c r="AF238" s="908"/>
      <c r="AG238" s="928"/>
      <c r="AH238" s="898">
        <f t="shared" si="30"/>
        <v>0</v>
      </c>
      <c r="AI238" s="898">
        <f t="shared" si="31"/>
        <v>0</v>
      </c>
    </row>
    <row r="239" spans="3:35" x14ac:dyDescent="0.2">
      <c r="C239" s="74" t="s">
        <v>554</v>
      </c>
      <c r="D239" s="146">
        <v>6</v>
      </c>
      <c r="E239" s="897"/>
      <c r="F239" s="897"/>
      <c r="G239" s="897"/>
      <c r="H239" s="897"/>
      <c r="I239" s="897"/>
      <c r="J239" s="915">
        <f t="shared" si="29"/>
        <v>0</v>
      </c>
      <c r="K239" s="903"/>
      <c r="L239" s="903"/>
      <c r="M239" s="926"/>
      <c r="N239" s="927"/>
      <c r="O239" s="928"/>
      <c r="P239" s="904"/>
      <c r="Q239" s="908"/>
      <c r="R239" s="928"/>
      <c r="S239" s="907"/>
      <c r="T239" s="928"/>
      <c r="U239" s="904"/>
      <c r="V239" s="904"/>
      <c r="W239" s="929"/>
      <c r="X239" s="899"/>
      <c r="Y239" s="909"/>
      <c r="Z239" s="928"/>
      <c r="AA239" s="904"/>
      <c r="AB239" s="927"/>
      <c r="AC239" s="928"/>
      <c r="AD239" s="928"/>
      <c r="AE239" s="904"/>
      <c r="AF239" s="908"/>
      <c r="AG239" s="928"/>
      <c r="AH239" s="898">
        <f t="shared" si="30"/>
        <v>0</v>
      </c>
      <c r="AI239" s="898">
        <f t="shared" si="31"/>
        <v>0</v>
      </c>
    </row>
    <row r="240" spans="3:35" x14ac:dyDescent="0.2">
      <c r="C240" s="74" t="s">
        <v>954</v>
      </c>
      <c r="D240" s="145">
        <v>7</v>
      </c>
      <c r="E240" s="897"/>
      <c r="F240" s="897"/>
      <c r="G240" s="897"/>
      <c r="H240" s="897"/>
      <c r="I240" s="897"/>
      <c r="J240" s="915">
        <f t="shared" si="29"/>
        <v>0</v>
      </c>
      <c r="K240" s="903"/>
      <c r="L240" s="903"/>
      <c r="M240" s="926"/>
      <c r="N240" s="927"/>
      <c r="O240" s="928"/>
      <c r="P240" s="904"/>
      <c r="Q240" s="908"/>
      <c r="R240" s="928"/>
      <c r="S240" s="907"/>
      <c r="T240" s="928"/>
      <c r="U240" s="904"/>
      <c r="V240" s="904"/>
      <c r="W240" s="929"/>
      <c r="X240" s="899"/>
      <c r="Y240" s="909"/>
      <c r="Z240" s="928"/>
      <c r="AA240" s="904"/>
      <c r="AB240" s="927"/>
      <c r="AC240" s="928"/>
      <c r="AD240" s="928"/>
      <c r="AE240" s="904"/>
      <c r="AF240" s="908"/>
      <c r="AG240" s="928"/>
      <c r="AH240" s="898">
        <f t="shared" si="30"/>
        <v>0</v>
      </c>
      <c r="AI240" s="898">
        <f t="shared" si="31"/>
        <v>0</v>
      </c>
    </row>
    <row r="241" spans="3:35" x14ac:dyDescent="0.2">
      <c r="C241" s="74" t="s">
        <v>14</v>
      </c>
      <c r="D241" s="146">
        <v>8</v>
      </c>
      <c r="E241" s="897"/>
      <c r="F241" s="897"/>
      <c r="G241" s="897"/>
      <c r="H241" s="897"/>
      <c r="I241" s="897"/>
      <c r="J241" s="915">
        <f t="shared" si="29"/>
        <v>0</v>
      </c>
      <c r="K241" s="903"/>
      <c r="L241" s="903"/>
      <c r="M241" s="926"/>
      <c r="N241" s="927"/>
      <c r="O241" s="928"/>
      <c r="P241" s="904"/>
      <c r="Q241" s="908"/>
      <c r="R241" s="928"/>
      <c r="S241" s="907"/>
      <c r="T241" s="928"/>
      <c r="U241" s="904"/>
      <c r="V241" s="904"/>
      <c r="W241" s="929"/>
      <c r="X241" s="899"/>
      <c r="Y241" s="909"/>
      <c r="Z241" s="928"/>
      <c r="AA241" s="904"/>
      <c r="AB241" s="927"/>
      <c r="AC241" s="928"/>
      <c r="AD241" s="928"/>
      <c r="AE241" s="904"/>
      <c r="AF241" s="908"/>
      <c r="AG241" s="928"/>
      <c r="AH241" s="898">
        <f t="shared" si="30"/>
        <v>0</v>
      </c>
      <c r="AI241" s="898">
        <f t="shared" si="31"/>
        <v>0</v>
      </c>
    </row>
    <row r="242" spans="3:35" x14ac:dyDescent="0.2">
      <c r="C242" s="74" t="s">
        <v>15</v>
      </c>
      <c r="D242" s="145">
        <v>9</v>
      </c>
      <c r="E242" s="897"/>
      <c r="F242" s="897"/>
      <c r="G242" s="897"/>
      <c r="H242" s="897"/>
      <c r="I242" s="897"/>
      <c r="J242" s="915">
        <f t="shared" si="29"/>
        <v>0</v>
      </c>
      <c r="K242" s="903"/>
      <c r="L242" s="903"/>
      <c r="M242" s="926"/>
      <c r="N242" s="927"/>
      <c r="O242" s="928"/>
      <c r="P242" s="904"/>
      <c r="Q242" s="908"/>
      <c r="R242" s="928"/>
      <c r="S242" s="907"/>
      <c r="T242" s="928"/>
      <c r="U242" s="904"/>
      <c r="V242" s="904"/>
      <c r="W242" s="929"/>
      <c r="X242" s="899"/>
      <c r="Y242" s="909"/>
      <c r="Z242" s="928"/>
      <c r="AA242" s="904"/>
      <c r="AB242" s="927"/>
      <c r="AC242" s="928"/>
      <c r="AD242" s="928"/>
      <c r="AE242" s="904"/>
      <c r="AF242" s="908"/>
      <c r="AG242" s="928"/>
      <c r="AH242" s="898">
        <f t="shared" si="30"/>
        <v>0</v>
      </c>
      <c r="AI242" s="898">
        <f t="shared" si="31"/>
        <v>0</v>
      </c>
    </row>
    <row r="243" spans="3:35" x14ac:dyDescent="0.2">
      <c r="C243" s="74" t="s">
        <v>555</v>
      </c>
      <c r="D243" s="146">
        <v>10</v>
      </c>
      <c r="E243" s="897"/>
      <c r="F243" s="897"/>
      <c r="G243" s="897"/>
      <c r="H243" s="897"/>
      <c r="I243" s="897"/>
      <c r="J243" s="915">
        <f t="shared" si="29"/>
        <v>0</v>
      </c>
      <c r="K243" s="903"/>
      <c r="L243" s="903"/>
      <c r="M243" s="926"/>
      <c r="N243" s="927"/>
      <c r="O243" s="928"/>
      <c r="P243" s="904"/>
      <c r="Q243" s="908"/>
      <c r="R243" s="928"/>
      <c r="S243" s="907"/>
      <c r="T243" s="928"/>
      <c r="U243" s="904"/>
      <c r="V243" s="904"/>
      <c r="W243" s="929"/>
      <c r="X243" s="899"/>
      <c r="Y243" s="909"/>
      <c r="Z243" s="928"/>
      <c r="AA243" s="904"/>
      <c r="AB243" s="927"/>
      <c r="AC243" s="928"/>
      <c r="AD243" s="928"/>
      <c r="AE243" s="904"/>
      <c r="AF243" s="908"/>
      <c r="AG243" s="928"/>
      <c r="AH243" s="898">
        <f t="shared" si="30"/>
        <v>0</v>
      </c>
      <c r="AI243" s="898">
        <f t="shared" si="31"/>
        <v>0</v>
      </c>
    </row>
    <row r="244" spans="3:35" x14ac:dyDescent="0.2">
      <c r="C244" s="74" t="s">
        <v>16</v>
      </c>
      <c r="D244" s="145">
        <v>11</v>
      </c>
      <c r="E244" s="897"/>
      <c r="F244" s="897"/>
      <c r="G244" s="897"/>
      <c r="H244" s="897"/>
      <c r="I244" s="897"/>
      <c r="J244" s="915">
        <f t="shared" si="29"/>
        <v>0</v>
      </c>
      <c r="K244" s="903"/>
      <c r="L244" s="903"/>
      <c r="M244" s="926"/>
      <c r="N244" s="927"/>
      <c r="O244" s="928"/>
      <c r="P244" s="904"/>
      <c r="Q244" s="908"/>
      <c r="R244" s="928"/>
      <c r="S244" s="907"/>
      <c r="T244" s="928"/>
      <c r="U244" s="904"/>
      <c r="V244" s="904"/>
      <c r="W244" s="929"/>
      <c r="X244" s="899"/>
      <c r="Y244" s="909"/>
      <c r="Z244" s="928"/>
      <c r="AA244" s="904"/>
      <c r="AB244" s="927"/>
      <c r="AC244" s="928"/>
      <c r="AD244" s="928"/>
      <c r="AE244" s="904"/>
      <c r="AF244" s="908"/>
      <c r="AG244" s="928"/>
      <c r="AH244" s="898">
        <f t="shared" si="30"/>
        <v>0</v>
      </c>
      <c r="AI244" s="898">
        <f t="shared" si="31"/>
        <v>0</v>
      </c>
    </row>
    <row r="245" spans="3:35" x14ac:dyDescent="0.2">
      <c r="C245" s="74" t="s">
        <v>17</v>
      </c>
      <c r="D245" s="146">
        <v>12</v>
      </c>
      <c r="E245" s="897"/>
      <c r="F245" s="897"/>
      <c r="G245" s="897"/>
      <c r="H245" s="897"/>
      <c r="I245" s="897"/>
      <c r="J245" s="915">
        <f t="shared" si="29"/>
        <v>0</v>
      </c>
      <c r="K245" s="903"/>
      <c r="L245" s="903"/>
      <c r="M245" s="926"/>
      <c r="N245" s="927"/>
      <c r="O245" s="928"/>
      <c r="P245" s="904"/>
      <c r="Q245" s="908"/>
      <c r="R245" s="928"/>
      <c r="S245" s="907"/>
      <c r="T245" s="928"/>
      <c r="U245" s="904"/>
      <c r="V245" s="904"/>
      <c r="W245" s="929"/>
      <c r="X245" s="899"/>
      <c r="Y245" s="909"/>
      <c r="Z245" s="928"/>
      <c r="AA245" s="904"/>
      <c r="AB245" s="927"/>
      <c r="AC245" s="928"/>
      <c r="AD245" s="928"/>
      <c r="AE245" s="904"/>
      <c r="AF245" s="908"/>
      <c r="AG245" s="928"/>
      <c r="AH245" s="898">
        <f t="shared" si="30"/>
        <v>0</v>
      </c>
      <c r="AI245" s="898">
        <f t="shared" si="31"/>
        <v>0</v>
      </c>
    </row>
    <row r="246" spans="3:35" x14ac:dyDescent="0.2">
      <c r="C246" s="225" t="s">
        <v>955</v>
      </c>
      <c r="D246" s="146">
        <v>13</v>
      </c>
      <c r="E246" s="897"/>
      <c r="F246" s="897"/>
      <c r="G246" s="897"/>
      <c r="H246" s="897"/>
      <c r="I246" s="897"/>
      <c r="J246" s="915">
        <f t="shared" si="29"/>
        <v>0</v>
      </c>
      <c r="K246" s="903"/>
      <c r="L246" s="903"/>
      <c r="M246" s="926"/>
      <c r="N246" s="927"/>
      <c r="O246" s="928"/>
      <c r="P246" s="904"/>
      <c r="Q246" s="908"/>
      <c r="R246" s="928"/>
      <c r="S246" s="907"/>
      <c r="T246" s="928"/>
      <c r="U246" s="904"/>
      <c r="V246" s="904"/>
      <c r="W246" s="929"/>
      <c r="X246" s="899"/>
      <c r="Y246" s="909"/>
      <c r="Z246" s="928"/>
      <c r="AA246" s="904"/>
      <c r="AB246" s="927"/>
      <c r="AC246" s="928"/>
      <c r="AD246" s="928"/>
      <c r="AE246" s="904"/>
      <c r="AF246" s="908"/>
      <c r="AG246" s="928"/>
      <c r="AH246" s="898">
        <f t="shared" si="30"/>
        <v>0</v>
      </c>
      <c r="AI246" s="898">
        <f t="shared" si="31"/>
        <v>0</v>
      </c>
    </row>
    <row r="247" spans="3:35" x14ac:dyDescent="0.2">
      <c r="C247" s="74" t="s">
        <v>956</v>
      </c>
      <c r="D247" s="146">
        <v>14</v>
      </c>
      <c r="E247" s="897"/>
      <c r="F247" s="897"/>
      <c r="G247" s="897"/>
      <c r="H247" s="897"/>
      <c r="I247" s="897"/>
      <c r="J247" s="915">
        <f t="shared" si="29"/>
        <v>0</v>
      </c>
      <c r="K247" s="903"/>
      <c r="L247" s="903"/>
      <c r="M247" s="926"/>
      <c r="N247" s="927"/>
      <c r="O247" s="928"/>
      <c r="P247" s="904"/>
      <c r="Q247" s="908"/>
      <c r="R247" s="928"/>
      <c r="S247" s="907"/>
      <c r="T247" s="928"/>
      <c r="U247" s="904"/>
      <c r="V247" s="904"/>
      <c r="W247" s="929"/>
      <c r="X247" s="899"/>
      <c r="Y247" s="909"/>
      <c r="Z247" s="928"/>
      <c r="AA247" s="904"/>
      <c r="AB247" s="927"/>
      <c r="AC247" s="928"/>
      <c r="AD247" s="928"/>
      <c r="AE247" s="904"/>
      <c r="AF247" s="908"/>
      <c r="AG247" s="928"/>
      <c r="AH247" s="898">
        <f t="shared" si="30"/>
        <v>0</v>
      </c>
      <c r="AI247" s="898">
        <f t="shared" si="31"/>
        <v>0</v>
      </c>
    </row>
    <row r="248" spans="3:35" x14ac:dyDescent="0.2">
      <c r="C248" s="74" t="s">
        <v>556</v>
      </c>
      <c r="D248" s="146">
        <v>15</v>
      </c>
      <c r="E248" s="897"/>
      <c r="F248" s="897"/>
      <c r="G248" s="897"/>
      <c r="H248" s="897"/>
      <c r="I248" s="897"/>
      <c r="J248" s="915">
        <f t="shared" si="29"/>
        <v>0</v>
      </c>
      <c r="K248" s="903"/>
      <c r="L248" s="903"/>
      <c r="M248" s="926"/>
      <c r="N248" s="927"/>
      <c r="O248" s="928"/>
      <c r="P248" s="904"/>
      <c r="Q248" s="908"/>
      <c r="R248" s="928"/>
      <c r="S248" s="907"/>
      <c r="T248" s="928"/>
      <c r="U248" s="904"/>
      <c r="V248" s="904"/>
      <c r="W248" s="929"/>
      <c r="X248" s="899"/>
      <c r="Y248" s="909"/>
      <c r="Z248" s="928"/>
      <c r="AA248" s="904"/>
      <c r="AB248" s="927"/>
      <c r="AC248" s="928"/>
      <c r="AD248" s="928"/>
      <c r="AE248" s="904"/>
      <c r="AF248" s="908"/>
      <c r="AG248" s="928"/>
      <c r="AH248" s="898">
        <f t="shared" si="30"/>
        <v>0</v>
      </c>
      <c r="AI248" s="898">
        <f t="shared" si="31"/>
        <v>0</v>
      </c>
    </row>
    <row r="249" spans="3:35" x14ac:dyDescent="0.2">
      <c r="C249" s="74" t="s">
        <v>18</v>
      </c>
      <c r="D249" s="146">
        <v>16</v>
      </c>
      <c r="E249" s="897"/>
      <c r="F249" s="897"/>
      <c r="G249" s="897"/>
      <c r="H249" s="897"/>
      <c r="I249" s="897"/>
      <c r="J249" s="915">
        <f t="shared" si="29"/>
        <v>0</v>
      </c>
      <c r="K249" s="903"/>
      <c r="L249" s="903"/>
      <c r="M249" s="926"/>
      <c r="N249" s="927"/>
      <c r="O249" s="928"/>
      <c r="P249" s="904"/>
      <c r="Q249" s="908"/>
      <c r="R249" s="928"/>
      <c r="S249" s="907"/>
      <c r="T249" s="928"/>
      <c r="U249" s="904"/>
      <c r="V249" s="904"/>
      <c r="W249" s="929"/>
      <c r="X249" s="899"/>
      <c r="Y249" s="909"/>
      <c r="Z249" s="928"/>
      <c r="AA249" s="904"/>
      <c r="AB249" s="927"/>
      <c r="AC249" s="928"/>
      <c r="AD249" s="928"/>
      <c r="AE249" s="904"/>
      <c r="AF249" s="908"/>
      <c r="AG249" s="928"/>
      <c r="AH249" s="898">
        <f t="shared" si="30"/>
        <v>0</v>
      </c>
      <c r="AI249" s="898">
        <f t="shared" si="31"/>
        <v>0</v>
      </c>
    </row>
    <row r="250" spans="3:35" x14ac:dyDescent="0.2">
      <c r="C250" s="74" t="s">
        <v>957</v>
      </c>
      <c r="D250" s="146">
        <v>17</v>
      </c>
      <c r="E250" s="897"/>
      <c r="F250" s="897"/>
      <c r="G250" s="897"/>
      <c r="H250" s="897"/>
      <c r="I250" s="897"/>
      <c r="J250" s="915">
        <f t="shared" si="29"/>
        <v>0</v>
      </c>
      <c r="K250" s="903"/>
      <c r="L250" s="903"/>
      <c r="M250" s="926"/>
      <c r="N250" s="927"/>
      <c r="O250" s="928"/>
      <c r="P250" s="904"/>
      <c r="Q250" s="908"/>
      <c r="R250" s="928"/>
      <c r="S250" s="907"/>
      <c r="T250" s="928"/>
      <c r="U250" s="904"/>
      <c r="V250" s="904"/>
      <c r="W250" s="929"/>
      <c r="X250" s="899"/>
      <c r="Y250" s="909"/>
      <c r="Z250" s="928"/>
      <c r="AA250" s="904"/>
      <c r="AB250" s="927"/>
      <c r="AC250" s="928"/>
      <c r="AD250" s="928"/>
      <c r="AE250" s="904"/>
      <c r="AF250" s="908"/>
      <c r="AG250" s="928"/>
      <c r="AH250" s="898">
        <f t="shared" si="30"/>
        <v>0</v>
      </c>
      <c r="AI250" s="898">
        <f t="shared" si="31"/>
        <v>0</v>
      </c>
    </row>
    <row r="251" spans="3:35" x14ac:dyDescent="0.2">
      <c r="C251" s="74" t="s">
        <v>958</v>
      </c>
      <c r="D251" s="146">
        <v>18</v>
      </c>
      <c r="E251" s="897"/>
      <c r="F251" s="897"/>
      <c r="G251" s="897"/>
      <c r="H251" s="897"/>
      <c r="I251" s="897"/>
      <c r="J251" s="915">
        <f t="shared" si="29"/>
        <v>0</v>
      </c>
      <c r="K251" s="903"/>
      <c r="L251" s="903"/>
      <c r="M251" s="926"/>
      <c r="N251" s="927"/>
      <c r="O251" s="928"/>
      <c r="P251" s="904"/>
      <c r="Q251" s="908"/>
      <c r="R251" s="928"/>
      <c r="S251" s="907"/>
      <c r="T251" s="928"/>
      <c r="U251" s="904"/>
      <c r="V251" s="904"/>
      <c r="W251" s="929"/>
      <c r="X251" s="899"/>
      <c r="Y251" s="909"/>
      <c r="Z251" s="928"/>
      <c r="AA251" s="904"/>
      <c r="AB251" s="927"/>
      <c r="AC251" s="928"/>
      <c r="AD251" s="928"/>
      <c r="AE251" s="904"/>
      <c r="AF251" s="908"/>
      <c r="AG251" s="928"/>
      <c r="AH251" s="898">
        <f t="shared" si="30"/>
        <v>0</v>
      </c>
      <c r="AI251" s="898">
        <f t="shared" si="31"/>
        <v>0</v>
      </c>
    </row>
    <row r="252" spans="3:35" x14ac:dyDescent="0.2">
      <c r="C252" s="74" t="s">
        <v>959</v>
      </c>
      <c r="D252" s="146">
        <v>19</v>
      </c>
      <c r="E252" s="899"/>
      <c r="F252" s="899"/>
      <c r="G252" s="899"/>
      <c r="H252" s="899"/>
      <c r="I252" s="899"/>
      <c r="J252" s="915">
        <f t="shared" si="29"/>
        <v>0</v>
      </c>
      <c r="K252" s="930"/>
      <c r="L252" s="930"/>
      <c r="M252" s="931"/>
      <c r="N252" s="927"/>
      <c r="O252" s="928"/>
      <c r="P252" s="928"/>
      <c r="Q252" s="932"/>
      <c r="R252" s="928"/>
      <c r="S252" s="907"/>
      <c r="T252" s="928"/>
      <c r="U252" s="928"/>
      <c r="V252" s="928"/>
      <c r="W252" s="933"/>
      <c r="X252" s="899"/>
      <c r="Y252" s="909"/>
      <c r="Z252" s="928"/>
      <c r="AA252" s="928"/>
      <c r="AB252" s="927"/>
      <c r="AC252" s="928"/>
      <c r="AD252" s="928"/>
      <c r="AE252" s="928"/>
      <c r="AF252" s="932"/>
      <c r="AG252" s="928"/>
      <c r="AH252" s="898">
        <f t="shared" si="30"/>
        <v>0</v>
      </c>
      <c r="AI252" s="898">
        <f t="shared" si="31"/>
        <v>0</v>
      </c>
    </row>
    <row r="253" spans="3:35" x14ac:dyDescent="0.2">
      <c r="C253" s="74" t="s">
        <v>595</v>
      </c>
      <c r="D253" s="146">
        <v>20</v>
      </c>
      <c r="E253" s="897"/>
      <c r="F253" s="897"/>
      <c r="G253" s="897"/>
      <c r="H253" s="897"/>
      <c r="I253" s="897"/>
      <c r="J253" s="915">
        <f t="shared" si="29"/>
        <v>0</v>
      </c>
      <c r="K253" s="903"/>
      <c r="L253" s="903"/>
      <c r="M253" s="926"/>
      <c r="N253" s="927"/>
      <c r="O253" s="928"/>
      <c r="P253" s="904"/>
      <c r="Q253" s="908"/>
      <c r="R253" s="928"/>
      <c r="S253" s="907"/>
      <c r="T253" s="928"/>
      <c r="U253" s="904"/>
      <c r="V253" s="904"/>
      <c r="W253" s="929"/>
      <c r="X253" s="899"/>
      <c r="Y253" s="909"/>
      <c r="Z253" s="928"/>
      <c r="AA253" s="904"/>
      <c r="AB253" s="927"/>
      <c r="AC253" s="928"/>
      <c r="AD253" s="928"/>
      <c r="AE253" s="904"/>
      <c r="AF253" s="908"/>
      <c r="AG253" s="928"/>
      <c r="AH253" s="898">
        <f t="shared" si="30"/>
        <v>0</v>
      </c>
      <c r="AI253" s="898">
        <f t="shared" si="31"/>
        <v>0</v>
      </c>
    </row>
    <row r="254" spans="3:35" x14ac:dyDescent="0.2">
      <c r="C254" s="74" t="s">
        <v>1424</v>
      </c>
      <c r="D254" s="146">
        <v>21</v>
      </c>
      <c r="E254" s="897"/>
      <c r="F254" s="897"/>
      <c r="G254" s="897"/>
      <c r="H254" s="897"/>
      <c r="I254" s="897"/>
      <c r="J254" s="915">
        <f t="shared" si="29"/>
        <v>0</v>
      </c>
      <c r="K254" s="903"/>
      <c r="L254" s="903"/>
      <c r="M254" s="926"/>
      <c r="N254" s="927"/>
      <c r="O254" s="928"/>
      <c r="P254" s="904"/>
      <c r="Q254" s="908"/>
      <c r="R254" s="928"/>
      <c r="S254" s="907"/>
      <c r="T254" s="928"/>
      <c r="U254" s="904"/>
      <c r="V254" s="904"/>
      <c r="W254" s="929"/>
      <c r="X254" s="899"/>
      <c r="Y254" s="909"/>
      <c r="Z254" s="928"/>
      <c r="AA254" s="904"/>
      <c r="AB254" s="927"/>
      <c r="AC254" s="928"/>
      <c r="AD254" s="928"/>
      <c r="AE254" s="904"/>
      <c r="AF254" s="908"/>
      <c r="AG254" s="928"/>
      <c r="AH254" s="898">
        <f t="shared" ref="AH254" si="32">ROUND(SUM(K254:M254,N254,Q254:S254,V254,Y254,AB254,AF254:AG254),3)</f>
        <v>0</v>
      </c>
      <c r="AI254" s="898">
        <f t="shared" ref="AI254" si="33">ROUND(SUM(J254,AH254),3)</f>
        <v>0</v>
      </c>
    </row>
    <row r="255" spans="3:35" x14ac:dyDescent="0.2">
      <c r="C255" s="74" t="s">
        <v>19</v>
      </c>
      <c r="D255" s="146">
        <v>22</v>
      </c>
      <c r="E255" s="897"/>
      <c r="F255" s="897"/>
      <c r="G255" s="897"/>
      <c r="H255" s="897"/>
      <c r="I255" s="897"/>
      <c r="J255" s="915">
        <f t="shared" si="29"/>
        <v>0</v>
      </c>
      <c r="K255" s="903"/>
      <c r="L255" s="903"/>
      <c r="M255" s="926"/>
      <c r="N255" s="927"/>
      <c r="O255" s="928"/>
      <c r="P255" s="904"/>
      <c r="Q255" s="908"/>
      <c r="R255" s="928"/>
      <c r="S255" s="907"/>
      <c r="T255" s="928"/>
      <c r="U255" s="904"/>
      <c r="V255" s="904"/>
      <c r="W255" s="929"/>
      <c r="X255" s="899"/>
      <c r="Y255" s="909"/>
      <c r="Z255" s="928"/>
      <c r="AA255" s="904"/>
      <c r="AB255" s="927"/>
      <c r="AC255" s="928"/>
      <c r="AD255" s="928"/>
      <c r="AE255" s="904"/>
      <c r="AF255" s="908"/>
      <c r="AG255" s="928"/>
      <c r="AH255" s="898">
        <f t="shared" si="30"/>
        <v>0</v>
      </c>
      <c r="AI255" s="898">
        <f t="shared" si="31"/>
        <v>0</v>
      </c>
    </row>
    <row r="256" spans="3:35" x14ac:dyDescent="0.2">
      <c r="C256" s="74" t="s">
        <v>960</v>
      </c>
      <c r="D256" s="146">
        <v>23</v>
      </c>
      <c r="E256" s="897"/>
      <c r="F256" s="897"/>
      <c r="G256" s="897"/>
      <c r="H256" s="897"/>
      <c r="I256" s="897"/>
      <c r="J256" s="915">
        <f t="shared" si="29"/>
        <v>0</v>
      </c>
      <c r="K256" s="903"/>
      <c r="L256" s="903"/>
      <c r="M256" s="926"/>
      <c r="N256" s="927"/>
      <c r="O256" s="928"/>
      <c r="P256" s="904"/>
      <c r="Q256" s="908"/>
      <c r="R256" s="928"/>
      <c r="S256" s="907"/>
      <c r="T256" s="928"/>
      <c r="U256" s="904"/>
      <c r="V256" s="904"/>
      <c r="W256" s="929"/>
      <c r="X256" s="899"/>
      <c r="Y256" s="909"/>
      <c r="Z256" s="928"/>
      <c r="AA256" s="904"/>
      <c r="AB256" s="927"/>
      <c r="AC256" s="928"/>
      <c r="AD256" s="928"/>
      <c r="AE256" s="904"/>
      <c r="AF256" s="908"/>
      <c r="AG256" s="928"/>
      <c r="AH256" s="898">
        <f t="shared" si="30"/>
        <v>0</v>
      </c>
      <c r="AI256" s="898">
        <f t="shared" si="31"/>
        <v>0</v>
      </c>
    </row>
    <row r="257" spans="3:35" x14ac:dyDescent="0.2">
      <c r="C257" s="74" t="s">
        <v>600</v>
      </c>
      <c r="D257" s="146">
        <v>24</v>
      </c>
      <c r="E257" s="897"/>
      <c r="F257" s="897"/>
      <c r="G257" s="897"/>
      <c r="H257" s="897"/>
      <c r="I257" s="897"/>
      <c r="J257" s="915">
        <f t="shared" si="29"/>
        <v>0</v>
      </c>
      <c r="K257" s="903"/>
      <c r="L257" s="903"/>
      <c r="M257" s="926"/>
      <c r="N257" s="927"/>
      <c r="O257" s="928"/>
      <c r="P257" s="904"/>
      <c r="Q257" s="908"/>
      <c r="R257" s="928"/>
      <c r="S257" s="907"/>
      <c r="T257" s="928"/>
      <c r="U257" s="904"/>
      <c r="V257" s="904"/>
      <c r="W257" s="929"/>
      <c r="X257" s="899"/>
      <c r="Y257" s="909"/>
      <c r="Z257" s="928"/>
      <c r="AA257" s="904"/>
      <c r="AB257" s="927"/>
      <c r="AC257" s="928"/>
      <c r="AD257" s="928"/>
      <c r="AE257" s="904"/>
      <c r="AF257" s="908"/>
      <c r="AG257" s="928"/>
      <c r="AH257" s="898">
        <f t="shared" si="30"/>
        <v>0</v>
      </c>
      <c r="AI257" s="898">
        <f t="shared" si="31"/>
        <v>0</v>
      </c>
    </row>
    <row r="258" spans="3:35" x14ac:dyDescent="0.2">
      <c r="C258" s="74" t="s">
        <v>20</v>
      </c>
      <c r="D258" s="146">
        <v>25</v>
      </c>
      <c r="E258" s="897"/>
      <c r="F258" s="897"/>
      <c r="G258" s="897"/>
      <c r="H258" s="897"/>
      <c r="I258" s="897"/>
      <c r="J258" s="915">
        <f t="shared" si="29"/>
        <v>0</v>
      </c>
      <c r="K258" s="903"/>
      <c r="L258" s="903"/>
      <c r="M258" s="926"/>
      <c r="N258" s="927"/>
      <c r="O258" s="928"/>
      <c r="P258" s="904"/>
      <c r="Q258" s="908"/>
      <c r="R258" s="928"/>
      <c r="S258" s="907"/>
      <c r="T258" s="928"/>
      <c r="U258" s="904"/>
      <c r="V258" s="904"/>
      <c r="W258" s="929"/>
      <c r="X258" s="899"/>
      <c r="Y258" s="909"/>
      <c r="Z258" s="928"/>
      <c r="AA258" s="904"/>
      <c r="AB258" s="927"/>
      <c r="AC258" s="928"/>
      <c r="AD258" s="928"/>
      <c r="AE258" s="904"/>
      <c r="AF258" s="908"/>
      <c r="AG258" s="928"/>
      <c r="AH258" s="898">
        <f t="shared" si="30"/>
        <v>0</v>
      </c>
      <c r="AI258" s="898">
        <f t="shared" si="31"/>
        <v>0</v>
      </c>
    </row>
    <row r="259" spans="3:35" x14ac:dyDescent="0.2">
      <c r="C259" s="74" t="s">
        <v>961</v>
      </c>
      <c r="D259" s="146">
        <v>26</v>
      </c>
      <c r="E259" s="897"/>
      <c r="F259" s="897"/>
      <c r="G259" s="897"/>
      <c r="H259" s="897"/>
      <c r="I259" s="897"/>
      <c r="J259" s="915">
        <f t="shared" si="29"/>
        <v>0</v>
      </c>
      <c r="K259" s="903"/>
      <c r="L259" s="903"/>
      <c r="M259" s="926"/>
      <c r="N259" s="927"/>
      <c r="O259" s="928"/>
      <c r="P259" s="904"/>
      <c r="Q259" s="908"/>
      <c r="R259" s="928"/>
      <c r="S259" s="907"/>
      <c r="T259" s="928"/>
      <c r="U259" s="904"/>
      <c r="V259" s="904"/>
      <c r="W259" s="929"/>
      <c r="X259" s="899"/>
      <c r="Y259" s="909"/>
      <c r="Z259" s="928"/>
      <c r="AA259" s="904"/>
      <c r="AB259" s="927"/>
      <c r="AC259" s="928"/>
      <c r="AD259" s="928"/>
      <c r="AE259" s="904"/>
      <c r="AF259" s="908"/>
      <c r="AG259" s="928"/>
      <c r="AH259" s="898">
        <f t="shared" si="30"/>
        <v>0</v>
      </c>
      <c r="AI259" s="898">
        <f t="shared" si="31"/>
        <v>0</v>
      </c>
    </row>
    <row r="260" spans="3:35" x14ac:dyDescent="0.2">
      <c r="C260" s="74" t="s">
        <v>21</v>
      </c>
      <c r="D260" s="146">
        <v>27</v>
      </c>
      <c r="E260" s="897"/>
      <c r="F260" s="897"/>
      <c r="G260" s="897"/>
      <c r="H260" s="897"/>
      <c r="I260" s="897"/>
      <c r="J260" s="915">
        <f t="shared" si="29"/>
        <v>0</v>
      </c>
      <c r="K260" s="903"/>
      <c r="L260" s="903"/>
      <c r="M260" s="926"/>
      <c r="N260" s="927"/>
      <c r="O260" s="928"/>
      <c r="P260" s="904"/>
      <c r="Q260" s="908"/>
      <c r="R260" s="928"/>
      <c r="S260" s="907"/>
      <c r="T260" s="928"/>
      <c r="U260" s="904"/>
      <c r="V260" s="904"/>
      <c r="W260" s="929"/>
      <c r="X260" s="899"/>
      <c r="Y260" s="909"/>
      <c r="Z260" s="928"/>
      <c r="AA260" s="904"/>
      <c r="AB260" s="927"/>
      <c r="AC260" s="928"/>
      <c r="AD260" s="928"/>
      <c r="AE260" s="904"/>
      <c r="AF260" s="908"/>
      <c r="AG260" s="928"/>
      <c r="AH260" s="898">
        <f t="shared" si="30"/>
        <v>0</v>
      </c>
      <c r="AI260" s="898">
        <f t="shared" si="31"/>
        <v>0</v>
      </c>
    </row>
    <row r="261" spans="3:35" x14ac:dyDescent="0.2">
      <c r="C261" s="74" t="s">
        <v>22</v>
      </c>
      <c r="D261" s="146">
        <v>28</v>
      </c>
      <c r="E261" s="897"/>
      <c r="F261" s="897"/>
      <c r="G261" s="897"/>
      <c r="H261" s="897"/>
      <c r="I261" s="897"/>
      <c r="J261" s="915">
        <f t="shared" si="29"/>
        <v>0</v>
      </c>
      <c r="K261" s="903"/>
      <c r="L261" s="903"/>
      <c r="M261" s="926"/>
      <c r="N261" s="927"/>
      <c r="O261" s="928"/>
      <c r="P261" s="904"/>
      <c r="Q261" s="908"/>
      <c r="R261" s="928"/>
      <c r="S261" s="907"/>
      <c r="T261" s="928"/>
      <c r="U261" s="904"/>
      <c r="V261" s="904"/>
      <c r="W261" s="929"/>
      <c r="X261" s="899"/>
      <c r="Y261" s="909"/>
      <c r="Z261" s="928"/>
      <c r="AA261" s="904"/>
      <c r="AB261" s="927"/>
      <c r="AC261" s="928"/>
      <c r="AD261" s="928"/>
      <c r="AE261" s="904"/>
      <c r="AF261" s="908"/>
      <c r="AG261" s="928"/>
      <c r="AH261" s="898">
        <f t="shared" si="30"/>
        <v>0</v>
      </c>
      <c r="AI261" s="898">
        <f t="shared" si="31"/>
        <v>0</v>
      </c>
    </row>
    <row r="262" spans="3:35" x14ac:dyDescent="0.2">
      <c r="C262" s="74" t="s">
        <v>962</v>
      </c>
      <c r="D262" s="146">
        <v>29</v>
      </c>
      <c r="E262" s="897"/>
      <c r="F262" s="897"/>
      <c r="G262" s="897"/>
      <c r="H262" s="897"/>
      <c r="I262" s="897"/>
      <c r="J262" s="915">
        <f t="shared" si="29"/>
        <v>0</v>
      </c>
      <c r="K262" s="903"/>
      <c r="L262" s="903"/>
      <c r="M262" s="926"/>
      <c r="N262" s="927"/>
      <c r="O262" s="928"/>
      <c r="P262" s="904"/>
      <c r="Q262" s="908"/>
      <c r="R262" s="928"/>
      <c r="S262" s="907"/>
      <c r="T262" s="928"/>
      <c r="U262" s="904"/>
      <c r="V262" s="904"/>
      <c r="W262" s="929"/>
      <c r="X262" s="899"/>
      <c r="Y262" s="909"/>
      <c r="Z262" s="928"/>
      <c r="AA262" s="904"/>
      <c r="AB262" s="927"/>
      <c r="AC262" s="928"/>
      <c r="AD262" s="928"/>
      <c r="AE262" s="904"/>
      <c r="AF262" s="908"/>
      <c r="AG262" s="928"/>
      <c r="AH262" s="898">
        <f t="shared" si="30"/>
        <v>0</v>
      </c>
      <c r="AI262" s="898">
        <f t="shared" si="31"/>
        <v>0</v>
      </c>
    </row>
    <row r="263" spans="3:35" x14ac:dyDescent="0.2">
      <c r="C263" s="74" t="s">
        <v>613</v>
      </c>
      <c r="D263" s="146">
        <v>30</v>
      </c>
      <c r="E263" s="897"/>
      <c r="F263" s="897"/>
      <c r="G263" s="897"/>
      <c r="H263" s="897"/>
      <c r="I263" s="897"/>
      <c r="J263" s="915">
        <f t="shared" si="29"/>
        <v>0</v>
      </c>
      <c r="K263" s="903"/>
      <c r="L263" s="903"/>
      <c r="M263" s="926"/>
      <c r="N263" s="927"/>
      <c r="O263" s="928"/>
      <c r="P263" s="904"/>
      <c r="Q263" s="908"/>
      <c r="R263" s="928"/>
      <c r="S263" s="907"/>
      <c r="T263" s="928"/>
      <c r="U263" s="904"/>
      <c r="V263" s="904"/>
      <c r="W263" s="929"/>
      <c r="X263" s="899"/>
      <c r="Y263" s="909"/>
      <c r="Z263" s="928"/>
      <c r="AA263" s="904"/>
      <c r="AB263" s="927"/>
      <c r="AC263" s="928"/>
      <c r="AD263" s="928"/>
      <c r="AE263" s="904"/>
      <c r="AF263" s="908"/>
      <c r="AG263" s="928"/>
      <c r="AH263" s="898">
        <f>ROUND(SUM(K263:N263,Q263:S263,V263,Y263,AB263,AF263:AG263),3)</f>
        <v>0</v>
      </c>
      <c r="AI263" s="898">
        <f t="shared" si="31"/>
        <v>0</v>
      </c>
    </row>
    <row r="264" spans="3:35" x14ac:dyDescent="0.2">
      <c r="C264" s="74" t="s">
        <v>963</v>
      </c>
      <c r="D264" s="146">
        <v>31</v>
      </c>
      <c r="E264" s="897"/>
      <c r="F264" s="897"/>
      <c r="G264" s="897"/>
      <c r="H264" s="897"/>
      <c r="I264" s="897"/>
      <c r="J264" s="915">
        <f t="shared" si="29"/>
        <v>0</v>
      </c>
      <c r="K264" s="903"/>
      <c r="L264" s="903"/>
      <c r="M264" s="926"/>
      <c r="N264" s="927"/>
      <c r="O264" s="928"/>
      <c r="P264" s="904"/>
      <c r="Q264" s="908"/>
      <c r="R264" s="928"/>
      <c r="S264" s="907"/>
      <c r="T264" s="928"/>
      <c r="U264" s="904"/>
      <c r="V264" s="904"/>
      <c r="W264" s="929"/>
      <c r="X264" s="899"/>
      <c r="Y264" s="909"/>
      <c r="Z264" s="928"/>
      <c r="AA264" s="904"/>
      <c r="AB264" s="927"/>
      <c r="AC264" s="928"/>
      <c r="AD264" s="928"/>
      <c r="AE264" s="904"/>
      <c r="AF264" s="908"/>
      <c r="AG264" s="928"/>
      <c r="AH264" s="898">
        <f t="shared" ref="AH264:AH296" si="34">ROUND(SUM(K264:M264,N264,Q264:S264,V264,Y264,AB264,AF264:AG264),3)</f>
        <v>0</v>
      </c>
      <c r="AI264" s="898">
        <f t="shared" si="31"/>
        <v>0</v>
      </c>
    </row>
    <row r="265" spans="3:35" x14ac:dyDescent="0.2">
      <c r="C265" s="74" t="s">
        <v>23</v>
      </c>
      <c r="D265" s="146">
        <v>32</v>
      </c>
      <c r="E265" s="897"/>
      <c r="F265" s="897"/>
      <c r="G265" s="897"/>
      <c r="H265" s="897"/>
      <c r="I265" s="897"/>
      <c r="J265" s="915">
        <f t="shared" si="29"/>
        <v>0</v>
      </c>
      <c r="K265" s="903"/>
      <c r="L265" s="903"/>
      <c r="M265" s="926"/>
      <c r="N265" s="927"/>
      <c r="O265" s="928"/>
      <c r="P265" s="904"/>
      <c r="Q265" s="908"/>
      <c r="R265" s="928"/>
      <c r="S265" s="907"/>
      <c r="T265" s="928"/>
      <c r="U265" s="904"/>
      <c r="V265" s="904"/>
      <c r="W265" s="929"/>
      <c r="X265" s="899"/>
      <c r="Y265" s="909"/>
      <c r="Z265" s="928"/>
      <c r="AA265" s="904"/>
      <c r="AB265" s="927"/>
      <c r="AC265" s="928"/>
      <c r="AD265" s="928"/>
      <c r="AE265" s="904"/>
      <c r="AF265" s="908"/>
      <c r="AG265" s="928"/>
      <c r="AH265" s="898">
        <f t="shared" si="34"/>
        <v>0</v>
      </c>
      <c r="AI265" s="898">
        <f t="shared" si="31"/>
        <v>0</v>
      </c>
    </row>
    <row r="266" spans="3:35" x14ac:dyDescent="0.2">
      <c r="C266" s="74" t="s">
        <v>24</v>
      </c>
      <c r="D266" s="146">
        <v>33</v>
      </c>
      <c r="E266" s="897"/>
      <c r="F266" s="897"/>
      <c r="G266" s="897"/>
      <c r="H266" s="897"/>
      <c r="I266" s="897"/>
      <c r="J266" s="915">
        <f t="shared" si="29"/>
        <v>0</v>
      </c>
      <c r="K266" s="903"/>
      <c r="L266" s="903"/>
      <c r="M266" s="926"/>
      <c r="N266" s="927"/>
      <c r="O266" s="928"/>
      <c r="P266" s="904"/>
      <c r="Q266" s="908"/>
      <c r="R266" s="928"/>
      <c r="S266" s="907"/>
      <c r="T266" s="928"/>
      <c r="U266" s="904"/>
      <c r="V266" s="904"/>
      <c r="W266" s="929"/>
      <c r="X266" s="899"/>
      <c r="Y266" s="909"/>
      <c r="Z266" s="928"/>
      <c r="AA266" s="904"/>
      <c r="AB266" s="927"/>
      <c r="AC266" s="928"/>
      <c r="AD266" s="928"/>
      <c r="AE266" s="904"/>
      <c r="AF266" s="908"/>
      <c r="AG266" s="928"/>
      <c r="AH266" s="898">
        <f t="shared" si="34"/>
        <v>0</v>
      </c>
      <c r="AI266" s="898">
        <f t="shared" si="31"/>
        <v>0</v>
      </c>
    </row>
    <row r="267" spans="3:35" x14ac:dyDescent="0.2">
      <c r="C267" s="74" t="s">
        <v>964</v>
      </c>
      <c r="D267" s="146">
        <v>34</v>
      </c>
      <c r="E267" s="897"/>
      <c r="F267" s="897"/>
      <c r="G267" s="897"/>
      <c r="H267" s="897"/>
      <c r="I267" s="897"/>
      <c r="J267" s="915">
        <f t="shared" ref="J267:J299" si="35">ROUND(SUM(E267:I267),3)</f>
        <v>0</v>
      </c>
      <c r="K267" s="903"/>
      <c r="L267" s="903"/>
      <c r="M267" s="926"/>
      <c r="N267" s="927"/>
      <c r="O267" s="928"/>
      <c r="P267" s="904"/>
      <c r="Q267" s="908"/>
      <c r="R267" s="928"/>
      <c r="S267" s="907"/>
      <c r="T267" s="928"/>
      <c r="U267" s="904"/>
      <c r="V267" s="904"/>
      <c r="W267" s="929"/>
      <c r="X267" s="899"/>
      <c r="Y267" s="909"/>
      <c r="Z267" s="928"/>
      <c r="AA267" s="904"/>
      <c r="AB267" s="927"/>
      <c r="AC267" s="928"/>
      <c r="AD267" s="928"/>
      <c r="AE267" s="904"/>
      <c r="AF267" s="908"/>
      <c r="AG267" s="928"/>
      <c r="AH267" s="898">
        <f t="shared" si="34"/>
        <v>0</v>
      </c>
      <c r="AI267" s="898">
        <f t="shared" ref="AI267:AI299" si="36">ROUND(SUM(J267,AH267),3)</f>
        <v>0</v>
      </c>
    </row>
    <row r="268" spans="3:35" x14ac:dyDescent="0.2">
      <c r="C268" s="74" t="s">
        <v>965</v>
      </c>
      <c r="D268" s="146">
        <v>35</v>
      </c>
      <c r="E268" s="897"/>
      <c r="F268" s="897"/>
      <c r="G268" s="897"/>
      <c r="H268" s="897"/>
      <c r="I268" s="897"/>
      <c r="J268" s="915">
        <f t="shared" si="35"/>
        <v>0</v>
      </c>
      <c r="K268" s="903"/>
      <c r="L268" s="903"/>
      <c r="M268" s="926"/>
      <c r="N268" s="927"/>
      <c r="O268" s="928"/>
      <c r="P268" s="904"/>
      <c r="Q268" s="908"/>
      <c r="R268" s="928"/>
      <c r="S268" s="907"/>
      <c r="T268" s="928"/>
      <c r="U268" s="904"/>
      <c r="V268" s="904"/>
      <c r="W268" s="929"/>
      <c r="X268" s="899"/>
      <c r="Y268" s="909"/>
      <c r="Z268" s="928"/>
      <c r="AA268" s="904"/>
      <c r="AB268" s="927"/>
      <c r="AC268" s="928"/>
      <c r="AD268" s="928"/>
      <c r="AE268" s="904"/>
      <c r="AF268" s="908"/>
      <c r="AG268" s="928"/>
      <c r="AH268" s="898">
        <f t="shared" si="34"/>
        <v>0</v>
      </c>
      <c r="AI268" s="898">
        <f t="shared" si="36"/>
        <v>0</v>
      </c>
    </row>
    <row r="269" spans="3:35" x14ac:dyDescent="0.2">
      <c r="C269" s="74" t="s">
        <v>567</v>
      </c>
      <c r="D269" s="146">
        <v>36</v>
      </c>
      <c r="E269" s="897"/>
      <c r="F269" s="897"/>
      <c r="G269" s="897"/>
      <c r="H269" s="897"/>
      <c r="I269" s="897"/>
      <c r="J269" s="915">
        <f t="shared" si="35"/>
        <v>0</v>
      </c>
      <c r="K269" s="903"/>
      <c r="L269" s="903"/>
      <c r="M269" s="926"/>
      <c r="N269" s="927"/>
      <c r="O269" s="928"/>
      <c r="P269" s="904"/>
      <c r="Q269" s="908"/>
      <c r="R269" s="928"/>
      <c r="S269" s="907"/>
      <c r="T269" s="928"/>
      <c r="U269" s="904"/>
      <c r="V269" s="904"/>
      <c r="W269" s="929"/>
      <c r="X269" s="899"/>
      <c r="Y269" s="909"/>
      <c r="Z269" s="928"/>
      <c r="AA269" s="904"/>
      <c r="AB269" s="927"/>
      <c r="AC269" s="928"/>
      <c r="AD269" s="928"/>
      <c r="AE269" s="904"/>
      <c r="AF269" s="908"/>
      <c r="AG269" s="928"/>
      <c r="AH269" s="898">
        <f t="shared" si="34"/>
        <v>0</v>
      </c>
      <c r="AI269" s="898">
        <f t="shared" si="36"/>
        <v>0</v>
      </c>
    </row>
    <row r="270" spans="3:35" x14ac:dyDescent="0.2">
      <c r="C270" s="74" t="s">
        <v>966</v>
      </c>
      <c r="D270" s="146">
        <v>37</v>
      </c>
      <c r="E270" s="897"/>
      <c r="F270" s="897"/>
      <c r="G270" s="897"/>
      <c r="H270" s="897"/>
      <c r="I270" s="897"/>
      <c r="J270" s="915">
        <f t="shared" si="35"/>
        <v>0</v>
      </c>
      <c r="K270" s="903"/>
      <c r="L270" s="903"/>
      <c r="M270" s="926"/>
      <c r="N270" s="927"/>
      <c r="O270" s="928"/>
      <c r="P270" s="904"/>
      <c r="Q270" s="908"/>
      <c r="R270" s="928"/>
      <c r="S270" s="907"/>
      <c r="T270" s="928"/>
      <c r="U270" s="904"/>
      <c r="V270" s="904"/>
      <c r="W270" s="929"/>
      <c r="X270" s="899"/>
      <c r="Y270" s="909"/>
      <c r="Z270" s="928"/>
      <c r="AA270" s="904"/>
      <c r="AB270" s="927"/>
      <c r="AC270" s="928"/>
      <c r="AD270" s="928"/>
      <c r="AE270" s="904"/>
      <c r="AF270" s="908"/>
      <c r="AG270" s="928"/>
      <c r="AH270" s="898">
        <f t="shared" si="34"/>
        <v>0</v>
      </c>
      <c r="AI270" s="898">
        <f t="shared" si="36"/>
        <v>0</v>
      </c>
    </row>
    <row r="271" spans="3:35" x14ac:dyDescent="0.2">
      <c r="C271" s="74" t="s">
        <v>967</v>
      </c>
      <c r="D271" s="146">
        <v>38</v>
      </c>
      <c r="E271" s="897"/>
      <c r="F271" s="897"/>
      <c r="G271" s="897"/>
      <c r="H271" s="897"/>
      <c r="I271" s="897"/>
      <c r="J271" s="915">
        <f t="shared" si="35"/>
        <v>0</v>
      </c>
      <c r="K271" s="903"/>
      <c r="L271" s="903"/>
      <c r="M271" s="926"/>
      <c r="N271" s="927"/>
      <c r="O271" s="928"/>
      <c r="P271" s="904"/>
      <c r="Q271" s="908"/>
      <c r="R271" s="928"/>
      <c r="S271" s="907"/>
      <c r="T271" s="928"/>
      <c r="U271" s="904"/>
      <c r="V271" s="904"/>
      <c r="W271" s="929"/>
      <c r="X271" s="899"/>
      <c r="Y271" s="909"/>
      <c r="Z271" s="928"/>
      <c r="AA271" s="904"/>
      <c r="AB271" s="927"/>
      <c r="AC271" s="928"/>
      <c r="AD271" s="928"/>
      <c r="AE271" s="904"/>
      <c r="AF271" s="908"/>
      <c r="AG271" s="928"/>
      <c r="AH271" s="898">
        <f t="shared" si="34"/>
        <v>0</v>
      </c>
      <c r="AI271" s="898">
        <f t="shared" si="36"/>
        <v>0</v>
      </c>
    </row>
    <row r="272" spans="3:35" x14ac:dyDescent="0.2">
      <c r="C272" s="74" t="s">
        <v>150</v>
      </c>
      <c r="D272" s="146">
        <v>39</v>
      </c>
      <c r="E272" s="897"/>
      <c r="F272" s="897"/>
      <c r="G272" s="897"/>
      <c r="H272" s="897"/>
      <c r="I272" s="897"/>
      <c r="J272" s="915">
        <f t="shared" si="35"/>
        <v>0</v>
      </c>
      <c r="K272" s="903"/>
      <c r="L272" s="903"/>
      <c r="M272" s="926"/>
      <c r="N272" s="927"/>
      <c r="O272" s="928"/>
      <c r="P272" s="904"/>
      <c r="Q272" s="908"/>
      <c r="R272" s="928"/>
      <c r="S272" s="907"/>
      <c r="T272" s="928"/>
      <c r="U272" s="904"/>
      <c r="V272" s="904"/>
      <c r="W272" s="929"/>
      <c r="X272" s="899"/>
      <c r="Y272" s="909"/>
      <c r="Z272" s="928"/>
      <c r="AA272" s="904"/>
      <c r="AB272" s="927"/>
      <c r="AC272" s="928"/>
      <c r="AD272" s="928"/>
      <c r="AE272" s="904"/>
      <c r="AF272" s="908"/>
      <c r="AG272" s="928"/>
      <c r="AH272" s="898">
        <f t="shared" si="34"/>
        <v>0</v>
      </c>
      <c r="AI272" s="898">
        <f t="shared" si="36"/>
        <v>0</v>
      </c>
    </row>
    <row r="273" spans="3:35" x14ac:dyDescent="0.2">
      <c r="C273" s="74" t="s">
        <v>25</v>
      </c>
      <c r="D273" s="146">
        <v>40</v>
      </c>
      <c r="E273" s="897"/>
      <c r="F273" s="897"/>
      <c r="G273" s="897"/>
      <c r="H273" s="897"/>
      <c r="I273" s="897"/>
      <c r="J273" s="915">
        <f t="shared" si="35"/>
        <v>0</v>
      </c>
      <c r="K273" s="903"/>
      <c r="L273" s="903"/>
      <c r="M273" s="926"/>
      <c r="N273" s="927"/>
      <c r="O273" s="928"/>
      <c r="P273" s="904"/>
      <c r="Q273" s="908"/>
      <c r="R273" s="928"/>
      <c r="S273" s="907"/>
      <c r="T273" s="928"/>
      <c r="U273" s="904"/>
      <c r="V273" s="904"/>
      <c r="W273" s="929"/>
      <c r="X273" s="899"/>
      <c r="Y273" s="909"/>
      <c r="Z273" s="928"/>
      <c r="AA273" s="904"/>
      <c r="AB273" s="927"/>
      <c r="AC273" s="928"/>
      <c r="AD273" s="928"/>
      <c r="AE273" s="904"/>
      <c r="AF273" s="908"/>
      <c r="AG273" s="928"/>
      <c r="AH273" s="898">
        <f t="shared" si="34"/>
        <v>0</v>
      </c>
      <c r="AI273" s="898">
        <f t="shared" si="36"/>
        <v>0</v>
      </c>
    </row>
    <row r="274" spans="3:35" x14ac:dyDescent="0.2">
      <c r="C274" s="74" t="s">
        <v>968</v>
      </c>
      <c r="D274" s="146">
        <v>41</v>
      </c>
      <c r="E274" s="897"/>
      <c r="F274" s="897"/>
      <c r="G274" s="897"/>
      <c r="H274" s="897"/>
      <c r="I274" s="897"/>
      <c r="J274" s="915">
        <f t="shared" si="35"/>
        <v>0</v>
      </c>
      <c r="K274" s="903"/>
      <c r="L274" s="903"/>
      <c r="M274" s="926"/>
      <c r="N274" s="927"/>
      <c r="O274" s="928"/>
      <c r="P274" s="904"/>
      <c r="Q274" s="908"/>
      <c r="R274" s="928"/>
      <c r="S274" s="907"/>
      <c r="T274" s="928"/>
      <c r="U274" s="904"/>
      <c r="V274" s="904"/>
      <c r="W274" s="929"/>
      <c r="X274" s="899"/>
      <c r="Y274" s="909"/>
      <c r="Z274" s="928"/>
      <c r="AA274" s="904"/>
      <c r="AB274" s="927"/>
      <c r="AC274" s="928"/>
      <c r="AD274" s="928"/>
      <c r="AE274" s="904"/>
      <c r="AF274" s="908"/>
      <c r="AG274" s="928"/>
      <c r="AH274" s="898">
        <f t="shared" si="34"/>
        <v>0</v>
      </c>
      <c r="AI274" s="898">
        <f t="shared" si="36"/>
        <v>0</v>
      </c>
    </row>
    <row r="275" spans="3:35" x14ac:dyDescent="0.2">
      <c r="C275" s="75" t="s">
        <v>969</v>
      </c>
      <c r="D275" s="146">
        <v>42</v>
      </c>
      <c r="E275" s="897"/>
      <c r="F275" s="897"/>
      <c r="G275" s="897"/>
      <c r="H275" s="897"/>
      <c r="I275" s="897"/>
      <c r="J275" s="915">
        <f t="shared" si="35"/>
        <v>0</v>
      </c>
      <c r="K275" s="903"/>
      <c r="L275" s="903"/>
      <c r="M275" s="926"/>
      <c r="N275" s="927"/>
      <c r="O275" s="928"/>
      <c r="P275" s="904"/>
      <c r="Q275" s="908"/>
      <c r="R275" s="928"/>
      <c r="S275" s="907"/>
      <c r="T275" s="928"/>
      <c r="U275" s="904"/>
      <c r="V275" s="904"/>
      <c r="W275" s="929"/>
      <c r="X275" s="899"/>
      <c r="Y275" s="909"/>
      <c r="Z275" s="928"/>
      <c r="AA275" s="904"/>
      <c r="AB275" s="927"/>
      <c r="AC275" s="928"/>
      <c r="AD275" s="928"/>
      <c r="AE275" s="904"/>
      <c r="AF275" s="908"/>
      <c r="AG275" s="928"/>
      <c r="AH275" s="898">
        <f t="shared" si="34"/>
        <v>0</v>
      </c>
      <c r="AI275" s="898">
        <f t="shared" si="36"/>
        <v>0</v>
      </c>
    </row>
    <row r="276" spans="3:35" x14ac:dyDescent="0.2">
      <c r="C276" s="74" t="s">
        <v>26</v>
      </c>
      <c r="D276" s="146">
        <v>43</v>
      </c>
      <c r="E276" s="897"/>
      <c r="F276" s="897"/>
      <c r="G276" s="897"/>
      <c r="H276" s="897"/>
      <c r="I276" s="897"/>
      <c r="J276" s="915">
        <f t="shared" si="35"/>
        <v>0</v>
      </c>
      <c r="K276" s="903"/>
      <c r="L276" s="903"/>
      <c r="M276" s="926"/>
      <c r="N276" s="927"/>
      <c r="O276" s="928"/>
      <c r="P276" s="904"/>
      <c r="Q276" s="908"/>
      <c r="R276" s="928"/>
      <c r="S276" s="907"/>
      <c r="T276" s="928"/>
      <c r="U276" s="904"/>
      <c r="V276" s="904"/>
      <c r="W276" s="929"/>
      <c r="X276" s="899"/>
      <c r="Y276" s="909"/>
      <c r="Z276" s="928"/>
      <c r="AA276" s="904"/>
      <c r="AB276" s="927"/>
      <c r="AC276" s="928"/>
      <c r="AD276" s="928"/>
      <c r="AE276" s="904"/>
      <c r="AF276" s="908"/>
      <c r="AG276" s="928"/>
      <c r="AH276" s="898">
        <f t="shared" si="34"/>
        <v>0</v>
      </c>
      <c r="AI276" s="898">
        <f t="shared" si="36"/>
        <v>0</v>
      </c>
    </row>
    <row r="277" spans="3:35" x14ac:dyDescent="0.2">
      <c r="C277" s="74" t="s">
        <v>970</v>
      </c>
      <c r="D277" s="146">
        <v>44</v>
      </c>
      <c r="E277" s="897"/>
      <c r="F277" s="897"/>
      <c r="G277" s="897"/>
      <c r="H277" s="897"/>
      <c r="I277" s="897"/>
      <c r="J277" s="915">
        <f t="shared" si="35"/>
        <v>0</v>
      </c>
      <c r="K277" s="903"/>
      <c r="L277" s="903"/>
      <c r="M277" s="926"/>
      <c r="N277" s="927"/>
      <c r="O277" s="928"/>
      <c r="P277" s="904"/>
      <c r="Q277" s="908"/>
      <c r="R277" s="928"/>
      <c r="S277" s="907"/>
      <c r="T277" s="928"/>
      <c r="U277" s="904"/>
      <c r="V277" s="904"/>
      <c r="W277" s="929"/>
      <c r="X277" s="899"/>
      <c r="Y277" s="909"/>
      <c r="Z277" s="928"/>
      <c r="AA277" s="904"/>
      <c r="AB277" s="927"/>
      <c r="AC277" s="928"/>
      <c r="AD277" s="928"/>
      <c r="AE277" s="904"/>
      <c r="AF277" s="908"/>
      <c r="AG277" s="928"/>
      <c r="AH277" s="898">
        <f t="shared" si="34"/>
        <v>0</v>
      </c>
      <c r="AI277" s="898">
        <f t="shared" si="36"/>
        <v>0</v>
      </c>
    </row>
    <row r="278" spans="3:35" x14ac:dyDescent="0.2">
      <c r="C278" s="74" t="s">
        <v>971</v>
      </c>
      <c r="D278" s="146">
        <v>45</v>
      </c>
      <c r="E278" s="897"/>
      <c r="F278" s="897"/>
      <c r="G278" s="897"/>
      <c r="H278" s="897"/>
      <c r="I278" s="897"/>
      <c r="J278" s="915">
        <f t="shared" si="35"/>
        <v>0</v>
      </c>
      <c r="K278" s="903"/>
      <c r="L278" s="903"/>
      <c r="M278" s="926"/>
      <c r="N278" s="927"/>
      <c r="O278" s="928"/>
      <c r="P278" s="904"/>
      <c r="Q278" s="908"/>
      <c r="R278" s="928"/>
      <c r="S278" s="907"/>
      <c r="T278" s="928"/>
      <c r="U278" s="904"/>
      <c r="V278" s="904"/>
      <c r="W278" s="929"/>
      <c r="X278" s="899"/>
      <c r="Y278" s="909"/>
      <c r="Z278" s="928"/>
      <c r="AA278" s="904"/>
      <c r="AB278" s="927"/>
      <c r="AC278" s="928"/>
      <c r="AD278" s="928"/>
      <c r="AE278" s="904"/>
      <c r="AF278" s="908"/>
      <c r="AG278" s="928"/>
      <c r="AH278" s="898">
        <f t="shared" si="34"/>
        <v>0</v>
      </c>
      <c r="AI278" s="898">
        <f t="shared" si="36"/>
        <v>0</v>
      </c>
    </row>
    <row r="279" spans="3:35" x14ac:dyDescent="0.2">
      <c r="C279" s="74" t="s">
        <v>27</v>
      </c>
      <c r="D279" s="146">
        <v>46</v>
      </c>
      <c r="E279" s="897"/>
      <c r="F279" s="897"/>
      <c r="G279" s="897"/>
      <c r="H279" s="897"/>
      <c r="I279" s="897"/>
      <c r="J279" s="915">
        <f t="shared" si="35"/>
        <v>0</v>
      </c>
      <c r="K279" s="903"/>
      <c r="L279" s="903"/>
      <c r="M279" s="926"/>
      <c r="N279" s="927"/>
      <c r="O279" s="928"/>
      <c r="P279" s="904"/>
      <c r="Q279" s="908"/>
      <c r="R279" s="928"/>
      <c r="S279" s="907"/>
      <c r="T279" s="928"/>
      <c r="U279" s="904"/>
      <c r="V279" s="904"/>
      <c r="W279" s="929"/>
      <c r="X279" s="899"/>
      <c r="Y279" s="909"/>
      <c r="Z279" s="928"/>
      <c r="AA279" s="904"/>
      <c r="AB279" s="927"/>
      <c r="AC279" s="928"/>
      <c r="AD279" s="928"/>
      <c r="AE279" s="904"/>
      <c r="AF279" s="908"/>
      <c r="AG279" s="928"/>
      <c r="AH279" s="898">
        <f t="shared" si="34"/>
        <v>0</v>
      </c>
      <c r="AI279" s="898">
        <f t="shared" si="36"/>
        <v>0</v>
      </c>
    </row>
    <row r="280" spans="3:35" x14ac:dyDescent="0.2">
      <c r="C280" s="74" t="s">
        <v>28</v>
      </c>
      <c r="D280" s="146">
        <v>47</v>
      </c>
      <c r="E280" s="897"/>
      <c r="F280" s="897"/>
      <c r="G280" s="897"/>
      <c r="H280" s="897"/>
      <c r="I280" s="897"/>
      <c r="J280" s="915">
        <f t="shared" si="35"/>
        <v>0</v>
      </c>
      <c r="K280" s="903"/>
      <c r="L280" s="903"/>
      <c r="M280" s="926"/>
      <c r="N280" s="927"/>
      <c r="O280" s="928"/>
      <c r="P280" s="904"/>
      <c r="Q280" s="908"/>
      <c r="R280" s="928"/>
      <c r="S280" s="907"/>
      <c r="T280" s="928"/>
      <c r="U280" s="904"/>
      <c r="V280" s="904"/>
      <c r="W280" s="929"/>
      <c r="X280" s="899"/>
      <c r="Y280" s="909"/>
      <c r="Z280" s="928"/>
      <c r="AA280" s="904"/>
      <c r="AB280" s="927"/>
      <c r="AC280" s="928"/>
      <c r="AD280" s="928"/>
      <c r="AE280" s="904"/>
      <c r="AF280" s="908"/>
      <c r="AG280" s="928"/>
      <c r="AH280" s="898">
        <f t="shared" si="34"/>
        <v>0</v>
      </c>
      <c r="AI280" s="898">
        <f t="shared" si="36"/>
        <v>0</v>
      </c>
    </row>
    <row r="281" spans="3:35" x14ac:dyDescent="0.2">
      <c r="C281" s="74" t="s">
        <v>676</v>
      </c>
      <c r="D281" s="146">
        <v>48</v>
      </c>
      <c r="E281" s="897"/>
      <c r="F281" s="897"/>
      <c r="G281" s="897"/>
      <c r="H281" s="897"/>
      <c r="I281" s="897"/>
      <c r="J281" s="915">
        <f t="shared" si="35"/>
        <v>0</v>
      </c>
      <c r="K281" s="903"/>
      <c r="L281" s="903"/>
      <c r="M281" s="926"/>
      <c r="N281" s="927"/>
      <c r="O281" s="928"/>
      <c r="P281" s="904"/>
      <c r="Q281" s="908"/>
      <c r="R281" s="928"/>
      <c r="S281" s="907"/>
      <c r="T281" s="928"/>
      <c r="U281" s="904"/>
      <c r="V281" s="904"/>
      <c r="W281" s="929"/>
      <c r="X281" s="899"/>
      <c r="Y281" s="909"/>
      <c r="Z281" s="928"/>
      <c r="AA281" s="904"/>
      <c r="AB281" s="927"/>
      <c r="AC281" s="928"/>
      <c r="AD281" s="928"/>
      <c r="AE281" s="904"/>
      <c r="AF281" s="908"/>
      <c r="AG281" s="928"/>
      <c r="AH281" s="898">
        <f t="shared" si="34"/>
        <v>0</v>
      </c>
      <c r="AI281" s="898">
        <f t="shared" si="36"/>
        <v>0</v>
      </c>
    </row>
    <row r="282" spans="3:35" x14ac:dyDescent="0.2">
      <c r="C282" s="75" t="s">
        <v>972</v>
      </c>
      <c r="D282" s="146">
        <v>49</v>
      </c>
      <c r="E282" s="897"/>
      <c r="F282" s="897"/>
      <c r="G282" s="897"/>
      <c r="H282" s="897"/>
      <c r="I282" s="897"/>
      <c r="J282" s="915">
        <f t="shared" si="35"/>
        <v>0</v>
      </c>
      <c r="K282" s="903"/>
      <c r="L282" s="903"/>
      <c r="M282" s="926"/>
      <c r="N282" s="927"/>
      <c r="O282" s="928"/>
      <c r="P282" s="904"/>
      <c r="Q282" s="908"/>
      <c r="R282" s="928"/>
      <c r="S282" s="907"/>
      <c r="T282" s="928"/>
      <c r="U282" s="904"/>
      <c r="V282" s="904"/>
      <c r="W282" s="929"/>
      <c r="X282" s="899"/>
      <c r="Y282" s="909"/>
      <c r="Z282" s="928"/>
      <c r="AA282" s="904"/>
      <c r="AB282" s="927"/>
      <c r="AC282" s="928"/>
      <c r="AD282" s="928"/>
      <c r="AE282" s="904"/>
      <c r="AF282" s="908"/>
      <c r="AG282" s="928"/>
      <c r="AH282" s="898">
        <f t="shared" si="34"/>
        <v>0</v>
      </c>
      <c r="AI282" s="898">
        <f t="shared" si="36"/>
        <v>0</v>
      </c>
    </row>
    <row r="283" spans="3:35" x14ac:dyDescent="0.2">
      <c r="C283" s="75" t="s">
        <v>557</v>
      </c>
      <c r="D283" s="146">
        <v>50</v>
      </c>
      <c r="E283" s="897"/>
      <c r="F283" s="897"/>
      <c r="G283" s="897"/>
      <c r="H283" s="897"/>
      <c r="I283" s="897"/>
      <c r="J283" s="915">
        <f t="shared" si="35"/>
        <v>0</v>
      </c>
      <c r="K283" s="903"/>
      <c r="L283" s="903"/>
      <c r="M283" s="926"/>
      <c r="N283" s="927"/>
      <c r="O283" s="928"/>
      <c r="P283" s="904"/>
      <c r="Q283" s="908"/>
      <c r="R283" s="928"/>
      <c r="S283" s="907"/>
      <c r="T283" s="928"/>
      <c r="U283" s="904"/>
      <c r="V283" s="904"/>
      <c r="W283" s="929"/>
      <c r="X283" s="899"/>
      <c r="Y283" s="909"/>
      <c r="Z283" s="928"/>
      <c r="AA283" s="904"/>
      <c r="AB283" s="927"/>
      <c r="AC283" s="928"/>
      <c r="AD283" s="928"/>
      <c r="AE283" s="904"/>
      <c r="AF283" s="908"/>
      <c r="AG283" s="928"/>
      <c r="AH283" s="898">
        <f t="shared" si="34"/>
        <v>0</v>
      </c>
      <c r="AI283" s="898">
        <f t="shared" si="36"/>
        <v>0</v>
      </c>
    </row>
    <row r="284" spans="3:35" x14ac:dyDescent="0.2">
      <c r="C284" s="74" t="s">
        <v>973</v>
      </c>
      <c r="D284" s="146">
        <v>51</v>
      </c>
      <c r="E284" s="897"/>
      <c r="F284" s="897"/>
      <c r="G284" s="897"/>
      <c r="H284" s="897"/>
      <c r="I284" s="897"/>
      <c r="J284" s="915">
        <f t="shared" si="35"/>
        <v>0</v>
      </c>
      <c r="K284" s="903"/>
      <c r="L284" s="903"/>
      <c r="M284" s="926"/>
      <c r="N284" s="927"/>
      <c r="O284" s="928"/>
      <c r="P284" s="904"/>
      <c r="Q284" s="908"/>
      <c r="R284" s="928"/>
      <c r="S284" s="907"/>
      <c r="T284" s="928"/>
      <c r="U284" s="904"/>
      <c r="V284" s="904"/>
      <c r="W284" s="929"/>
      <c r="X284" s="899"/>
      <c r="Y284" s="909"/>
      <c r="Z284" s="928"/>
      <c r="AA284" s="904"/>
      <c r="AB284" s="927"/>
      <c r="AC284" s="928"/>
      <c r="AD284" s="928"/>
      <c r="AE284" s="904"/>
      <c r="AF284" s="908"/>
      <c r="AG284" s="928"/>
      <c r="AH284" s="898">
        <f t="shared" si="34"/>
        <v>0</v>
      </c>
      <c r="AI284" s="898">
        <f t="shared" si="36"/>
        <v>0</v>
      </c>
    </row>
    <row r="285" spans="3:35" x14ac:dyDescent="0.2">
      <c r="C285" s="74" t="s">
        <v>29</v>
      </c>
      <c r="D285" s="146">
        <v>52</v>
      </c>
      <c r="E285" s="897"/>
      <c r="F285" s="897"/>
      <c r="G285" s="897"/>
      <c r="H285" s="897"/>
      <c r="I285" s="897"/>
      <c r="J285" s="915">
        <f t="shared" si="35"/>
        <v>0</v>
      </c>
      <c r="K285" s="903"/>
      <c r="L285" s="903"/>
      <c r="M285" s="926"/>
      <c r="N285" s="927"/>
      <c r="O285" s="928"/>
      <c r="P285" s="904"/>
      <c r="Q285" s="908"/>
      <c r="R285" s="928"/>
      <c r="S285" s="907"/>
      <c r="T285" s="928"/>
      <c r="U285" s="904"/>
      <c r="V285" s="904"/>
      <c r="W285" s="929"/>
      <c r="X285" s="899"/>
      <c r="Y285" s="909"/>
      <c r="Z285" s="928"/>
      <c r="AA285" s="904"/>
      <c r="AB285" s="927"/>
      <c r="AC285" s="928"/>
      <c r="AD285" s="928"/>
      <c r="AE285" s="904"/>
      <c r="AF285" s="908"/>
      <c r="AG285" s="928"/>
      <c r="AH285" s="898">
        <f t="shared" si="34"/>
        <v>0</v>
      </c>
      <c r="AI285" s="898">
        <f t="shared" si="36"/>
        <v>0</v>
      </c>
    </row>
    <row r="286" spans="3:35" x14ac:dyDescent="0.2">
      <c r="C286" s="74" t="s">
        <v>30</v>
      </c>
      <c r="D286" s="146">
        <v>53</v>
      </c>
      <c r="E286" s="897"/>
      <c r="F286" s="897"/>
      <c r="G286" s="897"/>
      <c r="H286" s="897"/>
      <c r="I286" s="897"/>
      <c r="J286" s="915">
        <f t="shared" si="35"/>
        <v>0</v>
      </c>
      <c r="K286" s="903"/>
      <c r="L286" s="903"/>
      <c r="M286" s="926"/>
      <c r="N286" s="927"/>
      <c r="O286" s="928"/>
      <c r="P286" s="904"/>
      <c r="Q286" s="908"/>
      <c r="R286" s="928"/>
      <c r="S286" s="907"/>
      <c r="T286" s="928"/>
      <c r="U286" s="904"/>
      <c r="V286" s="904"/>
      <c r="W286" s="929"/>
      <c r="X286" s="899"/>
      <c r="Y286" s="909"/>
      <c r="Z286" s="928"/>
      <c r="AA286" s="904"/>
      <c r="AB286" s="927"/>
      <c r="AC286" s="928"/>
      <c r="AD286" s="928"/>
      <c r="AE286" s="904"/>
      <c r="AF286" s="908"/>
      <c r="AG286" s="928"/>
      <c r="AH286" s="898">
        <f t="shared" si="34"/>
        <v>0</v>
      </c>
      <c r="AI286" s="898">
        <f t="shared" si="36"/>
        <v>0</v>
      </c>
    </row>
    <row r="287" spans="3:35" x14ac:dyDescent="0.2">
      <c r="C287" s="74" t="s">
        <v>31</v>
      </c>
      <c r="D287" s="146">
        <v>54</v>
      </c>
      <c r="E287" s="897"/>
      <c r="F287" s="897"/>
      <c r="G287" s="897"/>
      <c r="H287" s="897"/>
      <c r="I287" s="897"/>
      <c r="J287" s="915">
        <f t="shared" si="35"/>
        <v>0</v>
      </c>
      <c r="K287" s="903"/>
      <c r="L287" s="903"/>
      <c r="M287" s="926"/>
      <c r="N287" s="927"/>
      <c r="O287" s="928"/>
      <c r="P287" s="904"/>
      <c r="Q287" s="908"/>
      <c r="R287" s="928"/>
      <c r="S287" s="907"/>
      <c r="T287" s="928"/>
      <c r="U287" s="904"/>
      <c r="V287" s="904"/>
      <c r="W287" s="929"/>
      <c r="X287" s="899"/>
      <c r="Y287" s="909"/>
      <c r="Z287" s="928"/>
      <c r="AA287" s="904"/>
      <c r="AB287" s="927"/>
      <c r="AC287" s="928"/>
      <c r="AD287" s="928"/>
      <c r="AE287" s="904"/>
      <c r="AF287" s="908"/>
      <c r="AG287" s="928"/>
      <c r="AH287" s="898">
        <f t="shared" si="34"/>
        <v>0</v>
      </c>
      <c r="AI287" s="898">
        <f t="shared" si="36"/>
        <v>0</v>
      </c>
    </row>
    <row r="288" spans="3:35" x14ac:dyDescent="0.2">
      <c r="C288" s="74" t="s">
        <v>558</v>
      </c>
      <c r="D288" s="146">
        <v>55</v>
      </c>
      <c r="E288" s="897"/>
      <c r="F288" s="897"/>
      <c r="G288" s="897"/>
      <c r="H288" s="897"/>
      <c r="I288" s="897"/>
      <c r="J288" s="915">
        <f t="shared" si="35"/>
        <v>0</v>
      </c>
      <c r="K288" s="903"/>
      <c r="L288" s="903"/>
      <c r="M288" s="926"/>
      <c r="N288" s="927"/>
      <c r="O288" s="928"/>
      <c r="P288" s="904"/>
      <c r="Q288" s="908"/>
      <c r="R288" s="928"/>
      <c r="S288" s="907"/>
      <c r="T288" s="928"/>
      <c r="U288" s="904"/>
      <c r="V288" s="904"/>
      <c r="W288" s="929"/>
      <c r="X288" s="899"/>
      <c r="Y288" s="909"/>
      <c r="Z288" s="928"/>
      <c r="AA288" s="904"/>
      <c r="AB288" s="927"/>
      <c r="AC288" s="928"/>
      <c r="AD288" s="928"/>
      <c r="AE288" s="904"/>
      <c r="AF288" s="908"/>
      <c r="AG288" s="928"/>
      <c r="AH288" s="898">
        <f t="shared" si="34"/>
        <v>0</v>
      </c>
      <c r="AI288" s="898">
        <f t="shared" si="36"/>
        <v>0</v>
      </c>
    </row>
    <row r="289" spans="3:35" x14ac:dyDescent="0.2">
      <c r="C289" s="74" t="s">
        <v>32</v>
      </c>
      <c r="D289" s="146">
        <v>56</v>
      </c>
      <c r="E289" s="897"/>
      <c r="F289" s="897"/>
      <c r="G289" s="897"/>
      <c r="H289" s="897"/>
      <c r="I289" s="897"/>
      <c r="J289" s="915">
        <f t="shared" si="35"/>
        <v>0</v>
      </c>
      <c r="K289" s="903"/>
      <c r="L289" s="903"/>
      <c r="M289" s="926"/>
      <c r="N289" s="927"/>
      <c r="O289" s="928"/>
      <c r="P289" s="904"/>
      <c r="Q289" s="908"/>
      <c r="R289" s="928"/>
      <c r="S289" s="907"/>
      <c r="T289" s="928"/>
      <c r="U289" s="904"/>
      <c r="V289" s="904"/>
      <c r="W289" s="929"/>
      <c r="X289" s="899"/>
      <c r="Y289" s="909"/>
      <c r="Z289" s="928"/>
      <c r="AA289" s="904"/>
      <c r="AB289" s="927"/>
      <c r="AC289" s="928"/>
      <c r="AD289" s="928"/>
      <c r="AE289" s="904"/>
      <c r="AF289" s="908"/>
      <c r="AG289" s="928"/>
      <c r="AH289" s="898">
        <f t="shared" si="34"/>
        <v>0</v>
      </c>
      <c r="AI289" s="898">
        <f t="shared" si="36"/>
        <v>0</v>
      </c>
    </row>
    <row r="290" spans="3:35" x14ac:dyDescent="0.2">
      <c r="C290" s="74" t="s">
        <v>974</v>
      </c>
      <c r="D290" s="146">
        <v>57</v>
      </c>
      <c r="E290" s="897"/>
      <c r="F290" s="897"/>
      <c r="G290" s="897"/>
      <c r="H290" s="897"/>
      <c r="I290" s="897"/>
      <c r="J290" s="915">
        <f t="shared" si="35"/>
        <v>0</v>
      </c>
      <c r="K290" s="903"/>
      <c r="L290" s="903"/>
      <c r="M290" s="926"/>
      <c r="N290" s="927"/>
      <c r="O290" s="928"/>
      <c r="P290" s="904"/>
      <c r="Q290" s="908"/>
      <c r="R290" s="928"/>
      <c r="S290" s="907"/>
      <c r="T290" s="928"/>
      <c r="U290" s="904"/>
      <c r="V290" s="904"/>
      <c r="W290" s="929"/>
      <c r="X290" s="899"/>
      <c r="Y290" s="909"/>
      <c r="Z290" s="928"/>
      <c r="AA290" s="904"/>
      <c r="AB290" s="927"/>
      <c r="AC290" s="928"/>
      <c r="AD290" s="928"/>
      <c r="AE290" s="904"/>
      <c r="AF290" s="908"/>
      <c r="AG290" s="928"/>
      <c r="AH290" s="898">
        <f t="shared" si="34"/>
        <v>0</v>
      </c>
      <c r="AI290" s="898">
        <f t="shared" si="36"/>
        <v>0</v>
      </c>
    </row>
    <row r="291" spans="3:35" x14ac:dyDescent="0.2">
      <c r="C291" s="74" t="s">
        <v>946</v>
      </c>
      <c r="D291" s="146">
        <v>58</v>
      </c>
      <c r="E291" s="897"/>
      <c r="F291" s="897"/>
      <c r="G291" s="897"/>
      <c r="H291" s="897"/>
      <c r="I291" s="897"/>
      <c r="J291" s="915">
        <f t="shared" si="35"/>
        <v>0</v>
      </c>
      <c r="K291" s="903"/>
      <c r="L291" s="903"/>
      <c r="M291" s="926"/>
      <c r="N291" s="927"/>
      <c r="O291" s="928"/>
      <c r="P291" s="904"/>
      <c r="Q291" s="908"/>
      <c r="R291" s="928"/>
      <c r="S291" s="907"/>
      <c r="T291" s="928"/>
      <c r="U291" s="904"/>
      <c r="V291" s="904"/>
      <c r="W291" s="929"/>
      <c r="X291" s="899"/>
      <c r="Y291" s="909"/>
      <c r="Z291" s="928"/>
      <c r="AA291" s="904"/>
      <c r="AB291" s="927"/>
      <c r="AC291" s="928"/>
      <c r="AD291" s="928"/>
      <c r="AE291" s="904"/>
      <c r="AF291" s="908"/>
      <c r="AG291" s="928"/>
      <c r="AH291" s="898">
        <f t="shared" si="34"/>
        <v>0</v>
      </c>
      <c r="AI291" s="898">
        <f t="shared" si="36"/>
        <v>0</v>
      </c>
    </row>
    <row r="292" spans="3:35" x14ac:dyDescent="0.2">
      <c r="C292" s="74" t="s">
        <v>33</v>
      </c>
      <c r="D292" s="146">
        <v>59</v>
      </c>
      <c r="E292" s="897"/>
      <c r="F292" s="897"/>
      <c r="G292" s="897"/>
      <c r="H292" s="897"/>
      <c r="I292" s="897"/>
      <c r="J292" s="915">
        <f t="shared" si="35"/>
        <v>0</v>
      </c>
      <c r="K292" s="903"/>
      <c r="L292" s="903"/>
      <c r="M292" s="926"/>
      <c r="N292" s="927"/>
      <c r="O292" s="928"/>
      <c r="P292" s="904"/>
      <c r="Q292" s="908"/>
      <c r="R292" s="928"/>
      <c r="S292" s="907"/>
      <c r="T292" s="928"/>
      <c r="U292" s="904"/>
      <c r="V292" s="904"/>
      <c r="W292" s="929"/>
      <c r="X292" s="899"/>
      <c r="Y292" s="909"/>
      <c r="Z292" s="928"/>
      <c r="AA292" s="904"/>
      <c r="AB292" s="927"/>
      <c r="AC292" s="928"/>
      <c r="AD292" s="928"/>
      <c r="AE292" s="904"/>
      <c r="AF292" s="908"/>
      <c r="AG292" s="928"/>
      <c r="AH292" s="898">
        <f t="shared" si="34"/>
        <v>0</v>
      </c>
      <c r="AI292" s="898">
        <f t="shared" si="36"/>
        <v>0</v>
      </c>
    </row>
    <row r="293" spans="3:35" x14ac:dyDescent="0.2">
      <c r="C293" s="74" t="s">
        <v>975</v>
      </c>
      <c r="D293" s="146">
        <v>60</v>
      </c>
      <c r="E293" s="897"/>
      <c r="F293" s="897"/>
      <c r="G293" s="897"/>
      <c r="H293" s="897"/>
      <c r="I293" s="897"/>
      <c r="J293" s="915">
        <f t="shared" si="35"/>
        <v>0</v>
      </c>
      <c r="K293" s="903"/>
      <c r="L293" s="903"/>
      <c r="M293" s="926"/>
      <c r="N293" s="927"/>
      <c r="O293" s="928"/>
      <c r="P293" s="904"/>
      <c r="Q293" s="908"/>
      <c r="R293" s="928"/>
      <c r="S293" s="907"/>
      <c r="T293" s="928"/>
      <c r="U293" s="904"/>
      <c r="V293" s="904"/>
      <c r="W293" s="929"/>
      <c r="X293" s="899"/>
      <c r="Y293" s="909"/>
      <c r="Z293" s="928"/>
      <c r="AA293" s="904"/>
      <c r="AB293" s="927"/>
      <c r="AC293" s="928"/>
      <c r="AD293" s="928"/>
      <c r="AE293" s="904"/>
      <c r="AF293" s="908"/>
      <c r="AG293" s="928"/>
      <c r="AH293" s="898">
        <f t="shared" si="34"/>
        <v>0</v>
      </c>
      <c r="AI293" s="898">
        <f t="shared" si="36"/>
        <v>0</v>
      </c>
    </row>
    <row r="294" spans="3:35" x14ac:dyDescent="0.2">
      <c r="C294" s="74" t="s">
        <v>976</v>
      </c>
      <c r="D294" s="146">
        <v>61</v>
      </c>
      <c r="E294" s="897"/>
      <c r="F294" s="897"/>
      <c r="G294" s="897"/>
      <c r="H294" s="897"/>
      <c r="I294" s="897"/>
      <c r="J294" s="915">
        <f t="shared" si="35"/>
        <v>0</v>
      </c>
      <c r="K294" s="903"/>
      <c r="L294" s="903"/>
      <c r="M294" s="926"/>
      <c r="N294" s="927"/>
      <c r="O294" s="928"/>
      <c r="P294" s="904"/>
      <c r="Q294" s="908"/>
      <c r="R294" s="928"/>
      <c r="S294" s="907"/>
      <c r="T294" s="928"/>
      <c r="U294" s="904"/>
      <c r="V294" s="904"/>
      <c r="W294" s="929"/>
      <c r="X294" s="899"/>
      <c r="Y294" s="909"/>
      <c r="Z294" s="928"/>
      <c r="AA294" s="904"/>
      <c r="AB294" s="927"/>
      <c r="AC294" s="928"/>
      <c r="AD294" s="928"/>
      <c r="AE294" s="904"/>
      <c r="AF294" s="908"/>
      <c r="AG294" s="928"/>
      <c r="AH294" s="898">
        <f t="shared" si="34"/>
        <v>0</v>
      </c>
      <c r="AI294" s="898">
        <f t="shared" si="36"/>
        <v>0</v>
      </c>
    </row>
    <row r="295" spans="3:35" x14ac:dyDescent="0.2">
      <c r="C295" s="74" t="s">
        <v>1425</v>
      </c>
      <c r="D295" s="146">
        <v>62</v>
      </c>
      <c r="E295" s="897"/>
      <c r="F295" s="897"/>
      <c r="G295" s="897"/>
      <c r="H295" s="897"/>
      <c r="I295" s="897"/>
      <c r="J295" s="915">
        <f t="shared" si="35"/>
        <v>0</v>
      </c>
      <c r="K295" s="903"/>
      <c r="L295" s="903"/>
      <c r="M295" s="926"/>
      <c r="N295" s="927"/>
      <c r="O295" s="928"/>
      <c r="P295" s="904"/>
      <c r="Q295" s="908"/>
      <c r="R295" s="928"/>
      <c r="S295" s="907"/>
      <c r="T295" s="928"/>
      <c r="U295" s="904"/>
      <c r="V295" s="904"/>
      <c r="W295" s="929"/>
      <c r="X295" s="899"/>
      <c r="Y295" s="909"/>
      <c r="Z295" s="928"/>
      <c r="AA295" s="904"/>
      <c r="AB295" s="927"/>
      <c r="AC295" s="928"/>
      <c r="AD295" s="928"/>
      <c r="AE295" s="904"/>
      <c r="AF295" s="908"/>
      <c r="AG295" s="928"/>
      <c r="AH295" s="898">
        <f t="shared" ref="AH295" si="37">ROUND(SUM(K295:M295,N295,Q295:S295,V295,Y295,AB295,AF295:AG295),3)</f>
        <v>0</v>
      </c>
      <c r="AI295" s="898">
        <f t="shared" ref="AI295" si="38">ROUND(SUM(J295,AH295),3)</f>
        <v>0</v>
      </c>
    </row>
    <row r="296" spans="3:35" x14ac:dyDescent="0.2">
      <c r="C296" s="74" t="s">
        <v>977</v>
      </c>
      <c r="D296" s="146">
        <v>63</v>
      </c>
      <c r="E296" s="897"/>
      <c r="F296" s="897"/>
      <c r="G296" s="897"/>
      <c r="H296" s="897"/>
      <c r="I296" s="897"/>
      <c r="J296" s="915">
        <f t="shared" si="35"/>
        <v>0</v>
      </c>
      <c r="K296" s="903"/>
      <c r="L296" s="903"/>
      <c r="M296" s="926"/>
      <c r="N296" s="927"/>
      <c r="O296" s="928"/>
      <c r="P296" s="904"/>
      <c r="Q296" s="908"/>
      <c r="R296" s="928"/>
      <c r="S296" s="907"/>
      <c r="T296" s="928"/>
      <c r="U296" s="904"/>
      <c r="V296" s="904"/>
      <c r="W296" s="929"/>
      <c r="X296" s="899"/>
      <c r="Y296" s="909"/>
      <c r="Z296" s="928"/>
      <c r="AA296" s="904"/>
      <c r="AB296" s="927"/>
      <c r="AC296" s="928"/>
      <c r="AD296" s="928"/>
      <c r="AE296" s="904"/>
      <c r="AF296" s="908"/>
      <c r="AG296" s="928"/>
      <c r="AH296" s="898">
        <f t="shared" si="34"/>
        <v>0</v>
      </c>
      <c r="AI296" s="898">
        <f t="shared" si="36"/>
        <v>0</v>
      </c>
    </row>
    <row r="297" spans="3:35" x14ac:dyDescent="0.2">
      <c r="C297" s="74" t="s">
        <v>978</v>
      </c>
      <c r="D297" s="146">
        <v>64</v>
      </c>
      <c r="E297" s="897"/>
      <c r="F297" s="897"/>
      <c r="G297" s="897"/>
      <c r="H297" s="897"/>
      <c r="I297" s="897"/>
      <c r="J297" s="915">
        <f t="shared" si="35"/>
        <v>0</v>
      </c>
      <c r="K297" s="903"/>
      <c r="L297" s="903"/>
      <c r="M297" s="926"/>
      <c r="N297" s="927"/>
      <c r="O297" s="928"/>
      <c r="P297" s="904"/>
      <c r="Q297" s="908"/>
      <c r="R297" s="928"/>
      <c r="S297" s="907"/>
      <c r="T297" s="928"/>
      <c r="U297" s="904"/>
      <c r="V297" s="904"/>
      <c r="W297" s="929"/>
      <c r="X297" s="899"/>
      <c r="Y297" s="909"/>
      <c r="Z297" s="928"/>
      <c r="AA297" s="904"/>
      <c r="AB297" s="927"/>
      <c r="AC297" s="928"/>
      <c r="AD297" s="928"/>
      <c r="AE297" s="904"/>
      <c r="AF297" s="908"/>
      <c r="AG297" s="928"/>
      <c r="AH297" s="898">
        <f t="shared" ref="AH297:AH327" si="39">ROUND(SUM(K297:M297,N297,Q297:S297,V297,Y297,AB297,AF297:AG297),3)</f>
        <v>0</v>
      </c>
      <c r="AI297" s="898">
        <f t="shared" si="36"/>
        <v>0</v>
      </c>
    </row>
    <row r="298" spans="3:35" x14ac:dyDescent="0.2">
      <c r="C298" s="74" t="s">
        <v>34</v>
      </c>
      <c r="D298" s="146">
        <v>65</v>
      </c>
      <c r="E298" s="897"/>
      <c r="F298" s="897"/>
      <c r="G298" s="897"/>
      <c r="H298" s="897"/>
      <c r="I298" s="897"/>
      <c r="J298" s="915">
        <f t="shared" si="35"/>
        <v>0</v>
      </c>
      <c r="K298" s="903"/>
      <c r="L298" s="903"/>
      <c r="M298" s="926"/>
      <c r="N298" s="927"/>
      <c r="O298" s="928"/>
      <c r="P298" s="904"/>
      <c r="Q298" s="908"/>
      <c r="R298" s="928"/>
      <c r="S298" s="907"/>
      <c r="T298" s="928"/>
      <c r="U298" s="904"/>
      <c r="V298" s="904"/>
      <c r="W298" s="929"/>
      <c r="X298" s="899"/>
      <c r="Y298" s="909"/>
      <c r="Z298" s="928"/>
      <c r="AA298" s="904"/>
      <c r="AB298" s="927"/>
      <c r="AC298" s="928"/>
      <c r="AD298" s="928"/>
      <c r="AE298" s="904"/>
      <c r="AF298" s="908"/>
      <c r="AG298" s="928"/>
      <c r="AH298" s="898">
        <f t="shared" si="39"/>
        <v>0</v>
      </c>
      <c r="AI298" s="898">
        <f t="shared" si="36"/>
        <v>0</v>
      </c>
    </row>
    <row r="299" spans="3:35" x14ac:dyDescent="0.2">
      <c r="C299" s="74" t="s">
        <v>35</v>
      </c>
      <c r="D299" s="146">
        <v>66</v>
      </c>
      <c r="E299" s="897"/>
      <c r="F299" s="897"/>
      <c r="G299" s="897"/>
      <c r="H299" s="897"/>
      <c r="I299" s="897"/>
      <c r="J299" s="915">
        <f t="shared" si="35"/>
        <v>0</v>
      </c>
      <c r="K299" s="903"/>
      <c r="L299" s="903"/>
      <c r="M299" s="926"/>
      <c r="N299" s="927"/>
      <c r="O299" s="928"/>
      <c r="P299" s="904"/>
      <c r="Q299" s="908"/>
      <c r="R299" s="928"/>
      <c r="S299" s="907"/>
      <c r="T299" s="928"/>
      <c r="U299" s="904"/>
      <c r="V299" s="904"/>
      <c r="W299" s="929"/>
      <c r="X299" s="899"/>
      <c r="Y299" s="909"/>
      <c r="Z299" s="928"/>
      <c r="AA299" s="904"/>
      <c r="AB299" s="927"/>
      <c r="AC299" s="928"/>
      <c r="AD299" s="928"/>
      <c r="AE299" s="904"/>
      <c r="AF299" s="908"/>
      <c r="AG299" s="928"/>
      <c r="AH299" s="898">
        <f t="shared" si="39"/>
        <v>0</v>
      </c>
      <c r="AI299" s="898">
        <f t="shared" si="36"/>
        <v>0</v>
      </c>
    </row>
    <row r="300" spans="3:35" x14ac:dyDescent="0.2">
      <c r="C300" s="74" t="s">
        <v>36</v>
      </c>
      <c r="D300" s="146">
        <v>67</v>
      </c>
      <c r="E300" s="897"/>
      <c r="F300" s="897"/>
      <c r="G300" s="897"/>
      <c r="H300" s="897"/>
      <c r="I300" s="897"/>
      <c r="J300" s="915">
        <f t="shared" ref="J300:J331" si="40">ROUND(SUM(E300:I300),3)</f>
        <v>0</v>
      </c>
      <c r="K300" s="903"/>
      <c r="L300" s="903"/>
      <c r="M300" s="926"/>
      <c r="N300" s="927"/>
      <c r="O300" s="928"/>
      <c r="P300" s="904"/>
      <c r="Q300" s="908"/>
      <c r="R300" s="928"/>
      <c r="S300" s="907"/>
      <c r="T300" s="928"/>
      <c r="U300" s="904"/>
      <c r="V300" s="904"/>
      <c r="W300" s="929"/>
      <c r="X300" s="899"/>
      <c r="Y300" s="909"/>
      <c r="Z300" s="928"/>
      <c r="AA300" s="904"/>
      <c r="AB300" s="927"/>
      <c r="AC300" s="928"/>
      <c r="AD300" s="928"/>
      <c r="AE300" s="904"/>
      <c r="AF300" s="908"/>
      <c r="AG300" s="928"/>
      <c r="AH300" s="898">
        <f t="shared" si="39"/>
        <v>0</v>
      </c>
      <c r="AI300" s="898">
        <f t="shared" ref="AI300:AI331" si="41">ROUND(SUM(J300,AH300),3)</f>
        <v>0</v>
      </c>
    </row>
    <row r="301" spans="3:35" x14ac:dyDescent="0.2">
      <c r="C301" s="74" t="s">
        <v>37</v>
      </c>
      <c r="D301" s="146">
        <v>68</v>
      </c>
      <c r="E301" s="897"/>
      <c r="F301" s="897"/>
      <c r="G301" s="897"/>
      <c r="H301" s="897"/>
      <c r="I301" s="897"/>
      <c r="J301" s="915">
        <f t="shared" si="40"/>
        <v>0</v>
      </c>
      <c r="K301" s="903"/>
      <c r="L301" s="903"/>
      <c r="M301" s="926"/>
      <c r="N301" s="927"/>
      <c r="O301" s="928"/>
      <c r="P301" s="904"/>
      <c r="Q301" s="908"/>
      <c r="R301" s="928"/>
      <c r="S301" s="907"/>
      <c r="T301" s="928"/>
      <c r="U301" s="904"/>
      <c r="V301" s="904"/>
      <c r="W301" s="929"/>
      <c r="X301" s="899"/>
      <c r="Y301" s="909"/>
      <c r="Z301" s="928"/>
      <c r="AA301" s="904"/>
      <c r="AB301" s="927"/>
      <c r="AC301" s="928"/>
      <c r="AD301" s="928"/>
      <c r="AE301" s="904"/>
      <c r="AF301" s="908"/>
      <c r="AG301" s="928"/>
      <c r="AH301" s="898">
        <f t="shared" si="39"/>
        <v>0</v>
      </c>
      <c r="AI301" s="898">
        <f t="shared" si="41"/>
        <v>0</v>
      </c>
    </row>
    <row r="302" spans="3:35" x14ac:dyDescent="0.2">
      <c r="C302" s="74" t="s">
        <v>979</v>
      </c>
      <c r="D302" s="146">
        <v>69</v>
      </c>
      <c r="E302" s="897"/>
      <c r="F302" s="897"/>
      <c r="G302" s="897"/>
      <c r="H302" s="897"/>
      <c r="I302" s="897"/>
      <c r="J302" s="915">
        <f t="shared" si="40"/>
        <v>0</v>
      </c>
      <c r="K302" s="903"/>
      <c r="L302" s="903"/>
      <c r="M302" s="926"/>
      <c r="N302" s="927"/>
      <c r="O302" s="928"/>
      <c r="P302" s="904"/>
      <c r="Q302" s="908"/>
      <c r="R302" s="928"/>
      <c r="S302" s="907"/>
      <c r="T302" s="928"/>
      <c r="U302" s="904"/>
      <c r="V302" s="904"/>
      <c r="W302" s="929"/>
      <c r="X302" s="899"/>
      <c r="Y302" s="909"/>
      <c r="Z302" s="928"/>
      <c r="AA302" s="904"/>
      <c r="AB302" s="927"/>
      <c r="AC302" s="928"/>
      <c r="AD302" s="928"/>
      <c r="AE302" s="904"/>
      <c r="AF302" s="908"/>
      <c r="AG302" s="928"/>
      <c r="AH302" s="898">
        <f t="shared" si="39"/>
        <v>0</v>
      </c>
      <c r="AI302" s="898">
        <f t="shared" si="41"/>
        <v>0</v>
      </c>
    </row>
    <row r="303" spans="3:35" x14ac:dyDescent="0.2">
      <c r="C303" s="74" t="s">
        <v>38</v>
      </c>
      <c r="D303" s="146">
        <v>70</v>
      </c>
      <c r="E303" s="897"/>
      <c r="F303" s="897"/>
      <c r="G303" s="897"/>
      <c r="H303" s="897"/>
      <c r="I303" s="897"/>
      <c r="J303" s="915">
        <f t="shared" si="40"/>
        <v>0</v>
      </c>
      <c r="K303" s="903"/>
      <c r="L303" s="903"/>
      <c r="M303" s="926"/>
      <c r="N303" s="927"/>
      <c r="O303" s="928"/>
      <c r="P303" s="904"/>
      <c r="Q303" s="908"/>
      <c r="R303" s="928"/>
      <c r="S303" s="907"/>
      <c r="T303" s="928"/>
      <c r="U303" s="904"/>
      <c r="V303" s="904"/>
      <c r="W303" s="929"/>
      <c r="X303" s="899"/>
      <c r="Y303" s="909"/>
      <c r="Z303" s="928"/>
      <c r="AA303" s="904"/>
      <c r="AB303" s="927"/>
      <c r="AC303" s="928"/>
      <c r="AD303" s="928"/>
      <c r="AE303" s="904"/>
      <c r="AF303" s="908"/>
      <c r="AG303" s="928"/>
      <c r="AH303" s="898">
        <f t="shared" si="39"/>
        <v>0</v>
      </c>
      <c r="AI303" s="898">
        <f t="shared" si="41"/>
        <v>0</v>
      </c>
    </row>
    <row r="304" spans="3:35" x14ac:dyDescent="0.2">
      <c r="C304" s="74" t="s">
        <v>39</v>
      </c>
      <c r="D304" s="146">
        <v>71</v>
      </c>
      <c r="E304" s="897"/>
      <c r="F304" s="897"/>
      <c r="G304" s="897"/>
      <c r="H304" s="897"/>
      <c r="I304" s="897"/>
      <c r="J304" s="915">
        <f t="shared" si="40"/>
        <v>0</v>
      </c>
      <c r="K304" s="903"/>
      <c r="L304" s="903"/>
      <c r="M304" s="926"/>
      <c r="N304" s="927"/>
      <c r="O304" s="928"/>
      <c r="P304" s="904"/>
      <c r="Q304" s="908"/>
      <c r="R304" s="928"/>
      <c r="S304" s="907"/>
      <c r="T304" s="928"/>
      <c r="U304" s="904"/>
      <c r="V304" s="904"/>
      <c r="W304" s="929"/>
      <c r="X304" s="899"/>
      <c r="Y304" s="909"/>
      <c r="Z304" s="928"/>
      <c r="AA304" s="904"/>
      <c r="AB304" s="927"/>
      <c r="AC304" s="928"/>
      <c r="AD304" s="928"/>
      <c r="AE304" s="904"/>
      <c r="AF304" s="908"/>
      <c r="AG304" s="928"/>
      <c r="AH304" s="898">
        <f t="shared" si="39"/>
        <v>0</v>
      </c>
      <c r="AI304" s="898">
        <f t="shared" si="41"/>
        <v>0</v>
      </c>
    </row>
    <row r="305" spans="3:35" x14ac:dyDescent="0.2">
      <c r="C305" s="74" t="s">
        <v>97</v>
      </c>
      <c r="D305" s="146">
        <v>72</v>
      </c>
      <c r="E305" s="897"/>
      <c r="F305" s="897"/>
      <c r="G305" s="897"/>
      <c r="H305" s="897"/>
      <c r="I305" s="897"/>
      <c r="J305" s="915">
        <f t="shared" si="40"/>
        <v>0</v>
      </c>
      <c r="K305" s="903"/>
      <c r="L305" s="903"/>
      <c r="M305" s="926"/>
      <c r="N305" s="927"/>
      <c r="O305" s="928"/>
      <c r="P305" s="904"/>
      <c r="Q305" s="908"/>
      <c r="R305" s="928"/>
      <c r="S305" s="907"/>
      <c r="T305" s="928"/>
      <c r="U305" s="904"/>
      <c r="V305" s="904"/>
      <c r="W305" s="929"/>
      <c r="X305" s="899"/>
      <c r="Y305" s="909"/>
      <c r="Z305" s="928"/>
      <c r="AA305" s="904"/>
      <c r="AB305" s="927"/>
      <c r="AC305" s="928"/>
      <c r="AD305" s="928"/>
      <c r="AE305" s="904"/>
      <c r="AF305" s="908"/>
      <c r="AG305" s="928"/>
      <c r="AH305" s="898">
        <f t="shared" si="39"/>
        <v>0</v>
      </c>
      <c r="AI305" s="898">
        <f t="shared" si="41"/>
        <v>0</v>
      </c>
    </row>
    <row r="306" spans="3:35" x14ac:dyDescent="0.2">
      <c r="C306" s="74" t="s">
        <v>40</v>
      </c>
      <c r="D306" s="146">
        <v>73</v>
      </c>
      <c r="E306" s="897"/>
      <c r="F306" s="897"/>
      <c r="G306" s="897"/>
      <c r="H306" s="897"/>
      <c r="I306" s="897"/>
      <c r="J306" s="915">
        <f t="shared" si="40"/>
        <v>0</v>
      </c>
      <c r="K306" s="903"/>
      <c r="L306" s="903"/>
      <c r="M306" s="926"/>
      <c r="N306" s="927"/>
      <c r="O306" s="928"/>
      <c r="P306" s="904"/>
      <c r="Q306" s="908"/>
      <c r="R306" s="928"/>
      <c r="S306" s="907"/>
      <c r="T306" s="928"/>
      <c r="U306" s="904"/>
      <c r="V306" s="904"/>
      <c r="W306" s="929"/>
      <c r="X306" s="899"/>
      <c r="Y306" s="909"/>
      <c r="Z306" s="928"/>
      <c r="AA306" s="904"/>
      <c r="AB306" s="927"/>
      <c r="AC306" s="928"/>
      <c r="AD306" s="928"/>
      <c r="AE306" s="904"/>
      <c r="AF306" s="908"/>
      <c r="AG306" s="928"/>
      <c r="AH306" s="898">
        <f t="shared" si="39"/>
        <v>0</v>
      </c>
      <c r="AI306" s="898">
        <f t="shared" si="41"/>
        <v>0</v>
      </c>
    </row>
    <row r="307" spans="3:35" x14ac:dyDescent="0.2">
      <c r="C307" s="74" t="s">
        <v>980</v>
      </c>
      <c r="D307" s="146">
        <v>74</v>
      </c>
      <c r="E307" s="897"/>
      <c r="F307" s="897"/>
      <c r="G307" s="897"/>
      <c r="H307" s="897"/>
      <c r="I307" s="897"/>
      <c r="J307" s="915">
        <f t="shared" si="40"/>
        <v>0</v>
      </c>
      <c r="K307" s="903"/>
      <c r="L307" s="903"/>
      <c r="M307" s="926"/>
      <c r="N307" s="927"/>
      <c r="O307" s="928"/>
      <c r="P307" s="904"/>
      <c r="Q307" s="908"/>
      <c r="R307" s="928"/>
      <c r="S307" s="907"/>
      <c r="T307" s="928"/>
      <c r="U307" s="904"/>
      <c r="V307" s="904"/>
      <c r="W307" s="929"/>
      <c r="X307" s="899"/>
      <c r="Y307" s="909"/>
      <c r="Z307" s="928"/>
      <c r="AA307" s="904"/>
      <c r="AB307" s="927"/>
      <c r="AC307" s="928"/>
      <c r="AD307" s="928"/>
      <c r="AE307" s="904"/>
      <c r="AF307" s="908"/>
      <c r="AG307" s="928"/>
      <c r="AH307" s="898">
        <f t="shared" si="39"/>
        <v>0</v>
      </c>
      <c r="AI307" s="898">
        <f t="shared" si="41"/>
        <v>0</v>
      </c>
    </row>
    <row r="308" spans="3:35" x14ac:dyDescent="0.2">
      <c r="C308" s="74" t="s">
        <v>41</v>
      </c>
      <c r="D308" s="146">
        <v>75</v>
      </c>
      <c r="E308" s="897"/>
      <c r="F308" s="897"/>
      <c r="G308" s="897"/>
      <c r="H308" s="897"/>
      <c r="I308" s="897"/>
      <c r="J308" s="915">
        <f t="shared" si="40"/>
        <v>0</v>
      </c>
      <c r="K308" s="903"/>
      <c r="L308" s="903"/>
      <c r="M308" s="926"/>
      <c r="N308" s="927"/>
      <c r="O308" s="928"/>
      <c r="P308" s="904"/>
      <c r="Q308" s="908"/>
      <c r="R308" s="928"/>
      <c r="S308" s="907"/>
      <c r="T308" s="928"/>
      <c r="U308" s="904"/>
      <c r="V308" s="904"/>
      <c r="W308" s="929"/>
      <c r="X308" s="899"/>
      <c r="Y308" s="909"/>
      <c r="Z308" s="928"/>
      <c r="AA308" s="904"/>
      <c r="AB308" s="927"/>
      <c r="AC308" s="928"/>
      <c r="AD308" s="928"/>
      <c r="AE308" s="904"/>
      <c r="AF308" s="908"/>
      <c r="AG308" s="928"/>
      <c r="AH308" s="898">
        <f t="shared" si="39"/>
        <v>0</v>
      </c>
      <c r="AI308" s="898">
        <f t="shared" si="41"/>
        <v>0</v>
      </c>
    </row>
    <row r="309" spans="3:35" x14ac:dyDescent="0.2">
      <c r="C309" s="74" t="s">
        <v>981</v>
      </c>
      <c r="D309" s="146">
        <v>76</v>
      </c>
      <c r="E309" s="897"/>
      <c r="F309" s="897"/>
      <c r="G309" s="897"/>
      <c r="H309" s="897"/>
      <c r="I309" s="897"/>
      <c r="J309" s="915">
        <f t="shared" si="40"/>
        <v>0</v>
      </c>
      <c r="K309" s="903"/>
      <c r="L309" s="903"/>
      <c r="M309" s="926"/>
      <c r="N309" s="927"/>
      <c r="O309" s="928"/>
      <c r="P309" s="904"/>
      <c r="Q309" s="908"/>
      <c r="R309" s="928"/>
      <c r="S309" s="907"/>
      <c r="T309" s="928"/>
      <c r="U309" s="904"/>
      <c r="V309" s="904"/>
      <c r="W309" s="929"/>
      <c r="X309" s="899"/>
      <c r="Y309" s="909"/>
      <c r="Z309" s="928"/>
      <c r="AA309" s="904"/>
      <c r="AB309" s="927"/>
      <c r="AC309" s="928"/>
      <c r="AD309" s="928"/>
      <c r="AE309" s="904"/>
      <c r="AF309" s="908"/>
      <c r="AG309" s="928"/>
      <c r="AH309" s="898">
        <f t="shared" si="39"/>
        <v>0</v>
      </c>
      <c r="AI309" s="898">
        <f t="shared" si="41"/>
        <v>0</v>
      </c>
    </row>
    <row r="310" spans="3:35" x14ac:dyDescent="0.2">
      <c r="C310" s="74" t="s">
        <v>559</v>
      </c>
      <c r="D310" s="146">
        <v>77</v>
      </c>
      <c r="E310" s="897"/>
      <c r="F310" s="897"/>
      <c r="G310" s="897"/>
      <c r="H310" s="897"/>
      <c r="I310" s="897"/>
      <c r="J310" s="915">
        <f t="shared" si="40"/>
        <v>0</v>
      </c>
      <c r="K310" s="903"/>
      <c r="L310" s="903"/>
      <c r="M310" s="926"/>
      <c r="N310" s="927"/>
      <c r="O310" s="928"/>
      <c r="P310" s="904"/>
      <c r="Q310" s="908"/>
      <c r="R310" s="928"/>
      <c r="S310" s="907"/>
      <c r="T310" s="928"/>
      <c r="U310" s="904"/>
      <c r="V310" s="904"/>
      <c r="W310" s="929"/>
      <c r="X310" s="899"/>
      <c r="Y310" s="909"/>
      <c r="Z310" s="928"/>
      <c r="AA310" s="904"/>
      <c r="AB310" s="927"/>
      <c r="AC310" s="928"/>
      <c r="AD310" s="928"/>
      <c r="AE310" s="904"/>
      <c r="AF310" s="908"/>
      <c r="AG310" s="928"/>
      <c r="AH310" s="898">
        <f t="shared" si="39"/>
        <v>0</v>
      </c>
      <c r="AI310" s="898">
        <f t="shared" si="41"/>
        <v>0</v>
      </c>
    </row>
    <row r="311" spans="3:35" x14ac:dyDescent="0.2">
      <c r="C311" s="74" t="s">
        <v>982</v>
      </c>
      <c r="D311" s="146">
        <v>78</v>
      </c>
      <c r="E311" s="897"/>
      <c r="F311" s="897"/>
      <c r="G311" s="897"/>
      <c r="H311" s="897"/>
      <c r="I311" s="897"/>
      <c r="J311" s="915">
        <f t="shared" si="40"/>
        <v>0</v>
      </c>
      <c r="K311" s="903"/>
      <c r="L311" s="903"/>
      <c r="M311" s="926"/>
      <c r="N311" s="927"/>
      <c r="O311" s="928"/>
      <c r="P311" s="904"/>
      <c r="Q311" s="908"/>
      <c r="R311" s="928"/>
      <c r="S311" s="907"/>
      <c r="T311" s="928"/>
      <c r="U311" s="904"/>
      <c r="V311" s="904"/>
      <c r="W311" s="929"/>
      <c r="X311" s="899"/>
      <c r="Y311" s="909"/>
      <c r="Z311" s="928"/>
      <c r="AA311" s="904"/>
      <c r="AB311" s="927"/>
      <c r="AC311" s="928"/>
      <c r="AD311" s="928"/>
      <c r="AE311" s="904"/>
      <c r="AF311" s="908"/>
      <c r="AG311" s="928"/>
      <c r="AH311" s="898">
        <f t="shared" si="39"/>
        <v>0</v>
      </c>
      <c r="AI311" s="898">
        <f t="shared" si="41"/>
        <v>0</v>
      </c>
    </row>
    <row r="312" spans="3:35" x14ac:dyDescent="0.2">
      <c r="C312" s="225" t="s">
        <v>42</v>
      </c>
      <c r="D312" s="146">
        <v>79</v>
      </c>
      <c r="E312" s="897"/>
      <c r="F312" s="897"/>
      <c r="G312" s="897"/>
      <c r="H312" s="897"/>
      <c r="I312" s="897"/>
      <c r="J312" s="915">
        <f t="shared" si="40"/>
        <v>0</v>
      </c>
      <c r="K312" s="903"/>
      <c r="L312" s="903"/>
      <c r="M312" s="926"/>
      <c r="N312" s="927"/>
      <c r="O312" s="928"/>
      <c r="P312" s="904"/>
      <c r="Q312" s="908"/>
      <c r="R312" s="928"/>
      <c r="S312" s="907"/>
      <c r="T312" s="928"/>
      <c r="U312" s="904"/>
      <c r="V312" s="904"/>
      <c r="W312" s="929"/>
      <c r="X312" s="899"/>
      <c r="Y312" s="909"/>
      <c r="Z312" s="928"/>
      <c r="AA312" s="904"/>
      <c r="AB312" s="927"/>
      <c r="AC312" s="928"/>
      <c r="AD312" s="928"/>
      <c r="AE312" s="904"/>
      <c r="AF312" s="908"/>
      <c r="AG312" s="928"/>
      <c r="AH312" s="898">
        <f t="shared" si="39"/>
        <v>0</v>
      </c>
      <c r="AI312" s="898">
        <f t="shared" si="41"/>
        <v>0</v>
      </c>
    </row>
    <row r="313" spans="3:35" x14ac:dyDescent="0.2">
      <c r="C313" s="74" t="s">
        <v>983</v>
      </c>
      <c r="D313" s="146">
        <v>80</v>
      </c>
      <c r="E313" s="897"/>
      <c r="F313" s="897"/>
      <c r="G313" s="897"/>
      <c r="H313" s="897"/>
      <c r="I313" s="897"/>
      <c r="J313" s="915">
        <f t="shared" si="40"/>
        <v>0</v>
      </c>
      <c r="K313" s="903"/>
      <c r="L313" s="903"/>
      <c r="M313" s="926"/>
      <c r="N313" s="927"/>
      <c r="O313" s="928"/>
      <c r="P313" s="904"/>
      <c r="Q313" s="908"/>
      <c r="R313" s="928"/>
      <c r="S313" s="907"/>
      <c r="T313" s="928"/>
      <c r="U313" s="904"/>
      <c r="V313" s="904"/>
      <c r="W313" s="929"/>
      <c r="X313" s="899"/>
      <c r="Y313" s="909"/>
      <c r="Z313" s="928"/>
      <c r="AA313" s="904"/>
      <c r="AB313" s="927"/>
      <c r="AC313" s="928"/>
      <c r="AD313" s="928"/>
      <c r="AE313" s="904"/>
      <c r="AF313" s="908"/>
      <c r="AG313" s="928"/>
      <c r="AH313" s="898">
        <f t="shared" si="39"/>
        <v>0</v>
      </c>
      <c r="AI313" s="898">
        <f t="shared" si="41"/>
        <v>0</v>
      </c>
    </row>
    <row r="314" spans="3:35" x14ac:dyDescent="0.2">
      <c r="C314" s="74" t="s">
        <v>43</v>
      </c>
      <c r="D314" s="146">
        <v>81</v>
      </c>
      <c r="E314" s="897"/>
      <c r="F314" s="897"/>
      <c r="G314" s="897"/>
      <c r="H314" s="897"/>
      <c r="I314" s="897"/>
      <c r="J314" s="915">
        <f t="shared" si="40"/>
        <v>0</v>
      </c>
      <c r="K314" s="903"/>
      <c r="L314" s="903"/>
      <c r="M314" s="926"/>
      <c r="N314" s="927"/>
      <c r="O314" s="928"/>
      <c r="P314" s="904"/>
      <c r="Q314" s="908"/>
      <c r="R314" s="928"/>
      <c r="S314" s="907"/>
      <c r="T314" s="928"/>
      <c r="U314" s="904"/>
      <c r="V314" s="904"/>
      <c r="W314" s="929"/>
      <c r="X314" s="899"/>
      <c r="Y314" s="909"/>
      <c r="Z314" s="928"/>
      <c r="AA314" s="904"/>
      <c r="AB314" s="927"/>
      <c r="AC314" s="928"/>
      <c r="AD314" s="928"/>
      <c r="AE314" s="904"/>
      <c r="AF314" s="908"/>
      <c r="AG314" s="928"/>
      <c r="AH314" s="898">
        <f t="shared" si="39"/>
        <v>0</v>
      </c>
      <c r="AI314" s="898">
        <f t="shared" si="41"/>
        <v>0</v>
      </c>
    </row>
    <row r="315" spans="3:35" x14ac:dyDescent="0.2">
      <c r="C315" s="74" t="s">
        <v>560</v>
      </c>
      <c r="D315" s="146">
        <v>82</v>
      </c>
      <c r="E315" s="897"/>
      <c r="F315" s="897"/>
      <c r="G315" s="897"/>
      <c r="H315" s="897"/>
      <c r="I315" s="897"/>
      <c r="J315" s="915">
        <f t="shared" si="40"/>
        <v>0</v>
      </c>
      <c r="K315" s="903"/>
      <c r="L315" s="903"/>
      <c r="M315" s="926"/>
      <c r="N315" s="927"/>
      <c r="O315" s="928"/>
      <c r="P315" s="904"/>
      <c r="Q315" s="908"/>
      <c r="R315" s="928"/>
      <c r="S315" s="907"/>
      <c r="T315" s="928"/>
      <c r="U315" s="904"/>
      <c r="V315" s="904"/>
      <c r="W315" s="929"/>
      <c r="X315" s="899"/>
      <c r="Y315" s="909"/>
      <c r="Z315" s="928"/>
      <c r="AA315" s="904"/>
      <c r="AB315" s="927"/>
      <c r="AC315" s="928"/>
      <c r="AD315" s="928"/>
      <c r="AE315" s="904"/>
      <c r="AF315" s="908"/>
      <c r="AG315" s="928"/>
      <c r="AH315" s="898">
        <f t="shared" si="39"/>
        <v>0</v>
      </c>
      <c r="AI315" s="898">
        <f t="shared" si="41"/>
        <v>0</v>
      </c>
    </row>
    <row r="316" spans="3:35" x14ac:dyDescent="0.2">
      <c r="C316" s="74" t="s">
        <v>984</v>
      </c>
      <c r="D316" s="146">
        <v>83</v>
      </c>
      <c r="E316" s="897"/>
      <c r="F316" s="897"/>
      <c r="G316" s="897"/>
      <c r="H316" s="897"/>
      <c r="I316" s="897"/>
      <c r="J316" s="915">
        <f t="shared" si="40"/>
        <v>0</v>
      </c>
      <c r="K316" s="903"/>
      <c r="L316" s="903"/>
      <c r="M316" s="926"/>
      <c r="N316" s="927"/>
      <c r="O316" s="928"/>
      <c r="P316" s="904"/>
      <c r="Q316" s="908"/>
      <c r="R316" s="928"/>
      <c r="S316" s="907"/>
      <c r="T316" s="928"/>
      <c r="U316" s="904"/>
      <c r="V316" s="904"/>
      <c r="W316" s="929"/>
      <c r="X316" s="899"/>
      <c r="Y316" s="909"/>
      <c r="Z316" s="928"/>
      <c r="AA316" s="904"/>
      <c r="AB316" s="927"/>
      <c r="AC316" s="928"/>
      <c r="AD316" s="928"/>
      <c r="AE316" s="904"/>
      <c r="AF316" s="908"/>
      <c r="AG316" s="928"/>
      <c r="AH316" s="898">
        <f t="shared" si="39"/>
        <v>0</v>
      </c>
      <c r="AI316" s="898">
        <f t="shared" si="41"/>
        <v>0</v>
      </c>
    </row>
    <row r="317" spans="3:35" x14ac:dyDescent="0.2">
      <c r="C317" s="74" t="s">
        <v>561</v>
      </c>
      <c r="D317" s="146">
        <v>84</v>
      </c>
      <c r="E317" s="897"/>
      <c r="F317" s="897"/>
      <c r="G317" s="897"/>
      <c r="H317" s="897"/>
      <c r="I317" s="897"/>
      <c r="J317" s="915">
        <f t="shared" si="40"/>
        <v>0</v>
      </c>
      <c r="K317" s="903"/>
      <c r="L317" s="903"/>
      <c r="M317" s="926"/>
      <c r="N317" s="927"/>
      <c r="O317" s="928"/>
      <c r="P317" s="904"/>
      <c r="Q317" s="908"/>
      <c r="R317" s="928"/>
      <c r="S317" s="907"/>
      <c r="T317" s="928"/>
      <c r="U317" s="904"/>
      <c r="V317" s="904"/>
      <c r="W317" s="929"/>
      <c r="X317" s="899"/>
      <c r="Y317" s="909"/>
      <c r="Z317" s="928"/>
      <c r="AA317" s="904"/>
      <c r="AB317" s="927"/>
      <c r="AC317" s="928"/>
      <c r="AD317" s="928"/>
      <c r="AE317" s="904"/>
      <c r="AF317" s="908"/>
      <c r="AG317" s="928"/>
      <c r="AH317" s="898">
        <f t="shared" si="39"/>
        <v>0</v>
      </c>
      <c r="AI317" s="898">
        <f t="shared" si="41"/>
        <v>0</v>
      </c>
    </row>
    <row r="318" spans="3:35" x14ac:dyDescent="0.2">
      <c r="C318" s="74" t="s">
        <v>70</v>
      </c>
      <c r="D318" s="146">
        <v>85</v>
      </c>
      <c r="E318" s="899"/>
      <c r="F318" s="899"/>
      <c r="G318" s="899"/>
      <c r="H318" s="899"/>
      <c r="I318" s="899"/>
      <c r="J318" s="915">
        <f t="shared" si="40"/>
        <v>0</v>
      </c>
      <c r="K318" s="930"/>
      <c r="L318" s="930"/>
      <c r="M318" s="931"/>
      <c r="N318" s="927"/>
      <c r="O318" s="928"/>
      <c r="P318" s="928"/>
      <c r="Q318" s="932"/>
      <c r="R318" s="928"/>
      <c r="S318" s="907"/>
      <c r="T318" s="928"/>
      <c r="U318" s="928"/>
      <c r="V318" s="928"/>
      <c r="W318" s="933"/>
      <c r="X318" s="899"/>
      <c r="Y318" s="909"/>
      <c r="Z318" s="928"/>
      <c r="AA318" s="928"/>
      <c r="AB318" s="927"/>
      <c r="AC318" s="928"/>
      <c r="AD318" s="928"/>
      <c r="AE318" s="928"/>
      <c r="AF318" s="932"/>
      <c r="AG318" s="928"/>
      <c r="AH318" s="898">
        <f t="shared" si="39"/>
        <v>0</v>
      </c>
      <c r="AI318" s="898">
        <f t="shared" si="41"/>
        <v>0</v>
      </c>
    </row>
    <row r="319" spans="3:35" x14ac:dyDescent="0.2">
      <c r="C319" s="74" t="s">
        <v>985</v>
      </c>
      <c r="D319" s="146">
        <v>86</v>
      </c>
      <c r="E319" s="897"/>
      <c r="F319" s="897"/>
      <c r="G319" s="897"/>
      <c r="H319" s="897"/>
      <c r="I319" s="897"/>
      <c r="J319" s="915">
        <f t="shared" si="40"/>
        <v>0</v>
      </c>
      <c r="K319" s="903"/>
      <c r="L319" s="903"/>
      <c r="M319" s="926"/>
      <c r="N319" s="927"/>
      <c r="O319" s="928"/>
      <c r="P319" s="904"/>
      <c r="Q319" s="908"/>
      <c r="R319" s="928"/>
      <c r="S319" s="907"/>
      <c r="T319" s="928"/>
      <c r="U319" s="904"/>
      <c r="V319" s="904"/>
      <c r="W319" s="929"/>
      <c r="X319" s="899"/>
      <c r="Y319" s="909"/>
      <c r="Z319" s="928"/>
      <c r="AA319" s="904"/>
      <c r="AB319" s="927"/>
      <c r="AC319" s="928"/>
      <c r="AD319" s="928"/>
      <c r="AE319" s="904"/>
      <c r="AF319" s="908"/>
      <c r="AG319" s="928"/>
      <c r="AH319" s="898">
        <f t="shared" si="39"/>
        <v>0</v>
      </c>
      <c r="AI319" s="898">
        <f t="shared" si="41"/>
        <v>0</v>
      </c>
    </row>
    <row r="320" spans="3:35" x14ac:dyDescent="0.2">
      <c r="C320" s="74" t="s">
        <v>921</v>
      </c>
      <c r="D320" s="146">
        <v>87</v>
      </c>
      <c r="E320" s="897"/>
      <c r="F320" s="897"/>
      <c r="G320" s="897"/>
      <c r="H320" s="897"/>
      <c r="I320" s="897"/>
      <c r="J320" s="915">
        <f t="shared" si="40"/>
        <v>0</v>
      </c>
      <c r="K320" s="903"/>
      <c r="L320" s="903"/>
      <c r="M320" s="926"/>
      <c r="N320" s="927"/>
      <c r="O320" s="928"/>
      <c r="P320" s="904"/>
      <c r="Q320" s="908"/>
      <c r="R320" s="928"/>
      <c r="S320" s="907"/>
      <c r="T320" s="928"/>
      <c r="U320" s="904"/>
      <c r="V320" s="904"/>
      <c r="W320" s="929"/>
      <c r="X320" s="899"/>
      <c r="Y320" s="909"/>
      <c r="Z320" s="928"/>
      <c r="AA320" s="904"/>
      <c r="AB320" s="927"/>
      <c r="AC320" s="928"/>
      <c r="AD320" s="928"/>
      <c r="AE320" s="904"/>
      <c r="AF320" s="908"/>
      <c r="AG320" s="928"/>
      <c r="AH320" s="898">
        <f t="shared" si="39"/>
        <v>0</v>
      </c>
      <c r="AI320" s="898">
        <f t="shared" si="41"/>
        <v>0</v>
      </c>
    </row>
    <row r="321" spans="3:35" x14ac:dyDescent="0.2">
      <c r="C321" s="74" t="s">
        <v>935</v>
      </c>
      <c r="D321" s="146">
        <v>88</v>
      </c>
      <c r="E321" s="897"/>
      <c r="F321" s="897"/>
      <c r="G321" s="897"/>
      <c r="H321" s="897"/>
      <c r="I321" s="897"/>
      <c r="J321" s="915">
        <f t="shared" si="40"/>
        <v>0</v>
      </c>
      <c r="K321" s="903"/>
      <c r="L321" s="903"/>
      <c r="M321" s="926"/>
      <c r="N321" s="927"/>
      <c r="O321" s="928"/>
      <c r="P321" s="904"/>
      <c r="Q321" s="908"/>
      <c r="R321" s="928"/>
      <c r="S321" s="907"/>
      <c r="T321" s="928"/>
      <c r="U321" s="904"/>
      <c r="V321" s="904"/>
      <c r="W321" s="929"/>
      <c r="X321" s="899"/>
      <c r="Y321" s="909"/>
      <c r="Z321" s="928"/>
      <c r="AA321" s="904"/>
      <c r="AB321" s="927"/>
      <c r="AC321" s="928"/>
      <c r="AD321" s="928"/>
      <c r="AE321" s="904"/>
      <c r="AF321" s="908"/>
      <c r="AG321" s="928"/>
      <c r="AH321" s="898">
        <f t="shared" si="39"/>
        <v>0</v>
      </c>
      <c r="AI321" s="898">
        <f t="shared" si="41"/>
        <v>0</v>
      </c>
    </row>
    <row r="322" spans="3:35" x14ac:dyDescent="0.2">
      <c r="C322" s="74" t="s">
        <v>562</v>
      </c>
      <c r="D322" s="146">
        <v>89</v>
      </c>
      <c r="E322" s="897"/>
      <c r="F322" s="897"/>
      <c r="G322" s="897"/>
      <c r="H322" s="897"/>
      <c r="I322" s="897"/>
      <c r="J322" s="915">
        <f t="shared" si="40"/>
        <v>0</v>
      </c>
      <c r="K322" s="903"/>
      <c r="L322" s="903"/>
      <c r="M322" s="926"/>
      <c r="N322" s="927"/>
      <c r="O322" s="928"/>
      <c r="P322" s="904"/>
      <c r="Q322" s="908"/>
      <c r="R322" s="928"/>
      <c r="S322" s="907"/>
      <c r="T322" s="928"/>
      <c r="U322" s="904"/>
      <c r="V322" s="904"/>
      <c r="W322" s="929"/>
      <c r="X322" s="899"/>
      <c r="Y322" s="909"/>
      <c r="Z322" s="928"/>
      <c r="AA322" s="904"/>
      <c r="AB322" s="927"/>
      <c r="AC322" s="928"/>
      <c r="AD322" s="928"/>
      <c r="AE322" s="904"/>
      <c r="AF322" s="908"/>
      <c r="AG322" s="928"/>
      <c r="AH322" s="898">
        <f t="shared" si="39"/>
        <v>0</v>
      </c>
      <c r="AI322" s="898">
        <f t="shared" si="41"/>
        <v>0</v>
      </c>
    </row>
    <row r="323" spans="3:35" x14ac:dyDescent="0.2">
      <c r="C323" s="74" t="s">
        <v>44</v>
      </c>
      <c r="D323" s="146">
        <v>90</v>
      </c>
      <c r="E323" s="897"/>
      <c r="F323" s="897"/>
      <c r="G323" s="897"/>
      <c r="H323" s="897"/>
      <c r="I323" s="897"/>
      <c r="J323" s="915">
        <f t="shared" si="40"/>
        <v>0</v>
      </c>
      <c r="K323" s="903"/>
      <c r="L323" s="903"/>
      <c r="M323" s="926"/>
      <c r="N323" s="927"/>
      <c r="O323" s="928"/>
      <c r="P323" s="904"/>
      <c r="Q323" s="908"/>
      <c r="R323" s="928"/>
      <c r="S323" s="907"/>
      <c r="T323" s="928"/>
      <c r="U323" s="904"/>
      <c r="V323" s="904"/>
      <c r="W323" s="929"/>
      <c r="X323" s="899"/>
      <c r="Y323" s="909"/>
      <c r="Z323" s="928"/>
      <c r="AA323" s="904"/>
      <c r="AB323" s="927"/>
      <c r="AC323" s="928"/>
      <c r="AD323" s="928"/>
      <c r="AE323" s="904"/>
      <c r="AF323" s="908"/>
      <c r="AG323" s="928"/>
      <c r="AH323" s="898">
        <f t="shared" si="39"/>
        <v>0</v>
      </c>
      <c r="AI323" s="898">
        <f t="shared" si="41"/>
        <v>0</v>
      </c>
    </row>
    <row r="324" spans="3:35" x14ac:dyDescent="0.2">
      <c r="C324" s="74" t="s">
        <v>986</v>
      </c>
      <c r="D324" s="146">
        <v>91</v>
      </c>
      <c r="E324" s="897"/>
      <c r="F324" s="897"/>
      <c r="G324" s="897"/>
      <c r="H324" s="897"/>
      <c r="I324" s="897"/>
      <c r="J324" s="915">
        <f t="shared" si="40"/>
        <v>0</v>
      </c>
      <c r="K324" s="903"/>
      <c r="L324" s="903"/>
      <c r="M324" s="926"/>
      <c r="N324" s="927"/>
      <c r="O324" s="928"/>
      <c r="P324" s="904"/>
      <c r="Q324" s="908"/>
      <c r="R324" s="928"/>
      <c r="S324" s="907"/>
      <c r="T324" s="928"/>
      <c r="U324" s="904"/>
      <c r="V324" s="904"/>
      <c r="W324" s="929"/>
      <c r="X324" s="899"/>
      <c r="Y324" s="909"/>
      <c r="Z324" s="928"/>
      <c r="AA324" s="904"/>
      <c r="AB324" s="927"/>
      <c r="AC324" s="928"/>
      <c r="AD324" s="928"/>
      <c r="AE324" s="904"/>
      <c r="AF324" s="908"/>
      <c r="AG324" s="928"/>
      <c r="AH324" s="898">
        <f t="shared" si="39"/>
        <v>0</v>
      </c>
      <c r="AI324" s="898">
        <f t="shared" si="41"/>
        <v>0</v>
      </c>
    </row>
    <row r="325" spans="3:35" x14ac:dyDescent="0.2">
      <c r="C325" s="74" t="s">
        <v>45</v>
      </c>
      <c r="D325" s="146">
        <v>92</v>
      </c>
      <c r="E325" s="897"/>
      <c r="F325" s="897"/>
      <c r="G325" s="897"/>
      <c r="H325" s="897"/>
      <c r="I325" s="897"/>
      <c r="J325" s="915">
        <f t="shared" si="40"/>
        <v>0</v>
      </c>
      <c r="K325" s="903"/>
      <c r="L325" s="903"/>
      <c r="M325" s="926"/>
      <c r="N325" s="927"/>
      <c r="O325" s="928"/>
      <c r="P325" s="904"/>
      <c r="Q325" s="908"/>
      <c r="R325" s="928"/>
      <c r="S325" s="907"/>
      <c r="T325" s="928"/>
      <c r="U325" s="904"/>
      <c r="V325" s="904"/>
      <c r="W325" s="929"/>
      <c r="X325" s="899"/>
      <c r="Y325" s="909"/>
      <c r="Z325" s="928"/>
      <c r="AA325" s="904"/>
      <c r="AB325" s="927"/>
      <c r="AC325" s="928"/>
      <c r="AD325" s="928"/>
      <c r="AE325" s="904"/>
      <c r="AF325" s="908"/>
      <c r="AG325" s="928"/>
      <c r="AH325" s="898">
        <f t="shared" si="39"/>
        <v>0</v>
      </c>
      <c r="AI325" s="898">
        <f t="shared" si="41"/>
        <v>0</v>
      </c>
    </row>
    <row r="326" spans="3:35" x14ac:dyDescent="0.2">
      <c r="C326" s="74" t="s">
        <v>151</v>
      </c>
      <c r="D326" s="146">
        <v>93</v>
      </c>
      <c r="E326" s="897"/>
      <c r="F326" s="897"/>
      <c r="G326" s="897"/>
      <c r="H326" s="897"/>
      <c r="I326" s="897"/>
      <c r="J326" s="915">
        <f t="shared" si="40"/>
        <v>0</v>
      </c>
      <c r="K326" s="903"/>
      <c r="L326" s="903"/>
      <c r="M326" s="926"/>
      <c r="N326" s="927"/>
      <c r="O326" s="928"/>
      <c r="P326" s="904"/>
      <c r="Q326" s="908"/>
      <c r="R326" s="928"/>
      <c r="S326" s="907"/>
      <c r="T326" s="928"/>
      <c r="U326" s="904"/>
      <c r="V326" s="904"/>
      <c r="W326" s="929"/>
      <c r="X326" s="899"/>
      <c r="Y326" s="909"/>
      <c r="Z326" s="928"/>
      <c r="AA326" s="904"/>
      <c r="AB326" s="927"/>
      <c r="AC326" s="928"/>
      <c r="AD326" s="928"/>
      <c r="AE326" s="904"/>
      <c r="AF326" s="908"/>
      <c r="AG326" s="928"/>
      <c r="AH326" s="898">
        <f t="shared" si="39"/>
        <v>0</v>
      </c>
      <c r="AI326" s="898">
        <f t="shared" si="41"/>
        <v>0</v>
      </c>
    </row>
    <row r="327" spans="3:35" x14ac:dyDescent="0.2">
      <c r="C327" s="74" t="s">
        <v>987</v>
      </c>
      <c r="D327" s="146">
        <v>94</v>
      </c>
      <c r="E327" s="897"/>
      <c r="F327" s="897"/>
      <c r="G327" s="897"/>
      <c r="H327" s="897"/>
      <c r="I327" s="897"/>
      <c r="J327" s="915">
        <f t="shared" si="40"/>
        <v>0</v>
      </c>
      <c r="K327" s="903"/>
      <c r="L327" s="903"/>
      <c r="M327" s="926"/>
      <c r="N327" s="927"/>
      <c r="O327" s="928"/>
      <c r="P327" s="904"/>
      <c r="Q327" s="908"/>
      <c r="R327" s="928"/>
      <c r="S327" s="907"/>
      <c r="T327" s="928"/>
      <c r="U327" s="904"/>
      <c r="V327" s="904"/>
      <c r="W327" s="929"/>
      <c r="X327" s="899"/>
      <c r="Y327" s="909"/>
      <c r="Z327" s="928"/>
      <c r="AA327" s="904"/>
      <c r="AB327" s="927"/>
      <c r="AC327" s="928"/>
      <c r="AD327" s="928"/>
      <c r="AE327" s="904"/>
      <c r="AF327" s="908"/>
      <c r="AG327" s="928"/>
      <c r="AH327" s="898">
        <f t="shared" si="39"/>
        <v>0</v>
      </c>
      <c r="AI327" s="898">
        <f t="shared" si="41"/>
        <v>0</v>
      </c>
    </row>
    <row r="328" spans="3:35" x14ac:dyDescent="0.2">
      <c r="C328" s="74" t="s">
        <v>988</v>
      </c>
      <c r="D328" s="146">
        <v>95</v>
      </c>
      <c r="E328" s="897"/>
      <c r="F328" s="897"/>
      <c r="G328" s="897"/>
      <c r="H328" s="897"/>
      <c r="I328" s="897"/>
      <c r="J328" s="915">
        <f t="shared" si="40"/>
        <v>0</v>
      </c>
      <c r="K328" s="903"/>
      <c r="L328" s="903"/>
      <c r="M328" s="926"/>
      <c r="N328" s="927"/>
      <c r="O328" s="928"/>
      <c r="P328" s="904"/>
      <c r="Q328" s="908"/>
      <c r="R328" s="928"/>
      <c r="S328" s="907"/>
      <c r="T328" s="928"/>
      <c r="U328" s="904"/>
      <c r="V328" s="904"/>
      <c r="W328" s="929"/>
      <c r="X328" s="899"/>
      <c r="Y328" s="909"/>
      <c r="Z328" s="928"/>
      <c r="AA328" s="904"/>
      <c r="AB328" s="927"/>
      <c r="AC328" s="928"/>
      <c r="AD328" s="928"/>
      <c r="AE328" s="904"/>
      <c r="AF328" s="908"/>
      <c r="AG328" s="928"/>
      <c r="AH328" s="898">
        <f>ROUND(SUM(K328:N328,Q328:S328,V328,Y328,AB328,AF328:AG328),3)</f>
        <v>0</v>
      </c>
      <c r="AI328" s="898">
        <f t="shared" si="41"/>
        <v>0</v>
      </c>
    </row>
    <row r="329" spans="3:35" x14ac:dyDescent="0.2">
      <c r="C329" s="74" t="s">
        <v>989</v>
      </c>
      <c r="D329" s="146">
        <v>96</v>
      </c>
      <c r="E329" s="897"/>
      <c r="F329" s="897"/>
      <c r="G329" s="897"/>
      <c r="H329" s="897"/>
      <c r="I329" s="897"/>
      <c r="J329" s="915">
        <f t="shared" si="40"/>
        <v>0</v>
      </c>
      <c r="K329" s="903"/>
      <c r="L329" s="903"/>
      <c r="M329" s="926"/>
      <c r="N329" s="927"/>
      <c r="O329" s="928"/>
      <c r="P329" s="904"/>
      <c r="Q329" s="908"/>
      <c r="R329" s="928"/>
      <c r="S329" s="907"/>
      <c r="T329" s="928"/>
      <c r="U329" s="904"/>
      <c r="V329" s="904"/>
      <c r="W329" s="929"/>
      <c r="X329" s="899"/>
      <c r="Y329" s="909"/>
      <c r="Z329" s="928"/>
      <c r="AA329" s="904"/>
      <c r="AB329" s="927"/>
      <c r="AC329" s="928"/>
      <c r="AD329" s="928"/>
      <c r="AE329" s="904"/>
      <c r="AF329" s="908"/>
      <c r="AG329" s="928"/>
      <c r="AH329" s="898">
        <f t="shared" ref="AH329:AH360" si="42">ROUND(SUM(K329:M329,N329,Q329:S329,V329,Y329,AB329,AF329:AG329),3)</f>
        <v>0</v>
      </c>
      <c r="AI329" s="898">
        <f t="shared" si="41"/>
        <v>0</v>
      </c>
    </row>
    <row r="330" spans="3:35" x14ac:dyDescent="0.2">
      <c r="C330" s="74" t="s">
        <v>46</v>
      </c>
      <c r="D330" s="146">
        <v>97</v>
      </c>
      <c r="E330" s="897"/>
      <c r="F330" s="897"/>
      <c r="G330" s="897"/>
      <c r="H330" s="897"/>
      <c r="I330" s="897"/>
      <c r="J330" s="915">
        <f t="shared" si="40"/>
        <v>0</v>
      </c>
      <c r="K330" s="903"/>
      <c r="L330" s="903"/>
      <c r="M330" s="926"/>
      <c r="N330" s="927"/>
      <c r="O330" s="928"/>
      <c r="P330" s="904"/>
      <c r="Q330" s="908"/>
      <c r="R330" s="928"/>
      <c r="S330" s="907"/>
      <c r="T330" s="928"/>
      <c r="U330" s="904"/>
      <c r="V330" s="904"/>
      <c r="W330" s="929"/>
      <c r="X330" s="899"/>
      <c r="Y330" s="909"/>
      <c r="Z330" s="928"/>
      <c r="AA330" s="904"/>
      <c r="AB330" s="927"/>
      <c r="AC330" s="928"/>
      <c r="AD330" s="928"/>
      <c r="AE330" s="904"/>
      <c r="AF330" s="908"/>
      <c r="AG330" s="928"/>
      <c r="AH330" s="898">
        <f t="shared" si="42"/>
        <v>0</v>
      </c>
      <c r="AI330" s="898">
        <f t="shared" si="41"/>
        <v>0</v>
      </c>
    </row>
    <row r="331" spans="3:35" x14ac:dyDescent="0.2">
      <c r="C331" s="74" t="s">
        <v>990</v>
      </c>
      <c r="D331" s="146">
        <v>98</v>
      </c>
      <c r="E331" s="897"/>
      <c r="F331" s="897"/>
      <c r="G331" s="897"/>
      <c r="H331" s="897"/>
      <c r="I331" s="897"/>
      <c r="J331" s="915">
        <f t="shared" si="40"/>
        <v>0</v>
      </c>
      <c r="K331" s="903"/>
      <c r="L331" s="903"/>
      <c r="M331" s="926"/>
      <c r="N331" s="927"/>
      <c r="O331" s="928"/>
      <c r="P331" s="904"/>
      <c r="Q331" s="908"/>
      <c r="R331" s="928"/>
      <c r="S331" s="907"/>
      <c r="T331" s="928"/>
      <c r="U331" s="904"/>
      <c r="V331" s="904"/>
      <c r="W331" s="929"/>
      <c r="X331" s="899"/>
      <c r="Y331" s="909"/>
      <c r="Z331" s="928"/>
      <c r="AA331" s="904"/>
      <c r="AB331" s="927"/>
      <c r="AC331" s="928"/>
      <c r="AD331" s="928"/>
      <c r="AE331" s="904"/>
      <c r="AF331" s="908"/>
      <c r="AG331" s="928"/>
      <c r="AH331" s="898">
        <f t="shared" si="42"/>
        <v>0</v>
      </c>
      <c r="AI331" s="898">
        <f t="shared" si="41"/>
        <v>0</v>
      </c>
    </row>
    <row r="332" spans="3:35" x14ac:dyDescent="0.2">
      <c r="C332" s="74" t="s">
        <v>991</v>
      </c>
      <c r="D332" s="146">
        <v>99</v>
      </c>
      <c r="E332" s="897"/>
      <c r="F332" s="897"/>
      <c r="G332" s="897"/>
      <c r="H332" s="897"/>
      <c r="I332" s="897"/>
      <c r="J332" s="915">
        <f t="shared" ref="J332:J363" si="43">ROUND(SUM(E332:I332),3)</f>
        <v>0</v>
      </c>
      <c r="K332" s="903"/>
      <c r="L332" s="903"/>
      <c r="M332" s="926"/>
      <c r="N332" s="927"/>
      <c r="O332" s="928"/>
      <c r="P332" s="904"/>
      <c r="Q332" s="908"/>
      <c r="R332" s="928"/>
      <c r="S332" s="907"/>
      <c r="T332" s="928"/>
      <c r="U332" s="904"/>
      <c r="V332" s="904"/>
      <c r="W332" s="929"/>
      <c r="X332" s="899"/>
      <c r="Y332" s="909"/>
      <c r="Z332" s="928"/>
      <c r="AA332" s="904"/>
      <c r="AB332" s="927"/>
      <c r="AC332" s="928"/>
      <c r="AD332" s="928"/>
      <c r="AE332" s="904"/>
      <c r="AF332" s="908"/>
      <c r="AG332" s="928"/>
      <c r="AH332" s="898">
        <f t="shared" si="42"/>
        <v>0</v>
      </c>
      <c r="AI332" s="898">
        <f t="shared" ref="AI332:AI363" si="44">ROUND(SUM(J332,AH332),3)</f>
        <v>0</v>
      </c>
    </row>
    <row r="333" spans="3:35" x14ac:dyDescent="0.2">
      <c r="C333" s="74" t="s">
        <v>568</v>
      </c>
      <c r="D333" s="146">
        <v>100</v>
      </c>
      <c r="E333" s="897"/>
      <c r="F333" s="897"/>
      <c r="G333" s="897"/>
      <c r="H333" s="897"/>
      <c r="I333" s="897"/>
      <c r="J333" s="915">
        <f t="shared" si="43"/>
        <v>0</v>
      </c>
      <c r="K333" s="903"/>
      <c r="L333" s="903"/>
      <c r="M333" s="926"/>
      <c r="N333" s="927"/>
      <c r="O333" s="928"/>
      <c r="P333" s="904"/>
      <c r="Q333" s="908"/>
      <c r="R333" s="928"/>
      <c r="S333" s="907"/>
      <c r="T333" s="928"/>
      <c r="U333" s="904"/>
      <c r="V333" s="904"/>
      <c r="W333" s="929"/>
      <c r="X333" s="899"/>
      <c r="Y333" s="909"/>
      <c r="Z333" s="928"/>
      <c r="AA333" s="904"/>
      <c r="AB333" s="927"/>
      <c r="AC333" s="928"/>
      <c r="AD333" s="928"/>
      <c r="AE333" s="904"/>
      <c r="AF333" s="908"/>
      <c r="AG333" s="928"/>
      <c r="AH333" s="898">
        <f t="shared" si="42"/>
        <v>0</v>
      </c>
      <c r="AI333" s="898">
        <f t="shared" si="44"/>
        <v>0</v>
      </c>
    </row>
    <row r="334" spans="3:35" x14ac:dyDescent="0.2">
      <c r="C334" s="74" t="s">
        <v>677</v>
      </c>
      <c r="D334" s="146">
        <v>101</v>
      </c>
      <c r="E334" s="897"/>
      <c r="F334" s="897"/>
      <c r="G334" s="897"/>
      <c r="H334" s="897"/>
      <c r="I334" s="897"/>
      <c r="J334" s="915">
        <f t="shared" si="43"/>
        <v>0</v>
      </c>
      <c r="K334" s="903"/>
      <c r="L334" s="903"/>
      <c r="M334" s="926"/>
      <c r="N334" s="927"/>
      <c r="O334" s="928"/>
      <c r="P334" s="904"/>
      <c r="Q334" s="908"/>
      <c r="R334" s="928"/>
      <c r="S334" s="907"/>
      <c r="T334" s="928"/>
      <c r="U334" s="904"/>
      <c r="V334" s="904"/>
      <c r="W334" s="929"/>
      <c r="X334" s="899"/>
      <c r="Y334" s="909"/>
      <c r="Z334" s="928"/>
      <c r="AA334" s="904"/>
      <c r="AB334" s="927"/>
      <c r="AC334" s="928"/>
      <c r="AD334" s="928"/>
      <c r="AE334" s="904"/>
      <c r="AF334" s="908"/>
      <c r="AG334" s="928"/>
      <c r="AH334" s="898">
        <f t="shared" si="42"/>
        <v>0</v>
      </c>
      <c r="AI334" s="898">
        <f t="shared" si="44"/>
        <v>0</v>
      </c>
    </row>
    <row r="335" spans="3:35" x14ac:dyDescent="0.2">
      <c r="C335" s="74" t="s">
        <v>992</v>
      </c>
      <c r="D335" s="146">
        <v>102</v>
      </c>
      <c r="E335" s="897"/>
      <c r="F335" s="897"/>
      <c r="G335" s="897"/>
      <c r="H335" s="897"/>
      <c r="I335" s="897"/>
      <c r="J335" s="915">
        <f t="shared" si="43"/>
        <v>0</v>
      </c>
      <c r="K335" s="903"/>
      <c r="L335" s="903"/>
      <c r="M335" s="926"/>
      <c r="N335" s="927"/>
      <c r="O335" s="928"/>
      <c r="P335" s="904"/>
      <c r="Q335" s="908"/>
      <c r="R335" s="928"/>
      <c r="S335" s="907"/>
      <c r="T335" s="928"/>
      <c r="U335" s="904"/>
      <c r="V335" s="904"/>
      <c r="W335" s="929"/>
      <c r="X335" s="899"/>
      <c r="Y335" s="909"/>
      <c r="Z335" s="928"/>
      <c r="AA335" s="904"/>
      <c r="AB335" s="927"/>
      <c r="AC335" s="928"/>
      <c r="AD335" s="928"/>
      <c r="AE335" s="904"/>
      <c r="AF335" s="908"/>
      <c r="AG335" s="928"/>
      <c r="AH335" s="898">
        <f t="shared" si="42"/>
        <v>0</v>
      </c>
      <c r="AI335" s="898">
        <f t="shared" si="44"/>
        <v>0</v>
      </c>
    </row>
    <row r="336" spans="3:35" x14ac:dyDescent="0.2">
      <c r="C336" s="74" t="s">
        <v>993</v>
      </c>
      <c r="D336" s="146">
        <v>103</v>
      </c>
      <c r="E336" s="897"/>
      <c r="F336" s="897"/>
      <c r="G336" s="897"/>
      <c r="H336" s="897"/>
      <c r="I336" s="897"/>
      <c r="J336" s="915">
        <f t="shared" si="43"/>
        <v>0</v>
      </c>
      <c r="K336" s="903"/>
      <c r="L336" s="903"/>
      <c r="M336" s="926"/>
      <c r="N336" s="927"/>
      <c r="O336" s="928"/>
      <c r="P336" s="904"/>
      <c r="Q336" s="908"/>
      <c r="R336" s="928"/>
      <c r="S336" s="907"/>
      <c r="T336" s="928"/>
      <c r="U336" s="904"/>
      <c r="V336" s="904"/>
      <c r="W336" s="929"/>
      <c r="X336" s="899"/>
      <c r="Y336" s="909"/>
      <c r="Z336" s="928"/>
      <c r="AA336" s="904"/>
      <c r="AB336" s="927"/>
      <c r="AC336" s="928"/>
      <c r="AD336" s="928"/>
      <c r="AE336" s="904"/>
      <c r="AF336" s="908"/>
      <c r="AG336" s="928"/>
      <c r="AH336" s="898">
        <f t="shared" si="42"/>
        <v>0</v>
      </c>
      <c r="AI336" s="898">
        <f t="shared" si="44"/>
        <v>0</v>
      </c>
    </row>
    <row r="337" spans="3:35" x14ac:dyDescent="0.2">
      <c r="C337" s="74" t="s">
        <v>994</v>
      </c>
      <c r="D337" s="146">
        <v>104</v>
      </c>
      <c r="E337" s="897"/>
      <c r="F337" s="897"/>
      <c r="G337" s="897"/>
      <c r="H337" s="897"/>
      <c r="I337" s="897"/>
      <c r="J337" s="915">
        <f t="shared" si="43"/>
        <v>0</v>
      </c>
      <c r="K337" s="903"/>
      <c r="L337" s="903"/>
      <c r="M337" s="926"/>
      <c r="N337" s="927"/>
      <c r="O337" s="928"/>
      <c r="P337" s="904"/>
      <c r="Q337" s="908"/>
      <c r="R337" s="928"/>
      <c r="S337" s="907"/>
      <c r="T337" s="928"/>
      <c r="U337" s="904"/>
      <c r="V337" s="904"/>
      <c r="W337" s="929"/>
      <c r="X337" s="899"/>
      <c r="Y337" s="909"/>
      <c r="Z337" s="928"/>
      <c r="AA337" s="904"/>
      <c r="AB337" s="927"/>
      <c r="AC337" s="928"/>
      <c r="AD337" s="928"/>
      <c r="AE337" s="904"/>
      <c r="AF337" s="908"/>
      <c r="AG337" s="928"/>
      <c r="AH337" s="898">
        <f t="shared" si="42"/>
        <v>0</v>
      </c>
      <c r="AI337" s="898">
        <f t="shared" si="44"/>
        <v>0</v>
      </c>
    </row>
    <row r="338" spans="3:35" x14ac:dyDescent="0.2">
      <c r="C338" s="74" t="s">
        <v>995</v>
      </c>
      <c r="D338" s="146">
        <v>105</v>
      </c>
      <c r="E338" s="897"/>
      <c r="F338" s="897"/>
      <c r="G338" s="897"/>
      <c r="H338" s="897"/>
      <c r="I338" s="897"/>
      <c r="J338" s="915">
        <f t="shared" si="43"/>
        <v>0</v>
      </c>
      <c r="K338" s="903"/>
      <c r="L338" s="903"/>
      <c r="M338" s="926"/>
      <c r="N338" s="927"/>
      <c r="O338" s="928"/>
      <c r="P338" s="904"/>
      <c r="Q338" s="908"/>
      <c r="R338" s="928"/>
      <c r="S338" s="907"/>
      <c r="T338" s="928"/>
      <c r="U338" s="904"/>
      <c r="V338" s="904"/>
      <c r="W338" s="929"/>
      <c r="X338" s="899"/>
      <c r="Y338" s="909"/>
      <c r="Z338" s="928"/>
      <c r="AA338" s="904"/>
      <c r="AB338" s="927"/>
      <c r="AC338" s="928"/>
      <c r="AD338" s="928"/>
      <c r="AE338" s="904"/>
      <c r="AF338" s="908"/>
      <c r="AG338" s="928"/>
      <c r="AH338" s="898">
        <f t="shared" si="42"/>
        <v>0</v>
      </c>
      <c r="AI338" s="898">
        <f t="shared" si="44"/>
        <v>0</v>
      </c>
    </row>
    <row r="339" spans="3:35" x14ac:dyDescent="0.2">
      <c r="C339" s="74" t="s">
        <v>47</v>
      </c>
      <c r="D339" s="146">
        <v>106</v>
      </c>
      <c r="E339" s="897"/>
      <c r="F339" s="897"/>
      <c r="G339" s="897"/>
      <c r="H339" s="897"/>
      <c r="I339" s="897"/>
      <c r="J339" s="915">
        <f t="shared" si="43"/>
        <v>0</v>
      </c>
      <c r="K339" s="903"/>
      <c r="L339" s="903"/>
      <c r="M339" s="926"/>
      <c r="N339" s="927"/>
      <c r="O339" s="928"/>
      <c r="P339" s="904"/>
      <c r="Q339" s="908"/>
      <c r="R339" s="928"/>
      <c r="S339" s="907"/>
      <c r="T339" s="928"/>
      <c r="U339" s="904"/>
      <c r="V339" s="904"/>
      <c r="W339" s="929"/>
      <c r="X339" s="899"/>
      <c r="Y339" s="909"/>
      <c r="Z339" s="928"/>
      <c r="AA339" s="904"/>
      <c r="AB339" s="927"/>
      <c r="AC339" s="928"/>
      <c r="AD339" s="928"/>
      <c r="AE339" s="904"/>
      <c r="AF339" s="908"/>
      <c r="AG339" s="928"/>
      <c r="AH339" s="898">
        <f t="shared" si="42"/>
        <v>0</v>
      </c>
      <c r="AI339" s="898">
        <f t="shared" si="44"/>
        <v>0</v>
      </c>
    </row>
    <row r="340" spans="3:35" x14ac:dyDescent="0.2">
      <c r="C340" s="75" t="s">
        <v>996</v>
      </c>
      <c r="D340" s="146">
        <v>107</v>
      </c>
      <c r="E340" s="897"/>
      <c r="F340" s="897"/>
      <c r="G340" s="897"/>
      <c r="H340" s="897"/>
      <c r="I340" s="897"/>
      <c r="J340" s="915">
        <f t="shared" si="43"/>
        <v>0</v>
      </c>
      <c r="K340" s="903"/>
      <c r="L340" s="903"/>
      <c r="M340" s="926"/>
      <c r="N340" s="927"/>
      <c r="O340" s="928"/>
      <c r="P340" s="904"/>
      <c r="Q340" s="908"/>
      <c r="R340" s="928"/>
      <c r="S340" s="907"/>
      <c r="T340" s="928"/>
      <c r="U340" s="904"/>
      <c r="V340" s="904"/>
      <c r="W340" s="929"/>
      <c r="X340" s="899"/>
      <c r="Y340" s="909"/>
      <c r="Z340" s="928"/>
      <c r="AA340" s="904"/>
      <c r="AB340" s="927"/>
      <c r="AC340" s="928"/>
      <c r="AD340" s="928"/>
      <c r="AE340" s="904"/>
      <c r="AF340" s="908"/>
      <c r="AG340" s="928"/>
      <c r="AH340" s="898">
        <f t="shared" si="42"/>
        <v>0</v>
      </c>
      <c r="AI340" s="898">
        <f t="shared" si="44"/>
        <v>0</v>
      </c>
    </row>
    <row r="341" spans="3:35" x14ac:dyDescent="0.2">
      <c r="C341" s="74" t="s">
        <v>48</v>
      </c>
      <c r="D341" s="146">
        <v>108</v>
      </c>
      <c r="E341" s="897"/>
      <c r="F341" s="897"/>
      <c r="G341" s="897"/>
      <c r="H341" s="897"/>
      <c r="I341" s="897"/>
      <c r="J341" s="915">
        <f t="shared" si="43"/>
        <v>0</v>
      </c>
      <c r="K341" s="903"/>
      <c r="L341" s="903"/>
      <c r="M341" s="926"/>
      <c r="N341" s="927"/>
      <c r="O341" s="928"/>
      <c r="P341" s="904"/>
      <c r="Q341" s="908"/>
      <c r="R341" s="928"/>
      <c r="S341" s="907"/>
      <c r="T341" s="928"/>
      <c r="U341" s="904"/>
      <c r="V341" s="904"/>
      <c r="W341" s="929"/>
      <c r="X341" s="899"/>
      <c r="Y341" s="909"/>
      <c r="Z341" s="928"/>
      <c r="AA341" s="904"/>
      <c r="AB341" s="927"/>
      <c r="AC341" s="928"/>
      <c r="AD341" s="928"/>
      <c r="AE341" s="904"/>
      <c r="AF341" s="908"/>
      <c r="AG341" s="928"/>
      <c r="AH341" s="898">
        <f t="shared" si="42"/>
        <v>0</v>
      </c>
      <c r="AI341" s="898">
        <f t="shared" si="44"/>
        <v>0</v>
      </c>
    </row>
    <row r="342" spans="3:35" x14ac:dyDescent="0.2">
      <c r="C342" s="74" t="s">
        <v>1362</v>
      </c>
      <c r="D342" s="146">
        <v>109</v>
      </c>
      <c r="E342" s="897"/>
      <c r="F342" s="897"/>
      <c r="G342" s="897"/>
      <c r="H342" s="897"/>
      <c r="I342" s="897"/>
      <c r="J342" s="915">
        <f t="shared" si="43"/>
        <v>0</v>
      </c>
      <c r="K342" s="903"/>
      <c r="L342" s="903"/>
      <c r="M342" s="926"/>
      <c r="N342" s="927"/>
      <c r="O342" s="928"/>
      <c r="P342" s="904"/>
      <c r="Q342" s="908"/>
      <c r="R342" s="928"/>
      <c r="S342" s="907"/>
      <c r="T342" s="928"/>
      <c r="U342" s="904"/>
      <c r="V342" s="904"/>
      <c r="W342" s="929"/>
      <c r="X342" s="899"/>
      <c r="Y342" s="909"/>
      <c r="Z342" s="928"/>
      <c r="AA342" s="904"/>
      <c r="AB342" s="927"/>
      <c r="AC342" s="928"/>
      <c r="AD342" s="928"/>
      <c r="AE342" s="904"/>
      <c r="AF342" s="908"/>
      <c r="AG342" s="928"/>
      <c r="AH342" s="898">
        <f t="shared" si="42"/>
        <v>0</v>
      </c>
      <c r="AI342" s="898">
        <f t="shared" si="44"/>
        <v>0</v>
      </c>
    </row>
    <row r="343" spans="3:35" x14ac:dyDescent="0.2">
      <c r="C343" s="74" t="s">
        <v>49</v>
      </c>
      <c r="D343" s="146">
        <v>110</v>
      </c>
      <c r="E343" s="897"/>
      <c r="F343" s="897"/>
      <c r="G343" s="897"/>
      <c r="H343" s="897"/>
      <c r="I343" s="897"/>
      <c r="J343" s="915">
        <f t="shared" si="43"/>
        <v>0</v>
      </c>
      <c r="K343" s="903"/>
      <c r="L343" s="903"/>
      <c r="M343" s="926"/>
      <c r="N343" s="927"/>
      <c r="O343" s="928"/>
      <c r="P343" s="904"/>
      <c r="Q343" s="908"/>
      <c r="R343" s="928"/>
      <c r="S343" s="907"/>
      <c r="T343" s="928"/>
      <c r="U343" s="904"/>
      <c r="V343" s="904"/>
      <c r="W343" s="929"/>
      <c r="X343" s="899"/>
      <c r="Y343" s="909"/>
      <c r="Z343" s="928"/>
      <c r="AA343" s="904"/>
      <c r="AB343" s="927"/>
      <c r="AC343" s="928"/>
      <c r="AD343" s="928"/>
      <c r="AE343" s="904"/>
      <c r="AF343" s="908"/>
      <c r="AG343" s="928"/>
      <c r="AH343" s="898">
        <f t="shared" si="42"/>
        <v>0</v>
      </c>
      <c r="AI343" s="898">
        <f t="shared" si="44"/>
        <v>0</v>
      </c>
    </row>
    <row r="344" spans="3:35" x14ac:dyDescent="0.2">
      <c r="C344" s="74" t="s">
        <v>1365</v>
      </c>
      <c r="D344" s="146">
        <v>111</v>
      </c>
      <c r="E344" s="897"/>
      <c r="F344" s="897"/>
      <c r="G344" s="897"/>
      <c r="H344" s="897"/>
      <c r="I344" s="897"/>
      <c r="J344" s="915">
        <f t="shared" si="43"/>
        <v>0</v>
      </c>
      <c r="K344" s="903"/>
      <c r="L344" s="903"/>
      <c r="M344" s="926"/>
      <c r="N344" s="927"/>
      <c r="O344" s="928"/>
      <c r="P344" s="904"/>
      <c r="Q344" s="908"/>
      <c r="R344" s="928"/>
      <c r="S344" s="907"/>
      <c r="T344" s="928"/>
      <c r="U344" s="904"/>
      <c r="V344" s="904"/>
      <c r="W344" s="929"/>
      <c r="X344" s="899"/>
      <c r="Y344" s="909"/>
      <c r="Z344" s="928"/>
      <c r="AA344" s="904"/>
      <c r="AB344" s="927"/>
      <c r="AC344" s="928"/>
      <c r="AD344" s="928"/>
      <c r="AE344" s="904"/>
      <c r="AF344" s="908"/>
      <c r="AG344" s="928"/>
      <c r="AH344" s="898">
        <f t="shared" si="42"/>
        <v>0</v>
      </c>
      <c r="AI344" s="898">
        <f t="shared" si="44"/>
        <v>0</v>
      </c>
    </row>
    <row r="345" spans="3:35" x14ac:dyDescent="0.2">
      <c r="C345" s="74" t="s">
        <v>50</v>
      </c>
      <c r="D345" s="146">
        <v>112</v>
      </c>
      <c r="E345" s="897"/>
      <c r="F345" s="897"/>
      <c r="G345" s="897"/>
      <c r="H345" s="897"/>
      <c r="I345" s="897"/>
      <c r="J345" s="915">
        <f t="shared" si="43"/>
        <v>0</v>
      </c>
      <c r="K345" s="903"/>
      <c r="L345" s="903"/>
      <c r="M345" s="926"/>
      <c r="N345" s="927"/>
      <c r="O345" s="928"/>
      <c r="P345" s="904"/>
      <c r="Q345" s="908"/>
      <c r="R345" s="928"/>
      <c r="S345" s="907"/>
      <c r="T345" s="928"/>
      <c r="U345" s="904"/>
      <c r="V345" s="904"/>
      <c r="W345" s="929"/>
      <c r="X345" s="899"/>
      <c r="Y345" s="909"/>
      <c r="Z345" s="928"/>
      <c r="AA345" s="904"/>
      <c r="AB345" s="927"/>
      <c r="AC345" s="928"/>
      <c r="AD345" s="928"/>
      <c r="AE345" s="904"/>
      <c r="AF345" s="908"/>
      <c r="AG345" s="928"/>
      <c r="AH345" s="898">
        <f t="shared" si="42"/>
        <v>0</v>
      </c>
      <c r="AI345" s="898">
        <f t="shared" si="44"/>
        <v>0</v>
      </c>
    </row>
    <row r="346" spans="3:35" x14ac:dyDescent="0.2">
      <c r="C346" s="74" t="s">
        <v>51</v>
      </c>
      <c r="D346" s="146">
        <v>113</v>
      </c>
      <c r="E346" s="897"/>
      <c r="F346" s="897"/>
      <c r="G346" s="897"/>
      <c r="H346" s="897"/>
      <c r="I346" s="897"/>
      <c r="J346" s="915">
        <f t="shared" si="43"/>
        <v>0</v>
      </c>
      <c r="K346" s="903"/>
      <c r="L346" s="903"/>
      <c r="M346" s="926"/>
      <c r="N346" s="927"/>
      <c r="O346" s="928"/>
      <c r="P346" s="904"/>
      <c r="Q346" s="908"/>
      <c r="R346" s="928"/>
      <c r="S346" s="907"/>
      <c r="T346" s="928"/>
      <c r="U346" s="904"/>
      <c r="V346" s="904"/>
      <c r="W346" s="929"/>
      <c r="X346" s="899"/>
      <c r="Y346" s="909"/>
      <c r="Z346" s="928"/>
      <c r="AA346" s="904"/>
      <c r="AB346" s="927"/>
      <c r="AC346" s="928"/>
      <c r="AD346" s="928"/>
      <c r="AE346" s="904"/>
      <c r="AF346" s="908"/>
      <c r="AG346" s="928"/>
      <c r="AH346" s="898">
        <f t="shared" si="42"/>
        <v>0</v>
      </c>
      <c r="AI346" s="898">
        <f t="shared" si="44"/>
        <v>0</v>
      </c>
    </row>
    <row r="347" spans="3:35" x14ac:dyDescent="0.2">
      <c r="C347" s="74" t="s">
        <v>52</v>
      </c>
      <c r="D347" s="146">
        <v>114</v>
      </c>
      <c r="E347" s="897"/>
      <c r="F347" s="897"/>
      <c r="G347" s="897"/>
      <c r="H347" s="897"/>
      <c r="I347" s="897"/>
      <c r="J347" s="915">
        <f t="shared" si="43"/>
        <v>0</v>
      </c>
      <c r="K347" s="903"/>
      <c r="L347" s="903"/>
      <c r="M347" s="926"/>
      <c r="N347" s="927"/>
      <c r="O347" s="928"/>
      <c r="P347" s="904"/>
      <c r="Q347" s="908"/>
      <c r="R347" s="928"/>
      <c r="S347" s="907"/>
      <c r="T347" s="928"/>
      <c r="U347" s="904"/>
      <c r="V347" s="904"/>
      <c r="W347" s="929"/>
      <c r="X347" s="899"/>
      <c r="Y347" s="909"/>
      <c r="Z347" s="928"/>
      <c r="AA347" s="904"/>
      <c r="AB347" s="927"/>
      <c r="AC347" s="928"/>
      <c r="AD347" s="928"/>
      <c r="AE347" s="904"/>
      <c r="AF347" s="908"/>
      <c r="AG347" s="928"/>
      <c r="AH347" s="898">
        <f t="shared" si="42"/>
        <v>0</v>
      </c>
      <c r="AI347" s="898">
        <f t="shared" si="44"/>
        <v>0</v>
      </c>
    </row>
    <row r="348" spans="3:35" x14ac:dyDescent="0.2">
      <c r="C348" s="74" t="s">
        <v>997</v>
      </c>
      <c r="D348" s="146">
        <v>115</v>
      </c>
      <c r="E348" s="897"/>
      <c r="F348" s="897"/>
      <c r="G348" s="897"/>
      <c r="H348" s="897"/>
      <c r="I348" s="897"/>
      <c r="J348" s="915">
        <f t="shared" si="43"/>
        <v>0</v>
      </c>
      <c r="K348" s="903"/>
      <c r="L348" s="903"/>
      <c r="M348" s="926"/>
      <c r="N348" s="927"/>
      <c r="O348" s="928"/>
      <c r="P348" s="904"/>
      <c r="Q348" s="908"/>
      <c r="R348" s="928"/>
      <c r="S348" s="907"/>
      <c r="T348" s="928"/>
      <c r="U348" s="904"/>
      <c r="V348" s="904"/>
      <c r="W348" s="929"/>
      <c r="X348" s="899"/>
      <c r="Y348" s="909"/>
      <c r="Z348" s="928"/>
      <c r="AA348" s="904"/>
      <c r="AB348" s="927"/>
      <c r="AC348" s="928"/>
      <c r="AD348" s="928"/>
      <c r="AE348" s="904"/>
      <c r="AF348" s="908"/>
      <c r="AG348" s="928"/>
      <c r="AH348" s="898">
        <f t="shared" si="42"/>
        <v>0</v>
      </c>
      <c r="AI348" s="898">
        <f t="shared" si="44"/>
        <v>0</v>
      </c>
    </row>
    <row r="349" spans="3:35" x14ac:dyDescent="0.2">
      <c r="C349" s="75" t="s">
        <v>53</v>
      </c>
      <c r="D349" s="146">
        <v>116</v>
      </c>
      <c r="E349" s="897"/>
      <c r="F349" s="897"/>
      <c r="G349" s="897"/>
      <c r="H349" s="897"/>
      <c r="I349" s="897"/>
      <c r="J349" s="915">
        <f t="shared" si="43"/>
        <v>0</v>
      </c>
      <c r="K349" s="903"/>
      <c r="L349" s="903"/>
      <c r="M349" s="926"/>
      <c r="N349" s="927"/>
      <c r="O349" s="928"/>
      <c r="P349" s="904"/>
      <c r="Q349" s="908"/>
      <c r="R349" s="928"/>
      <c r="S349" s="907"/>
      <c r="T349" s="928"/>
      <c r="U349" s="904"/>
      <c r="V349" s="904"/>
      <c r="W349" s="929"/>
      <c r="X349" s="899"/>
      <c r="Y349" s="909"/>
      <c r="Z349" s="928"/>
      <c r="AA349" s="904"/>
      <c r="AB349" s="927"/>
      <c r="AC349" s="928"/>
      <c r="AD349" s="928"/>
      <c r="AE349" s="904"/>
      <c r="AF349" s="908"/>
      <c r="AG349" s="928"/>
      <c r="AH349" s="898">
        <f t="shared" si="42"/>
        <v>0</v>
      </c>
      <c r="AI349" s="898">
        <f t="shared" si="44"/>
        <v>0</v>
      </c>
    </row>
    <row r="350" spans="3:35" x14ac:dyDescent="0.2">
      <c r="C350" s="75" t="s">
        <v>614</v>
      </c>
      <c r="D350" s="146">
        <v>117</v>
      </c>
      <c r="E350" s="897"/>
      <c r="F350" s="897"/>
      <c r="G350" s="897"/>
      <c r="H350" s="897"/>
      <c r="I350" s="897"/>
      <c r="J350" s="915">
        <f t="shared" si="43"/>
        <v>0</v>
      </c>
      <c r="K350" s="903"/>
      <c r="L350" s="903"/>
      <c r="M350" s="926"/>
      <c r="N350" s="927"/>
      <c r="O350" s="928"/>
      <c r="P350" s="904"/>
      <c r="Q350" s="908"/>
      <c r="R350" s="928"/>
      <c r="S350" s="907"/>
      <c r="T350" s="928"/>
      <c r="U350" s="904"/>
      <c r="V350" s="904"/>
      <c r="W350" s="929"/>
      <c r="X350" s="899"/>
      <c r="Y350" s="909"/>
      <c r="Z350" s="928"/>
      <c r="AA350" s="904"/>
      <c r="AB350" s="927"/>
      <c r="AC350" s="928"/>
      <c r="AD350" s="928"/>
      <c r="AE350" s="904"/>
      <c r="AF350" s="908"/>
      <c r="AG350" s="928"/>
      <c r="AH350" s="898">
        <f t="shared" si="42"/>
        <v>0</v>
      </c>
      <c r="AI350" s="898">
        <f t="shared" si="44"/>
        <v>0</v>
      </c>
    </row>
    <row r="351" spans="3:35" x14ac:dyDescent="0.2">
      <c r="C351" s="74" t="s">
        <v>601</v>
      </c>
      <c r="D351" s="146">
        <v>118</v>
      </c>
      <c r="E351" s="897"/>
      <c r="F351" s="897"/>
      <c r="G351" s="897"/>
      <c r="H351" s="897"/>
      <c r="I351" s="897"/>
      <c r="J351" s="915">
        <f t="shared" si="43"/>
        <v>0</v>
      </c>
      <c r="K351" s="903"/>
      <c r="L351" s="903"/>
      <c r="M351" s="926"/>
      <c r="N351" s="927"/>
      <c r="O351" s="928"/>
      <c r="P351" s="904"/>
      <c r="Q351" s="908"/>
      <c r="R351" s="928"/>
      <c r="S351" s="907"/>
      <c r="T351" s="928"/>
      <c r="U351" s="904"/>
      <c r="V351" s="904"/>
      <c r="W351" s="929"/>
      <c r="X351" s="899"/>
      <c r="Y351" s="909"/>
      <c r="Z351" s="928"/>
      <c r="AA351" s="904"/>
      <c r="AB351" s="927"/>
      <c r="AC351" s="928"/>
      <c r="AD351" s="928"/>
      <c r="AE351" s="904"/>
      <c r="AF351" s="908"/>
      <c r="AG351" s="928"/>
      <c r="AH351" s="898">
        <f t="shared" si="42"/>
        <v>0</v>
      </c>
      <c r="AI351" s="898">
        <f t="shared" si="44"/>
        <v>0</v>
      </c>
    </row>
    <row r="352" spans="3:35" x14ac:dyDescent="0.2">
      <c r="C352" s="74" t="s">
        <v>998</v>
      </c>
      <c r="D352" s="146">
        <v>119</v>
      </c>
      <c r="E352" s="897"/>
      <c r="F352" s="897"/>
      <c r="G352" s="897"/>
      <c r="H352" s="897"/>
      <c r="I352" s="897"/>
      <c r="J352" s="915">
        <f t="shared" si="43"/>
        <v>0</v>
      </c>
      <c r="K352" s="903"/>
      <c r="L352" s="903"/>
      <c r="M352" s="926"/>
      <c r="N352" s="927"/>
      <c r="O352" s="928"/>
      <c r="P352" s="904"/>
      <c r="Q352" s="908"/>
      <c r="R352" s="928"/>
      <c r="S352" s="907"/>
      <c r="T352" s="928"/>
      <c r="U352" s="904"/>
      <c r="V352" s="904"/>
      <c r="W352" s="929"/>
      <c r="X352" s="899"/>
      <c r="Y352" s="909"/>
      <c r="Z352" s="928"/>
      <c r="AA352" s="904"/>
      <c r="AB352" s="927"/>
      <c r="AC352" s="928"/>
      <c r="AD352" s="928"/>
      <c r="AE352" s="904"/>
      <c r="AF352" s="908"/>
      <c r="AG352" s="928"/>
      <c r="AH352" s="898">
        <f t="shared" si="42"/>
        <v>0</v>
      </c>
      <c r="AI352" s="898">
        <f t="shared" si="44"/>
        <v>0</v>
      </c>
    </row>
    <row r="353" spans="3:35" x14ac:dyDescent="0.2">
      <c r="C353" s="74" t="s">
        <v>71</v>
      </c>
      <c r="D353" s="146">
        <v>120</v>
      </c>
      <c r="E353" s="897"/>
      <c r="F353" s="897"/>
      <c r="G353" s="897"/>
      <c r="H353" s="897"/>
      <c r="I353" s="897"/>
      <c r="J353" s="915">
        <f t="shared" si="43"/>
        <v>0</v>
      </c>
      <c r="K353" s="903"/>
      <c r="L353" s="903"/>
      <c r="M353" s="926"/>
      <c r="N353" s="927"/>
      <c r="O353" s="928"/>
      <c r="P353" s="904"/>
      <c r="Q353" s="908"/>
      <c r="R353" s="928"/>
      <c r="S353" s="907"/>
      <c r="T353" s="928"/>
      <c r="U353" s="904"/>
      <c r="V353" s="904"/>
      <c r="W353" s="929"/>
      <c r="X353" s="899"/>
      <c r="Y353" s="909"/>
      <c r="Z353" s="928"/>
      <c r="AA353" s="904"/>
      <c r="AB353" s="927"/>
      <c r="AC353" s="928"/>
      <c r="AD353" s="928"/>
      <c r="AE353" s="904"/>
      <c r="AF353" s="908"/>
      <c r="AG353" s="928"/>
      <c r="AH353" s="898">
        <f t="shared" si="42"/>
        <v>0</v>
      </c>
      <c r="AI353" s="898">
        <f t="shared" si="44"/>
        <v>0</v>
      </c>
    </row>
    <row r="354" spans="3:35" x14ac:dyDescent="0.2">
      <c r="C354" s="74" t="s">
        <v>999</v>
      </c>
      <c r="D354" s="146">
        <v>121</v>
      </c>
      <c r="E354" s="897"/>
      <c r="F354" s="897"/>
      <c r="G354" s="897"/>
      <c r="H354" s="897"/>
      <c r="I354" s="897"/>
      <c r="J354" s="915">
        <f t="shared" si="43"/>
        <v>0</v>
      </c>
      <c r="K354" s="903"/>
      <c r="L354" s="903"/>
      <c r="M354" s="926"/>
      <c r="N354" s="927"/>
      <c r="O354" s="928"/>
      <c r="P354" s="904"/>
      <c r="Q354" s="908"/>
      <c r="R354" s="928"/>
      <c r="S354" s="907"/>
      <c r="T354" s="928"/>
      <c r="U354" s="904"/>
      <c r="V354" s="904"/>
      <c r="W354" s="929"/>
      <c r="X354" s="899"/>
      <c r="Y354" s="909"/>
      <c r="Z354" s="928"/>
      <c r="AA354" s="904"/>
      <c r="AB354" s="927"/>
      <c r="AC354" s="928"/>
      <c r="AD354" s="928"/>
      <c r="AE354" s="904"/>
      <c r="AF354" s="908"/>
      <c r="AG354" s="928"/>
      <c r="AH354" s="898">
        <f t="shared" si="42"/>
        <v>0</v>
      </c>
      <c r="AI354" s="898">
        <f t="shared" si="44"/>
        <v>0</v>
      </c>
    </row>
    <row r="355" spans="3:35" x14ac:dyDescent="0.2">
      <c r="C355" s="74" t="s">
        <v>54</v>
      </c>
      <c r="D355" s="146">
        <v>122</v>
      </c>
      <c r="E355" s="897"/>
      <c r="F355" s="897"/>
      <c r="G355" s="897"/>
      <c r="H355" s="897"/>
      <c r="I355" s="897"/>
      <c r="J355" s="915">
        <f t="shared" si="43"/>
        <v>0</v>
      </c>
      <c r="K355" s="903"/>
      <c r="L355" s="903"/>
      <c r="M355" s="926"/>
      <c r="N355" s="927"/>
      <c r="O355" s="928"/>
      <c r="P355" s="904"/>
      <c r="Q355" s="908"/>
      <c r="R355" s="928"/>
      <c r="S355" s="907"/>
      <c r="T355" s="928"/>
      <c r="U355" s="904"/>
      <c r="V355" s="904"/>
      <c r="W355" s="929"/>
      <c r="X355" s="899"/>
      <c r="Y355" s="909"/>
      <c r="Z355" s="928"/>
      <c r="AA355" s="904"/>
      <c r="AB355" s="927"/>
      <c r="AC355" s="928"/>
      <c r="AD355" s="928"/>
      <c r="AE355" s="904"/>
      <c r="AF355" s="908"/>
      <c r="AG355" s="928"/>
      <c r="AH355" s="898">
        <f t="shared" si="42"/>
        <v>0</v>
      </c>
      <c r="AI355" s="898">
        <f t="shared" si="44"/>
        <v>0</v>
      </c>
    </row>
    <row r="356" spans="3:35" x14ac:dyDescent="0.2">
      <c r="C356" s="74" t="s">
        <v>55</v>
      </c>
      <c r="D356" s="146">
        <v>123</v>
      </c>
      <c r="E356" s="897"/>
      <c r="F356" s="897"/>
      <c r="G356" s="897"/>
      <c r="H356" s="897"/>
      <c r="I356" s="897"/>
      <c r="J356" s="915">
        <f t="shared" si="43"/>
        <v>0</v>
      </c>
      <c r="K356" s="903"/>
      <c r="L356" s="903"/>
      <c r="M356" s="926"/>
      <c r="N356" s="927"/>
      <c r="O356" s="928"/>
      <c r="P356" s="904"/>
      <c r="Q356" s="908"/>
      <c r="R356" s="928"/>
      <c r="S356" s="907"/>
      <c r="T356" s="928"/>
      <c r="U356" s="904"/>
      <c r="V356" s="904"/>
      <c r="W356" s="929"/>
      <c r="X356" s="899"/>
      <c r="Y356" s="909"/>
      <c r="Z356" s="928"/>
      <c r="AA356" s="904"/>
      <c r="AB356" s="927"/>
      <c r="AC356" s="928"/>
      <c r="AD356" s="928"/>
      <c r="AE356" s="904"/>
      <c r="AF356" s="908"/>
      <c r="AG356" s="928"/>
      <c r="AH356" s="898">
        <f t="shared" si="42"/>
        <v>0</v>
      </c>
      <c r="AI356" s="898">
        <f t="shared" si="44"/>
        <v>0</v>
      </c>
    </row>
    <row r="357" spans="3:35" x14ac:dyDescent="0.2">
      <c r="C357" s="74" t="s">
        <v>98</v>
      </c>
      <c r="D357" s="146">
        <v>124</v>
      </c>
      <c r="E357" s="897"/>
      <c r="F357" s="897"/>
      <c r="G357" s="897"/>
      <c r="H357" s="897"/>
      <c r="I357" s="897"/>
      <c r="J357" s="915">
        <f t="shared" si="43"/>
        <v>0</v>
      </c>
      <c r="K357" s="903"/>
      <c r="L357" s="903"/>
      <c r="M357" s="926"/>
      <c r="N357" s="927"/>
      <c r="O357" s="928"/>
      <c r="P357" s="904"/>
      <c r="Q357" s="908"/>
      <c r="R357" s="928"/>
      <c r="S357" s="907"/>
      <c r="T357" s="928"/>
      <c r="U357" s="904"/>
      <c r="V357" s="904"/>
      <c r="W357" s="929"/>
      <c r="X357" s="899"/>
      <c r="Y357" s="909"/>
      <c r="Z357" s="928"/>
      <c r="AA357" s="904"/>
      <c r="AB357" s="927"/>
      <c r="AC357" s="928"/>
      <c r="AD357" s="928"/>
      <c r="AE357" s="904"/>
      <c r="AF357" s="908"/>
      <c r="AG357" s="928"/>
      <c r="AH357" s="898">
        <f t="shared" si="42"/>
        <v>0</v>
      </c>
      <c r="AI357" s="898">
        <f t="shared" si="44"/>
        <v>0</v>
      </c>
    </row>
    <row r="358" spans="3:35" x14ac:dyDescent="0.2">
      <c r="C358" s="74" t="s">
        <v>56</v>
      </c>
      <c r="D358" s="146">
        <v>125</v>
      </c>
      <c r="E358" s="897"/>
      <c r="F358" s="897"/>
      <c r="G358" s="897"/>
      <c r="H358" s="897"/>
      <c r="I358" s="897"/>
      <c r="J358" s="915">
        <f t="shared" si="43"/>
        <v>0</v>
      </c>
      <c r="K358" s="903"/>
      <c r="L358" s="903"/>
      <c r="M358" s="926"/>
      <c r="N358" s="927"/>
      <c r="O358" s="928"/>
      <c r="P358" s="904"/>
      <c r="Q358" s="908"/>
      <c r="R358" s="928"/>
      <c r="S358" s="907"/>
      <c r="T358" s="928"/>
      <c r="U358" s="904"/>
      <c r="V358" s="904"/>
      <c r="W358" s="929"/>
      <c r="X358" s="899"/>
      <c r="Y358" s="909"/>
      <c r="Z358" s="928"/>
      <c r="AA358" s="904"/>
      <c r="AB358" s="927"/>
      <c r="AC358" s="928"/>
      <c r="AD358" s="928"/>
      <c r="AE358" s="904"/>
      <c r="AF358" s="908"/>
      <c r="AG358" s="928"/>
      <c r="AH358" s="898">
        <f t="shared" si="42"/>
        <v>0</v>
      </c>
      <c r="AI358" s="898">
        <f t="shared" si="44"/>
        <v>0</v>
      </c>
    </row>
    <row r="359" spans="3:35" x14ac:dyDescent="0.2">
      <c r="C359" s="74" t="s">
        <v>57</v>
      </c>
      <c r="D359" s="146">
        <v>126</v>
      </c>
      <c r="E359" s="897"/>
      <c r="F359" s="897"/>
      <c r="G359" s="897"/>
      <c r="H359" s="897"/>
      <c r="I359" s="897"/>
      <c r="J359" s="915">
        <f t="shared" si="43"/>
        <v>0</v>
      </c>
      <c r="K359" s="903"/>
      <c r="L359" s="903"/>
      <c r="M359" s="926"/>
      <c r="N359" s="927"/>
      <c r="O359" s="928"/>
      <c r="P359" s="904"/>
      <c r="Q359" s="908"/>
      <c r="R359" s="928"/>
      <c r="S359" s="907"/>
      <c r="T359" s="928"/>
      <c r="U359" s="904"/>
      <c r="V359" s="904"/>
      <c r="W359" s="929"/>
      <c r="X359" s="899"/>
      <c r="Y359" s="909"/>
      <c r="Z359" s="928"/>
      <c r="AA359" s="904"/>
      <c r="AB359" s="927"/>
      <c r="AC359" s="928"/>
      <c r="AD359" s="928"/>
      <c r="AE359" s="904"/>
      <c r="AF359" s="908"/>
      <c r="AG359" s="928"/>
      <c r="AH359" s="898">
        <f t="shared" si="42"/>
        <v>0</v>
      </c>
      <c r="AI359" s="898">
        <f t="shared" si="44"/>
        <v>0</v>
      </c>
    </row>
    <row r="360" spans="3:35" x14ac:dyDescent="0.2">
      <c r="C360" s="74" t="s">
        <v>58</v>
      </c>
      <c r="D360" s="146">
        <v>127</v>
      </c>
      <c r="E360" s="897"/>
      <c r="F360" s="897"/>
      <c r="G360" s="897"/>
      <c r="H360" s="897"/>
      <c r="I360" s="897"/>
      <c r="J360" s="915">
        <f t="shared" si="43"/>
        <v>0</v>
      </c>
      <c r="K360" s="903"/>
      <c r="L360" s="903"/>
      <c r="M360" s="926"/>
      <c r="N360" s="927"/>
      <c r="O360" s="928"/>
      <c r="P360" s="904"/>
      <c r="Q360" s="908"/>
      <c r="R360" s="928"/>
      <c r="S360" s="907"/>
      <c r="T360" s="928"/>
      <c r="U360" s="904"/>
      <c r="V360" s="904"/>
      <c r="W360" s="929"/>
      <c r="X360" s="899"/>
      <c r="Y360" s="909"/>
      <c r="Z360" s="928"/>
      <c r="AA360" s="904"/>
      <c r="AB360" s="927"/>
      <c r="AC360" s="928"/>
      <c r="AD360" s="928"/>
      <c r="AE360" s="904"/>
      <c r="AF360" s="908"/>
      <c r="AG360" s="928"/>
      <c r="AH360" s="898">
        <f t="shared" si="42"/>
        <v>0</v>
      </c>
      <c r="AI360" s="898">
        <f t="shared" si="44"/>
        <v>0</v>
      </c>
    </row>
    <row r="361" spans="3:35" x14ac:dyDescent="0.2">
      <c r="C361" s="74" t="s">
        <v>59</v>
      </c>
      <c r="D361" s="146">
        <v>128</v>
      </c>
      <c r="E361" s="897"/>
      <c r="F361" s="897"/>
      <c r="G361" s="897"/>
      <c r="H361" s="897"/>
      <c r="I361" s="897"/>
      <c r="J361" s="915">
        <f t="shared" si="43"/>
        <v>0</v>
      </c>
      <c r="K361" s="903"/>
      <c r="L361" s="903"/>
      <c r="M361" s="926"/>
      <c r="N361" s="927"/>
      <c r="O361" s="928"/>
      <c r="P361" s="904"/>
      <c r="Q361" s="908"/>
      <c r="R361" s="928"/>
      <c r="S361" s="907"/>
      <c r="T361" s="928"/>
      <c r="U361" s="904"/>
      <c r="V361" s="904"/>
      <c r="W361" s="929"/>
      <c r="X361" s="899"/>
      <c r="Y361" s="909"/>
      <c r="Z361" s="928"/>
      <c r="AA361" s="904"/>
      <c r="AB361" s="927"/>
      <c r="AC361" s="928"/>
      <c r="AD361" s="928"/>
      <c r="AE361" s="904"/>
      <c r="AF361" s="908"/>
      <c r="AG361" s="928"/>
      <c r="AH361" s="898">
        <f t="shared" ref="AH361:AH392" si="45">ROUND(SUM(K361:M361,N361,Q361:S361,V361,Y361,AB361,AF361:AG361),3)</f>
        <v>0</v>
      </c>
      <c r="AI361" s="898">
        <f t="shared" si="44"/>
        <v>0</v>
      </c>
    </row>
    <row r="362" spans="3:35" x14ac:dyDescent="0.2">
      <c r="C362" s="74" t="s">
        <v>621</v>
      </c>
      <c r="D362" s="146">
        <v>129</v>
      </c>
      <c r="E362" s="897"/>
      <c r="F362" s="897"/>
      <c r="G362" s="897"/>
      <c r="H362" s="897"/>
      <c r="I362" s="897"/>
      <c r="J362" s="915">
        <f t="shared" si="43"/>
        <v>0</v>
      </c>
      <c r="K362" s="903"/>
      <c r="L362" s="903"/>
      <c r="M362" s="926"/>
      <c r="N362" s="927"/>
      <c r="O362" s="928"/>
      <c r="P362" s="904"/>
      <c r="Q362" s="908"/>
      <c r="R362" s="928"/>
      <c r="S362" s="907"/>
      <c r="T362" s="928"/>
      <c r="U362" s="904"/>
      <c r="V362" s="904"/>
      <c r="W362" s="929"/>
      <c r="X362" s="899"/>
      <c r="Y362" s="909"/>
      <c r="Z362" s="928"/>
      <c r="AA362" s="904"/>
      <c r="AB362" s="927"/>
      <c r="AC362" s="928"/>
      <c r="AD362" s="928"/>
      <c r="AE362" s="904"/>
      <c r="AF362" s="908"/>
      <c r="AG362" s="928"/>
      <c r="AH362" s="898">
        <f t="shared" si="45"/>
        <v>0</v>
      </c>
      <c r="AI362" s="898">
        <f t="shared" si="44"/>
        <v>0</v>
      </c>
    </row>
    <row r="363" spans="3:35" x14ac:dyDescent="0.2">
      <c r="C363" s="74" t="s">
        <v>1000</v>
      </c>
      <c r="D363" s="146">
        <v>130</v>
      </c>
      <c r="E363" s="897"/>
      <c r="F363" s="897"/>
      <c r="G363" s="897"/>
      <c r="H363" s="897"/>
      <c r="I363" s="897"/>
      <c r="J363" s="915">
        <f t="shared" si="43"/>
        <v>0</v>
      </c>
      <c r="K363" s="903"/>
      <c r="L363" s="903"/>
      <c r="M363" s="926"/>
      <c r="N363" s="927"/>
      <c r="O363" s="928"/>
      <c r="P363" s="904"/>
      <c r="Q363" s="908"/>
      <c r="R363" s="928"/>
      <c r="S363" s="907"/>
      <c r="T363" s="928"/>
      <c r="U363" s="904"/>
      <c r="V363" s="904"/>
      <c r="W363" s="929"/>
      <c r="X363" s="899"/>
      <c r="Y363" s="909"/>
      <c r="Z363" s="928"/>
      <c r="AA363" s="904"/>
      <c r="AB363" s="927"/>
      <c r="AC363" s="928"/>
      <c r="AD363" s="928"/>
      <c r="AE363" s="904"/>
      <c r="AF363" s="908"/>
      <c r="AG363" s="928"/>
      <c r="AH363" s="898">
        <f t="shared" si="45"/>
        <v>0</v>
      </c>
      <c r="AI363" s="898">
        <f t="shared" si="44"/>
        <v>0</v>
      </c>
    </row>
    <row r="364" spans="3:35" x14ac:dyDescent="0.2">
      <c r="C364" s="74" t="s">
        <v>60</v>
      </c>
      <c r="D364" s="146">
        <v>131</v>
      </c>
      <c r="E364" s="897"/>
      <c r="F364" s="897"/>
      <c r="G364" s="897"/>
      <c r="H364" s="897"/>
      <c r="I364" s="897"/>
      <c r="J364" s="915">
        <f t="shared" ref="J364:J395" si="46">ROUND(SUM(E364:I364),3)</f>
        <v>0</v>
      </c>
      <c r="K364" s="903"/>
      <c r="L364" s="903"/>
      <c r="M364" s="926"/>
      <c r="N364" s="927"/>
      <c r="O364" s="928"/>
      <c r="P364" s="904"/>
      <c r="Q364" s="908"/>
      <c r="R364" s="928"/>
      <c r="S364" s="907"/>
      <c r="T364" s="928"/>
      <c r="U364" s="904"/>
      <c r="V364" s="904"/>
      <c r="W364" s="929"/>
      <c r="X364" s="899"/>
      <c r="Y364" s="909"/>
      <c r="Z364" s="928"/>
      <c r="AA364" s="904"/>
      <c r="AB364" s="927"/>
      <c r="AC364" s="928"/>
      <c r="AD364" s="928"/>
      <c r="AE364" s="904"/>
      <c r="AF364" s="908"/>
      <c r="AG364" s="928"/>
      <c r="AH364" s="898">
        <f t="shared" si="45"/>
        <v>0</v>
      </c>
      <c r="AI364" s="898">
        <f t="shared" ref="AI364:AI395" si="47">ROUND(SUM(J364,AH364),3)</f>
        <v>0</v>
      </c>
    </row>
    <row r="365" spans="3:35" x14ac:dyDescent="0.2">
      <c r="C365" s="74" t="s">
        <v>1001</v>
      </c>
      <c r="D365" s="146">
        <v>132</v>
      </c>
      <c r="E365" s="897"/>
      <c r="F365" s="897"/>
      <c r="G365" s="897"/>
      <c r="H365" s="897"/>
      <c r="I365" s="897"/>
      <c r="J365" s="915">
        <f t="shared" si="46"/>
        <v>0</v>
      </c>
      <c r="K365" s="903"/>
      <c r="L365" s="903"/>
      <c r="M365" s="926"/>
      <c r="N365" s="927"/>
      <c r="O365" s="928"/>
      <c r="P365" s="904"/>
      <c r="Q365" s="908"/>
      <c r="R365" s="928"/>
      <c r="S365" s="907"/>
      <c r="T365" s="928"/>
      <c r="U365" s="904"/>
      <c r="V365" s="904"/>
      <c r="W365" s="929"/>
      <c r="X365" s="899"/>
      <c r="Y365" s="909"/>
      <c r="Z365" s="928"/>
      <c r="AA365" s="904"/>
      <c r="AB365" s="927"/>
      <c r="AC365" s="928"/>
      <c r="AD365" s="928"/>
      <c r="AE365" s="904"/>
      <c r="AF365" s="908"/>
      <c r="AG365" s="928"/>
      <c r="AH365" s="898">
        <f t="shared" si="45"/>
        <v>0</v>
      </c>
      <c r="AI365" s="898">
        <f t="shared" si="47"/>
        <v>0</v>
      </c>
    </row>
    <row r="366" spans="3:35" x14ac:dyDescent="0.2">
      <c r="C366" s="74" t="s">
        <v>569</v>
      </c>
      <c r="D366" s="146">
        <v>133</v>
      </c>
      <c r="E366" s="897"/>
      <c r="F366" s="897"/>
      <c r="G366" s="897"/>
      <c r="H366" s="897"/>
      <c r="I366" s="897"/>
      <c r="J366" s="915">
        <f t="shared" si="46"/>
        <v>0</v>
      </c>
      <c r="K366" s="903"/>
      <c r="L366" s="903"/>
      <c r="M366" s="926"/>
      <c r="N366" s="927"/>
      <c r="O366" s="928"/>
      <c r="P366" s="904"/>
      <c r="Q366" s="908"/>
      <c r="R366" s="928"/>
      <c r="S366" s="907"/>
      <c r="T366" s="928"/>
      <c r="U366" s="904"/>
      <c r="V366" s="904"/>
      <c r="W366" s="929"/>
      <c r="X366" s="899"/>
      <c r="Y366" s="909"/>
      <c r="Z366" s="928"/>
      <c r="AA366" s="904"/>
      <c r="AB366" s="927"/>
      <c r="AC366" s="928"/>
      <c r="AD366" s="928"/>
      <c r="AE366" s="904"/>
      <c r="AF366" s="908"/>
      <c r="AG366" s="928"/>
      <c r="AH366" s="898">
        <f t="shared" si="45"/>
        <v>0</v>
      </c>
      <c r="AI366" s="898">
        <f t="shared" si="47"/>
        <v>0</v>
      </c>
    </row>
    <row r="367" spans="3:35" x14ac:dyDescent="0.2">
      <c r="C367" s="74" t="s">
        <v>1002</v>
      </c>
      <c r="D367" s="146">
        <v>134</v>
      </c>
      <c r="E367" s="897"/>
      <c r="F367" s="897"/>
      <c r="G367" s="897"/>
      <c r="H367" s="897"/>
      <c r="I367" s="897"/>
      <c r="J367" s="915">
        <f t="shared" si="46"/>
        <v>0</v>
      </c>
      <c r="K367" s="903"/>
      <c r="L367" s="903"/>
      <c r="M367" s="926"/>
      <c r="N367" s="927"/>
      <c r="O367" s="928"/>
      <c r="P367" s="904"/>
      <c r="Q367" s="908"/>
      <c r="R367" s="928"/>
      <c r="S367" s="907"/>
      <c r="T367" s="928"/>
      <c r="U367" s="904"/>
      <c r="V367" s="904"/>
      <c r="W367" s="929"/>
      <c r="X367" s="899"/>
      <c r="Y367" s="909"/>
      <c r="Z367" s="928"/>
      <c r="AA367" s="904"/>
      <c r="AB367" s="927"/>
      <c r="AC367" s="928"/>
      <c r="AD367" s="928"/>
      <c r="AE367" s="904"/>
      <c r="AF367" s="908"/>
      <c r="AG367" s="928"/>
      <c r="AH367" s="898">
        <f t="shared" si="45"/>
        <v>0</v>
      </c>
      <c r="AI367" s="898">
        <f t="shared" si="47"/>
        <v>0</v>
      </c>
    </row>
    <row r="368" spans="3:35" x14ac:dyDescent="0.2">
      <c r="C368" s="74" t="s">
        <v>61</v>
      </c>
      <c r="D368" s="146">
        <v>135</v>
      </c>
      <c r="E368" s="897"/>
      <c r="F368" s="897"/>
      <c r="G368" s="897"/>
      <c r="H368" s="897"/>
      <c r="I368" s="897"/>
      <c r="J368" s="915">
        <f t="shared" si="46"/>
        <v>0</v>
      </c>
      <c r="K368" s="903"/>
      <c r="L368" s="903"/>
      <c r="M368" s="926"/>
      <c r="N368" s="927"/>
      <c r="O368" s="928"/>
      <c r="P368" s="904"/>
      <c r="Q368" s="908"/>
      <c r="R368" s="928"/>
      <c r="S368" s="907"/>
      <c r="T368" s="928"/>
      <c r="U368" s="904"/>
      <c r="V368" s="904"/>
      <c r="W368" s="929"/>
      <c r="X368" s="899"/>
      <c r="Y368" s="909"/>
      <c r="Z368" s="928"/>
      <c r="AA368" s="904"/>
      <c r="AB368" s="927"/>
      <c r="AC368" s="928"/>
      <c r="AD368" s="928"/>
      <c r="AE368" s="904"/>
      <c r="AF368" s="908"/>
      <c r="AG368" s="928"/>
      <c r="AH368" s="898">
        <f t="shared" si="45"/>
        <v>0</v>
      </c>
      <c r="AI368" s="898">
        <f t="shared" si="47"/>
        <v>0</v>
      </c>
    </row>
    <row r="369" spans="3:35" x14ac:dyDescent="0.2">
      <c r="C369" s="74" t="s">
        <v>99</v>
      </c>
      <c r="D369" s="146">
        <v>136</v>
      </c>
      <c r="E369" s="897"/>
      <c r="F369" s="897"/>
      <c r="G369" s="897"/>
      <c r="H369" s="897"/>
      <c r="I369" s="897"/>
      <c r="J369" s="915">
        <f t="shared" si="46"/>
        <v>0</v>
      </c>
      <c r="K369" s="903"/>
      <c r="L369" s="903"/>
      <c r="M369" s="926"/>
      <c r="N369" s="927"/>
      <c r="O369" s="928"/>
      <c r="P369" s="904"/>
      <c r="Q369" s="908"/>
      <c r="R369" s="928"/>
      <c r="S369" s="907"/>
      <c r="T369" s="928"/>
      <c r="U369" s="904"/>
      <c r="V369" s="904"/>
      <c r="W369" s="929"/>
      <c r="X369" s="899"/>
      <c r="Y369" s="909"/>
      <c r="Z369" s="928"/>
      <c r="AA369" s="904"/>
      <c r="AB369" s="927"/>
      <c r="AC369" s="928"/>
      <c r="AD369" s="928"/>
      <c r="AE369" s="904"/>
      <c r="AF369" s="908"/>
      <c r="AG369" s="928"/>
      <c r="AH369" s="898">
        <f t="shared" si="45"/>
        <v>0</v>
      </c>
      <c r="AI369" s="898">
        <f t="shared" si="47"/>
        <v>0</v>
      </c>
    </row>
    <row r="370" spans="3:35" x14ac:dyDescent="0.2">
      <c r="C370" s="74" t="s">
        <v>570</v>
      </c>
      <c r="D370" s="146">
        <v>137</v>
      </c>
      <c r="E370" s="897"/>
      <c r="F370" s="897"/>
      <c r="G370" s="897"/>
      <c r="H370" s="897"/>
      <c r="I370" s="897"/>
      <c r="J370" s="915">
        <f t="shared" si="46"/>
        <v>0</v>
      </c>
      <c r="K370" s="903"/>
      <c r="L370" s="903"/>
      <c r="M370" s="926"/>
      <c r="N370" s="927"/>
      <c r="O370" s="928"/>
      <c r="P370" s="904"/>
      <c r="Q370" s="908"/>
      <c r="R370" s="928"/>
      <c r="S370" s="907"/>
      <c r="T370" s="928"/>
      <c r="U370" s="904"/>
      <c r="V370" s="904"/>
      <c r="W370" s="929"/>
      <c r="X370" s="899"/>
      <c r="Y370" s="909"/>
      <c r="Z370" s="928"/>
      <c r="AA370" s="904"/>
      <c r="AB370" s="927"/>
      <c r="AC370" s="928"/>
      <c r="AD370" s="928"/>
      <c r="AE370" s="904"/>
      <c r="AF370" s="908"/>
      <c r="AG370" s="928"/>
      <c r="AH370" s="898">
        <f t="shared" si="45"/>
        <v>0</v>
      </c>
      <c r="AI370" s="898">
        <f t="shared" si="47"/>
        <v>0</v>
      </c>
    </row>
    <row r="371" spans="3:35" x14ac:dyDescent="0.2">
      <c r="C371" s="74" t="s">
        <v>72</v>
      </c>
      <c r="D371" s="146">
        <v>138</v>
      </c>
      <c r="E371" s="897"/>
      <c r="F371" s="897"/>
      <c r="G371" s="897"/>
      <c r="H371" s="897"/>
      <c r="I371" s="897"/>
      <c r="J371" s="915">
        <f t="shared" si="46"/>
        <v>0</v>
      </c>
      <c r="K371" s="903"/>
      <c r="L371" s="903"/>
      <c r="M371" s="926"/>
      <c r="N371" s="927"/>
      <c r="O371" s="928"/>
      <c r="P371" s="904"/>
      <c r="Q371" s="908"/>
      <c r="R371" s="928"/>
      <c r="S371" s="907"/>
      <c r="T371" s="928"/>
      <c r="U371" s="904"/>
      <c r="V371" s="904"/>
      <c r="W371" s="929"/>
      <c r="X371" s="899"/>
      <c r="Y371" s="909"/>
      <c r="Z371" s="928"/>
      <c r="AA371" s="904"/>
      <c r="AB371" s="927"/>
      <c r="AC371" s="928"/>
      <c r="AD371" s="928"/>
      <c r="AE371" s="904"/>
      <c r="AF371" s="908"/>
      <c r="AG371" s="928"/>
      <c r="AH371" s="898">
        <f t="shared" si="45"/>
        <v>0</v>
      </c>
      <c r="AI371" s="898">
        <f t="shared" si="47"/>
        <v>0</v>
      </c>
    </row>
    <row r="372" spans="3:35" x14ac:dyDescent="0.2">
      <c r="C372" s="74" t="s">
        <v>1003</v>
      </c>
      <c r="D372" s="146">
        <v>139</v>
      </c>
      <c r="E372" s="897"/>
      <c r="F372" s="897"/>
      <c r="G372" s="897"/>
      <c r="H372" s="897"/>
      <c r="I372" s="897"/>
      <c r="J372" s="915">
        <f t="shared" si="46"/>
        <v>0</v>
      </c>
      <c r="K372" s="903"/>
      <c r="L372" s="903"/>
      <c r="M372" s="926"/>
      <c r="N372" s="927"/>
      <c r="O372" s="928"/>
      <c r="P372" s="904"/>
      <c r="Q372" s="908"/>
      <c r="R372" s="928"/>
      <c r="S372" s="907"/>
      <c r="T372" s="928"/>
      <c r="U372" s="904"/>
      <c r="V372" s="904"/>
      <c r="W372" s="929"/>
      <c r="X372" s="899"/>
      <c r="Y372" s="909"/>
      <c r="Z372" s="928"/>
      <c r="AA372" s="904"/>
      <c r="AB372" s="927"/>
      <c r="AC372" s="928"/>
      <c r="AD372" s="928"/>
      <c r="AE372" s="904"/>
      <c r="AF372" s="908"/>
      <c r="AG372" s="928"/>
      <c r="AH372" s="898">
        <f t="shared" si="45"/>
        <v>0</v>
      </c>
      <c r="AI372" s="898">
        <f t="shared" si="47"/>
        <v>0</v>
      </c>
    </row>
    <row r="373" spans="3:35" x14ac:dyDescent="0.2">
      <c r="C373" s="74" t="s">
        <v>62</v>
      </c>
      <c r="D373" s="146">
        <v>140</v>
      </c>
      <c r="E373" s="897"/>
      <c r="F373" s="897"/>
      <c r="G373" s="897"/>
      <c r="H373" s="897"/>
      <c r="I373" s="897"/>
      <c r="J373" s="915">
        <f t="shared" si="46"/>
        <v>0</v>
      </c>
      <c r="K373" s="903"/>
      <c r="L373" s="903"/>
      <c r="M373" s="926"/>
      <c r="N373" s="927"/>
      <c r="O373" s="928"/>
      <c r="P373" s="904"/>
      <c r="Q373" s="908"/>
      <c r="R373" s="928"/>
      <c r="S373" s="907"/>
      <c r="T373" s="928"/>
      <c r="U373" s="904"/>
      <c r="V373" s="904"/>
      <c r="W373" s="929"/>
      <c r="X373" s="899"/>
      <c r="Y373" s="909"/>
      <c r="Z373" s="928"/>
      <c r="AA373" s="904"/>
      <c r="AB373" s="927"/>
      <c r="AC373" s="928"/>
      <c r="AD373" s="928"/>
      <c r="AE373" s="904"/>
      <c r="AF373" s="908"/>
      <c r="AG373" s="928"/>
      <c r="AH373" s="898">
        <f t="shared" si="45"/>
        <v>0</v>
      </c>
      <c r="AI373" s="898">
        <f t="shared" si="47"/>
        <v>0</v>
      </c>
    </row>
    <row r="374" spans="3:35" x14ac:dyDescent="0.2">
      <c r="C374" s="74" t="s">
        <v>1004</v>
      </c>
      <c r="D374" s="146">
        <v>141</v>
      </c>
      <c r="E374" s="897"/>
      <c r="F374" s="897"/>
      <c r="G374" s="897"/>
      <c r="H374" s="897"/>
      <c r="I374" s="897"/>
      <c r="J374" s="915">
        <f t="shared" si="46"/>
        <v>0</v>
      </c>
      <c r="K374" s="903"/>
      <c r="L374" s="903"/>
      <c r="M374" s="926"/>
      <c r="N374" s="927"/>
      <c r="O374" s="928"/>
      <c r="P374" s="904"/>
      <c r="Q374" s="908"/>
      <c r="R374" s="928"/>
      <c r="S374" s="907"/>
      <c r="T374" s="928"/>
      <c r="U374" s="904"/>
      <c r="V374" s="904"/>
      <c r="W374" s="929"/>
      <c r="X374" s="899"/>
      <c r="Y374" s="909"/>
      <c r="Z374" s="928"/>
      <c r="AA374" s="904"/>
      <c r="AB374" s="927"/>
      <c r="AC374" s="928"/>
      <c r="AD374" s="928"/>
      <c r="AE374" s="904"/>
      <c r="AF374" s="908"/>
      <c r="AG374" s="928"/>
      <c r="AH374" s="898">
        <f t="shared" si="45"/>
        <v>0</v>
      </c>
      <c r="AI374" s="898">
        <f t="shared" si="47"/>
        <v>0</v>
      </c>
    </row>
    <row r="375" spans="3:35" x14ac:dyDescent="0.2">
      <c r="C375" s="74" t="s">
        <v>1005</v>
      </c>
      <c r="D375" s="146">
        <v>142</v>
      </c>
      <c r="E375" s="897"/>
      <c r="F375" s="897"/>
      <c r="G375" s="897"/>
      <c r="H375" s="897"/>
      <c r="I375" s="897"/>
      <c r="J375" s="915">
        <f t="shared" si="46"/>
        <v>0</v>
      </c>
      <c r="K375" s="903"/>
      <c r="L375" s="903"/>
      <c r="M375" s="926"/>
      <c r="N375" s="927"/>
      <c r="O375" s="928"/>
      <c r="P375" s="904"/>
      <c r="Q375" s="908"/>
      <c r="R375" s="928"/>
      <c r="S375" s="907"/>
      <c r="T375" s="928"/>
      <c r="U375" s="904"/>
      <c r="V375" s="904"/>
      <c r="W375" s="929"/>
      <c r="X375" s="899"/>
      <c r="Y375" s="909"/>
      <c r="Z375" s="928"/>
      <c r="AA375" s="904"/>
      <c r="AB375" s="927"/>
      <c r="AC375" s="928"/>
      <c r="AD375" s="928"/>
      <c r="AE375" s="904"/>
      <c r="AF375" s="908"/>
      <c r="AG375" s="928"/>
      <c r="AH375" s="898">
        <f t="shared" si="45"/>
        <v>0</v>
      </c>
      <c r="AI375" s="898">
        <f t="shared" si="47"/>
        <v>0</v>
      </c>
    </row>
    <row r="376" spans="3:35" x14ac:dyDescent="0.2">
      <c r="C376" s="74" t="s">
        <v>63</v>
      </c>
      <c r="D376" s="146">
        <v>143</v>
      </c>
      <c r="E376" s="897"/>
      <c r="F376" s="897"/>
      <c r="G376" s="897"/>
      <c r="H376" s="897"/>
      <c r="I376" s="897"/>
      <c r="J376" s="915">
        <f t="shared" si="46"/>
        <v>0</v>
      </c>
      <c r="K376" s="903"/>
      <c r="L376" s="903"/>
      <c r="M376" s="926"/>
      <c r="N376" s="927"/>
      <c r="O376" s="928"/>
      <c r="P376" s="904"/>
      <c r="Q376" s="908"/>
      <c r="R376" s="928"/>
      <c r="S376" s="907"/>
      <c r="T376" s="928"/>
      <c r="U376" s="904"/>
      <c r="V376" s="904"/>
      <c r="W376" s="929"/>
      <c r="X376" s="899"/>
      <c r="Y376" s="909"/>
      <c r="Z376" s="928"/>
      <c r="AA376" s="904"/>
      <c r="AB376" s="927"/>
      <c r="AC376" s="928"/>
      <c r="AD376" s="928"/>
      <c r="AE376" s="904"/>
      <c r="AF376" s="908"/>
      <c r="AG376" s="928"/>
      <c r="AH376" s="898">
        <f t="shared" si="45"/>
        <v>0</v>
      </c>
      <c r="AI376" s="898">
        <f t="shared" si="47"/>
        <v>0</v>
      </c>
    </row>
    <row r="377" spans="3:35" x14ac:dyDescent="0.2">
      <c r="C377" s="74" t="s">
        <v>64</v>
      </c>
      <c r="D377" s="146">
        <v>144</v>
      </c>
      <c r="E377" s="897"/>
      <c r="F377" s="897"/>
      <c r="G377" s="897"/>
      <c r="H377" s="897"/>
      <c r="I377" s="897"/>
      <c r="J377" s="915">
        <f t="shared" si="46"/>
        <v>0</v>
      </c>
      <c r="K377" s="903"/>
      <c r="L377" s="903"/>
      <c r="M377" s="926"/>
      <c r="N377" s="927"/>
      <c r="O377" s="928"/>
      <c r="P377" s="904"/>
      <c r="Q377" s="908"/>
      <c r="R377" s="928"/>
      <c r="S377" s="907"/>
      <c r="T377" s="928"/>
      <c r="U377" s="904"/>
      <c r="V377" s="904"/>
      <c r="W377" s="929"/>
      <c r="X377" s="899"/>
      <c r="Y377" s="909"/>
      <c r="Z377" s="928"/>
      <c r="AA377" s="904"/>
      <c r="AB377" s="927"/>
      <c r="AC377" s="928"/>
      <c r="AD377" s="928"/>
      <c r="AE377" s="904"/>
      <c r="AF377" s="908"/>
      <c r="AG377" s="928"/>
      <c r="AH377" s="898">
        <f t="shared" si="45"/>
        <v>0</v>
      </c>
      <c r="AI377" s="898">
        <f t="shared" si="47"/>
        <v>0</v>
      </c>
    </row>
    <row r="378" spans="3:35" x14ac:dyDescent="0.2">
      <c r="C378" s="74" t="s">
        <v>622</v>
      </c>
      <c r="D378" s="146">
        <v>145</v>
      </c>
      <c r="E378" s="897"/>
      <c r="F378" s="897"/>
      <c r="G378" s="897"/>
      <c r="H378" s="897"/>
      <c r="I378" s="897"/>
      <c r="J378" s="915">
        <f t="shared" si="46"/>
        <v>0</v>
      </c>
      <c r="K378" s="903"/>
      <c r="L378" s="903"/>
      <c r="M378" s="926"/>
      <c r="N378" s="927"/>
      <c r="O378" s="928"/>
      <c r="P378" s="904"/>
      <c r="Q378" s="908"/>
      <c r="R378" s="928"/>
      <c r="S378" s="907"/>
      <c r="T378" s="928"/>
      <c r="U378" s="904"/>
      <c r="V378" s="904"/>
      <c r="W378" s="929"/>
      <c r="X378" s="899"/>
      <c r="Y378" s="909"/>
      <c r="Z378" s="928"/>
      <c r="AA378" s="904"/>
      <c r="AB378" s="927"/>
      <c r="AC378" s="928"/>
      <c r="AD378" s="928"/>
      <c r="AE378" s="904"/>
      <c r="AF378" s="908"/>
      <c r="AG378" s="928"/>
      <c r="AH378" s="898">
        <f t="shared" si="45"/>
        <v>0</v>
      </c>
      <c r="AI378" s="898">
        <f t="shared" si="47"/>
        <v>0</v>
      </c>
    </row>
    <row r="379" spans="3:35" x14ac:dyDescent="0.2">
      <c r="C379" s="74" t="s">
        <v>1006</v>
      </c>
      <c r="D379" s="146">
        <v>146</v>
      </c>
      <c r="E379" s="897"/>
      <c r="F379" s="897"/>
      <c r="G379" s="897"/>
      <c r="H379" s="897"/>
      <c r="I379" s="897"/>
      <c r="J379" s="915">
        <f t="shared" si="46"/>
        <v>0</v>
      </c>
      <c r="K379" s="903"/>
      <c r="L379" s="903"/>
      <c r="M379" s="926"/>
      <c r="N379" s="927"/>
      <c r="O379" s="928"/>
      <c r="P379" s="904"/>
      <c r="Q379" s="908"/>
      <c r="R379" s="928"/>
      <c r="S379" s="907"/>
      <c r="T379" s="928"/>
      <c r="U379" s="904"/>
      <c r="V379" s="904"/>
      <c r="W379" s="929"/>
      <c r="X379" s="899"/>
      <c r="Y379" s="909"/>
      <c r="Z379" s="928"/>
      <c r="AA379" s="904"/>
      <c r="AB379" s="927"/>
      <c r="AC379" s="928"/>
      <c r="AD379" s="928"/>
      <c r="AE379" s="904"/>
      <c r="AF379" s="908"/>
      <c r="AG379" s="928"/>
      <c r="AH379" s="898">
        <f t="shared" si="45"/>
        <v>0</v>
      </c>
      <c r="AI379" s="898">
        <f t="shared" si="47"/>
        <v>0</v>
      </c>
    </row>
    <row r="380" spans="3:35" x14ac:dyDescent="0.2">
      <c r="C380" s="74" t="s">
        <v>563</v>
      </c>
      <c r="D380" s="146">
        <v>147</v>
      </c>
      <c r="E380" s="897"/>
      <c r="F380" s="897"/>
      <c r="G380" s="897"/>
      <c r="H380" s="897"/>
      <c r="I380" s="897"/>
      <c r="J380" s="915">
        <f t="shared" si="46"/>
        <v>0</v>
      </c>
      <c r="K380" s="903"/>
      <c r="L380" s="903"/>
      <c r="M380" s="926"/>
      <c r="N380" s="927"/>
      <c r="O380" s="928"/>
      <c r="P380" s="904"/>
      <c r="Q380" s="908"/>
      <c r="R380" s="928"/>
      <c r="S380" s="907"/>
      <c r="T380" s="928"/>
      <c r="U380" s="904"/>
      <c r="V380" s="904"/>
      <c r="W380" s="929"/>
      <c r="X380" s="899"/>
      <c r="Y380" s="909"/>
      <c r="Z380" s="928"/>
      <c r="AA380" s="904"/>
      <c r="AB380" s="927"/>
      <c r="AC380" s="928"/>
      <c r="AD380" s="928"/>
      <c r="AE380" s="904"/>
      <c r="AF380" s="908"/>
      <c r="AG380" s="928"/>
      <c r="AH380" s="898">
        <f t="shared" si="45"/>
        <v>0</v>
      </c>
      <c r="AI380" s="898">
        <f t="shared" si="47"/>
        <v>0</v>
      </c>
    </row>
    <row r="381" spans="3:35" x14ac:dyDescent="0.2">
      <c r="C381" s="74" t="s">
        <v>1007</v>
      </c>
      <c r="D381" s="146">
        <v>148</v>
      </c>
      <c r="E381" s="897"/>
      <c r="F381" s="897"/>
      <c r="G381" s="897"/>
      <c r="H381" s="897"/>
      <c r="I381" s="897"/>
      <c r="J381" s="915">
        <f t="shared" si="46"/>
        <v>0</v>
      </c>
      <c r="K381" s="903"/>
      <c r="L381" s="903"/>
      <c r="M381" s="926"/>
      <c r="N381" s="927"/>
      <c r="O381" s="928"/>
      <c r="P381" s="904"/>
      <c r="Q381" s="908"/>
      <c r="R381" s="928"/>
      <c r="S381" s="907"/>
      <c r="T381" s="928"/>
      <c r="U381" s="904"/>
      <c r="V381" s="904"/>
      <c r="W381" s="929"/>
      <c r="X381" s="899"/>
      <c r="Y381" s="909"/>
      <c r="Z381" s="928"/>
      <c r="AA381" s="904"/>
      <c r="AB381" s="927"/>
      <c r="AC381" s="928"/>
      <c r="AD381" s="928"/>
      <c r="AE381" s="904"/>
      <c r="AF381" s="908"/>
      <c r="AG381" s="928"/>
      <c r="AH381" s="898">
        <f t="shared" si="45"/>
        <v>0</v>
      </c>
      <c r="AI381" s="898">
        <f t="shared" si="47"/>
        <v>0</v>
      </c>
    </row>
    <row r="382" spans="3:35" x14ac:dyDescent="0.2">
      <c r="C382" s="74" t="s">
        <v>73</v>
      </c>
      <c r="D382" s="146">
        <v>149</v>
      </c>
      <c r="E382" s="897"/>
      <c r="F382" s="897"/>
      <c r="G382" s="897"/>
      <c r="H382" s="897"/>
      <c r="I382" s="897"/>
      <c r="J382" s="915">
        <f t="shared" si="46"/>
        <v>0</v>
      </c>
      <c r="K382" s="903"/>
      <c r="L382" s="903"/>
      <c r="M382" s="926"/>
      <c r="N382" s="927"/>
      <c r="O382" s="928"/>
      <c r="P382" s="904"/>
      <c r="Q382" s="908"/>
      <c r="R382" s="928"/>
      <c r="S382" s="907"/>
      <c r="T382" s="928"/>
      <c r="U382" s="904"/>
      <c r="V382" s="904"/>
      <c r="W382" s="929"/>
      <c r="X382" s="899"/>
      <c r="Y382" s="909"/>
      <c r="Z382" s="928"/>
      <c r="AA382" s="904"/>
      <c r="AB382" s="927"/>
      <c r="AC382" s="928"/>
      <c r="AD382" s="928"/>
      <c r="AE382" s="904"/>
      <c r="AF382" s="908"/>
      <c r="AG382" s="928"/>
      <c r="AH382" s="898">
        <f t="shared" si="45"/>
        <v>0</v>
      </c>
      <c r="AI382" s="898">
        <f t="shared" si="47"/>
        <v>0</v>
      </c>
    </row>
    <row r="383" spans="3:35" x14ac:dyDescent="0.2">
      <c r="C383" s="74" t="s">
        <v>1008</v>
      </c>
      <c r="D383" s="146">
        <v>150</v>
      </c>
      <c r="E383" s="897"/>
      <c r="F383" s="897"/>
      <c r="G383" s="897"/>
      <c r="H383" s="897"/>
      <c r="I383" s="897"/>
      <c r="J383" s="915">
        <f t="shared" si="46"/>
        <v>0</v>
      </c>
      <c r="K383" s="903"/>
      <c r="L383" s="903"/>
      <c r="M383" s="926"/>
      <c r="N383" s="927"/>
      <c r="O383" s="928"/>
      <c r="P383" s="904"/>
      <c r="Q383" s="908"/>
      <c r="R383" s="928"/>
      <c r="S383" s="907"/>
      <c r="T383" s="928"/>
      <c r="U383" s="904"/>
      <c r="V383" s="904"/>
      <c r="W383" s="929"/>
      <c r="X383" s="899"/>
      <c r="Y383" s="909"/>
      <c r="Z383" s="928"/>
      <c r="AA383" s="904"/>
      <c r="AB383" s="927"/>
      <c r="AC383" s="928"/>
      <c r="AD383" s="928"/>
      <c r="AE383" s="904"/>
      <c r="AF383" s="908"/>
      <c r="AG383" s="928"/>
      <c r="AH383" s="898">
        <f t="shared" si="45"/>
        <v>0</v>
      </c>
      <c r="AI383" s="898">
        <f t="shared" si="47"/>
        <v>0</v>
      </c>
    </row>
    <row r="384" spans="3:35" x14ac:dyDescent="0.2">
      <c r="C384" s="74" t="s">
        <v>1009</v>
      </c>
      <c r="D384" s="146">
        <v>151</v>
      </c>
      <c r="E384" s="897"/>
      <c r="F384" s="897"/>
      <c r="G384" s="897"/>
      <c r="H384" s="897"/>
      <c r="I384" s="897"/>
      <c r="J384" s="915">
        <f t="shared" si="46"/>
        <v>0</v>
      </c>
      <c r="K384" s="903"/>
      <c r="L384" s="903"/>
      <c r="M384" s="926"/>
      <c r="N384" s="927"/>
      <c r="O384" s="928"/>
      <c r="P384" s="904"/>
      <c r="Q384" s="908"/>
      <c r="R384" s="928"/>
      <c r="S384" s="907"/>
      <c r="T384" s="928"/>
      <c r="U384" s="904"/>
      <c r="V384" s="904"/>
      <c r="W384" s="929"/>
      <c r="X384" s="899"/>
      <c r="Y384" s="909"/>
      <c r="Z384" s="928"/>
      <c r="AA384" s="904"/>
      <c r="AB384" s="927"/>
      <c r="AC384" s="928"/>
      <c r="AD384" s="928"/>
      <c r="AE384" s="904"/>
      <c r="AF384" s="908"/>
      <c r="AG384" s="928"/>
      <c r="AH384" s="898">
        <f t="shared" si="45"/>
        <v>0</v>
      </c>
      <c r="AI384" s="898">
        <f t="shared" si="47"/>
        <v>0</v>
      </c>
    </row>
    <row r="385" spans="3:35" x14ac:dyDescent="0.2">
      <c r="C385" s="74" t="s">
        <v>100</v>
      </c>
      <c r="D385" s="146">
        <v>152</v>
      </c>
      <c r="E385" s="897"/>
      <c r="F385" s="897"/>
      <c r="G385" s="897"/>
      <c r="H385" s="897"/>
      <c r="I385" s="897"/>
      <c r="J385" s="915">
        <f t="shared" si="46"/>
        <v>0</v>
      </c>
      <c r="K385" s="903"/>
      <c r="L385" s="903"/>
      <c r="M385" s="926"/>
      <c r="N385" s="927"/>
      <c r="O385" s="928"/>
      <c r="P385" s="904"/>
      <c r="Q385" s="908"/>
      <c r="R385" s="928"/>
      <c r="S385" s="907"/>
      <c r="T385" s="928"/>
      <c r="U385" s="904"/>
      <c r="V385" s="904"/>
      <c r="W385" s="929"/>
      <c r="X385" s="899"/>
      <c r="Y385" s="909"/>
      <c r="Z385" s="928"/>
      <c r="AA385" s="904"/>
      <c r="AB385" s="927"/>
      <c r="AC385" s="928"/>
      <c r="AD385" s="928"/>
      <c r="AE385" s="904"/>
      <c r="AF385" s="908"/>
      <c r="AG385" s="928"/>
      <c r="AH385" s="898">
        <f t="shared" si="45"/>
        <v>0</v>
      </c>
      <c r="AI385" s="898">
        <f t="shared" si="47"/>
        <v>0</v>
      </c>
    </row>
    <row r="386" spans="3:35" x14ac:dyDescent="0.2">
      <c r="C386" s="74" t="s">
        <v>65</v>
      </c>
      <c r="D386" s="146">
        <v>153</v>
      </c>
      <c r="E386" s="897"/>
      <c r="F386" s="897"/>
      <c r="G386" s="897"/>
      <c r="H386" s="897"/>
      <c r="I386" s="897"/>
      <c r="J386" s="915">
        <f t="shared" si="46"/>
        <v>0</v>
      </c>
      <c r="K386" s="903"/>
      <c r="L386" s="903"/>
      <c r="M386" s="926"/>
      <c r="N386" s="927"/>
      <c r="O386" s="928"/>
      <c r="P386" s="904"/>
      <c r="Q386" s="908"/>
      <c r="R386" s="928"/>
      <c r="S386" s="907"/>
      <c r="T386" s="928"/>
      <c r="U386" s="904"/>
      <c r="V386" s="904"/>
      <c r="W386" s="929"/>
      <c r="X386" s="899"/>
      <c r="Y386" s="909"/>
      <c r="Z386" s="928"/>
      <c r="AA386" s="904"/>
      <c r="AB386" s="927"/>
      <c r="AC386" s="928"/>
      <c r="AD386" s="928"/>
      <c r="AE386" s="904"/>
      <c r="AF386" s="908"/>
      <c r="AG386" s="928"/>
      <c r="AH386" s="898">
        <f t="shared" si="45"/>
        <v>0</v>
      </c>
      <c r="AI386" s="898">
        <f t="shared" si="47"/>
        <v>0</v>
      </c>
    </row>
    <row r="387" spans="3:35" x14ac:dyDescent="0.2">
      <c r="C387" s="74" t="s">
        <v>66</v>
      </c>
      <c r="D387" s="146">
        <v>154</v>
      </c>
      <c r="E387" s="897"/>
      <c r="F387" s="897"/>
      <c r="G387" s="897"/>
      <c r="H387" s="897"/>
      <c r="I387" s="897"/>
      <c r="J387" s="915">
        <f t="shared" si="46"/>
        <v>0</v>
      </c>
      <c r="K387" s="903"/>
      <c r="L387" s="903"/>
      <c r="M387" s="926"/>
      <c r="N387" s="927"/>
      <c r="O387" s="928"/>
      <c r="P387" s="904"/>
      <c r="Q387" s="908"/>
      <c r="R387" s="928"/>
      <c r="S387" s="907"/>
      <c r="T387" s="928"/>
      <c r="U387" s="904"/>
      <c r="V387" s="904"/>
      <c r="W387" s="929"/>
      <c r="X387" s="899"/>
      <c r="Y387" s="909"/>
      <c r="Z387" s="928"/>
      <c r="AA387" s="904"/>
      <c r="AB387" s="927"/>
      <c r="AC387" s="928"/>
      <c r="AD387" s="928"/>
      <c r="AE387" s="904"/>
      <c r="AF387" s="908"/>
      <c r="AG387" s="928"/>
      <c r="AH387" s="898">
        <f t="shared" si="45"/>
        <v>0</v>
      </c>
      <c r="AI387" s="898">
        <f t="shared" si="47"/>
        <v>0</v>
      </c>
    </row>
    <row r="388" spans="3:35" x14ac:dyDescent="0.2">
      <c r="C388" s="74" t="s">
        <v>564</v>
      </c>
      <c r="D388" s="146">
        <v>155</v>
      </c>
      <c r="E388" s="897"/>
      <c r="F388" s="897"/>
      <c r="G388" s="897"/>
      <c r="H388" s="897"/>
      <c r="I388" s="897"/>
      <c r="J388" s="915">
        <f t="shared" si="46"/>
        <v>0</v>
      </c>
      <c r="K388" s="903"/>
      <c r="L388" s="903"/>
      <c r="M388" s="926"/>
      <c r="N388" s="927"/>
      <c r="O388" s="928"/>
      <c r="P388" s="904"/>
      <c r="Q388" s="908"/>
      <c r="R388" s="928"/>
      <c r="S388" s="907"/>
      <c r="T388" s="928"/>
      <c r="U388" s="904"/>
      <c r="V388" s="904"/>
      <c r="W388" s="929"/>
      <c r="X388" s="899"/>
      <c r="Y388" s="909"/>
      <c r="Z388" s="928"/>
      <c r="AA388" s="904"/>
      <c r="AB388" s="927"/>
      <c r="AC388" s="928"/>
      <c r="AD388" s="928"/>
      <c r="AE388" s="904"/>
      <c r="AF388" s="908"/>
      <c r="AG388" s="928"/>
      <c r="AH388" s="898">
        <f t="shared" si="45"/>
        <v>0</v>
      </c>
      <c r="AI388" s="898">
        <f t="shared" si="47"/>
        <v>0</v>
      </c>
    </row>
    <row r="389" spans="3:35" x14ac:dyDescent="0.2">
      <c r="C389" s="74" t="s">
        <v>1010</v>
      </c>
      <c r="D389" s="146">
        <v>156</v>
      </c>
      <c r="E389" s="897"/>
      <c r="F389" s="897"/>
      <c r="G389" s="897"/>
      <c r="H389" s="897"/>
      <c r="I389" s="897"/>
      <c r="J389" s="915">
        <f t="shared" si="46"/>
        <v>0</v>
      </c>
      <c r="K389" s="903"/>
      <c r="L389" s="903"/>
      <c r="M389" s="926"/>
      <c r="N389" s="927"/>
      <c r="O389" s="928"/>
      <c r="P389" s="904"/>
      <c r="Q389" s="908"/>
      <c r="R389" s="928"/>
      <c r="S389" s="907"/>
      <c r="T389" s="928"/>
      <c r="U389" s="904"/>
      <c r="V389" s="904"/>
      <c r="W389" s="929"/>
      <c r="X389" s="899"/>
      <c r="Y389" s="909"/>
      <c r="Z389" s="928"/>
      <c r="AA389" s="904"/>
      <c r="AB389" s="927"/>
      <c r="AC389" s="928"/>
      <c r="AD389" s="928"/>
      <c r="AE389" s="904"/>
      <c r="AF389" s="908"/>
      <c r="AG389" s="928"/>
      <c r="AH389" s="898">
        <f t="shared" si="45"/>
        <v>0</v>
      </c>
      <c r="AI389" s="898">
        <f t="shared" si="47"/>
        <v>0</v>
      </c>
    </row>
    <row r="390" spans="3:35" x14ac:dyDescent="0.2">
      <c r="C390" s="74" t="s">
        <v>565</v>
      </c>
      <c r="D390" s="146">
        <v>157</v>
      </c>
      <c r="E390" s="897"/>
      <c r="F390" s="897"/>
      <c r="G390" s="897"/>
      <c r="H390" s="897"/>
      <c r="I390" s="897"/>
      <c r="J390" s="915">
        <f t="shared" si="46"/>
        <v>0</v>
      </c>
      <c r="K390" s="903"/>
      <c r="L390" s="903"/>
      <c r="M390" s="926"/>
      <c r="N390" s="927"/>
      <c r="O390" s="928"/>
      <c r="P390" s="904"/>
      <c r="Q390" s="908"/>
      <c r="R390" s="928"/>
      <c r="S390" s="907"/>
      <c r="T390" s="928"/>
      <c r="U390" s="904"/>
      <c r="V390" s="904"/>
      <c r="W390" s="929"/>
      <c r="X390" s="899"/>
      <c r="Y390" s="909"/>
      <c r="Z390" s="928"/>
      <c r="AA390" s="904"/>
      <c r="AB390" s="927"/>
      <c r="AC390" s="928"/>
      <c r="AD390" s="928"/>
      <c r="AE390" s="904"/>
      <c r="AF390" s="908"/>
      <c r="AG390" s="928"/>
      <c r="AH390" s="898">
        <f t="shared" si="45"/>
        <v>0</v>
      </c>
      <c r="AI390" s="898">
        <f t="shared" si="47"/>
        <v>0</v>
      </c>
    </row>
    <row r="391" spans="3:35" x14ac:dyDescent="0.2">
      <c r="C391" s="74" t="s">
        <v>96</v>
      </c>
      <c r="D391" s="146">
        <v>158</v>
      </c>
      <c r="E391" s="897"/>
      <c r="F391" s="897"/>
      <c r="G391" s="897"/>
      <c r="H391" s="897"/>
      <c r="I391" s="897"/>
      <c r="J391" s="915">
        <f t="shared" si="46"/>
        <v>0</v>
      </c>
      <c r="K391" s="903"/>
      <c r="L391" s="903"/>
      <c r="M391" s="926"/>
      <c r="N391" s="927"/>
      <c r="O391" s="928"/>
      <c r="P391" s="904"/>
      <c r="Q391" s="908"/>
      <c r="R391" s="928"/>
      <c r="S391" s="907"/>
      <c r="T391" s="928"/>
      <c r="U391" s="904"/>
      <c r="V391" s="904"/>
      <c r="W391" s="929"/>
      <c r="X391" s="899"/>
      <c r="Y391" s="909"/>
      <c r="Z391" s="928"/>
      <c r="AA391" s="904"/>
      <c r="AB391" s="927"/>
      <c r="AC391" s="928"/>
      <c r="AD391" s="928"/>
      <c r="AE391" s="904"/>
      <c r="AF391" s="908"/>
      <c r="AG391" s="928"/>
      <c r="AH391" s="898">
        <f t="shared" si="45"/>
        <v>0</v>
      </c>
      <c r="AI391" s="898">
        <f t="shared" si="47"/>
        <v>0</v>
      </c>
    </row>
    <row r="392" spans="3:35" x14ac:dyDescent="0.2">
      <c r="C392" s="74" t="s">
        <v>67</v>
      </c>
      <c r="D392" s="146">
        <v>159</v>
      </c>
      <c r="E392" s="897"/>
      <c r="F392" s="897"/>
      <c r="G392" s="897"/>
      <c r="H392" s="897"/>
      <c r="I392" s="897"/>
      <c r="J392" s="915">
        <f t="shared" si="46"/>
        <v>0</v>
      </c>
      <c r="K392" s="903"/>
      <c r="L392" s="903"/>
      <c r="M392" s="926"/>
      <c r="N392" s="927"/>
      <c r="O392" s="928"/>
      <c r="P392" s="904"/>
      <c r="Q392" s="908"/>
      <c r="R392" s="928"/>
      <c r="S392" s="907"/>
      <c r="T392" s="928"/>
      <c r="U392" s="904"/>
      <c r="V392" s="904"/>
      <c r="W392" s="929"/>
      <c r="X392" s="899"/>
      <c r="Y392" s="909"/>
      <c r="Z392" s="928"/>
      <c r="AA392" s="904"/>
      <c r="AB392" s="927"/>
      <c r="AC392" s="928"/>
      <c r="AD392" s="928"/>
      <c r="AE392" s="904"/>
      <c r="AF392" s="908"/>
      <c r="AG392" s="928"/>
      <c r="AH392" s="898">
        <f t="shared" si="45"/>
        <v>0</v>
      </c>
      <c r="AI392" s="898">
        <f t="shared" si="47"/>
        <v>0</v>
      </c>
    </row>
    <row r="393" spans="3:35" x14ac:dyDescent="0.2">
      <c r="C393" s="74" t="s">
        <v>68</v>
      </c>
      <c r="D393" s="146">
        <v>160</v>
      </c>
      <c r="E393" s="897"/>
      <c r="F393" s="897"/>
      <c r="G393" s="897"/>
      <c r="H393" s="897"/>
      <c r="I393" s="897"/>
      <c r="J393" s="915">
        <f t="shared" si="46"/>
        <v>0</v>
      </c>
      <c r="K393" s="903"/>
      <c r="L393" s="903"/>
      <c r="M393" s="926"/>
      <c r="N393" s="927"/>
      <c r="O393" s="928"/>
      <c r="P393" s="904"/>
      <c r="Q393" s="908"/>
      <c r="R393" s="928"/>
      <c r="S393" s="907"/>
      <c r="T393" s="928"/>
      <c r="U393" s="904"/>
      <c r="V393" s="904"/>
      <c r="W393" s="929"/>
      <c r="X393" s="899"/>
      <c r="Y393" s="909"/>
      <c r="Z393" s="928"/>
      <c r="AA393" s="904"/>
      <c r="AB393" s="927"/>
      <c r="AC393" s="928"/>
      <c r="AD393" s="928"/>
      <c r="AE393" s="904"/>
      <c r="AF393" s="908"/>
      <c r="AG393" s="928"/>
      <c r="AH393" s="898">
        <f t="shared" ref="AH393:AH399" si="48">ROUND(SUM(K393:M393,N393,Q393:S393,V393,Y393,AB393,AF393:AG393),3)</f>
        <v>0</v>
      </c>
      <c r="AI393" s="898">
        <f t="shared" si="47"/>
        <v>0</v>
      </c>
    </row>
    <row r="394" spans="3:35" x14ac:dyDescent="0.2">
      <c r="C394" s="74" t="s">
        <v>1011</v>
      </c>
      <c r="D394" s="146">
        <v>161</v>
      </c>
      <c r="E394" s="897"/>
      <c r="F394" s="897"/>
      <c r="G394" s="897"/>
      <c r="H394" s="897"/>
      <c r="I394" s="897"/>
      <c r="J394" s="915">
        <f t="shared" si="46"/>
        <v>0</v>
      </c>
      <c r="K394" s="903"/>
      <c r="L394" s="903"/>
      <c r="M394" s="926"/>
      <c r="N394" s="927"/>
      <c r="O394" s="928"/>
      <c r="P394" s="904"/>
      <c r="Q394" s="908"/>
      <c r="R394" s="928"/>
      <c r="S394" s="907"/>
      <c r="T394" s="928"/>
      <c r="U394" s="904"/>
      <c r="V394" s="904"/>
      <c r="W394" s="929"/>
      <c r="X394" s="899"/>
      <c r="Y394" s="909"/>
      <c r="Z394" s="928"/>
      <c r="AA394" s="904"/>
      <c r="AB394" s="927"/>
      <c r="AC394" s="928"/>
      <c r="AD394" s="928"/>
      <c r="AE394" s="904"/>
      <c r="AF394" s="908"/>
      <c r="AG394" s="928"/>
      <c r="AH394" s="898">
        <f t="shared" si="48"/>
        <v>0</v>
      </c>
      <c r="AI394" s="898">
        <f t="shared" si="47"/>
        <v>0</v>
      </c>
    </row>
    <row r="395" spans="3:35" x14ac:dyDescent="0.2">
      <c r="C395" s="74" t="s">
        <v>566</v>
      </c>
      <c r="D395" s="146">
        <v>162</v>
      </c>
      <c r="E395" s="897"/>
      <c r="F395" s="897"/>
      <c r="G395" s="897"/>
      <c r="H395" s="897"/>
      <c r="I395" s="897"/>
      <c r="J395" s="915">
        <f t="shared" si="46"/>
        <v>0</v>
      </c>
      <c r="K395" s="903"/>
      <c r="L395" s="903"/>
      <c r="M395" s="926"/>
      <c r="N395" s="927"/>
      <c r="O395" s="928"/>
      <c r="P395" s="904"/>
      <c r="Q395" s="908"/>
      <c r="R395" s="928"/>
      <c r="S395" s="907"/>
      <c r="T395" s="928"/>
      <c r="U395" s="904"/>
      <c r="V395" s="904"/>
      <c r="W395" s="929"/>
      <c r="X395" s="899"/>
      <c r="Y395" s="909"/>
      <c r="Z395" s="928"/>
      <c r="AA395" s="904"/>
      <c r="AB395" s="927"/>
      <c r="AC395" s="928"/>
      <c r="AD395" s="928"/>
      <c r="AE395" s="904"/>
      <c r="AF395" s="908"/>
      <c r="AG395" s="928"/>
      <c r="AH395" s="898">
        <f t="shared" si="48"/>
        <v>0</v>
      </c>
      <c r="AI395" s="898">
        <f t="shared" si="47"/>
        <v>0</v>
      </c>
    </row>
    <row r="396" spans="3:35" x14ac:dyDescent="0.2">
      <c r="C396" s="74" t="s">
        <v>1012</v>
      </c>
      <c r="D396" s="146">
        <v>163</v>
      </c>
      <c r="E396" s="897"/>
      <c r="F396" s="897"/>
      <c r="G396" s="897"/>
      <c r="H396" s="897"/>
      <c r="I396" s="897"/>
      <c r="J396" s="915">
        <f t="shared" ref="J396:J399" si="49">ROUND(SUM(E396:I396),3)</f>
        <v>0</v>
      </c>
      <c r="K396" s="903"/>
      <c r="L396" s="903"/>
      <c r="M396" s="926"/>
      <c r="N396" s="927"/>
      <c r="O396" s="928"/>
      <c r="P396" s="904"/>
      <c r="Q396" s="908"/>
      <c r="R396" s="928"/>
      <c r="S396" s="907"/>
      <c r="T396" s="928"/>
      <c r="U396" s="904"/>
      <c r="V396" s="904"/>
      <c r="W396" s="929"/>
      <c r="X396" s="899"/>
      <c r="Y396" s="909"/>
      <c r="Z396" s="928"/>
      <c r="AA396" s="904"/>
      <c r="AB396" s="927"/>
      <c r="AC396" s="928"/>
      <c r="AD396" s="928"/>
      <c r="AE396" s="904"/>
      <c r="AF396" s="908"/>
      <c r="AG396" s="928"/>
      <c r="AH396" s="898">
        <f t="shared" si="48"/>
        <v>0</v>
      </c>
      <c r="AI396" s="898">
        <f t="shared" ref="AI396:AI399" si="50">ROUND(SUM(J396,AH396),3)</f>
        <v>0</v>
      </c>
    </row>
    <row r="397" spans="3:35" x14ac:dyDescent="0.2">
      <c r="C397" s="74" t="s">
        <v>1013</v>
      </c>
      <c r="D397" s="146">
        <v>164</v>
      </c>
      <c r="E397" s="897"/>
      <c r="F397" s="897"/>
      <c r="G397" s="897"/>
      <c r="H397" s="897"/>
      <c r="I397" s="897"/>
      <c r="J397" s="915">
        <f t="shared" si="49"/>
        <v>0</v>
      </c>
      <c r="K397" s="903"/>
      <c r="L397" s="903"/>
      <c r="M397" s="926"/>
      <c r="N397" s="927"/>
      <c r="O397" s="928"/>
      <c r="P397" s="904"/>
      <c r="Q397" s="908"/>
      <c r="R397" s="928"/>
      <c r="S397" s="907"/>
      <c r="T397" s="928"/>
      <c r="U397" s="904"/>
      <c r="V397" s="904"/>
      <c r="W397" s="929"/>
      <c r="X397" s="899"/>
      <c r="Y397" s="909"/>
      <c r="Z397" s="928"/>
      <c r="AA397" s="904"/>
      <c r="AB397" s="927"/>
      <c r="AC397" s="928"/>
      <c r="AD397" s="928"/>
      <c r="AE397" s="904"/>
      <c r="AF397" s="908"/>
      <c r="AG397" s="928"/>
      <c r="AH397" s="898">
        <f t="shared" si="48"/>
        <v>0</v>
      </c>
      <c r="AI397" s="898">
        <f t="shared" si="50"/>
        <v>0</v>
      </c>
    </row>
    <row r="398" spans="3:35" x14ac:dyDescent="0.2">
      <c r="C398" s="74" t="s">
        <v>69</v>
      </c>
      <c r="D398" s="146">
        <v>165</v>
      </c>
      <c r="E398" s="897"/>
      <c r="F398" s="897"/>
      <c r="G398" s="897"/>
      <c r="H398" s="897"/>
      <c r="I398" s="897"/>
      <c r="J398" s="915">
        <f t="shared" si="49"/>
        <v>0</v>
      </c>
      <c r="K398" s="903"/>
      <c r="L398" s="903"/>
      <c r="M398" s="926"/>
      <c r="N398" s="927"/>
      <c r="O398" s="928"/>
      <c r="P398" s="904"/>
      <c r="Q398" s="908"/>
      <c r="R398" s="928"/>
      <c r="S398" s="907"/>
      <c r="T398" s="928"/>
      <c r="U398" s="904"/>
      <c r="V398" s="904"/>
      <c r="W398" s="929"/>
      <c r="X398" s="899"/>
      <c r="Y398" s="909"/>
      <c r="Z398" s="928"/>
      <c r="AA398" s="904"/>
      <c r="AB398" s="927"/>
      <c r="AC398" s="928"/>
      <c r="AD398" s="928"/>
      <c r="AE398" s="904"/>
      <c r="AF398" s="908"/>
      <c r="AG398" s="928"/>
      <c r="AH398" s="898">
        <f t="shared" si="48"/>
        <v>0</v>
      </c>
      <c r="AI398" s="898">
        <f t="shared" si="50"/>
        <v>0</v>
      </c>
    </row>
    <row r="399" spans="3:35" ht="13.5" thickBot="1" x14ac:dyDescent="0.25">
      <c r="C399" s="74" t="s">
        <v>1014</v>
      </c>
      <c r="D399" s="146">
        <v>166</v>
      </c>
      <c r="E399" s="897"/>
      <c r="F399" s="897"/>
      <c r="G399" s="897"/>
      <c r="H399" s="897"/>
      <c r="I399" s="897"/>
      <c r="J399" s="915">
        <f t="shared" si="49"/>
        <v>0</v>
      </c>
      <c r="K399" s="903"/>
      <c r="L399" s="903"/>
      <c r="M399" s="926"/>
      <c r="N399" s="927"/>
      <c r="O399" s="928"/>
      <c r="P399" s="904"/>
      <c r="Q399" s="908"/>
      <c r="R399" s="928"/>
      <c r="S399" s="907"/>
      <c r="T399" s="928"/>
      <c r="U399" s="904"/>
      <c r="V399" s="904"/>
      <c r="W399" s="929"/>
      <c r="X399" s="899"/>
      <c r="Y399" s="909"/>
      <c r="Z399" s="928"/>
      <c r="AA399" s="904"/>
      <c r="AB399" s="927"/>
      <c r="AC399" s="928"/>
      <c r="AD399" s="928"/>
      <c r="AE399" s="904"/>
      <c r="AF399" s="908"/>
      <c r="AG399" s="928"/>
      <c r="AH399" s="898">
        <f t="shared" si="48"/>
        <v>0</v>
      </c>
      <c r="AI399" s="898">
        <f t="shared" si="50"/>
        <v>0</v>
      </c>
    </row>
    <row r="400" spans="3:35" ht="13.5" thickBot="1" x14ac:dyDescent="0.25">
      <c r="C400" s="72" t="s">
        <v>945</v>
      </c>
      <c r="D400" s="147">
        <v>167</v>
      </c>
      <c r="E400" s="935">
        <f t="shared" ref="E400:AI400" si="51">ROUND(SUM(E234:E399),3)</f>
        <v>0</v>
      </c>
      <c r="F400" s="935">
        <f t="shared" si="51"/>
        <v>0</v>
      </c>
      <c r="G400" s="935">
        <f t="shared" si="51"/>
        <v>0</v>
      </c>
      <c r="H400" s="935">
        <f t="shared" si="51"/>
        <v>0</v>
      </c>
      <c r="I400" s="935">
        <f t="shared" si="51"/>
        <v>0</v>
      </c>
      <c r="J400" s="935">
        <f>ROUND(SUM(J234:J399),3)</f>
        <v>0</v>
      </c>
      <c r="K400" s="935">
        <f t="shared" si="51"/>
        <v>0</v>
      </c>
      <c r="L400" s="935">
        <f t="shared" si="51"/>
        <v>0</v>
      </c>
      <c r="M400" s="936">
        <f t="shared" si="51"/>
        <v>0</v>
      </c>
      <c r="N400" s="937">
        <f t="shared" si="51"/>
        <v>0</v>
      </c>
      <c r="O400" s="935">
        <f t="shared" si="51"/>
        <v>0</v>
      </c>
      <c r="P400" s="936">
        <f t="shared" si="51"/>
        <v>0</v>
      </c>
      <c r="Q400" s="937">
        <f t="shared" si="51"/>
        <v>0</v>
      </c>
      <c r="R400" s="936">
        <f t="shared" si="51"/>
        <v>0</v>
      </c>
      <c r="S400" s="935">
        <f t="shared" si="51"/>
        <v>0</v>
      </c>
      <c r="T400" s="935">
        <f t="shared" si="51"/>
        <v>0</v>
      </c>
      <c r="U400" s="935">
        <f t="shared" si="51"/>
        <v>0</v>
      </c>
      <c r="V400" s="935">
        <f t="shared" si="51"/>
        <v>0</v>
      </c>
      <c r="W400" s="935">
        <f t="shared" si="51"/>
        <v>0</v>
      </c>
      <c r="X400" s="935">
        <f t="shared" si="51"/>
        <v>0</v>
      </c>
      <c r="Y400" s="935">
        <f t="shared" si="51"/>
        <v>0</v>
      </c>
      <c r="Z400" s="936">
        <f t="shared" si="51"/>
        <v>0</v>
      </c>
      <c r="AA400" s="936">
        <f t="shared" si="51"/>
        <v>0</v>
      </c>
      <c r="AB400" s="937">
        <f t="shared" si="51"/>
        <v>0</v>
      </c>
      <c r="AC400" s="936">
        <f t="shared" si="51"/>
        <v>0</v>
      </c>
      <c r="AD400" s="936">
        <f t="shared" si="51"/>
        <v>0</v>
      </c>
      <c r="AE400" s="936">
        <f t="shared" si="51"/>
        <v>0</v>
      </c>
      <c r="AF400" s="937">
        <f t="shared" si="51"/>
        <v>0</v>
      </c>
      <c r="AG400" s="936">
        <f t="shared" si="51"/>
        <v>0</v>
      </c>
      <c r="AH400" s="938">
        <f t="shared" si="51"/>
        <v>0</v>
      </c>
      <c r="AI400" s="938">
        <f t="shared" si="51"/>
        <v>0</v>
      </c>
    </row>
    <row r="404" spans="3:37" x14ac:dyDescent="0.2">
      <c r="C404" s="28" t="s">
        <v>101</v>
      </c>
      <c r="D404" s="2"/>
      <c r="E404" s="2"/>
      <c r="F404" s="10"/>
      <c r="G404" s="340" t="s">
        <v>74</v>
      </c>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2"/>
      <c r="AG404" s="25"/>
      <c r="AH404" s="25"/>
      <c r="AI404" s="2"/>
      <c r="AJ404" s="25" t="s">
        <v>108</v>
      </c>
    </row>
    <row r="405" spans="3:37" ht="12.75" customHeight="1" x14ac:dyDescent="0.2">
      <c r="C405" s="341"/>
      <c r="D405" s="342"/>
      <c r="E405" s="343"/>
      <c r="F405" s="1106" t="s">
        <v>656</v>
      </c>
      <c r="G405" s="1106" t="s">
        <v>657</v>
      </c>
      <c r="H405" s="1106" t="s">
        <v>647</v>
      </c>
      <c r="I405" s="1108" t="s">
        <v>666</v>
      </c>
      <c r="J405" s="313"/>
      <c r="K405" s="1150" t="s">
        <v>885</v>
      </c>
      <c r="L405" s="1110" t="s">
        <v>645</v>
      </c>
      <c r="M405" s="1122" t="s">
        <v>8</v>
      </c>
      <c r="N405" s="1124" t="s">
        <v>9</v>
      </c>
      <c r="O405" s="1126" t="s">
        <v>10</v>
      </c>
      <c r="P405" s="1114" t="s">
        <v>659</v>
      </c>
      <c r="Q405" s="329"/>
      <c r="R405" s="190"/>
      <c r="S405" s="1122" t="s">
        <v>660</v>
      </c>
      <c r="T405" s="1124" t="s">
        <v>661</v>
      </c>
      <c r="U405" s="1116" t="s">
        <v>668</v>
      </c>
      <c r="V405" s="191"/>
      <c r="W405" s="192"/>
      <c r="X405" s="1126" t="s">
        <v>664</v>
      </c>
      <c r="Y405" s="193"/>
      <c r="Z405" s="190"/>
      <c r="AA405" s="1118" t="s">
        <v>670</v>
      </c>
      <c r="AB405" s="190"/>
      <c r="AC405" s="190"/>
      <c r="AD405" s="1114" t="s">
        <v>628</v>
      </c>
      <c r="AE405" s="190"/>
      <c r="AF405" s="190"/>
      <c r="AG405" s="190"/>
      <c r="AH405" s="1122" t="s">
        <v>629</v>
      </c>
      <c r="AI405" s="1150" t="s">
        <v>630</v>
      </c>
      <c r="AJ405" s="1120" t="s">
        <v>631</v>
      </c>
      <c r="AK405" s="1120" t="s">
        <v>679</v>
      </c>
    </row>
    <row r="406" spans="3:37" ht="56.25" x14ac:dyDescent="0.2">
      <c r="C406" s="344"/>
      <c r="D406" s="345"/>
      <c r="E406" s="346"/>
      <c r="F406" s="1107"/>
      <c r="G406" s="1107"/>
      <c r="H406" s="1107"/>
      <c r="I406" s="1149"/>
      <c r="J406" s="99" t="s">
        <v>667</v>
      </c>
      <c r="K406" s="1138"/>
      <c r="L406" s="1111"/>
      <c r="M406" s="1123"/>
      <c r="N406" s="1125"/>
      <c r="O406" s="1127"/>
      <c r="P406" s="1115"/>
      <c r="Q406" s="184" t="s">
        <v>623</v>
      </c>
      <c r="R406" s="185" t="s">
        <v>626</v>
      </c>
      <c r="S406" s="1123"/>
      <c r="T406" s="1125"/>
      <c r="U406" s="1117"/>
      <c r="V406" s="186" t="s">
        <v>662</v>
      </c>
      <c r="W406" s="187" t="s">
        <v>663</v>
      </c>
      <c r="X406" s="1127"/>
      <c r="Y406" s="188" t="s">
        <v>627</v>
      </c>
      <c r="Z406" s="189" t="s">
        <v>669</v>
      </c>
      <c r="AA406" s="1119"/>
      <c r="AB406" s="184" t="s">
        <v>624</v>
      </c>
      <c r="AC406" s="186" t="s">
        <v>671</v>
      </c>
      <c r="AD406" s="1115"/>
      <c r="AE406" s="187" t="s">
        <v>674</v>
      </c>
      <c r="AF406" s="186" t="s">
        <v>1411</v>
      </c>
      <c r="AG406" s="196" t="s">
        <v>872</v>
      </c>
      <c r="AH406" s="1123"/>
      <c r="AI406" s="1138"/>
      <c r="AJ406" s="1121"/>
      <c r="AK406" s="1121"/>
    </row>
    <row r="407" spans="3:37" x14ac:dyDescent="0.2">
      <c r="C407" s="92"/>
      <c r="D407" s="77"/>
      <c r="E407" s="197"/>
      <c r="F407" s="87" t="s">
        <v>152</v>
      </c>
      <c r="G407" s="86" t="s">
        <v>153</v>
      </c>
      <c r="H407" s="86" t="s">
        <v>154</v>
      </c>
      <c r="I407" s="101" t="s">
        <v>155</v>
      </c>
      <c r="J407" s="198" t="s">
        <v>156</v>
      </c>
      <c r="K407" s="198" t="s">
        <v>157</v>
      </c>
      <c r="L407" s="199" t="s">
        <v>158</v>
      </c>
      <c r="M407" s="87" t="s">
        <v>159</v>
      </c>
      <c r="N407" s="87" t="s">
        <v>160</v>
      </c>
      <c r="O407" s="96" t="s">
        <v>161</v>
      </c>
      <c r="P407" s="179" t="s">
        <v>162</v>
      </c>
      <c r="Q407" s="198" t="s">
        <v>163</v>
      </c>
      <c r="R407" s="89" t="s">
        <v>164</v>
      </c>
      <c r="S407" s="95" t="s">
        <v>165</v>
      </c>
      <c r="T407" s="177" t="s">
        <v>166</v>
      </c>
      <c r="U407" s="180" t="s">
        <v>167</v>
      </c>
      <c r="V407" s="198" t="s">
        <v>168</v>
      </c>
      <c r="W407" s="86" t="s">
        <v>169</v>
      </c>
      <c r="X407" s="94" t="s">
        <v>170</v>
      </c>
      <c r="Y407" s="87" t="s">
        <v>171</v>
      </c>
      <c r="Z407" s="101" t="s">
        <v>172</v>
      </c>
      <c r="AA407" s="176" t="s">
        <v>173</v>
      </c>
      <c r="AB407" s="200" t="s">
        <v>174</v>
      </c>
      <c r="AC407" s="89" t="s">
        <v>175</v>
      </c>
      <c r="AD407" s="179" t="s">
        <v>176</v>
      </c>
      <c r="AE407" s="200" t="s">
        <v>177</v>
      </c>
      <c r="AF407" s="200" t="s">
        <v>181</v>
      </c>
      <c r="AG407" s="89" t="s">
        <v>417</v>
      </c>
      <c r="AH407" s="178" t="s">
        <v>672</v>
      </c>
      <c r="AI407" s="89" t="s">
        <v>678</v>
      </c>
      <c r="AJ407" s="90" t="s">
        <v>499</v>
      </c>
      <c r="AK407" s="90" t="s">
        <v>680</v>
      </c>
    </row>
    <row r="408" spans="3:37" x14ac:dyDescent="0.2">
      <c r="C408" s="347" t="s">
        <v>75</v>
      </c>
      <c r="D408" s="348" t="s">
        <v>76</v>
      </c>
      <c r="E408" s="349">
        <v>1</v>
      </c>
      <c r="F408" s="939">
        <f t="shared" ref="F408:AI408" si="52">ROUND(F410+F412+F414+F416+F418+F420+F422+F424,3)</f>
        <v>0</v>
      </c>
      <c r="G408" s="939">
        <f t="shared" si="52"/>
        <v>0</v>
      </c>
      <c r="H408" s="939">
        <f t="shared" si="52"/>
        <v>0</v>
      </c>
      <c r="I408" s="939">
        <f t="shared" si="52"/>
        <v>0</v>
      </c>
      <c r="J408" s="939">
        <f t="shared" si="52"/>
        <v>0</v>
      </c>
      <c r="K408" s="939">
        <f t="shared" si="52"/>
        <v>0</v>
      </c>
      <c r="L408" s="940">
        <f t="shared" si="52"/>
        <v>0</v>
      </c>
      <c r="M408" s="941">
        <f t="shared" si="52"/>
        <v>0</v>
      </c>
      <c r="N408" s="941">
        <f t="shared" si="52"/>
        <v>0</v>
      </c>
      <c r="O408" s="942">
        <f t="shared" si="52"/>
        <v>0</v>
      </c>
      <c r="P408" s="943">
        <f t="shared" si="52"/>
        <v>0</v>
      </c>
      <c r="Q408" s="944">
        <f t="shared" si="52"/>
        <v>0</v>
      </c>
      <c r="R408" s="940">
        <f t="shared" si="52"/>
        <v>0</v>
      </c>
      <c r="S408" s="941">
        <f t="shared" si="52"/>
        <v>0</v>
      </c>
      <c r="T408" s="939">
        <f t="shared" si="52"/>
        <v>0</v>
      </c>
      <c r="U408" s="945">
        <f t="shared" si="52"/>
        <v>0</v>
      </c>
      <c r="V408" s="939">
        <f t="shared" si="52"/>
        <v>0</v>
      </c>
      <c r="W408" s="939">
        <f t="shared" si="52"/>
        <v>0</v>
      </c>
      <c r="X408" s="940">
        <f t="shared" si="52"/>
        <v>0</v>
      </c>
      <c r="Y408" s="941">
        <f t="shared" si="52"/>
        <v>0</v>
      </c>
      <c r="Z408" s="939">
        <f t="shared" si="52"/>
        <v>0</v>
      </c>
      <c r="AA408" s="946">
        <f t="shared" si="52"/>
        <v>0</v>
      </c>
      <c r="AB408" s="939">
        <f t="shared" si="52"/>
        <v>0</v>
      </c>
      <c r="AC408" s="940">
        <f t="shared" si="52"/>
        <v>0</v>
      </c>
      <c r="AD408" s="943">
        <f t="shared" si="52"/>
        <v>0</v>
      </c>
      <c r="AE408" s="939">
        <f t="shared" si="52"/>
        <v>0</v>
      </c>
      <c r="AF408" s="939">
        <f t="shared" ref="AF408" si="53">ROUND(AF410+AF412+AF414+AF416+AF418+AF420+AF422+AF424,3)</f>
        <v>0</v>
      </c>
      <c r="AG408" s="940">
        <f t="shared" si="52"/>
        <v>0</v>
      </c>
      <c r="AH408" s="942">
        <f t="shared" si="52"/>
        <v>0</v>
      </c>
      <c r="AI408" s="942">
        <f t="shared" si="52"/>
        <v>0</v>
      </c>
      <c r="AJ408" s="939">
        <f t="shared" ref="AJ408:AJ443" si="54">ROUND(SUM(M408:P408,S408:U408,X408,AA408,AD408,AH408:AI408),3)</f>
        <v>0</v>
      </c>
      <c r="AK408" s="939">
        <f t="shared" ref="AK408:AK443" si="55">ROUND(SUM(L408,AJ408),3)</f>
        <v>0</v>
      </c>
    </row>
    <row r="409" spans="3:37" x14ac:dyDescent="0.2">
      <c r="C409" s="350" t="s">
        <v>109</v>
      </c>
      <c r="D409" s="351" t="s">
        <v>77</v>
      </c>
      <c r="E409" s="352">
        <v>2</v>
      </c>
      <c r="F409" s="939">
        <f t="shared" ref="F409:AI409" si="56">ROUND(F411+F413+F415+F417+F419+F421+F423+F425,3)</f>
        <v>0</v>
      </c>
      <c r="G409" s="939">
        <f t="shared" si="56"/>
        <v>0</v>
      </c>
      <c r="H409" s="939">
        <f t="shared" si="56"/>
        <v>0</v>
      </c>
      <c r="I409" s="939">
        <f t="shared" si="56"/>
        <v>0</v>
      </c>
      <c r="J409" s="939">
        <f t="shared" si="56"/>
        <v>0</v>
      </c>
      <c r="K409" s="939">
        <f t="shared" si="56"/>
        <v>0</v>
      </c>
      <c r="L409" s="940">
        <f t="shared" si="56"/>
        <v>0</v>
      </c>
      <c r="M409" s="941">
        <f t="shared" si="56"/>
        <v>0</v>
      </c>
      <c r="N409" s="941">
        <f t="shared" si="56"/>
        <v>0</v>
      </c>
      <c r="O409" s="942">
        <f t="shared" si="56"/>
        <v>0</v>
      </c>
      <c r="P409" s="943">
        <f t="shared" si="56"/>
        <v>0</v>
      </c>
      <c r="Q409" s="944">
        <f t="shared" si="56"/>
        <v>0</v>
      </c>
      <c r="R409" s="940">
        <f t="shared" si="56"/>
        <v>0</v>
      </c>
      <c r="S409" s="941">
        <f t="shared" si="56"/>
        <v>0</v>
      </c>
      <c r="T409" s="939">
        <f t="shared" si="56"/>
        <v>0</v>
      </c>
      <c r="U409" s="945">
        <f t="shared" si="56"/>
        <v>0</v>
      </c>
      <c r="V409" s="939">
        <f t="shared" si="56"/>
        <v>0</v>
      </c>
      <c r="W409" s="939">
        <f t="shared" si="56"/>
        <v>0</v>
      </c>
      <c r="X409" s="940">
        <f t="shared" si="56"/>
        <v>0</v>
      </c>
      <c r="Y409" s="941">
        <f t="shared" si="56"/>
        <v>0</v>
      </c>
      <c r="Z409" s="939">
        <f t="shared" si="56"/>
        <v>0</v>
      </c>
      <c r="AA409" s="946">
        <f t="shared" si="56"/>
        <v>0</v>
      </c>
      <c r="AB409" s="939">
        <f t="shared" si="56"/>
        <v>0</v>
      </c>
      <c r="AC409" s="940">
        <f t="shared" si="56"/>
        <v>0</v>
      </c>
      <c r="AD409" s="943">
        <f t="shared" si="56"/>
        <v>0</v>
      </c>
      <c r="AE409" s="939">
        <f t="shared" si="56"/>
        <v>0</v>
      </c>
      <c r="AF409" s="939">
        <f t="shared" ref="AF409" si="57">ROUND(AF411+AF413+AF415+AF417+AF419+AF421+AF423+AF425,3)</f>
        <v>0</v>
      </c>
      <c r="AG409" s="940">
        <f t="shared" si="56"/>
        <v>0</v>
      </c>
      <c r="AH409" s="942">
        <f t="shared" si="56"/>
        <v>0</v>
      </c>
      <c r="AI409" s="942">
        <f t="shared" si="56"/>
        <v>0</v>
      </c>
      <c r="AJ409" s="939">
        <f t="shared" si="54"/>
        <v>0</v>
      </c>
      <c r="AK409" s="939">
        <f t="shared" si="55"/>
        <v>0</v>
      </c>
    </row>
    <row r="410" spans="3:37" x14ac:dyDescent="0.2">
      <c r="C410" s="353" t="s">
        <v>78</v>
      </c>
      <c r="D410" s="354" t="s">
        <v>76</v>
      </c>
      <c r="E410" s="355">
        <v>3</v>
      </c>
      <c r="F410" s="947"/>
      <c r="G410" s="947"/>
      <c r="H410" s="947"/>
      <c r="I410" s="948"/>
      <c r="J410" s="947"/>
      <c r="K410" s="947"/>
      <c r="L410" s="940">
        <f t="shared" ref="L410:L431" si="58">ROUND(SUM(F410:I410,K410),3)</f>
        <v>0</v>
      </c>
      <c r="M410" s="949"/>
      <c r="N410" s="949"/>
      <c r="O410" s="947"/>
      <c r="P410" s="927"/>
      <c r="Q410" s="949"/>
      <c r="R410" s="950"/>
      <c r="S410" s="949"/>
      <c r="T410" s="949"/>
      <c r="U410" s="907"/>
      <c r="V410" s="947"/>
      <c r="W410" s="947"/>
      <c r="X410" s="951"/>
      <c r="Y410" s="949"/>
      <c r="Z410" s="948"/>
      <c r="AA410" s="909"/>
      <c r="AB410" s="947"/>
      <c r="AC410" s="950"/>
      <c r="AD410" s="927"/>
      <c r="AE410" s="952"/>
      <c r="AF410" s="1095"/>
      <c r="AG410" s="950"/>
      <c r="AH410" s="953"/>
      <c r="AI410" s="953"/>
      <c r="AJ410" s="939">
        <f t="shared" si="54"/>
        <v>0</v>
      </c>
      <c r="AK410" s="939">
        <f t="shared" si="55"/>
        <v>0</v>
      </c>
    </row>
    <row r="411" spans="3:37" x14ac:dyDescent="0.2">
      <c r="C411" s="356" t="s">
        <v>856</v>
      </c>
      <c r="D411" s="357" t="s">
        <v>110</v>
      </c>
      <c r="E411" s="358">
        <v>4</v>
      </c>
      <c r="F411" s="947"/>
      <c r="G411" s="947"/>
      <c r="H411" s="947"/>
      <c r="I411" s="948"/>
      <c r="J411" s="947"/>
      <c r="K411" s="947"/>
      <c r="L411" s="940">
        <f t="shared" si="58"/>
        <v>0</v>
      </c>
      <c r="M411" s="949"/>
      <c r="N411" s="949"/>
      <c r="O411" s="947"/>
      <c r="P411" s="927"/>
      <c r="Q411" s="949"/>
      <c r="R411" s="950"/>
      <c r="S411" s="949"/>
      <c r="T411" s="949"/>
      <c r="U411" s="907"/>
      <c r="V411" s="947"/>
      <c r="W411" s="947"/>
      <c r="X411" s="951"/>
      <c r="Y411" s="949"/>
      <c r="Z411" s="948"/>
      <c r="AA411" s="909"/>
      <c r="AB411" s="947"/>
      <c r="AC411" s="950"/>
      <c r="AD411" s="927"/>
      <c r="AE411" s="952"/>
      <c r="AF411" s="1095"/>
      <c r="AG411" s="950"/>
      <c r="AH411" s="953"/>
      <c r="AI411" s="953"/>
      <c r="AJ411" s="939">
        <f t="shared" si="54"/>
        <v>0</v>
      </c>
      <c r="AK411" s="939">
        <f t="shared" si="55"/>
        <v>0</v>
      </c>
    </row>
    <row r="412" spans="3:37" x14ac:dyDescent="0.2">
      <c r="C412" s="353" t="s">
        <v>149</v>
      </c>
      <c r="D412" s="354" t="s">
        <v>76</v>
      </c>
      <c r="E412" s="355">
        <v>5</v>
      </c>
      <c r="F412" s="947"/>
      <c r="G412" s="947"/>
      <c r="H412" s="947"/>
      <c r="I412" s="948"/>
      <c r="J412" s="947"/>
      <c r="K412" s="947"/>
      <c r="L412" s="940">
        <f t="shared" si="58"/>
        <v>0</v>
      </c>
      <c r="M412" s="949"/>
      <c r="N412" s="949"/>
      <c r="O412" s="947"/>
      <c r="P412" s="927"/>
      <c r="Q412" s="949"/>
      <c r="R412" s="950"/>
      <c r="S412" s="949"/>
      <c r="T412" s="949"/>
      <c r="U412" s="907"/>
      <c r="V412" s="947"/>
      <c r="W412" s="947"/>
      <c r="X412" s="951"/>
      <c r="Y412" s="949"/>
      <c r="Z412" s="948"/>
      <c r="AA412" s="909"/>
      <c r="AB412" s="947"/>
      <c r="AC412" s="950"/>
      <c r="AD412" s="927"/>
      <c r="AE412" s="952"/>
      <c r="AF412" s="1095"/>
      <c r="AG412" s="950"/>
      <c r="AH412" s="953"/>
      <c r="AI412" s="953"/>
      <c r="AJ412" s="939">
        <f t="shared" si="54"/>
        <v>0</v>
      </c>
      <c r="AK412" s="939">
        <f t="shared" si="55"/>
        <v>0</v>
      </c>
    </row>
    <row r="413" spans="3:37" x14ac:dyDescent="0.2">
      <c r="C413" s="359" t="s">
        <v>79</v>
      </c>
      <c r="D413" s="357" t="s">
        <v>111</v>
      </c>
      <c r="E413" s="358">
        <v>6</v>
      </c>
      <c r="F413" s="947"/>
      <c r="G413" s="947"/>
      <c r="H413" s="947"/>
      <c r="I413" s="948"/>
      <c r="J413" s="947"/>
      <c r="K413" s="947"/>
      <c r="L413" s="940">
        <f t="shared" si="58"/>
        <v>0</v>
      </c>
      <c r="M413" s="949"/>
      <c r="N413" s="949"/>
      <c r="O413" s="947"/>
      <c r="P413" s="927"/>
      <c r="Q413" s="949"/>
      <c r="R413" s="950"/>
      <c r="S413" s="949"/>
      <c r="T413" s="949"/>
      <c r="U413" s="907"/>
      <c r="V413" s="947"/>
      <c r="W413" s="947"/>
      <c r="X413" s="951"/>
      <c r="Y413" s="949"/>
      <c r="Z413" s="948"/>
      <c r="AA413" s="909"/>
      <c r="AB413" s="947"/>
      <c r="AC413" s="950"/>
      <c r="AD413" s="927"/>
      <c r="AE413" s="952"/>
      <c r="AF413" s="1095"/>
      <c r="AG413" s="950"/>
      <c r="AH413" s="953"/>
      <c r="AI413" s="953"/>
      <c r="AJ413" s="939">
        <f t="shared" si="54"/>
        <v>0</v>
      </c>
      <c r="AK413" s="939">
        <f t="shared" si="55"/>
        <v>0</v>
      </c>
    </row>
    <row r="414" spans="3:37" x14ac:dyDescent="0.2">
      <c r="C414" s="353" t="s">
        <v>80</v>
      </c>
      <c r="D414" s="354" t="s">
        <v>76</v>
      </c>
      <c r="E414" s="355">
        <v>7</v>
      </c>
      <c r="F414" s="947"/>
      <c r="G414" s="947"/>
      <c r="H414" s="947"/>
      <c r="I414" s="948"/>
      <c r="J414" s="947"/>
      <c r="K414" s="947"/>
      <c r="L414" s="940">
        <f t="shared" si="58"/>
        <v>0</v>
      </c>
      <c r="M414" s="949"/>
      <c r="N414" s="949"/>
      <c r="O414" s="954"/>
      <c r="P414" s="927"/>
      <c r="Q414" s="955"/>
      <c r="R414" s="950"/>
      <c r="S414" s="949"/>
      <c r="T414" s="949"/>
      <c r="U414" s="907"/>
      <c r="V414" s="947"/>
      <c r="W414" s="947"/>
      <c r="X414" s="951"/>
      <c r="Y414" s="949"/>
      <c r="Z414" s="948"/>
      <c r="AA414" s="909"/>
      <c r="AB414" s="947"/>
      <c r="AC414" s="950"/>
      <c r="AD414" s="927"/>
      <c r="AE414" s="952"/>
      <c r="AF414" s="1095"/>
      <c r="AG414" s="950"/>
      <c r="AH414" s="953"/>
      <c r="AI414" s="953"/>
      <c r="AJ414" s="939">
        <f t="shared" si="54"/>
        <v>0</v>
      </c>
      <c r="AK414" s="939">
        <f t="shared" si="55"/>
        <v>0</v>
      </c>
    </row>
    <row r="415" spans="3:37" x14ac:dyDescent="0.2">
      <c r="C415" s="359" t="s">
        <v>81</v>
      </c>
      <c r="D415" s="354" t="s">
        <v>77</v>
      </c>
      <c r="E415" s="358">
        <v>8</v>
      </c>
      <c r="F415" s="947"/>
      <c r="G415" s="947"/>
      <c r="H415" s="947"/>
      <c r="I415" s="948"/>
      <c r="J415" s="947"/>
      <c r="K415" s="947"/>
      <c r="L415" s="940">
        <f t="shared" si="58"/>
        <v>0</v>
      </c>
      <c r="M415" s="949"/>
      <c r="N415" s="949"/>
      <c r="O415" s="954"/>
      <c r="P415" s="927"/>
      <c r="Q415" s="955"/>
      <c r="R415" s="950"/>
      <c r="S415" s="949"/>
      <c r="T415" s="949"/>
      <c r="U415" s="907"/>
      <c r="V415" s="947"/>
      <c r="W415" s="947"/>
      <c r="X415" s="951"/>
      <c r="Y415" s="949"/>
      <c r="Z415" s="948"/>
      <c r="AA415" s="909"/>
      <c r="AB415" s="947"/>
      <c r="AC415" s="950"/>
      <c r="AD415" s="927"/>
      <c r="AE415" s="952"/>
      <c r="AF415" s="1095"/>
      <c r="AG415" s="950"/>
      <c r="AH415" s="953"/>
      <c r="AI415" s="953"/>
      <c r="AJ415" s="939">
        <f t="shared" si="54"/>
        <v>0</v>
      </c>
      <c r="AK415" s="939">
        <f t="shared" si="55"/>
        <v>0</v>
      </c>
    </row>
    <row r="416" spans="3:37" x14ac:dyDescent="0.2">
      <c r="C416" s="353" t="s">
        <v>860</v>
      </c>
      <c r="D416" s="354" t="s">
        <v>76</v>
      </c>
      <c r="E416" s="355">
        <v>9</v>
      </c>
      <c r="F416" s="947"/>
      <c r="G416" s="947"/>
      <c r="H416" s="947"/>
      <c r="I416" s="948"/>
      <c r="J416" s="947"/>
      <c r="K416" s="947"/>
      <c r="L416" s="940">
        <f t="shared" si="58"/>
        <v>0</v>
      </c>
      <c r="M416" s="949"/>
      <c r="N416" s="949"/>
      <c r="O416" s="954"/>
      <c r="P416" s="927"/>
      <c r="Q416" s="955"/>
      <c r="R416" s="950"/>
      <c r="S416" s="949"/>
      <c r="T416" s="949"/>
      <c r="U416" s="907"/>
      <c r="V416" s="947"/>
      <c r="W416" s="947"/>
      <c r="X416" s="951"/>
      <c r="Y416" s="949"/>
      <c r="Z416" s="948"/>
      <c r="AA416" s="909"/>
      <c r="AB416" s="947"/>
      <c r="AC416" s="950"/>
      <c r="AD416" s="927"/>
      <c r="AE416" s="952"/>
      <c r="AF416" s="1095"/>
      <c r="AG416" s="950"/>
      <c r="AH416" s="953"/>
      <c r="AI416" s="953"/>
      <c r="AJ416" s="939">
        <f t="shared" si="54"/>
        <v>0</v>
      </c>
      <c r="AK416" s="939">
        <f t="shared" si="55"/>
        <v>0</v>
      </c>
    </row>
    <row r="417" spans="3:37" x14ac:dyDescent="0.2">
      <c r="C417" s="359" t="s">
        <v>858</v>
      </c>
      <c r="D417" s="354" t="s">
        <v>77</v>
      </c>
      <c r="E417" s="358">
        <v>10</v>
      </c>
      <c r="F417" s="947"/>
      <c r="G417" s="947"/>
      <c r="H417" s="947"/>
      <c r="I417" s="948"/>
      <c r="J417" s="947"/>
      <c r="K417" s="947"/>
      <c r="L417" s="940">
        <f t="shared" si="58"/>
        <v>0</v>
      </c>
      <c r="M417" s="949"/>
      <c r="N417" s="949"/>
      <c r="O417" s="954"/>
      <c r="P417" s="927"/>
      <c r="Q417" s="955"/>
      <c r="R417" s="950"/>
      <c r="S417" s="949"/>
      <c r="T417" s="949"/>
      <c r="U417" s="907"/>
      <c r="V417" s="947"/>
      <c r="W417" s="947"/>
      <c r="X417" s="951"/>
      <c r="Y417" s="949"/>
      <c r="Z417" s="948"/>
      <c r="AA417" s="909"/>
      <c r="AB417" s="947"/>
      <c r="AC417" s="950"/>
      <c r="AD417" s="927"/>
      <c r="AE417" s="952"/>
      <c r="AF417" s="1095"/>
      <c r="AG417" s="950"/>
      <c r="AH417" s="953"/>
      <c r="AI417" s="953"/>
      <c r="AJ417" s="939">
        <f t="shared" si="54"/>
        <v>0</v>
      </c>
      <c r="AK417" s="939">
        <f t="shared" si="55"/>
        <v>0</v>
      </c>
    </row>
    <row r="418" spans="3:37" x14ac:dyDescent="0.2">
      <c r="C418" s="353" t="s">
        <v>82</v>
      </c>
      <c r="D418" s="354" t="s">
        <v>76</v>
      </c>
      <c r="E418" s="355">
        <v>11</v>
      </c>
      <c r="F418" s="947"/>
      <c r="G418" s="947"/>
      <c r="H418" s="947"/>
      <c r="I418" s="948"/>
      <c r="J418" s="947"/>
      <c r="K418" s="947"/>
      <c r="L418" s="940">
        <f t="shared" si="58"/>
        <v>0</v>
      </c>
      <c r="M418" s="949"/>
      <c r="N418" s="949"/>
      <c r="O418" s="954"/>
      <c r="P418" s="927"/>
      <c r="Q418" s="955"/>
      <c r="R418" s="950"/>
      <c r="S418" s="949"/>
      <c r="T418" s="949"/>
      <c r="U418" s="907"/>
      <c r="V418" s="947"/>
      <c r="W418" s="947"/>
      <c r="X418" s="951"/>
      <c r="Y418" s="949"/>
      <c r="Z418" s="948"/>
      <c r="AA418" s="909"/>
      <c r="AB418" s="947"/>
      <c r="AC418" s="950"/>
      <c r="AD418" s="927"/>
      <c r="AE418" s="952"/>
      <c r="AF418" s="1095"/>
      <c r="AG418" s="950"/>
      <c r="AH418" s="953"/>
      <c r="AI418" s="953"/>
      <c r="AJ418" s="939">
        <f t="shared" si="54"/>
        <v>0</v>
      </c>
      <c r="AK418" s="939">
        <f t="shared" si="55"/>
        <v>0</v>
      </c>
    </row>
    <row r="419" spans="3:37" x14ac:dyDescent="0.2">
      <c r="C419" s="359" t="s">
        <v>83</v>
      </c>
      <c r="D419" s="354" t="s">
        <v>77</v>
      </c>
      <c r="E419" s="358">
        <v>12</v>
      </c>
      <c r="F419" s="947"/>
      <c r="G419" s="947"/>
      <c r="H419" s="947"/>
      <c r="I419" s="948"/>
      <c r="J419" s="947"/>
      <c r="K419" s="947"/>
      <c r="L419" s="940">
        <f t="shared" si="58"/>
        <v>0</v>
      </c>
      <c r="M419" s="949"/>
      <c r="N419" s="949"/>
      <c r="O419" s="954"/>
      <c r="P419" s="927"/>
      <c r="Q419" s="955"/>
      <c r="R419" s="950"/>
      <c r="S419" s="949"/>
      <c r="T419" s="949"/>
      <c r="U419" s="907"/>
      <c r="V419" s="947"/>
      <c r="W419" s="947"/>
      <c r="X419" s="951"/>
      <c r="Y419" s="949"/>
      <c r="Z419" s="948"/>
      <c r="AA419" s="909"/>
      <c r="AB419" s="947"/>
      <c r="AC419" s="950"/>
      <c r="AD419" s="927"/>
      <c r="AE419" s="952"/>
      <c r="AF419" s="1095"/>
      <c r="AG419" s="950"/>
      <c r="AH419" s="953"/>
      <c r="AI419" s="953"/>
      <c r="AJ419" s="939">
        <f t="shared" si="54"/>
        <v>0</v>
      </c>
      <c r="AK419" s="939">
        <f t="shared" si="55"/>
        <v>0</v>
      </c>
    </row>
    <row r="420" spans="3:37" x14ac:dyDescent="0.2">
      <c r="C420" s="360" t="s">
        <v>148</v>
      </c>
      <c r="D420" s="354" t="s">
        <v>76</v>
      </c>
      <c r="E420" s="355">
        <v>13</v>
      </c>
      <c r="F420" s="947"/>
      <c r="G420" s="947"/>
      <c r="H420" s="947"/>
      <c r="I420" s="948"/>
      <c r="J420" s="947"/>
      <c r="K420" s="947"/>
      <c r="L420" s="940">
        <f t="shared" si="58"/>
        <v>0</v>
      </c>
      <c r="M420" s="949"/>
      <c r="N420" s="949"/>
      <c r="O420" s="954"/>
      <c r="P420" s="927"/>
      <c r="Q420" s="955"/>
      <c r="R420" s="950"/>
      <c r="S420" s="949"/>
      <c r="T420" s="949"/>
      <c r="U420" s="907"/>
      <c r="V420" s="947"/>
      <c r="W420" s="947"/>
      <c r="X420" s="951"/>
      <c r="Y420" s="949"/>
      <c r="Z420" s="948"/>
      <c r="AA420" s="909"/>
      <c r="AB420" s="947"/>
      <c r="AC420" s="950"/>
      <c r="AD420" s="927"/>
      <c r="AE420" s="952"/>
      <c r="AF420" s="1095"/>
      <c r="AG420" s="950"/>
      <c r="AH420" s="953"/>
      <c r="AI420" s="953"/>
      <c r="AJ420" s="939">
        <f t="shared" si="54"/>
        <v>0</v>
      </c>
      <c r="AK420" s="939">
        <f t="shared" si="55"/>
        <v>0</v>
      </c>
    </row>
    <row r="421" spans="3:37" x14ac:dyDescent="0.2">
      <c r="C421" s="359" t="s">
        <v>147</v>
      </c>
      <c r="D421" s="354" t="s">
        <v>77</v>
      </c>
      <c r="E421" s="358">
        <v>14</v>
      </c>
      <c r="F421" s="947"/>
      <c r="G421" s="947"/>
      <c r="H421" s="947"/>
      <c r="I421" s="948"/>
      <c r="J421" s="947"/>
      <c r="K421" s="947"/>
      <c r="L421" s="940">
        <f t="shared" si="58"/>
        <v>0</v>
      </c>
      <c r="M421" s="949"/>
      <c r="N421" s="949"/>
      <c r="O421" s="954"/>
      <c r="P421" s="927"/>
      <c r="Q421" s="955"/>
      <c r="R421" s="950"/>
      <c r="S421" s="949"/>
      <c r="T421" s="949"/>
      <c r="U421" s="907"/>
      <c r="V421" s="947"/>
      <c r="W421" s="947"/>
      <c r="X421" s="951"/>
      <c r="Y421" s="949"/>
      <c r="Z421" s="948"/>
      <c r="AA421" s="909"/>
      <c r="AB421" s="947"/>
      <c r="AC421" s="950"/>
      <c r="AD421" s="927"/>
      <c r="AE421" s="952"/>
      <c r="AF421" s="1095"/>
      <c r="AG421" s="950"/>
      <c r="AH421" s="953"/>
      <c r="AI421" s="953"/>
      <c r="AJ421" s="939">
        <f t="shared" si="54"/>
        <v>0</v>
      </c>
      <c r="AK421" s="939">
        <f t="shared" si="55"/>
        <v>0</v>
      </c>
    </row>
    <row r="422" spans="3:37" x14ac:dyDescent="0.2">
      <c r="C422" s="353" t="s">
        <v>84</v>
      </c>
      <c r="D422" s="354" t="s">
        <v>76</v>
      </c>
      <c r="E422" s="355">
        <v>15</v>
      </c>
      <c r="F422" s="947"/>
      <c r="G422" s="947"/>
      <c r="H422" s="947"/>
      <c r="I422" s="948"/>
      <c r="J422" s="947"/>
      <c r="K422" s="947"/>
      <c r="L422" s="940">
        <f t="shared" si="58"/>
        <v>0</v>
      </c>
      <c r="M422" s="949"/>
      <c r="N422" s="949"/>
      <c r="O422" s="954"/>
      <c r="P422" s="927"/>
      <c r="Q422" s="955"/>
      <c r="R422" s="950"/>
      <c r="S422" s="949"/>
      <c r="T422" s="949"/>
      <c r="U422" s="907"/>
      <c r="V422" s="947"/>
      <c r="W422" s="947"/>
      <c r="X422" s="951"/>
      <c r="Y422" s="949"/>
      <c r="Z422" s="948"/>
      <c r="AA422" s="909"/>
      <c r="AB422" s="947"/>
      <c r="AC422" s="950"/>
      <c r="AD422" s="927"/>
      <c r="AE422" s="952"/>
      <c r="AF422" s="1095"/>
      <c r="AG422" s="950"/>
      <c r="AH422" s="953"/>
      <c r="AI422" s="953"/>
      <c r="AJ422" s="939">
        <f t="shared" si="54"/>
        <v>0</v>
      </c>
      <c r="AK422" s="939">
        <f t="shared" si="55"/>
        <v>0</v>
      </c>
    </row>
    <row r="423" spans="3:37" x14ac:dyDescent="0.2">
      <c r="C423" s="359" t="s">
        <v>146</v>
      </c>
      <c r="D423" s="354" t="s">
        <v>77</v>
      </c>
      <c r="E423" s="358">
        <v>16</v>
      </c>
      <c r="F423" s="947"/>
      <c r="G423" s="947"/>
      <c r="H423" s="947"/>
      <c r="I423" s="948"/>
      <c r="J423" s="947"/>
      <c r="K423" s="947"/>
      <c r="L423" s="940">
        <f t="shared" si="58"/>
        <v>0</v>
      </c>
      <c r="M423" s="949"/>
      <c r="N423" s="949"/>
      <c r="O423" s="954"/>
      <c r="P423" s="927"/>
      <c r="Q423" s="955"/>
      <c r="R423" s="950"/>
      <c r="S423" s="949"/>
      <c r="T423" s="949"/>
      <c r="U423" s="907"/>
      <c r="V423" s="947"/>
      <c r="W423" s="947"/>
      <c r="X423" s="951"/>
      <c r="Y423" s="949"/>
      <c r="Z423" s="948"/>
      <c r="AA423" s="909"/>
      <c r="AB423" s="947"/>
      <c r="AC423" s="950"/>
      <c r="AD423" s="927"/>
      <c r="AE423" s="952"/>
      <c r="AF423" s="1095"/>
      <c r="AG423" s="950"/>
      <c r="AH423" s="953"/>
      <c r="AI423" s="953"/>
      <c r="AJ423" s="939">
        <f t="shared" si="54"/>
        <v>0</v>
      </c>
      <c r="AK423" s="939">
        <f t="shared" si="55"/>
        <v>0</v>
      </c>
    </row>
    <row r="424" spans="3:37" x14ac:dyDescent="0.2">
      <c r="C424" s="353" t="s">
        <v>85</v>
      </c>
      <c r="D424" s="354" t="s">
        <v>76</v>
      </c>
      <c r="E424" s="355">
        <v>17</v>
      </c>
      <c r="F424" s="947"/>
      <c r="G424" s="947"/>
      <c r="H424" s="947"/>
      <c r="I424" s="948"/>
      <c r="J424" s="947"/>
      <c r="K424" s="947"/>
      <c r="L424" s="940">
        <f t="shared" si="58"/>
        <v>0</v>
      </c>
      <c r="M424" s="949"/>
      <c r="N424" s="949"/>
      <c r="O424" s="954"/>
      <c r="P424" s="927"/>
      <c r="Q424" s="955"/>
      <c r="R424" s="950"/>
      <c r="S424" s="949"/>
      <c r="T424" s="949"/>
      <c r="U424" s="907"/>
      <c r="V424" s="947"/>
      <c r="W424" s="947"/>
      <c r="X424" s="951"/>
      <c r="Y424" s="949"/>
      <c r="Z424" s="948"/>
      <c r="AA424" s="909"/>
      <c r="AB424" s="947"/>
      <c r="AC424" s="950"/>
      <c r="AD424" s="927"/>
      <c r="AE424" s="952"/>
      <c r="AF424" s="1095"/>
      <c r="AG424" s="950"/>
      <c r="AH424" s="953"/>
      <c r="AI424" s="953"/>
      <c r="AJ424" s="939">
        <f t="shared" si="54"/>
        <v>0</v>
      </c>
      <c r="AK424" s="939">
        <f t="shared" si="55"/>
        <v>0</v>
      </c>
    </row>
    <row r="425" spans="3:37" x14ac:dyDescent="0.2">
      <c r="C425" s="359" t="s">
        <v>86</v>
      </c>
      <c r="D425" s="354" t="s">
        <v>77</v>
      </c>
      <c r="E425" s="358">
        <v>18</v>
      </c>
      <c r="F425" s="947"/>
      <c r="G425" s="947"/>
      <c r="H425" s="947"/>
      <c r="I425" s="948"/>
      <c r="J425" s="947"/>
      <c r="K425" s="947"/>
      <c r="L425" s="940">
        <f t="shared" si="58"/>
        <v>0</v>
      </c>
      <c r="M425" s="949"/>
      <c r="N425" s="949"/>
      <c r="O425" s="954"/>
      <c r="P425" s="927"/>
      <c r="Q425" s="955"/>
      <c r="R425" s="950"/>
      <c r="S425" s="949"/>
      <c r="T425" s="949"/>
      <c r="U425" s="907"/>
      <c r="V425" s="947"/>
      <c r="W425" s="947"/>
      <c r="X425" s="951"/>
      <c r="Y425" s="949"/>
      <c r="Z425" s="948"/>
      <c r="AA425" s="909"/>
      <c r="AB425" s="947"/>
      <c r="AC425" s="950"/>
      <c r="AD425" s="927"/>
      <c r="AE425" s="952"/>
      <c r="AF425" s="1095"/>
      <c r="AG425" s="950"/>
      <c r="AH425" s="953"/>
      <c r="AI425" s="953"/>
      <c r="AJ425" s="939">
        <f t="shared" si="54"/>
        <v>0</v>
      </c>
      <c r="AK425" s="939">
        <f t="shared" si="55"/>
        <v>0</v>
      </c>
    </row>
    <row r="426" spans="3:37" x14ac:dyDescent="0.2">
      <c r="C426" s="1093" t="s">
        <v>1407</v>
      </c>
      <c r="D426" s="354" t="s">
        <v>76</v>
      </c>
      <c r="E426" s="358">
        <v>19</v>
      </c>
      <c r="F426" s="947"/>
      <c r="G426" s="947"/>
      <c r="H426" s="947"/>
      <c r="I426" s="948"/>
      <c r="J426" s="947"/>
      <c r="K426" s="947"/>
      <c r="L426" s="940">
        <f t="shared" ref="L426:L427" si="59">ROUND(SUM(F426:I426,K426),3)</f>
        <v>0</v>
      </c>
      <c r="M426" s="949"/>
      <c r="N426" s="949"/>
      <c r="O426" s="954"/>
      <c r="P426" s="927"/>
      <c r="Q426" s="955"/>
      <c r="R426" s="950"/>
      <c r="S426" s="949"/>
      <c r="T426" s="949"/>
      <c r="U426" s="907"/>
      <c r="V426" s="947"/>
      <c r="W426" s="947"/>
      <c r="X426" s="951"/>
      <c r="Y426" s="949"/>
      <c r="Z426" s="948"/>
      <c r="AA426" s="909"/>
      <c r="AB426" s="947"/>
      <c r="AC426" s="950"/>
      <c r="AD426" s="927"/>
      <c r="AE426" s="952"/>
      <c r="AF426" s="1095"/>
      <c r="AG426" s="950"/>
      <c r="AH426" s="953"/>
      <c r="AI426" s="953"/>
      <c r="AJ426" s="939">
        <f t="shared" si="54"/>
        <v>0</v>
      </c>
      <c r="AK426" s="939">
        <f t="shared" si="55"/>
        <v>0</v>
      </c>
    </row>
    <row r="427" spans="3:37" x14ac:dyDescent="0.2">
      <c r="C427" s="1092"/>
      <c r="D427" s="354" t="s">
        <v>77</v>
      </c>
      <c r="E427" s="358">
        <v>20</v>
      </c>
      <c r="F427" s="947"/>
      <c r="G427" s="947"/>
      <c r="H427" s="947"/>
      <c r="I427" s="948"/>
      <c r="J427" s="947"/>
      <c r="K427" s="947"/>
      <c r="L427" s="940">
        <f t="shared" si="59"/>
        <v>0</v>
      </c>
      <c r="M427" s="949"/>
      <c r="N427" s="949"/>
      <c r="O427" s="954"/>
      <c r="P427" s="927"/>
      <c r="Q427" s="955"/>
      <c r="R427" s="950"/>
      <c r="S427" s="949"/>
      <c r="T427" s="949"/>
      <c r="U427" s="907"/>
      <c r="V427" s="947"/>
      <c r="W427" s="947"/>
      <c r="X427" s="951"/>
      <c r="Y427" s="949"/>
      <c r="Z427" s="948"/>
      <c r="AA427" s="909"/>
      <c r="AB427" s="947"/>
      <c r="AC427" s="950"/>
      <c r="AD427" s="927"/>
      <c r="AE427" s="952"/>
      <c r="AF427" s="1095"/>
      <c r="AG427" s="950"/>
      <c r="AH427" s="953"/>
      <c r="AI427" s="953"/>
      <c r="AJ427" s="939">
        <f t="shared" si="54"/>
        <v>0</v>
      </c>
      <c r="AK427" s="939">
        <f t="shared" si="55"/>
        <v>0</v>
      </c>
    </row>
    <row r="428" spans="3:37" x14ac:dyDescent="0.2">
      <c r="C428" s="353" t="s">
        <v>861</v>
      </c>
      <c r="D428" s="354" t="s">
        <v>76</v>
      </c>
      <c r="E428" s="355">
        <v>21</v>
      </c>
      <c r="F428" s="947"/>
      <c r="G428" s="947"/>
      <c r="H428" s="947"/>
      <c r="I428" s="948"/>
      <c r="J428" s="947"/>
      <c r="K428" s="947"/>
      <c r="L428" s="940">
        <f t="shared" si="58"/>
        <v>0</v>
      </c>
      <c r="M428" s="949"/>
      <c r="N428" s="949"/>
      <c r="O428" s="954"/>
      <c r="P428" s="927"/>
      <c r="Q428" s="955"/>
      <c r="R428" s="950"/>
      <c r="S428" s="949"/>
      <c r="T428" s="949"/>
      <c r="U428" s="907"/>
      <c r="V428" s="947"/>
      <c r="W428" s="947"/>
      <c r="X428" s="951"/>
      <c r="Y428" s="949"/>
      <c r="Z428" s="948"/>
      <c r="AA428" s="909"/>
      <c r="AB428" s="947"/>
      <c r="AC428" s="950"/>
      <c r="AD428" s="927"/>
      <c r="AE428" s="952"/>
      <c r="AF428" s="1095"/>
      <c r="AG428" s="950"/>
      <c r="AH428" s="953"/>
      <c r="AI428" s="953"/>
      <c r="AJ428" s="939">
        <f t="shared" si="54"/>
        <v>0</v>
      </c>
      <c r="AK428" s="939">
        <f t="shared" si="55"/>
        <v>0</v>
      </c>
    </row>
    <row r="429" spans="3:37" x14ac:dyDescent="0.2">
      <c r="C429" s="359" t="s">
        <v>862</v>
      </c>
      <c r="D429" s="357" t="s">
        <v>112</v>
      </c>
      <c r="E429" s="358">
        <v>22</v>
      </c>
      <c r="F429" s="947"/>
      <c r="G429" s="947"/>
      <c r="H429" s="947"/>
      <c r="I429" s="948"/>
      <c r="J429" s="947"/>
      <c r="K429" s="947"/>
      <c r="L429" s="940">
        <f t="shared" si="58"/>
        <v>0</v>
      </c>
      <c r="M429" s="949"/>
      <c r="N429" s="949"/>
      <c r="O429" s="954"/>
      <c r="P429" s="927"/>
      <c r="Q429" s="955"/>
      <c r="R429" s="950"/>
      <c r="S429" s="949"/>
      <c r="T429" s="949"/>
      <c r="U429" s="907"/>
      <c r="V429" s="947"/>
      <c r="W429" s="947"/>
      <c r="X429" s="951"/>
      <c r="Y429" s="949"/>
      <c r="Z429" s="948"/>
      <c r="AA429" s="909"/>
      <c r="AB429" s="947"/>
      <c r="AC429" s="950"/>
      <c r="AD429" s="927"/>
      <c r="AE429" s="952"/>
      <c r="AF429" s="1095"/>
      <c r="AG429" s="950"/>
      <c r="AH429" s="953"/>
      <c r="AI429" s="953"/>
      <c r="AJ429" s="939">
        <f t="shared" si="54"/>
        <v>0</v>
      </c>
      <c r="AK429" s="939">
        <f t="shared" si="55"/>
        <v>0</v>
      </c>
    </row>
    <row r="430" spans="3:37" x14ac:dyDescent="0.2">
      <c r="C430" s="353" t="s">
        <v>87</v>
      </c>
      <c r="D430" s="354" t="s">
        <v>76</v>
      </c>
      <c r="E430" s="355">
        <v>23</v>
      </c>
      <c r="F430" s="947"/>
      <c r="G430" s="947"/>
      <c r="H430" s="947"/>
      <c r="I430" s="948"/>
      <c r="J430" s="947"/>
      <c r="K430" s="947"/>
      <c r="L430" s="940">
        <f t="shared" si="58"/>
        <v>0</v>
      </c>
      <c r="M430" s="949"/>
      <c r="N430" s="949"/>
      <c r="O430" s="954"/>
      <c r="P430" s="927"/>
      <c r="Q430" s="955"/>
      <c r="R430" s="950"/>
      <c r="S430" s="949"/>
      <c r="T430" s="949"/>
      <c r="U430" s="907"/>
      <c r="V430" s="947"/>
      <c r="W430" s="947"/>
      <c r="X430" s="951"/>
      <c r="Y430" s="949"/>
      <c r="Z430" s="948"/>
      <c r="AA430" s="909"/>
      <c r="AB430" s="947"/>
      <c r="AC430" s="950"/>
      <c r="AD430" s="927"/>
      <c r="AE430" s="952"/>
      <c r="AF430" s="1095"/>
      <c r="AG430" s="950"/>
      <c r="AH430" s="953"/>
      <c r="AI430" s="953"/>
      <c r="AJ430" s="939">
        <f t="shared" si="54"/>
        <v>0</v>
      </c>
      <c r="AK430" s="939">
        <f t="shared" si="55"/>
        <v>0</v>
      </c>
    </row>
    <row r="431" spans="3:37" x14ac:dyDescent="0.2">
      <c r="C431" s="359" t="s">
        <v>88</v>
      </c>
      <c r="D431" s="357" t="s">
        <v>113</v>
      </c>
      <c r="E431" s="358">
        <v>24</v>
      </c>
      <c r="F431" s="947"/>
      <c r="G431" s="947"/>
      <c r="H431" s="947"/>
      <c r="I431" s="948"/>
      <c r="J431" s="947"/>
      <c r="K431" s="947"/>
      <c r="L431" s="940">
        <f t="shared" si="58"/>
        <v>0</v>
      </c>
      <c r="M431" s="949"/>
      <c r="N431" s="949"/>
      <c r="O431" s="954"/>
      <c r="P431" s="927"/>
      <c r="Q431" s="955"/>
      <c r="R431" s="950"/>
      <c r="S431" s="949"/>
      <c r="T431" s="949"/>
      <c r="U431" s="907"/>
      <c r="V431" s="947"/>
      <c r="W431" s="947"/>
      <c r="X431" s="951"/>
      <c r="Y431" s="949"/>
      <c r="Z431" s="948"/>
      <c r="AA431" s="909"/>
      <c r="AB431" s="947"/>
      <c r="AC431" s="950"/>
      <c r="AD431" s="927"/>
      <c r="AE431" s="952"/>
      <c r="AF431" s="1095"/>
      <c r="AG431" s="950"/>
      <c r="AH431" s="953"/>
      <c r="AI431" s="953"/>
      <c r="AJ431" s="939">
        <f t="shared" si="54"/>
        <v>0</v>
      </c>
      <c r="AK431" s="939">
        <f t="shared" si="55"/>
        <v>0</v>
      </c>
    </row>
    <row r="432" spans="3:37" x14ac:dyDescent="0.2">
      <c r="C432" s="347" t="s">
        <v>89</v>
      </c>
      <c r="D432" s="351" t="s">
        <v>76</v>
      </c>
      <c r="E432" s="352">
        <v>25</v>
      </c>
      <c r="F432" s="939">
        <f t="shared" ref="F432:AI432" si="60">ROUND(F408-F410-F412+F428+F430,3)</f>
        <v>0</v>
      </c>
      <c r="G432" s="939">
        <f t="shared" si="60"/>
        <v>0</v>
      </c>
      <c r="H432" s="939">
        <f t="shared" si="60"/>
        <v>0</v>
      </c>
      <c r="I432" s="941">
        <f t="shared" si="60"/>
        <v>0</v>
      </c>
      <c r="J432" s="939">
        <f t="shared" si="60"/>
        <v>0</v>
      </c>
      <c r="K432" s="939">
        <f t="shared" si="60"/>
        <v>0</v>
      </c>
      <c r="L432" s="940">
        <f t="shared" si="60"/>
        <v>0</v>
      </c>
      <c r="M432" s="941">
        <f t="shared" si="60"/>
        <v>0</v>
      </c>
      <c r="N432" s="941">
        <f t="shared" si="60"/>
        <v>0</v>
      </c>
      <c r="O432" s="942">
        <f t="shared" si="60"/>
        <v>0</v>
      </c>
      <c r="P432" s="943">
        <f t="shared" si="60"/>
        <v>0</v>
      </c>
      <c r="Q432" s="944">
        <f t="shared" si="60"/>
        <v>0</v>
      </c>
      <c r="R432" s="940">
        <f t="shared" si="60"/>
        <v>0</v>
      </c>
      <c r="S432" s="941">
        <f t="shared" si="60"/>
        <v>0</v>
      </c>
      <c r="T432" s="941">
        <f t="shared" si="60"/>
        <v>0</v>
      </c>
      <c r="U432" s="945">
        <f t="shared" si="60"/>
        <v>0</v>
      </c>
      <c r="V432" s="939">
        <f t="shared" si="60"/>
        <v>0</v>
      </c>
      <c r="W432" s="939">
        <f t="shared" si="60"/>
        <v>0</v>
      </c>
      <c r="X432" s="940">
        <f t="shared" si="60"/>
        <v>0</v>
      </c>
      <c r="Y432" s="941">
        <f t="shared" si="60"/>
        <v>0</v>
      </c>
      <c r="Z432" s="939">
        <f t="shared" si="60"/>
        <v>0</v>
      </c>
      <c r="AA432" s="946">
        <f t="shared" si="60"/>
        <v>0</v>
      </c>
      <c r="AB432" s="939">
        <f t="shared" si="60"/>
        <v>0</v>
      </c>
      <c r="AC432" s="940">
        <f t="shared" si="60"/>
        <v>0</v>
      </c>
      <c r="AD432" s="943">
        <f t="shared" si="60"/>
        <v>0</v>
      </c>
      <c r="AE432" s="939">
        <f t="shared" si="60"/>
        <v>0</v>
      </c>
      <c r="AF432" s="939">
        <f t="shared" ref="AF432" si="61">ROUND(AF408-AF410-AF412+AF428+AF430,3)</f>
        <v>0</v>
      </c>
      <c r="AG432" s="940">
        <f t="shared" si="60"/>
        <v>0</v>
      </c>
      <c r="AH432" s="942">
        <f t="shared" si="60"/>
        <v>0</v>
      </c>
      <c r="AI432" s="942">
        <f t="shared" si="60"/>
        <v>0</v>
      </c>
      <c r="AJ432" s="939">
        <f t="shared" si="54"/>
        <v>0</v>
      </c>
      <c r="AK432" s="939">
        <f t="shared" si="55"/>
        <v>0</v>
      </c>
    </row>
    <row r="433" spans="3:37" ht="13.5" thickBot="1" x14ac:dyDescent="0.25">
      <c r="C433" s="361" t="s">
        <v>90</v>
      </c>
      <c r="D433" s="362" t="s">
        <v>77</v>
      </c>
      <c r="E433" s="363">
        <v>26</v>
      </c>
      <c r="F433" s="956">
        <f t="shared" ref="F433:AI433" si="62">ROUND(F409-F411-F413+F429+F431,3)</f>
        <v>0</v>
      </c>
      <c r="G433" s="956">
        <f t="shared" si="62"/>
        <v>0</v>
      </c>
      <c r="H433" s="956">
        <f t="shared" si="62"/>
        <v>0</v>
      </c>
      <c r="I433" s="957">
        <f t="shared" si="62"/>
        <v>0</v>
      </c>
      <c r="J433" s="956">
        <f t="shared" si="62"/>
        <v>0</v>
      </c>
      <c r="K433" s="956">
        <f t="shared" si="62"/>
        <v>0</v>
      </c>
      <c r="L433" s="958">
        <f t="shared" si="62"/>
        <v>0</v>
      </c>
      <c r="M433" s="957">
        <f t="shared" si="62"/>
        <v>0</v>
      </c>
      <c r="N433" s="956">
        <f t="shared" si="62"/>
        <v>0</v>
      </c>
      <c r="O433" s="959">
        <f t="shared" si="62"/>
        <v>0</v>
      </c>
      <c r="P433" s="960">
        <f t="shared" si="62"/>
        <v>0</v>
      </c>
      <c r="Q433" s="961">
        <f t="shared" si="62"/>
        <v>0</v>
      </c>
      <c r="R433" s="962">
        <f t="shared" si="62"/>
        <v>0</v>
      </c>
      <c r="S433" s="963">
        <f t="shared" si="62"/>
        <v>0</v>
      </c>
      <c r="T433" s="963">
        <f t="shared" si="62"/>
        <v>0</v>
      </c>
      <c r="U433" s="964">
        <f t="shared" si="62"/>
        <v>0</v>
      </c>
      <c r="V433" s="965">
        <f t="shared" si="62"/>
        <v>0</v>
      </c>
      <c r="W433" s="965">
        <f t="shared" si="62"/>
        <v>0</v>
      </c>
      <c r="X433" s="962">
        <f t="shared" si="62"/>
        <v>0</v>
      </c>
      <c r="Y433" s="963">
        <f t="shared" si="62"/>
        <v>0</v>
      </c>
      <c r="Z433" s="965">
        <f t="shared" si="62"/>
        <v>0</v>
      </c>
      <c r="AA433" s="966">
        <f t="shared" si="62"/>
        <v>0</v>
      </c>
      <c r="AB433" s="965">
        <f t="shared" si="62"/>
        <v>0</v>
      </c>
      <c r="AC433" s="962">
        <f t="shared" si="62"/>
        <v>0</v>
      </c>
      <c r="AD433" s="960">
        <f t="shared" si="62"/>
        <v>0</v>
      </c>
      <c r="AE433" s="965">
        <f t="shared" si="62"/>
        <v>0</v>
      </c>
      <c r="AF433" s="965">
        <f t="shared" ref="AF433" si="63">ROUND(AF409-AF411-AF413+AF429+AF431,3)</f>
        <v>0</v>
      </c>
      <c r="AG433" s="958">
        <f t="shared" si="62"/>
        <v>0</v>
      </c>
      <c r="AH433" s="959">
        <f t="shared" si="62"/>
        <v>0</v>
      </c>
      <c r="AI433" s="956">
        <f t="shared" si="62"/>
        <v>0</v>
      </c>
      <c r="AJ433" s="956">
        <f t="shared" si="54"/>
        <v>0</v>
      </c>
      <c r="AK433" s="956">
        <f t="shared" si="55"/>
        <v>0</v>
      </c>
    </row>
    <row r="434" spans="3:37" x14ac:dyDescent="0.2">
      <c r="C434" s="364" t="s">
        <v>91</v>
      </c>
      <c r="D434" s="365" t="s">
        <v>76</v>
      </c>
      <c r="E434" s="366">
        <v>27</v>
      </c>
      <c r="F434" s="967"/>
      <c r="G434" s="967"/>
      <c r="H434" s="967"/>
      <c r="I434" s="948"/>
      <c r="J434" s="967"/>
      <c r="K434" s="967"/>
      <c r="L434" s="968">
        <f t="shared" ref="L434:L443" si="64">ROUND(SUM(F434:I434,K434),3)</f>
        <v>0</v>
      </c>
      <c r="M434" s="969"/>
      <c r="N434" s="969"/>
      <c r="O434" s="970"/>
      <c r="P434" s="971"/>
      <c r="Q434" s="972"/>
      <c r="R434" s="973"/>
      <c r="S434" s="969"/>
      <c r="T434" s="969"/>
      <c r="U434" s="974"/>
      <c r="V434" s="967"/>
      <c r="W434" s="967"/>
      <c r="X434" s="975"/>
      <c r="Y434" s="969"/>
      <c r="Z434" s="976"/>
      <c r="AA434" s="977"/>
      <c r="AB434" s="967"/>
      <c r="AC434" s="973"/>
      <c r="AD434" s="971"/>
      <c r="AE434" s="978"/>
      <c r="AF434" s="1096"/>
      <c r="AG434" s="973"/>
      <c r="AH434" s="979"/>
      <c r="AI434" s="979"/>
      <c r="AJ434" s="980">
        <f t="shared" si="54"/>
        <v>0</v>
      </c>
      <c r="AK434" s="980">
        <f t="shared" si="55"/>
        <v>0</v>
      </c>
    </row>
    <row r="435" spans="3:37" x14ac:dyDescent="0.2">
      <c r="C435" s="367" t="s">
        <v>92</v>
      </c>
      <c r="D435" s="354" t="s">
        <v>77</v>
      </c>
      <c r="E435" s="355">
        <v>28</v>
      </c>
      <c r="F435" s="947"/>
      <c r="G435" s="947"/>
      <c r="H435" s="947"/>
      <c r="I435" s="948"/>
      <c r="J435" s="947"/>
      <c r="K435" s="947"/>
      <c r="L435" s="940">
        <f t="shared" si="64"/>
        <v>0</v>
      </c>
      <c r="M435" s="949"/>
      <c r="N435" s="949"/>
      <c r="O435" s="954"/>
      <c r="P435" s="927"/>
      <c r="Q435" s="955"/>
      <c r="R435" s="950"/>
      <c r="S435" s="949"/>
      <c r="T435" s="949"/>
      <c r="U435" s="907"/>
      <c r="V435" s="947"/>
      <c r="W435" s="947"/>
      <c r="X435" s="951"/>
      <c r="Y435" s="949"/>
      <c r="Z435" s="948"/>
      <c r="AA435" s="909"/>
      <c r="AB435" s="947"/>
      <c r="AC435" s="950"/>
      <c r="AD435" s="927"/>
      <c r="AE435" s="952"/>
      <c r="AF435" s="1095"/>
      <c r="AG435" s="950"/>
      <c r="AH435" s="953"/>
      <c r="AI435" s="953"/>
      <c r="AJ435" s="939">
        <f t="shared" si="54"/>
        <v>0</v>
      </c>
      <c r="AK435" s="939">
        <f t="shared" si="55"/>
        <v>0</v>
      </c>
    </row>
    <row r="436" spans="3:37" x14ac:dyDescent="0.2">
      <c r="C436" s="368" t="s">
        <v>93</v>
      </c>
      <c r="D436" s="354" t="s">
        <v>76</v>
      </c>
      <c r="E436" s="355">
        <v>29</v>
      </c>
      <c r="F436" s="947"/>
      <c r="G436" s="947"/>
      <c r="H436" s="947"/>
      <c r="I436" s="948"/>
      <c r="J436" s="947"/>
      <c r="K436" s="947"/>
      <c r="L436" s="940">
        <f t="shared" si="64"/>
        <v>0</v>
      </c>
      <c r="M436" s="949"/>
      <c r="N436" s="949"/>
      <c r="O436" s="954"/>
      <c r="P436" s="927"/>
      <c r="Q436" s="955"/>
      <c r="R436" s="950"/>
      <c r="S436" s="949"/>
      <c r="T436" s="949"/>
      <c r="U436" s="907"/>
      <c r="V436" s="947"/>
      <c r="W436" s="947"/>
      <c r="X436" s="951"/>
      <c r="Y436" s="949"/>
      <c r="Z436" s="948"/>
      <c r="AA436" s="909"/>
      <c r="AB436" s="947"/>
      <c r="AC436" s="950"/>
      <c r="AD436" s="927"/>
      <c r="AE436" s="952"/>
      <c r="AF436" s="1095"/>
      <c r="AG436" s="950"/>
      <c r="AH436" s="953"/>
      <c r="AI436" s="953"/>
      <c r="AJ436" s="939">
        <f t="shared" si="54"/>
        <v>0</v>
      </c>
      <c r="AK436" s="939">
        <f t="shared" si="55"/>
        <v>0</v>
      </c>
    </row>
    <row r="437" spans="3:37" x14ac:dyDescent="0.2">
      <c r="C437" s="367" t="s">
        <v>94</v>
      </c>
      <c r="D437" s="354" t="s">
        <v>77</v>
      </c>
      <c r="E437" s="355">
        <v>30</v>
      </c>
      <c r="F437" s="947"/>
      <c r="G437" s="947"/>
      <c r="H437" s="947"/>
      <c r="I437" s="948"/>
      <c r="J437" s="947"/>
      <c r="K437" s="947"/>
      <c r="L437" s="940">
        <f t="shared" si="64"/>
        <v>0</v>
      </c>
      <c r="M437" s="949"/>
      <c r="N437" s="949"/>
      <c r="O437" s="954"/>
      <c r="P437" s="927"/>
      <c r="Q437" s="955"/>
      <c r="R437" s="950"/>
      <c r="S437" s="949"/>
      <c r="T437" s="949"/>
      <c r="U437" s="907"/>
      <c r="V437" s="947"/>
      <c r="W437" s="947"/>
      <c r="X437" s="951"/>
      <c r="Y437" s="949"/>
      <c r="Z437" s="948"/>
      <c r="AA437" s="909"/>
      <c r="AB437" s="947"/>
      <c r="AC437" s="950"/>
      <c r="AD437" s="927"/>
      <c r="AE437" s="952"/>
      <c r="AF437" s="1095"/>
      <c r="AG437" s="950"/>
      <c r="AH437" s="953"/>
      <c r="AI437" s="953"/>
      <c r="AJ437" s="939">
        <f t="shared" si="54"/>
        <v>0</v>
      </c>
      <c r="AK437" s="939">
        <f t="shared" si="55"/>
        <v>0</v>
      </c>
    </row>
    <row r="438" spans="3:37" x14ac:dyDescent="0.2">
      <c r="C438" s="368" t="s">
        <v>145</v>
      </c>
      <c r="D438" s="354" t="s">
        <v>76</v>
      </c>
      <c r="E438" s="355">
        <v>31</v>
      </c>
      <c r="F438" s="947"/>
      <c r="G438" s="947"/>
      <c r="H438" s="947"/>
      <c r="I438" s="948"/>
      <c r="J438" s="947"/>
      <c r="K438" s="947"/>
      <c r="L438" s="940">
        <f t="shared" si="64"/>
        <v>0</v>
      </c>
      <c r="M438" s="949"/>
      <c r="N438" s="949"/>
      <c r="O438" s="954"/>
      <c r="P438" s="927"/>
      <c r="Q438" s="955"/>
      <c r="R438" s="950"/>
      <c r="S438" s="949"/>
      <c r="T438" s="949"/>
      <c r="U438" s="907"/>
      <c r="V438" s="947"/>
      <c r="W438" s="947"/>
      <c r="X438" s="951"/>
      <c r="Y438" s="949"/>
      <c r="Z438" s="948"/>
      <c r="AA438" s="909"/>
      <c r="AB438" s="947"/>
      <c r="AC438" s="950"/>
      <c r="AD438" s="927"/>
      <c r="AE438" s="952"/>
      <c r="AF438" s="1095"/>
      <c r="AG438" s="950"/>
      <c r="AH438" s="953"/>
      <c r="AI438" s="953"/>
      <c r="AJ438" s="939">
        <f t="shared" si="54"/>
        <v>0</v>
      </c>
      <c r="AK438" s="939">
        <f t="shared" si="55"/>
        <v>0</v>
      </c>
    </row>
    <row r="439" spans="3:37" x14ac:dyDescent="0.2">
      <c r="C439" s="367" t="s">
        <v>859</v>
      </c>
      <c r="D439" s="354" t="s">
        <v>77</v>
      </c>
      <c r="E439" s="355">
        <v>32</v>
      </c>
      <c r="F439" s="947"/>
      <c r="G439" s="947"/>
      <c r="H439" s="947"/>
      <c r="I439" s="948"/>
      <c r="J439" s="947"/>
      <c r="K439" s="947"/>
      <c r="L439" s="940">
        <f t="shared" si="64"/>
        <v>0</v>
      </c>
      <c r="M439" s="949"/>
      <c r="N439" s="949"/>
      <c r="O439" s="954"/>
      <c r="P439" s="927"/>
      <c r="Q439" s="955"/>
      <c r="R439" s="950"/>
      <c r="S439" s="949"/>
      <c r="T439" s="949"/>
      <c r="U439" s="907"/>
      <c r="V439" s="947"/>
      <c r="W439" s="947"/>
      <c r="X439" s="951"/>
      <c r="Y439" s="949"/>
      <c r="Z439" s="948"/>
      <c r="AA439" s="909"/>
      <c r="AB439" s="947"/>
      <c r="AC439" s="950"/>
      <c r="AD439" s="927"/>
      <c r="AE439" s="952"/>
      <c r="AF439" s="1095"/>
      <c r="AG439" s="950"/>
      <c r="AH439" s="953"/>
      <c r="AI439" s="953"/>
      <c r="AJ439" s="939">
        <f t="shared" si="54"/>
        <v>0</v>
      </c>
      <c r="AK439" s="939">
        <f t="shared" si="55"/>
        <v>0</v>
      </c>
    </row>
    <row r="440" spans="3:37" x14ac:dyDescent="0.2">
      <c r="C440" s="368" t="s">
        <v>144</v>
      </c>
      <c r="D440" s="354" t="s">
        <v>76</v>
      </c>
      <c r="E440" s="355">
        <v>33</v>
      </c>
      <c r="F440" s="947"/>
      <c r="G440" s="947"/>
      <c r="H440" s="947"/>
      <c r="I440" s="948"/>
      <c r="J440" s="947"/>
      <c r="K440" s="947"/>
      <c r="L440" s="940">
        <f t="shared" si="64"/>
        <v>0</v>
      </c>
      <c r="M440" s="949"/>
      <c r="N440" s="949"/>
      <c r="O440" s="954"/>
      <c r="P440" s="927"/>
      <c r="Q440" s="955"/>
      <c r="R440" s="950"/>
      <c r="S440" s="949"/>
      <c r="T440" s="949"/>
      <c r="U440" s="907"/>
      <c r="V440" s="947"/>
      <c r="W440" s="947"/>
      <c r="X440" s="951"/>
      <c r="Y440" s="949"/>
      <c r="Z440" s="948"/>
      <c r="AA440" s="909"/>
      <c r="AB440" s="947"/>
      <c r="AC440" s="950"/>
      <c r="AD440" s="927"/>
      <c r="AE440" s="952"/>
      <c r="AF440" s="1095"/>
      <c r="AG440" s="950"/>
      <c r="AH440" s="953"/>
      <c r="AI440" s="953"/>
      <c r="AJ440" s="939">
        <f t="shared" si="54"/>
        <v>0</v>
      </c>
      <c r="AK440" s="939">
        <f t="shared" si="55"/>
        <v>0</v>
      </c>
    </row>
    <row r="441" spans="3:37" x14ac:dyDescent="0.2">
      <c r="C441" s="367" t="s">
        <v>859</v>
      </c>
      <c r="D441" s="354" t="s">
        <v>77</v>
      </c>
      <c r="E441" s="355">
        <v>34</v>
      </c>
      <c r="F441" s="947"/>
      <c r="G441" s="947"/>
      <c r="H441" s="947"/>
      <c r="I441" s="948"/>
      <c r="J441" s="947"/>
      <c r="K441" s="947"/>
      <c r="L441" s="940">
        <f t="shared" si="64"/>
        <v>0</v>
      </c>
      <c r="M441" s="949"/>
      <c r="N441" s="949"/>
      <c r="O441" s="954"/>
      <c r="P441" s="927"/>
      <c r="Q441" s="955"/>
      <c r="R441" s="950"/>
      <c r="S441" s="949"/>
      <c r="T441" s="949"/>
      <c r="U441" s="907"/>
      <c r="V441" s="947"/>
      <c r="W441" s="947"/>
      <c r="X441" s="951"/>
      <c r="Y441" s="949"/>
      <c r="Z441" s="948"/>
      <c r="AA441" s="909"/>
      <c r="AB441" s="947"/>
      <c r="AC441" s="950"/>
      <c r="AD441" s="927"/>
      <c r="AE441" s="952"/>
      <c r="AF441" s="1095"/>
      <c r="AG441" s="950"/>
      <c r="AH441" s="953"/>
      <c r="AI441" s="953"/>
      <c r="AJ441" s="939">
        <f t="shared" si="54"/>
        <v>0</v>
      </c>
      <c r="AK441" s="939">
        <f t="shared" si="55"/>
        <v>0</v>
      </c>
    </row>
    <row r="442" spans="3:37" x14ac:dyDescent="0.2">
      <c r="C442" s="368" t="s">
        <v>184</v>
      </c>
      <c r="D442" s="354" t="s">
        <v>76</v>
      </c>
      <c r="E442" s="355">
        <v>35</v>
      </c>
      <c r="F442" s="947"/>
      <c r="G442" s="947"/>
      <c r="H442" s="947"/>
      <c r="I442" s="948"/>
      <c r="J442" s="947"/>
      <c r="K442" s="947"/>
      <c r="L442" s="940">
        <f t="shared" si="64"/>
        <v>0</v>
      </c>
      <c r="M442" s="949"/>
      <c r="N442" s="949"/>
      <c r="O442" s="954"/>
      <c r="P442" s="927"/>
      <c r="Q442" s="955"/>
      <c r="R442" s="950"/>
      <c r="S442" s="949"/>
      <c r="T442" s="949"/>
      <c r="U442" s="907"/>
      <c r="V442" s="947"/>
      <c r="W442" s="947"/>
      <c r="X442" s="951"/>
      <c r="Y442" s="949"/>
      <c r="Z442" s="948"/>
      <c r="AA442" s="909"/>
      <c r="AB442" s="947"/>
      <c r="AC442" s="950"/>
      <c r="AD442" s="927"/>
      <c r="AE442" s="952"/>
      <c r="AF442" s="1095"/>
      <c r="AG442" s="950"/>
      <c r="AH442" s="953"/>
      <c r="AI442" s="953"/>
      <c r="AJ442" s="939">
        <f t="shared" si="54"/>
        <v>0</v>
      </c>
      <c r="AK442" s="939">
        <f t="shared" si="55"/>
        <v>0</v>
      </c>
    </row>
    <row r="443" spans="3:37" x14ac:dyDescent="0.2">
      <c r="C443" s="367" t="s">
        <v>859</v>
      </c>
      <c r="D443" s="354" t="s">
        <v>77</v>
      </c>
      <c r="E443" s="355">
        <v>36</v>
      </c>
      <c r="F443" s="947"/>
      <c r="G443" s="947"/>
      <c r="H443" s="947"/>
      <c r="I443" s="948"/>
      <c r="J443" s="947"/>
      <c r="K443" s="947"/>
      <c r="L443" s="940">
        <f t="shared" si="64"/>
        <v>0</v>
      </c>
      <c r="M443" s="949"/>
      <c r="N443" s="949"/>
      <c r="O443" s="954"/>
      <c r="P443" s="927"/>
      <c r="Q443" s="955"/>
      <c r="R443" s="950"/>
      <c r="S443" s="949"/>
      <c r="T443" s="949"/>
      <c r="U443" s="907"/>
      <c r="V443" s="947"/>
      <c r="W443" s="947"/>
      <c r="X443" s="951"/>
      <c r="Y443" s="949"/>
      <c r="Z443" s="948"/>
      <c r="AA443" s="909"/>
      <c r="AB443" s="947"/>
      <c r="AC443" s="950"/>
      <c r="AD443" s="927"/>
      <c r="AE443" s="952"/>
      <c r="AF443" s="1095"/>
      <c r="AG443" s="950"/>
      <c r="AH443" s="953"/>
      <c r="AI443" s="953"/>
      <c r="AJ443" s="939">
        <f t="shared" si="54"/>
        <v>0</v>
      </c>
      <c r="AK443" s="939">
        <f t="shared" si="55"/>
        <v>0</v>
      </c>
    </row>
    <row r="447" spans="3:37" x14ac:dyDescent="0.2">
      <c r="F447" s="1212"/>
      <c r="G447" s="1212"/>
      <c r="H447" s="1212"/>
      <c r="I447" s="1212"/>
      <c r="J447" s="1212"/>
      <c r="K447" s="1212"/>
      <c r="L447" s="1212"/>
      <c r="M447" s="1212"/>
      <c r="N447" s="1212"/>
      <c r="O447" s="1212"/>
      <c r="P447" s="1212"/>
      <c r="Q447" s="1212"/>
      <c r="R447" s="1212"/>
      <c r="S447" s="1212"/>
      <c r="T447" s="1212"/>
      <c r="U447" s="1212"/>
      <c r="V447" s="1212"/>
      <c r="W447" s="1212"/>
      <c r="X447" s="1212"/>
      <c r="Y447" s="1212"/>
      <c r="Z447" s="1212"/>
      <c r="AA447" s="1212"/>
      <c r="AB447" s="1212"/>
      <c r="AC447" s="1212"/>
      <c r="AD447" s="1212"/>
      <c r="AE447" s="1212"/>
      <c r="AF447" s="1212"/>
      <c r="AG447" s="1212"/>
      <c r="AH447" s="1212"/>
      <c r="AI447" s="1212"/>
      <c r="AJ447" s="1212"/>
    </row>
    <row r="448" spans="3:37" x14ac:dyDescent="0.2">
      <c r="F448" s="1212"/>
      <c r="G448" s="1212"/>
      <c r="H448" s="1212"/>
      <c r="I448" s="1212"/>
      <c r="J448" s="1212"/>
      <c r="K448" s="1212"/>
      <c r="L448" s="1212"/>
      <c r="M448" s="1212"/>
      <c r="N448" s="1212"/>
      <c r="O448" s="1212"/>
      <c r="P448" s="1212"/>
      <c r="Q448" s="1212"/>
      <c r="R448" s="1212"/>
      <c r="S448" s="1212"/>
      <c r="T448" s="1212"/>
      <c r="U448" s="1212"/>
      <c r="V448" s="1212"/>
      <c r="W448" s="1212"/>
      <c r="X448" s="1212"/>
      <c r="Y448" s="1212"/>
      <c r="Z448" s="1212"/>
      <c r="AA448" s="1212"/>
      <c r="AB448" s="1212"/>
      <c r="AC448" s="1212"/>
      <c r="AD448" s="1212"/>
      <c r="AE448" s="1212"/>
      <c r="AF448" s="1212"/>
      <c r="AG448" s="1212"/>
      <c r="AH448" s="1212"/>
      <c r="AI448" s="1212"/>
      <c r="AJ448" s="1212"/>
    </row>
    <row r="449" spans="3:38" ht="12.75" customHeight="1" x14ac:dyDescent="0.2">
      <c r="C449" s="244" t="str">
        <f>IF('Table 1'!$D$3=0,"",'Table 1'!$D$3 &amp; " " &amp; QuestYear)</f>
        <v>September 2026</v>
      </c>
      <c r="D449" s="267"/>
      <c r="E449" s="267"/>
      <c r="F449" s="1153"/>
      <c r="G449" s="1153"/>
      <c r="H449" s="1153"/>
      <c r="I449" s="1153"/>
      <c r="J449" s="1153"/>
      <c r="K449" s="1153"/>
      <c r="L449" s="1153"/>
      <c r="M449" s="1153"/>
      <c r="N449" s="1153"/>
      <c r="O449" s="1153"/>
      <c r="P449" s="1153"/>
      <c r="Q449" s="1153"/>
      <c r="R449" s="1153"/>
      <c r="S449" s="1153"/>
      <c r="T449" s="1153"/>
      <c r="U449" s="1153"/>
      <c r="V449" s="1153"/>
      <c r="W449" s="1153"/>
      <c r="X449" s="1153"/>
      <c r="Y449" s="1153"/>
      <c r="Z449" s="1153"/>
      <c r="AA449" s="1153"/>
      <c r="AB449" s="1153"/>
      <c r="AC449" s="1153"/>
      <c r="AD449" s="1153"/>
      <c r="AE449" s="1153"/>
      <c r="AF449" s="1153"/>
      <c r="AG449" s="1153"/>
      <c r="AH449" s="1153"/>
      <c r="AI449" s="1153"/>
      <c r="AJ449" s="1153"/>
      <c r="AK449" s="267"/>
    </row>
    <row r="450" spans="3:38" ht="12.75" customHeight="1" x14ac:dyDescent="0.2">
      <c r="C450" s="374" t="s">
        <v>887</v>
      </c>
      <c r="D450" s="267"/>
      <c r="E450" s="267"/>
      <c r="F450" s="267"/>
      <c r="G450" s="267"/>
      <c r="H450" s="267"/>
      <c r="I450" s="267"/>
      <c r="J450" s="267"/>
      <c r="K450" s="267"/>
      <c r="L450" s="375" t="s">
        <v>74</v>
      </c>
      <c r="M450" s="267"/>
      <c r="N450" s="267"/>
      <c r="O450" s="267"/>
      <c r="P450" s="267"/>
      <c r="Q450" s="267"/>
      <c r="R450" s="267"/>
      <c r="S450" s="267"/>
      <c r="T450" s="267"/>
      <c r="U450" s="267"/>
      <c r="V450" s="267"/>
      <c r="W450" s="267"/>
      <c r="X450" s="267"/>
      <c r="Y450" s="267"/>
      <c r="Z450" s="267"/>
      <c r="AA450" s="267"/>
      <c r="AB450" s="267"/>
      <c r="AC450" s="267"/>
      <c r="AD450" s="267"/>
      <c r="AE450" s="267"/>
      <c r="AF450" s="267"/>
      <c r="AG450" s="267"/>
      <c r="AH450" s="267"/>
      <c r="AI450" s="267"/>
      <c r="AJ450" s="267"/>
      <c r="AK450" s="245" t="s">
        <v>108</v>
      </c>
      <c r="AL450" s="267"/>
    </row>
    <row r="451" spans="3:38" ht="12.75" customHeight="1" x14ac:dyDescent="0.2">
      <c r="C451" s="376"/>
      <c r="D451" s="377"/>
      <c r="E451" s="378"/>
      <c r="F451" s="1154" t="s">
        <v>656</v>
      </c>
      <c r="G451" s="1156" t="s">
        <v>657</v>
      </c>
      <c r="H451" s="1156" t="s">
        <v>647</v>
      </c>
      <c r="I451" s="1158" t="s">
        <v>666</v>
      </c>
      <c r="J451" s="281"/>
      <c r="K451" s="1160" t="s">
        <v>885</v>
      </c>
      <c r="L451" s="1110" t="s">
        <v>645</v>
      </c>
      <c r="M451" s="1166" t="s">
        <v>8</v>
      </c>
      <c r="N451" s="1164" t="s">
        <v>9</v>
      </c>
      <c r="O451" s="1162" t="s">
        <v>10</v>
      </c>
      <c r="P451" s="1114" t="s">
        <v>659</v>
      </c>
      <c r="Q451" s="329"/>
      <c r="R451" s="190"/>
      <c r="S451" s="1166" t="s">
        <v>660</v>
      </c>
      <c r="T451" s="1164" t="s">
        <v>661</v>
      </c>
      <c r="U451" s="1116" t="s">
        <v>668</v>
      </c>
      <c r="V451" s="191"/>
      <c r="W451" s="192"/>
      <c r="X451" s="1162" t="s">
        <v>664</v>
      </c>
      <c r="Y451" s="193"/>
      <c r="Z451" s="190"/>
      <c r="AA451" s="1118" t="s">
        <v>670</v>
      </c>
      <c r="AB451" s="190"/>
      <c r="AC451" s="190"/>
      <c r="AD451" s="1114" t="s">
        <v>628</v>
      </c>
      <c r="AE451" s="190"/>
      <c r="AF451" s="190"/>
      <c r="AG451" s="190"/>
      <c r="AH451" s="1166" t="s">
        <v>629</v>
      </c>
      <c r="AI451" s="1160" t="s">
        <v>630</v>
      </c>
      <c r="AJ451" s="1120" t="s">
        <v>631</v>
      </c>
      <c r="AK451" s="1120" t="s">
        <v>679</v>
      </c>
      <c r="AL451" s="260"/>
    </row>
    <row r="452" spans="3:38" ht="12.75" customHeight="1" x14ac:dyDescent="0.2">
      <c r="C452" s="379"/>
      <c r="D452" s="302"/>
      <c r="E452" s="380"/>
      <c r="F452" s="1155"/>
      <c r="G452" s="1157"/>
      <c r="H452" s="1157"/>
      <c r="I452" s="1159"/>
      <c r="J452" s="248" t="s">
        <v>667</v>
      </c>
      <c r="K452" s="1161"/>
      <c r="L452" s="1111"/>
      <c r="M452" s="1167"/>
      <c r="N452" s="1165"/>
      <c r="O452" s="1163"/>
      <c r="P452" s="1115"/>
      <c r="Q452" s="250" t="s">
        <v>623</v>
      </c>
      <c r="R452" s="251" t="s">
        <v>626</v>
      </c>
      <c r="S452" s="1167"/>
      <c r="T452" s="1165"/>
      <c r="U452" s="1117"/>
      <c r="V452" s="254" t="s">
        <v>662</v>
      </c>
      <c r="W452" s="250" t="s">
        <v>663</v>
      </c>
      <c r="X452" s="1163"/>
      <c r="Y452" s="256" t="s">
        <v>627</v>
      </c>
      <c r="Z452" s="257" t="s">
        <v>669</v>
      </c>
      <c r="AA452" s="1119"/>
      <c r="AB452" s="250" t="s">
        <v>624</v>
      </c>
      <c r="AC452" s="254" t="s">
        <v>671</v>
      </c>
      <c r="AD452" s="1115"/>
      <c r="AE452" s="250" t="s">
        <v>674</v>
      </c>
      <c r="AF452" s="254" t="s">
        <v>1411</v>
      </c>
      <c r="AG452" s="258" t="s">
        <v>872</v>
      </c>
      <c r="AH452" s="1167"/>
      <c r="AI452" s="1161"/>
      <c r="AJ452" s="1121"/>
      <c r="AK452" s="1121"/>
      <c r="AL452" s="302"/>
    </row>
    <row r="453" spans="3:38" ht="12.75" customHeight="1" x14ac:dyDescent="0.2">
      <c r="C453" s="381"/>
      <c r="D453" s="382"/>
      <c r="E453" s="383"/>
      <c r="F453" s="246" t="s">
        <v>152</v>
      </c>
      <c r="G453" s="247" t="s">
        <v>153</v>
      </c>
      <c r="H453" s="247" t="s">
        <v>154</v>
      </c>
      <c r="I453" s="180" t="s">
        <v>155</v>
      </c>
      <c r="J453" s="247" t="s">
        <v>156</v>
      </c>
      <c r="K453" s="247" t="s">
        <v>157</v>
      </c>
      <c r="L453" s="199" t="s">
        <v>158</v>
      </c>
      <c r="M453" s="246" t="s">
        <v>159</v>
      </c>
      <c r="N453" s="246" t="s">
        <v>160</v>
      </c>
      <c r="O453" s="249" t="s">
        <v>161</v>
      </c>
      <c r="P453" s="179" t="s">
        <v>162</v>
      </c>
      <c r="Q453" s="247" t="s">
        <v>163</v>
      </c>
      <c r="R453" s="252" t="s">
        <v>164</v>
      </c>
      <c r="S453" s="253" t="s">
        <v>165</v>
      </c>
      <c r="T453" s="252" t="s">
        <v>166</v>
      </c>
      <c r="U453" s="180" t="s">
        <v>167</v>
      </c>
      <c r="V453" s="247" t="s">
        <v>168</v>
      </c>
      <c r="W453" s="247" t="s">
        <v>169</v>
      </c>
      <c r="X453" s="255" t="s">
        <v>170</v>
      </c>
      <c r="Y453" s="246" t="s">
        <v>171</v>
      </c>
      <c r="Z453" s="247" t="s">
        <v>172</v>
      </c>
      <c r="AA453" s="176" t="s">
        <v>173</v>
      </c>
      <c r="AB453" s="252" t="s">
        <v>174</v>
      </c>
      <c r="AC453" s="252" t="s">
        <v>175</v>
      </c>
      <c r="AD453" s="179" t="s">
        <v>176</v>
      </c>
      <c r="AE453" s="252" t="s">
        <v>177</v>
      </c>
      <c r="AF453" s="252" t="s">
        <v>181</v>
      </c>
      <c r="AG453" s="252" t="s">
        <v>417</v>
      </c>
      <c r="AH453" s="259" t="s">
        <v>672</v>
      </c>
      <c r="AI453" s="252" t="s">
        <v>678</v>
      </c>
      <c r="AJ453" s="90" t="s">
        <v>499</v>
      </c>
      <c r="AK453" s="90" t="s">
        <v>680</v>
      </c>
      <c r="AL453" s="302"/>
    </row>
    <row r="454" spans="3:38" ht="12.75" customHeight="1" x14ac:dyDescent="0.2">
      <c r="C454" s="384" t="s">
        <v>743</v>
      </c>
      <c r="D454" s="385" t="s">
        <v>76</v>
      </c>
      <c r="E454" s="386">
        <v>1</v>
      </c>
      <c r="F454" s="898">
        <f t="shared" ref="F454:K455" si="65">ROUND(F456+F458+F460+F462+F464,3)</f>
        <v>0</v>
      </c>
      <c r="G454" s="898">
        <f t="shared" si="65"/>
        <v>0</v>
      </c>
      <c r="H454" s="898">
        <f t="shared" si="65"/>
        <v>0</v>
      </c>
      <c r="I454" s="898">
        <f t="shared" si="65"/>
        <v>0</v>
      </c>
      <c r="J454" s="898">
        <f t="shared" si="65"/>
        <v>0</v>
      </c>
      <c r="K454" s="898">
        <f t="shared" si="65"/>
        <v>0</v>
      </c>
      <c r="L454" s="915">
        <f t="shared" ref="L454:L471" si="66">ROUND(SUM(F454:I454,K454),3)</f>
        <v>0</v>
      </c>
      <c r="M454" s="898">
        <f t="shared" ref="M454:AI454" si="67">ROUND(M456+M458+M460+M462+M464,3)</f>
        <v>0</v>
      </c>
      <c r="N454" s="898">
        <f t="shared" si="67"/>
        <v>0</v>
      </c>
      <c r="O454" s="912">
        <f t="shared" si="67"/>
        <v>0</v>
      </c>
      <c r="P454" s="943">
        <f t="shared" si="67"/>
        <v>0</v>
      </c>
      <c r="Q454" s="912">
        <f t="shared" si="67"/>
        <v>0</v>
      </c>
      <c r="R454" s="915">
        <f t="shared" si="67"/>
        <v>0</v>
      </c>
      <c r="S454" s="911">
        <f t="shared" si="67"/>
        <v>0</v>
      </c>
      <c r="T454" s="898">
        <f t="shared" si="67"/>
        <v>0</v>
      </c>
      <c r="U454" s="912">
        <f t="shared" si="67"/>
        <v>0</v>
      </c>
      <c r="V454" s="898">
        <f t="shared" si="67"/>
        <v>0</v>
      </c>
      <c r="W454" s="898">
        <f t="shared" si="67"/>
        <v>0</v>
      </c>
      <c r="X454" s="912">
        <f t="shared" si="67"/>
        <v>0</v>
      </c>
      <c r="Y454" s="943">
        <f t="shared" si="67"/>
        <v>0</v>
      </c>
      <c r="Z454" s="898">
        <f t="shared" si="67"/>
        <v>0</v>
      </c>
      <c r="AA454" s="898">
        <f t="shared" si="67"/>
        <v>0</v>
      </c>
      <c r="AB454" s="898">
        <f t="shared" si="67"/>
        <v>0</v>
      </c>
      <c r="AC454" s="915">
        <f t="shared" si="67"/>
        <v>0</v>
      </c>
      <c r="AD454" s="911">
        <f t="shared" si="67"/>
        <v>0</v>
      </c>
      <c r="AE454" s="898">
        <f t="shared" si="67"/>
        <v>0</v>
      </c>
      <c r="AF454" s="898">
        <f t="shared" ref="AF454" si="68">ROUND(AF456+AF458+AF460+AF462+AF464,3)</f>
        <v>0</v>
      </c>
      <c r="AG454" s="912">
        <f t="shared" si="67"/>
        <v>0</v>
      </c>
      <c r="AH454" s="943">
        <f t="shared" si="67"/>
        <v>0</v>
      </c>
      <c r="AI454" s="912">
        <f t="shared" si="67"/>
        <v>0</v>
      </c>
      <c r="AJ454" s="898">
        <f t="shared" ref="AJ454:AJ471" si="69">ROUND(SUM(M454:P454,S454:U454,X454,AA454,AD454,AH454:AI454),3)</f>
        <v>0</v>
      </c>
      <c r="AK454" s="898">
        <f t="shared" ref="AK454:AK471" si="70">ROUND(L454+AJ454,3)</f>
        <v>0</v>
      </c>
      <c r="AL454" s="260"/>
    </row>
    <row r="455" spans="3:38" ht="12.75" customHeight="1" x14ac:dyDescent="0.2">
      <c r="C455" s="387" t="s">
        <v>147</v>
      </c>
      <c r="D455" s="388" t="s">
        <v>77</v>
      </c>
      <c r="E455" s="386">
        <v>2</v>
      </c>
      <c r="F455" s="898">
        <f t="shared" si="65"/>
        <v>1207</v>
      </c>
      <c r="G455" s="898">
        <f t="shared" si="65"/>
        <v>0</v>
      </c>
      <c r="H455" s="898">
        <f t="shared" si="65"/>
        <v>0</v>
      </c>
      <c r="I455" s="898">
        <f t="shared" si="65"/>
        <v>0</v>
      </c>
      <c r="J455" s="898">
        <f t="shared" si="65"/>
        <v>0</v>
      </c>
      <c r="K455" s="898">
        <f t="shared" si="65"/>
        <v>0</v>
      </c>
      <c r="L455" s="915">
        <f t="shared" si="66"/>
        <v>1207</v>
      </c>
      <c r="M455" s="898">
        <f t="shared" ref="M455:AI455" si="71">ROUND(M457+M459+M461+M463+M465,3)</f>
        <v>0</v>
      </c>
      <c r="N455" s="898">
        <f t="shared" si="71"/>
        <v>0</v>
      </c>
      <c r="O455" s="912">
        <f t="shared" si="71"/>
        <v>0</v>
      </c>
      <c r="P455" s="943">
        <f t="shared" si="71"/>
        <v>103</v>
      </c>
      <c r="Q455" s="912">
        <f t="shared" si="71"/>
        <v>0</v>
      </c>
      <c r="R455" s="915">
        <f t="shared" si="71"/>
        <v>103</v>
      </c>
      <c r="S455" s="911">
        <f t="shared" si="71"/>
        <v>0</v>
      </c>
      <c r="T455" s="898">
        <f t="shared" si="71"/>
        <v>0</v>
      </c>
      <c r="U455" s="912">
        <f t="shared" si="71"/>
        <v>33</v>
      </c>
      <c r="V455" s="898">
        <f t="shared" si="71"/>
        <v>0</v>
      </c>
      <c r="W455" s="898">
        <f t="shared" si="71"/>
        <v>33</v>
      </c>
      <c r="X455" s="912">
        <f t="shared" si="71"/>
        <v>0</v>
      </c>
      <c r="Y455" s="943">
        <f t="shared" si="71"/>
        <v>148</v>
      </c>
      <c r="Z455" s="898">
        <f t="shared" si="71"/>
        <v>0</v>
      </c>
      <c r="AA455" s="898">
        <f t="shared" si="71"/>
        <v>148</v>
      </c>
      <c r="AB455" s="898">
        <f t="shared" si="71"/>
        <v>0</v>
      </c>
      <c r="AC455" s="915">
        <f t="shared" si="71"/>
        <v>148</v>
      </c>
      <c r="AD455" s="911">
        <f t="shared" si="71"/>
        <v>156</v>
      </c>
      <c r="AE455" s="898">
        <f t="shared" si="71"/>
        <v>25</v>
      </c>
      <c r="AF455" s="898">
        <f t="shared" ref="AF455" si="72">ROUND(AF457+AF459+AF461+AF463+AF465,3)</f>
        <v>0</v>
      </c>
      <c r="AG455" s="912">
        <f t="shared" si="71"/>
        <v>131</v>
      </c>
      <c r="AH455" s="943">
        <f t="shared" si="71"/>
        <v>0</v>
      </c>
      <c r="AI455" s="912">
        <f t="shared" si="71"/>
        <v>586</v>
      </c>
      <c r="AJ455" s="898">
        <f t="shared" si="69"/>
        <v>1026</v>
      </c>
      <c r="AK455" s="898">
        <f t="shared" si="70"/>
        <v>2233</v>
      </c>
      <c r="AL455" s="260"/>
    </row>
    <row r="456" spans="3:38" ht="12.75" customHeight="1" x14ac:dyDescent="0.2">
      <c r="C456" s="261" t="s">
        <v>689</v>
      </c>
      <c r="D456" s="261" t="s">
        <v>76</v>
      </c>
      <c r="E456" s="389">
        <v>3</v>
      </c>
      <c r="F456" s="990"/>
      <c r="G456" s="990"/>
      <c r="H456" s="990"/>
      <c r="I456" s="907"/>
      <c r="J456" s="990"/>
      <c r="K456" s="990"/>
      <c r="L456" s="915">
        <f t="shared" si="66"/>
        <v>0</v>
      </c>
      <c r="M456" s="991"/>
      <c r="N456" s="990"/>
      <c r="O456" s="992"/>
      <c r="P456" s="1000"/>
      <c r="Q456" s="992"/>
      <c r="R456" s="1001"/>
      <c r="S456" s="991"/>
      <c r="T456" s="990"/>
      <c r="U456" s="1002"/>
      <c r="V456" s="990"/>
      <c r="W456" s="990"/>
      <c r="X456" s="992"/>
      <c r="Y456" s="993"/>
      <c r="Z456" s="990"/>
      <c r="AA456" s="907"/>
      <c r="AB456" s="990"/>
      <c r="AC456" s="1001"/>
      <c r="AD456" s="909"/>
      <c r="AE456" s="990"/>
      <c r="AF456" s="992"/>
      <c r="AG456" s="992"/>
      <c r="AH456" s="993"/>
      <c r="AI456" s="992"/>
      <c r="AJ456" s="898">
        <f t="shared" si="69"/>
        <v>0</v>
      </c>
      <c r="AK456" s="898">
        <f t="shared" si="70"/>
        <v>0</v>
      </c>
      <c r="AL456" s="260"/>
    </row>
    <row r="457" spans="3:38" ht="12.75" customHeight="1" x14ac:dyDescent="0.2">
      <c r="C457" s="390" t="s">
        <v>691</v>
      </c>
      <c r="D457" s="388" t="s">
        <v>77</v>
      </c>
      <c r="E457" s="386">
        <v>4</v>
      </c>
      <c r="F457" s="898">
        <f>ROUND('Table 6'!$C$66,3)</f>
        <v>1207</v>
      </c>
      <c r="G457" s="898">
        <f>ROUND('Table 6'!$D$66,3)</f>
        <v>0</v>
      </c>
      <c r="H457" s="898">
        <f>ROUND('Table 6'!$E$66,3)</f>
        <v>0</v>
      </c>
      <c r="I457" s="898">
        <f>ROUND('Table 6'!$F$66,3)</f>
        <v>0</v>
      </c>
      <c r="J457" s="898">
        <f>ROUND('Table 6'!$G$66,3)</f>
        <v>0</v>
      </c>
      <c r="K457" s="898">
        <f>ROUND('Table 6'!$H$66,3)</f>
        <v>0</v>
      </c>
      <c r="L457" s="915">
        <f t="shared" si="66"/>
        <v>1207</v>
      </c>
      <c r="M457" s="898">
        <f>ROUND('Table 6'!$J$66,3)</f>
        <v>0</v>
      </c>
      <c r="N457" s="898">
        <f>ROUND('Table 6'!$K$66,3)</f>
        <v>0</v>
      </c>
      <c r="O457" s="912">
        <f>ROUND('Table 6'!$L$66,3)</f>
        <v>0</v>
      </c>
      <c r="P457" s="943">
        <f>ROUND('Table 6'!$M$66,3)</f>
        <v>103</v>
      </c>
      <c r="Q457" s="912">
        <f>ROUND('Table 6'!$N$66,3)</f>
        <v>0</v>
      </c>
      <c r="R457" s="915">
        <f>ROUND('Table 6'!$O$66,3)</f>
        <v>103</v>
      </c>
      <c r="S457" s="911">
        <f>ROUND('Table 6'!$P$66,3)</f>
        <v>0</v>
      </c>
      <c r="T457" s="898">
        <f>ROUND('Table 6'!$Q$66,3)</f>
        <v>0</v>
      </c>
      <c r="U457" s="912">
        <f>ROUND('Table 6'!$R$66,3)</f>
        <v>33</v>
      </c>
      <c r="V457" s="898">
        <f>ROUND('Table 6'!$S$66,3)</f>
        <v>0</v>
      </c>
      <c r="W457" s="898">
        <f>ROUND('Table 6'!$T$66,3)</f>
        <v>33</v>
      </c>
      <c r="X457" s="912">
        <f>ROUND('Table 6'!$U$66,3)</f>
        <v>0</v>
      </c>
      <c r="Y457" s="943">
        <f>ROUND('Table 6'!$V$66,3)</f>
        <v>148</v>
      </c>
      <c r="Z457" s="898">
        <f>ROUND('Table 6'!$W$66,3)</f>
        <v>0</v>
      </c>
      <c r="AA457" s="898">
        <f>ROUND('Table 6'!$X$66,3)</f>
        <v>148</v>
      </c>
      <c r="AB457" s="898">
        <f>ROUND('Table 6'!$Y$66,3)</f>
        <v>0</v>
      </c>
      <c r="AC457" s="915">
        <f>ROUND('Table 6'!$Z$66,3)</f>
        <v>148</v>
      </c>
      <c r="AD457" s="911">
        <f>ROUND('Table 6'!$AA$66,3)</f>
        <v>156</v>
      </c>
      <c r="AE457" s="898">
        <f>ROUND('Table 6'!$AB$66,3)</f>
        <v>25</v>
      </c>
      <c r="AF457" s="898">
        <f>ROUND('Table 6'!$AC$66,3)</f>
        <v>0</v>
      </c>
      <c r="AG457" s="912">
        <f>ROUND('Table 6'!$AD$66,3)</f>
        <v>131</v>
      </c>
      <c r="AH457" s="943">
        <f>ROUND('Table 6'!$AE$66,3)</f>
        <v>0</v>
      </c>
      <c r="AI457" s="912">
        <f>ROUND('Table 6'!$AF$66,3)</f>
        <v>586</v>
      </c>
      <c r="AJ457" s="898">
        <f t="shared" si="69"/>
        <v>1026</v>
      </c>
      <c r="AK457" s="898">
        <f t="shared" si="70"/>
        <v>2233</v>
      </c>
      <c r="AL457" s="260"/>
    </row>
    <row r="458" spans="3:38" ht="12.75" customHeight="1" x14ac:dyDescent="0.2">
      <c r="C458" s="261" t="s">
        <v>693</v>
      </c>
      <c r="D458" s="261" t="s">
        <v>76</v>
      </c>
      <c r="E458" s="389">
        <v>5</v>
      </c>
      <c r="F458" s="990"/>
      <c r="G458" s="990"/>
      <c r="H458" s="990"/>
      <c r="I458" s="907"/>
      <c r="J458" s="990"/>
      <c r="K458" s="990"/>
      <c r="L458" s="915">
        <f t="shared" si="66"/>
        <v>0</v>
      </c>
      <c r="M458" s="991"/>
      <c r="N458" s="990"/>
      <c r="O458" s="992"/>
      <c r="P458" s="1000"/>
      <c r="Q458" s="992"/>
      <c r="R458" s="1001"/>
      <c r="S458" s="991"/>
      <c r="T458" s="990"/>
      <c r="U458" s="1002"/>
      <c r="V458" s="990"/>
      <c r="W458" s="990"/>
      <c r="X458" s="992"/>
      <c r="Y458" s="993"/>
      <c r="Z458" s="990"/>
      <c r="AA458" s="907"/>
      <c r="AB458" s="990"/>
      <c r="AC458" s="1001"/>
      <c r="AD458" s="909"/>
      <c r="AE458" s="990"/>
      <c r="AF458" s="992"/>
      <c r="AG458" s="992"/>
      <c r="AH458" s="993"/>
      <c r="AI458" s="992"/>
      <c r="AJ458" s="898">
        <f t="shared" si="69"/>
        <v>0</v>
      </c>
      <c r="AK458" s="898">
        <f t="shared" si="70"/>
        <v>0</v>
      </c>
      <c r="AL458" s="260"/>
    </row>
    <row r="459" spans="3:38" ht="12.75" customHeight="1" x14ac:dyDescent="0.2">
      <c r="C459" s="390" t="s">
        <v>695</v>
      </c>
      <c r="D459" s="391" t="s">
        <v>77</v>
      </c>
      <c r="E459" s="386">
        <v>6</v>
      </c>
      <c r="F459" s="898">
        <f>ROUND('Table 7'!$C$66,3)</f>
        <v>0</v>
      </c>
      <c r="G459" s="898">
        <f>ROUND('Table 7'!$D$66,3)</f>
        <v>0</v>
      </c>
      <c r="H459" s="898">
        <f>ROUND('Table 7'!$E$66,3)</f>
        <v>0</v>
      </c>
      <c r="I459" s="898">
        <f>ROUND('Table 7'!$F$66,3)</f>
        <v>0</v>
      </c>
      <c r="J459" s="898">
        <f>ROUND('Table 7'!$G$66,3)</f>
        <v>0</v>
      </c>
      <c r="K459" s="898">
        <f>ROUND('Table 7'!$H$66,3)</f>
        <v>0</v>
      </c>
      <c r="L459" s="915">
        <f t="shared" ref="L459" si="73">ROUND(SUM(F459:I459,K459),3)</f>
        <v>0</v>
      </c>
      <c r="M459" s="898">
        <f>ROUND('Table 7'!$J$66,3)</f>
        <v>0</v>
      </c>
      <c r="N459" s="898">
        <f>ROUND('Table 7'!$K$66,3)</f>
        <v>0</v>
      </c>
      <c r="O459" s="912">
        <f>ROUND('Table 7'!$L$66,3)</f>
        <v>0</v>
      </c>
      <c r="P459" s="943">
        <f>ROUND('Table 7'!$M$66,3)</f>
        <v>0</v>
      </c>
      <c r="Q459" s="912">
        <f>ROUND('Table 7'!$N$66,3)</f>
        <v>0</v>
      </c>
      <c r="R459" s="915">
        <f>ROUND('Table 7'!$O$66,3)</f>
        <v>0</v>
      </c>
      <c r="S459" s="911">
        <f>ROUND('Table 7'!$P$66,3)</f>
        <v>0</v>
      </c>
      <c r="T459" s="898">
        <f>ROUND('Table 7'!$Q$66,3)</f>
        <v>0</v>
      </c>
      <c r="U459" s="912">
        <f>ROUND('Table 7'!$R$66,3)</f>
        <v>0</v>
      </c>
      <c r="V459" s="898">
        <f>ROUND('Table 7'!$S$66,3)</f>
        <v>0</v>
      </c>
      <c r="W459" s="898">
        <f>ROUND('Table 7'!$T$66,3)</f>
        <v>0</v>
      </c>
      <c r="X459" s="912">
        <f>ROUND('Table 7'!$U$66,3)</f>
        <v>0</v>
      </c>
      <c r="Y459" s="943">
        <f>ROUND('Table 7'!$V$66,3)</f>
        <v>0</v>
      </c>
      <c r="Z459" s="898">
        <f>ROUND('Table 7'!$W$66,3)</f>
        <v>0</v>
      </c>
      <c r="AA459" s="898">
        <f>ROUND('Table 7'!$X$66,3)</f>
        <v>0</v>
      </c>
      <c r="AB459" s="898">
        <f>ROUND('Table 7'!$Y$66,3)</f>
        <v>0</v>
      </c>
      <c r="AC459" s="915">
        <f>ROUND('Table 7'!$Z$66,3)</f>
        <v>0</v>
      </c>
      <c r="AD459" s="911">
        <f>ROUND('Table 7'!$AA$66,3)</f>
        <v>0</v>
      </c>
      <c r="AE459" s="898">
        <f>ROUND('Table 7'!$AB$66,3)</f>
        <v>0</v>
      </c>
      <c r="AF459" s="898">
        <f>ROUND('Table 7'!$AC$66,3)</f>
        <v>0</v>
      </c>
      <c r="AG459" s="912">
        <f>ROUND('Table 7'!$AD$66,3)</f>
        <v>0</v>
      </c>
      <c r="AH459" s="943">
        <f>ROUND('Table 7'!$AE$66,3)</f>
        <v>0</v>
      </c>
      <c r="AI459" s="912">
        <f>ROUND('Table 7'!$AF$66,3)</f>
        <v>0</v>
      </c>
      <c r="AJ459" s="898">
        <f t="shared" si="69"/>
        <v>0</v>
      </c>
      <c r="AK459" s="898">
        <f t="shared" si="70"/>
        <v>0</v>
      </c>
      <c r="AL459" s="260"/>
    </row>
    <row r="460" spans="3:38" ht="12.75" customHeight="1" x14ac:dyDescent="0.2">
      <c r="C460" s="261" t="s">
        <v>697</v>
      </c>
      <c r="D460" s="261" t="s">
        <v>76</v>
      </c>
      <c r="E460" s="389">
        <v>7</v>
      </c>
      <c r="F460" s="990"/>
      <c r="G460" s="990"/>
      <c r="H460" s="990"/>
      <c r="I460" s="907"/>
      <c r="J460" s="990"/>
      <c r="K460" s="990"/>
      <c r="L460" s="915">
        <f t="shared" si="66"/>
        <v>0</v>
      </c>
      <c r="M460" s="991"/>
      <c r="N460" s="990"/>
      <c r="O460" s="992"/>
      <c r="P460" s="1000"/>
      <c r="Q460" s="992"/>
      <c r="R460" s="1001"/>
      <c r="S460" s="991"/>
      <c r="T460" s="990"/>
      <c r="U460" s="1002"/>
      <c r="V460" s="990"/>
      <c r="W460" s="990"/>
      <c r="X460" s="992"/>
      <c r="Y460" s="993"/>
      <c r="Z460" s="990"/>
      <c r="AA460" s="907"/>
      <c r="AB460" s="990"/>
      <c r="AC460" s="1001"/>
      <c r="AD460" s="909"/>
      <c r="AE460" s="990"/>
      <c r="AF460" s="992"/>
      <c r="AG460" s="992"/>
      <c r="AH460" s="993"/>
      <c r="AI460" s="992"/>
      <c r="AJ460" s="898">
        <f t="shared" si="69"/>
        <v>0</v>
      </c>
      <c r="AK460" s="898">
        <f t="shared" si="70"/>
        <v>0</v>
      </c>
      <c r="AL460" s="260"/>
    </row>
    <row r="461" spans="3:38" ht="12.75" customHeight="1" x14ac:dyDescent="0.2">
      <c r="C461" s="392" t="s">
        <v>699</v>
      </c>
      <c r="D461" s="393" t="s">
        <v>77</v>
      </c>
      <c r="E461" s="389">
        <v>8</v>
      </c>
      <c r="F461" s="990"/>
      <c r="G461" s="990"/>
      <c r="H461" s="990"/>
      <c r="I461" s="907"/>
      <c r="J461" s="990"/>
      <c r="K461" s="990"/>
      <c r="L461" s="915">
        <f t="shared" si="66"/>
        <v>0</v>
      </c>
      <c r="M461" s="991"/>
      <c r="N461" s="990"/>
      <c r="O461" s="992"/>
      <c r="P461" s="1000"/>
      <c r="Q461" s="992"/>
      <c r="R461" s="1001"/>
      <c r="S461" s="991"/>
      <c r="T461" s="990"/>
      <c r="U461" s="1002"/>
      <c r="V461" s="990"/>
      <c r="W461" s="990"/>
      <c r="X461" s="992"/>
      <c r="Y461" s="993"/>
      <c r="Z461" s="990"/>
      <c r="AA461" s="907"/>
      <c r="AB461" s="990"/>
      <c r="AC461" s="1001"/>
      <c r="AD461" s="909"/>
      <c r="AE461" s="990"/>
      <c r="AF461" s="992"/>
      <c r="AG461" s="992"/>
      <c r="AH461" s="993"/>
      <c r="AI461" s="992"/>
      <c r="AJ461" s="898">
        <f t="shared" si="69"/>
        <v>0</v>
      </c>
      <c r="AK461" s="898">
        <f t="shared" si="70"/>
        <v>0</v>
      </c>
      <c r="AL461" s="260"/>
    </row>
    <row r="462" spans="3:38" ht="12.75" customHeight="1" x14ac:dyDescent="0.2">
      <c r="C462" s="261" t="s">
        <v>701</v>
      </c>
      <c r="D462" s="393" t="s">
        <v>76</v>
      </c>
      <c r="E462" s="389">
        <v>9</v>
      </c>
      <c r="F462" s="990"/>
      <c r="G462" s="990"/>
      <c r="H462" s="990"/>
      <c r="I462" s="907"/>
      <c r="J462" s="990"/>
      <c r="K462" s="990"/>
      <c r="L462" s="915">
        <f t="shared" si="66"/>
        <v>0</v>
      </c>
      <c r="M462" s="991"/>
      <c r="N462" s="990"/>
      <c r="O462" s="992"/>
      <c r="P462" s="1000"/>
      <c r="Q462" s="992"/>
      <c r="R462" s="1001"/>
      <c r="S462" s="991"/>
      <c r="T462" s="990"/>
      <c r="U462" s="1002"/>
      <c r="V462" s="990"/>
      <c r="W462" s="990"/>
      <c r="X462" s="992"/>
      <c r="Y462" s="993"/>
      <c r="Z462" s="990"/>
      <c r="AA462" s="907"/>
      <c r="AB462" s="990"/>
      <c r="AC462" s="1001"/>
      <c r="AD462" s="909"/>
      <c r="AE462" s="990"/>
      <c r="AF462" s="992"/>
      <c r="AG462" s="992"/>
      <c r="AH462" s="993"/>
      <c r="AI462" s="992"/>
      <c r="AJ462" s="898">
        <f t="shared" si="69"/>
        <v>0</v>
      </c>
      <c r="AK462" s="898">
        <f t="shared" si="70"/>
        <v>0</v>
      </c>
      <c r="AL462" s="260"/>
    </row>
    <row r="463" spans="3:38" ht="12.75" customHeight="1" x14ac:dyDescent="0.2">
      <c r="C463" s="394" t="s">
        <v>703</v>
      </c>
      <c r="D463" s="395" t="s">
        <v>77</v>
      </c>
      <c r="E463" s="389">
        <v>10</v>
      </c>
      <c r="F463" s="990"/>
      <c r="G463" s="990"/>
      <c r="H463" s="990"/>
      <c r="I463" s="907"/>
      <c r="J463" s="990"/>
      <c r="K463" s="990"/>
      <c r="L463" s="915">
        <f t="shared" si="66"/>
        <v>0</v>
      </c>
      <c r="M463" s="991"/>
      <c r="N463" s="990"/>
      <c r="O463" s="992"/>
      <c r="P463" s="1000"/>
      <c r="Q463" s="992"/>
      <c r="R463" s="1001"/>
      <c r="S463" s="991"/>
      <c r="T463" s="990"/>
      <c r="U463" s="1002"/>
      <c r="V463" s="990"/>
      <c r="W463" s="990"/>
      <c r="X463" s="992"/>
      <c r="Y463" s="993"/>
      <c r="Z463" s="990"/>
      <c r="AA463" s="907"/>
      <c r="AB463" s="990"/>
      <c r="AC463" s="1001"/>
      <c r="AD463" s="909"/>
      <c r="AE463" s="990"/>
      <c r="AF463" s="992"/>
      <c r="AG463" s="992"/>
      <c r="AH463" s="993"/>
      <c r="AI463" s="992"/>
      <c r="AJ463" s="898">
        <f t="shared" si="69"/>
        <v>0</v>
      </c>
      <c r="AK463" s="898">
        <f t="shared" si="70"/>
        <v>0</v>
      </c>
      <c r="AL463" s="260"/>
    </row>
    <row r="464" spans="3:38" ht="12.75" customHeight="1" x14ac:dyDescent="0.2">
      <c r="C464" s="261" t="s">
        <v>705</v>
      </c>
      <c r="D464" s="261" t="s">
        <v>76</v>
      </c>
      <c r="E464" s="389">
        <v>11</v>
      </c>
      <c r="F464" s="990"/>
      <c r="G464" s="990"/>
      <c r="H464" s="990"/>
      <c r="I464" s="907"/>
      <c r="J464" s="990"/>
      <c r="K464" s="990"/>
      <c r="L464" s="915">
        <f t="shared" si="66"/>
        <v>0</v>
      </c>
      <c r="M464" s="991"/>
      <c r="N464" s="990"/>
      <c r="O464" s="992"/>
      <c r="P464" s="1000"/>
      <c r="Q464" s="992"/>
      <c r="R464" s="1001"/>
      <c r="S464" s="991"/>
      <c r="T464" s="990"/>
      <c r="U464" s="1002"/>
      <c r="V464" s="990"/>
      <c r="W464" s="990"/>
      <c r="X464" s="992"/>
      <c r="Y464" s="993"/>
      <c r="Z464" s="990"/>
      <c r="AA464" s="907"/>
      <c r="AB464" s="990"/>
      <c r="AC464" s="1001"/>
      <c r="AD464" s="909"/>
      <c r="AE464" s="990"/>
      <c r="AF464" s="992"/>
      <c r="AG464" s="992"/>
      <c r="AH464" s="993"/>
      <c r="AI464" s="992"/>
      <c r="AJ464" s="898">
        <f t="shared" si="69"/>
        <v>0</v>
      </c>
      <c r="AK464" s="898">
        <f t="shared" si="70"/>
        <v>0</v>
      </c>
      <c r="AL464" s="260"/>
    </row>
    <row r="465" spans="3:38" x14ac:dyDescent="0.2">
      <c r="C465" s="392" t="s">
        <v>699</v>
      </c>
      <c r="D465" s="261" t="s">
        <v>77</v>
      </c>
      <c r="E465" s="389">
        <v>12</v>
      </c>
      <c r="F465" s="990"/>
      <c r="G465" s="990"/>
      <c r="H465" s="990"/>
      <c r="I465" s="907"/>
      <c r="J465" s="990"/>
      <c r="K465" s="990"/>
      <c r="L465" s="915">
        <f t="shared" si="66"/>
        <v>0</v>
      </c>
      <c r="M465" s="991"/>
      <c r="N465" s="990"/>
      <c r="O465" s="992"/>
      <c r="P465" s="1000"/>
      <c r="Q465" s="992"/>
      <c r="R465" s="1001"/>
      <c r="S465" s="991"/>
      <c r="T465" s="990"/>
      <c r="U465" s="1002"/>
      <c r="V465" s="990"/>
      <c r="W465" s="990"/>
      <c r="X465" s="992"/>
      <c r="Y465" s="993"/>
      <c r="Z465" s="990"/>
      <c r="AA465" s="907"/>
      <c r="AB465" s="990"/>
      <c r="AC465" s="1001"/>
      <c r="AD465" s="909"/>
      <c r="AE465" s="990"/>
      <c r="AF465" s="992"/>
      <c r="AG465" s="992"/>
      <c r="AH465" s="993"/>
      <c r="AI465" s="992"/>
      <c r="AJ465" s="898">
        <f t="shared" si="69"/>
        <v>0</v>
      </c>
      <c r="AK465" s="898">
        <f t="shared" si="70"/>
        <v>0</v>
      </c>
      <c r="AL465" s="260"/>
    </row>
    <row r="466" spans="3:38" ht="12.75" customHeight="1" x14ac:dyDescent="0.2">
      <c r="C466" s="262" t="s">
        <v>789</v>
      </c>
      <c r="D466" s="262" t="s">
        <v>76</v>
      </c>
      <c r="E466" s="389">
        <v>13</v>
      </c>
      <c r="F466" s="990"/>
      <c r="G466" s="990"/>
      <c r="H466" s="990"/>
      <c r="I466" s="907"/>
      <c r="J466" s="990"/>
      <c r="K466" s="990"/>
      <c r="L466" s="915">
        <f t="shared" si="66"/>
        <v>0</v>
      </c>
      <c r="M466" s="991"/>
      <c r="N466" s="990"/>
      <c r="O466" s="992"/>
      <c r="P466" s="1000"/>
      <c r="Q466" s="992"/>
      <c r="R466" s="1001"/>
      <c r="S466" s="991"/>
      <c r="T466" s="990"/>
      <c r="U466" s="1002"/>
      <c r="V466" s="990"/>
      <c r="W466" s="990"/>
      <c r="X466" s="992"/>
      <c r="Y466" s="993"/>
      <c r="Z466" s="990"/>
      <c r="AA466" s="907"/>
      <c r="AB466" s="990"/>
      <c r="AC466" s="1001"/>
      <c r="AD466" s="909"/>
      <c r="AE466" s="990"/>
      <c r="AF466" s="992"/>
      <c r="AG466" s="992"/>
      <c r="AH466" s="993"/>
      <c r="AI466" s="992"/>
      <c r="AJ466" s="898">
        <f t="shared" si="69"/>
        <v>0</v>
      </c>
      <c r="AK466" s="898">
        <f t="shared" si="70"/>
        <v>0</v>
      </c>
      <c r="AL466" s="260"/>
    </row>
    <row r="467" spans="3:38" x14ac:dyDescent="0.2">
      <c r="C467" s="390" t="s">
        <v>709</v>
      </c>
      <c r="D467" s="385" t="s">
        <v>77</v>
      </c>
      <c r="E467" s="386">
        <v>14</v>
      </c>
      <c r="F467" s="898">
        <f>ROUND('Table 8'!$C$66,3)</f>
        <v>85</v>
      </c>
      <c r="G467" s="898">
        <f>ROUND('Table 8'!$D$66,3)</f>
        <v>0</v>
      </c>
      <c r="H467" s="898">
        <f>ROUND('Table 8'!$E$66,3)</f>
        <v>0</v>
      </c>
      <c r="I467" s="898">
        <f>ROUND('Table 8'!$F$66,3)</f>
        <v>0</v>
      </c>
      <c r="J467" s="898">
        <f>ROUND('Table 8'!$G$66,3)</f>
        <v>0</v>
      </c>
      <c r="K467" s="898">
        <f>ROUND('Table 8'!$H$66,3)</f>
        <v>0</v>
      </c>
      <c r="L467" s="915">
        <f t="shared" si="66"/>
        <v>85</v>
      </c>
      <c r="M467" s="898">
        <f>ROUND('Table 8'!$J$66,3)</f>
        <v>0</v>
      </c>
      <c r="N467" s="898">
        <f>ROUND('Table 8'!$K$66,3)</f>
        <v>0</v>
      </c>
      <c r="O467" s="912">
        <f>ROUND('Table 8'!$L$66,3)</f>
        <v>0</v>
      </c>
      <c r="P467" s="943">
        <f>ROUND('Table 8'!$M$66,3)</f>
        <v>202</v>
      </c>
      <c r="Q467" s="912">
        <f>ROUND('Table 8'!$N$66,3)</f>
        <v>0</v>
      </c>
      <c r="R467" s="915">
        <f>ROUND('Table 8'!$O$66,3)</f>
        <v>202</v>
      </c>
      <c r="S467" s="911">
        <f>ROUND('Table 8'!$P$66,3)</f>
        <v>0</v>
      </c>
      <c r="T467" s="898">
        <f>ROUND('Table 8'!$Q$66,3)</f>
        <v>0</v>
      </c>
      <c r="U467" s="912">
        <f>ROUND('Table 8'!$R$66,3)</f>
        <v>100</v>
      </c>
      <c r="V467" s="898">
        <f>ROUND('Table 8'!$S$66,3)</f>
        <v>0</v>
      </c>
      <c r="W467" s="898">
        <f>ROUND('Table 8'!$T$66,3)</f>
        <v>100</v>
      </c>
      <c r="X467" s="912">
        <f>ROUND('Table 8'!$U$66,3)</f>
        <v>0</v>
      </c>
      <c r="Y467" s="943">
        <f>ROUND('Table 8'!$V$66,3)</f>
        <v>45</v>
      </c>
      <c r="Z467" s="898">
        <f>ROUND('Table 8'!$W$66,3)</f>
        <v>0</v>
      </c>
      <c r="AA467" s="898">
        <f>ROUND('Table 8'!$X$66,3)</f>
        <v>45</v>
      </c>
      <c r="AB467" s="898">
        <f>ROUND('Table 8'!$Y$66,3)</f>
        <v>0</v>
      </c>
      <c r="AC467" s="915">
        <f>ROUND('Table 8'!$Z$66,3)</f>
        <v>45</v>
      </c>
      <c r="AD467" s="911">
        <f>ROUND('Table 8'!$AA$66,3)</f>
        <v>2</v>
      </c>
      <c r="AE467" s="898">
        <f>ROUND('Table 8'!$AB$66,3)</f>
        <v>2</v>
      </c>
      <c r="AF467" s="898">
        <f>ROUND('Table 8'!$AC$66,3)</f>
        <v>0</v>
      </c>
      <c r="AG467" s="912">
        <f>ROUND('Table 8'!$AD$66,3)</f>
        <v>0</v>
      </c>
      <c r="AH467" s="943">
        <f>ROUND('Table 8'!$AE$66,3)</f>
        <v>0</v>
      </c>
      <c r="AI467" s="912">
        <f>ROUND('Table 8'!$AF$66,3)</f>
        <v>0</v>
      </c>
      <c r="AJ467" s="898">
        <f t="shared" si="69"/>
        <v>349</v>
      </c>
      <c r="AK467" s="898">
        <f t="shared" si="70"/>
        <v>434</v>
      </c>
      <c r="AL467" s="260"/>
    </row>
    <row r="468" spans="3:38" x14ac:dyDescent="0.2">
      <c r="C468" s="261" t="s">
        <v>711</v>
      </c>
      <c r="D468" s="261" t="s">
        <v>76</v>
      </c>
      <c r="E468" s="389">
        <v>15</v>
      </c>
      <c r="F468" s="990"/>
      <c r="G468" s="990"/>
      <c r="H468" s="990"/>
      <c r="I468" s="907"/>
      <c r="J468" s="990"/>
      <c r="K468" s="990"/>
      <c r="L468" s="915">
        <f t="shared" si="66"/>
        <v>0</v>
      </c>
      <c r="M468" s="991"/>
      <c r="N468" s="990"/>
      <c r="O468" s="992"/>
      <c r="P468" s="1000"/>
      <c r="Q468" s="992"/>
      <c r="R468" s="1001"/>
      <c r="S468" s="991"/>
      <c r="T468" s="990"/>
      <c r="U468" s="1002"/>
      <c r="V468" s="990"/>
      <c r="W468" s="990"/>
      <c r="X468" s="992"/>
      <c r="Y468" s="993"/>
      <c r="Z468" s="990"/>
      <c r="AA468" s="907"/>
      <c r="AB468" s="990"/>
      <c r="AC468" s="1001"/>
      <c r="AD468" s="909"/>
      <c r="AE468" s="990"/>
      <c r="AF468" s="992"/>
      <c r="AG468" s="992"/>
      <c r="AH468" s="993"/>
      <c r="AI468" s="992"/>
      <c r="AJ468" s="898">
        <f t="shared" si="69"/>
        <v>0</v>
      </c>
      <c r="AK468" s="898">
        <f t="shared" si="70"/>
        <v>0</v>
      </c>
      <c r="AL468" s="260"/>
    </row>
    <row r="469" spans="3:38" x14ac:dyDescent="0.2">
      <c r="C469" s="387" t="s">
        <v>713</v>
      </c>
      <c r="D469" s="385" t="s">
        <v>77</v>
      </c>
      <c r="E469" s="386">
        <v>16</v>
      </c>
      <c r="F469" s="898">
        <f>ROUND('Table 9'!$C$66,3)</f>
        <v>0</v>
      </c>
      <c r="G469" s="898">
        <f>ROUND('Table 9'!$D$66,3)</f>
        <v>0</v>
      </c>
      <c r="H469" s="898">
        <f>ROUND('Table 9'!$E$66,3)</f>
        <v>0</v>
      </c>
      <c r="I469" s="898">
        <f>ROUND('Table 9'!$F$66,3)</f>
        <v>0</v>
      </c>
      <c r="J469" s="898">
        <f>ROUND('Table 9'!$G$66,3)</f>
        <v>0</v>
      </c>
      <c r="K469" s="898">
        <f>ROUND('Table 9'!$H$66,3)</f>
        <v>0</v>
      </c>
      <c r="L469" s="915">
        <f t="shared" ref="L469" si="74">ROUND(SUM(F469:I469,K469),3)</f>
        <v>0</v>
      </c>
      <c r="M469" s="898">
        <f>ROUND('Table 9'!$J$66,3)</f>
        <v>0</v>
      </c>
      <c r="N469" s="898">
        <f>ROUND('Table 9'!$K$66,3)</f>
        <v>0</v>
      </c>
      <c r="O469" s="912">
        <f>ROUND('Table 9'!$L$66,3)</f>
        <v>0</v>
      </c>
      <c r="P469" s="943">
        <f>ROUND('Table 9'!$M$66,3)</f>
        <v>0</v>
      </c>
      <c r="Q469" s="912">
        <f>ROUND('Table 9'!$N$66,3)</f>
        <v>0</v>
      </c>
      <c r="R469" s="915">
        <f>ROUND('Table 9'!$O$66,3)</f>
        <v>0</v>
      </c>
      <c r="S469" s="911">
        <f>ROUND('Table 9'!$P$66,3)</f>
        <v>0</v>
      </c>
      <c r="T469" s="898">
        <f>ROUND('Table 9'!$Q$66,3)</f>
        <v>0</v>
      </c>
      <c r="U469" s="912">
        <f>ROUND('Table 9'!$R$66,3)</f>
        <v>0</v>
      </c>
      <c r="V469" s="898">
        <f>ROUND('Table 9'!$S$66,3)</f>
        <v>0</v>
      </c>
      <c r="W469" s="898">
        <f>ROUND('Table 9'!$T$66,3)</f>
        <v>0</v>
      </c>
      <c r="X469" s="912">
        <f>ROUND('Table 9'!$U$66,3)</f>
        <v>0</v>
      </c>
      <c r="Y469" s="943">
        <f>ROUND('Table 9'!$V$66,3)</f>
        <v>0</v>
      </c>
      <c r="Z469" s="898">
        <f>ROUND('Table 9'!$W$66,3)</f>
        <v>0</v>
      </c>
      <c r="AA469" s="898">
        <f>ROUND('Table 9'!$X$66,3)</f>
        <v>0</v>
      </c>
      <c r="AB469" s="898">
        <f>ROUND('Table 9'!$Y$66,3)</f>
        <v>0</v>
      </c>
      <c r="AC469" s="915">
        <f>ROUND('Table 9'!$Z$66,3)</f>
        <v>0</v>
      </c>
      <c r="AD469" s="911">
        <f>ROUND('Table 9'!$AA$66,3)</f>
        <v>0</v>
      </c>
      <c r="AE469" s="898">
        <f>ROUND('Table 9'!$AB$66,3)</f>
        <v>0</v>
      </c>
      <c r="AF469" s="898">
        <f>ROUND('Table 9'!$AC$66,3)</f>
        <v>0</v>
      </c>
      <c r="AG469" s="912">
        <f>ROUND('Table 9'!$AD$66,3)</f>
        <v>0</v>
      </c>
      <c r="AH469" s="943">
        <f>ROUND('Table 9'!$AE$66,3)</f>
        <v>0</v>
      </c>
      <c r="AI469" s="912">
        <f>ROUND('Table 9'!$AF$66,3)</f>
        <v>0</v>
      </c>
      <c r="AJ469" s="898">
        <f t="shared" si="69"/>
        <v>0</v>
      </c>
      <c r="AK469" s="898">
        <f t="shared" si="70"/>
        <v>0</v>
      </c>
      <c r="AL469" s="260"/>
    </row>
    <row r="470" spans="3:38" x14ac:dyDescent="0.2">
      <c r="C470" s="396" t="s">
        <v>715</v>
      </c>
      <c r="D470" s="385" t="s">
        <v>76</v>
      </c>
      <c r="E470" s="386">
        <v>17</v>
      </c>
      <c r="F470" s="898">
        <f t="shared" ref="F470:K471" si="75">ROUND(F460+F462+F464+F466+F468,3)</f>
        <v>0</v>
      </c>
      <c r="G470" s="898">
        <f t="shared" si="75"/>
        <v>0</v>
      </c>
      <c r="H470" s="898">
        <f t="shared" si="75"/>
        <v>0</v>
      </c>
      <c r="I470" s="898">
        <f t="shared" si="75"/>
        <v>0</v>
      </c>
      <c r="J470" s="898">
        <f t="shared" si="75"/>
        <v>0</v>
      </c>
      <c r="K470" s="898">
        <f t="shared" si="75"/>
        <v>0</v>
      </c>
      <c r="L470" s="915">
        <f t="shared" si="66"/>
        <v>0</v>
      </c>
      <c r="M470" s="898">
        <f t="shared" ref="M470:AI470" si="76">ROUND(M460+M462+M464+M466+M468,3)</f>
        <v>0</v>
      </c>
      <c r="N470" s="898">
        <f t="shared" si="76"/>
        <v>0</v>
      </c>
      <c r="O470" s="912">
        <f t="shared" si="76"/>
        <v>0</v>
      </c>
      <c r="P470" s="943">
        <f t="shared" si="76"/>
        <v>0</v>
      </c>
      <c r="Q470" s="912">
        <f t="shared" si="76"/>
        <v>0</v>
      </c>
      <c r="R470" s="915">
        <f t="shared" si="76"/>
        <v>0</v>
      </c>
      <c r="S470" s="911">
        <f t="shared" si="76"/>
        <v>0</v>
      </c>
      <c r="T470" s="898">
        <f t="shared" si="76"/>
        <v>0</v>
      </c>
      <c r="U470" s="912">
        <f t="shared" si="76"/>
        <v>0</v>
      </c>
      <c r="V470" s="898">
        <f t="shared" si="76"/>
        <v>0</v>
      </c>
      <c r="W470" s="898">
        <f t="shared" si="76"/>
        <v>0</v>
      </c>
      <c r="X470" s="912">
        <f t="shared" si="76"/>
        <v>0</v>
      </c>
      <c r="Y470" s="943">
        <f t="shared" si="76"/>
        <v>0</v>
      </c>
      <c r="Z470" s="898">
        <f t="shared" si="76"/>
        <v>0</v>
      </c>
      <c r="AA470" s="898">
        <f t="shared" si="76"/>
        <v>0</v>
      </c>
      <c r="AB470" s="898">
        <f t="shared" si="76"/>
        <v>0</v>
      </c>
      <c r="AC470" s="915">
        <f t="shared" si="76"/>
        <v>0</v>
      </c>
      <c r="AD470" s="911">
        <f t="shared" si="76"/>
        <v>0</v>
      </c>
      <c r="AE470" s="898">
        <f t="shared" si="76"/>
        <v>0</v>
      </c>
      <c r="AF470" s="898">
        <f t="shared" ref="AF470" si="77">ROUND(AF460+AF462+AF464+AF466+AF468,3)</f>
        <v>0</v>
      </c>
      <c r="AG470" s="912">
        <f t="shared" si="76"/>
        <v>0</v>
      </c>
      <c r="AH470" s="943">
        <f t="shared" si="76"/>
        <v>0</v>
      </c>
      <c r="AI470" s="912">
        <f t="shared" si="76"/>
        <v>0</v>
      </c>
      <c r="AJ470" s="898">
        <f t="shared" si="69"/>
        <v>0</v>
      </c>
      <c r="AK470" s="898">
        <f t="shared" si="70"/>
        <v>0</v>
      </c>
      <c r="AL470" s="260"/>
    </row>
    <row r="471" spans="3:38" ht="13.5" thickBot="1" x14ac:dyDescent="0.25">
      <c r="C471" s="397" t="s">
        <v>717</v>
      </c>
      <c r="D471" s="398" t="s">
        <v>77</v>
      </c>
      <c r="E471" s="399">
        <v>18</v>
      </c>
      <c r="F471" s="964">
        <f t="shared" si="75"/>
        <v>85</v>
      </c>
      <c r="G471" s="964">
        <f t="shared" si="75"/>
        <v>0</v>
      </c>
      <c r="H471" s="964">
        <f t="shared" si="75"/>
        <v>0</v>
      </c>
      <c r="I471" s="964">
        <f t="shared" si="75"/>
        <v>0</v>
      </c>
      <c r="J471" s="964">
        <f t="shared" si="75"/>
        <v>0</v>
      </c>
      <c r="K471" s="964">
        <f t="shared" si="75"/>
        <v>0</v>
      </c>
      <c r="L471" s="996">
        <f t="shared" si="66"/>
        <v>85</v>
      </c>
      <c r="M471" s="964">
        <f t="shared" ref="M471:AI471" si="78">ROUND(M461+M463+M465+M467+M469,3)</f>
        <v>0</v>
      </c>
      <c r="N471" s="964">
        <f t="shared" si="78"/>
        <v>0</v>
      </c>
      <c r="O471" s="1003">
        <f t="shared" si="78"/>
        <v>0</v>
      </c>
      <c r="P471" s="960">
        <f t="shared" si="78"/>
        <v>202</v>
      </c>
      <c r="Q471" s="1003">
        <f t="shared" si="78"/>
        <v>0</v>
      </c>
      <c r="R471" s="1004">
        <f t="shared" si="78"/>
        <v>202</v>
      </c>
      <c r="S471" s="966">
        <f t="shared" si="78"/>
        <v>0</v>
      </c>
      <c r="T471" s="964">
        <f t="shared" si="78"/>
        <v>0</v>
      </c>
      <c r="U471" s="1003">
        <f t="shared" si="78"/>
        <v>100</v>
      </c>
      <c r="V471" s="964">
        <f t="shared" si="78"/>
        <v>0</v>
      </c>
      <c r="W471" s="964">
        <f t="shared" si="78"/>
        <v>100</v>
      </c>
      <c r="X471" s="1003">
        <f t="shared" si="78"/>
        <v>0</v>
      </c>
      <c r="Y471" s="960">
        <f t="shared" si="78"/>
        <v>45</v>
      </c>
      <c r="Z471" s="964">
        <f t="shared" si="78"/>
        <v>0</v>
      </c>
      <c r="AA471" s="964">
        <f t="shared" si="78"/>
        <v>45</v>
      </c>
      <c r="AB471" s="964">
        <f t="shared" si="78"/>
        <v>0</v>
      </c>
      <c r="AC471" s="1004">
        <f t="shared" si="78"/>
        <v>45</v>
      </c>
      <c r="AD471" s="966">
        <f t="shared" si="78"/>
        <v>2</v>
      </c>
      <c r="AE471" s="964">
        <f t="shared" si="78"/>
        <v>2</v>
      </c>
      <c r="AF471" s="964">
        <f t="shared" ref="AF471" si="79">ROUND(AF461+AF463+AF465+AF467+AF469,3)</f>
        <v>0</v>
      </c>
      <c r="AG471" s="1003">
        <f t="shared" si="78"/>
        <v>0</v>
      </c>
      <c r="AH471" s="960">
        <f t="shared" si="78"/>
        <v>0</v>
      </c>
      <c r="AI471" s="1003">
        <f t="shared" si="78"/>
        <v>0</v>
      </c>
      <c r="AJ471" s="964">
        <f t="shared" si="69"/>
        <v>349</v>
      </c>
      <c r="AK471" s="964">
        <f t="shared" si="70"/>
        <v>434</v>
      </c>
      <c r="AL471" s="260"/>
    </row>
    <row r="472" spans="3:38" x14ac:dyDescent="0.2">
      <c r="C472" s="400"/>
      <c r="D472" s="267"/>
      <c r="E472" s="267"/>
      <c r="F472" s="267"/>
      <c r="G472" s="267"/>
      <c r="H472" s="267"/>
      <c r="I472" s="267"/>
      <c r="J472" s="267"/>
      <c r="K472" s="267"/>
      <c r="L472" s="267"/>
      <c r="M472" s="267"/>
      <c r="N472" s="267"/>
      <c r="O472" s="267"/>
      <c r="P472" s="267"/>
      <c r="Q472" s="267"/>
      <c r="R472" s="267"/>
      <c r="S472" s="267"/>
      <c r="T472" s="267"/>
      <c r="U472" s="267"/>
      <c r="V472" s="267"/>
      <c r="W472" s="267"/>
      <c r="X472" s="267"/>
      <c r="Y472" s="267"/>
      <c r="Z472" s="267"/>
      <c r="AA472" s="267"/>
      <c r="AB472" s="267"/>
      <c r="AC472" s="267"/>
      <c r="AD472" s="267"/>
      <c r="AE472" s="267"/>
      <c r="AF472" s="260"/>
      <c r="AG472" s="260"/>
      <c r="AH472" s="260"/>
      <c r="AI472" s="260"/>
      <c r="AJ472" s="260"/>
      <c r="AK472" s="260"/>
    </row>
    <row r="473" spans="3:38" x14ac:dyDescent="0.2">
      <c r="C473" s="243" t="s">
        <v>719</v>
      </c>
      <c r="D473" s="243">
        <f>IF(QuestYear&lt;2020,'Days Equivalent Calculation'!$F$12,'New Days Equivalent Calculation'!$F$12)</f>
        <v>2025</v>
      </c>
      <c r="E473" s="267"/>
      <c r="F473" s="267"/>
      <c r="G473" s="267"/>
      <c r="H473" s="267"/>
      <c r="I473" s="267"/>
      <c r="J473" s="267"/>
      <c r="K473" s="267"/>
      <c r="L473" s="267"/>
      <c r="M473" s="267"/>
      <c r="N473" s="267"/>
      <c r="O473" s="267"/>
      <c r="P473" s="267"/>
      <c r="Q473" s="267"/>
      <c r="R473" s="267"/>
      <c r="S473" s="267"/>
      <c r="T473" s="267"/>
      <c r="U473" s="267"/>
      <c r="V473" s="267"/>
      <c r="W473" s="267"/>
      <c r="X473" s="267"/>
      <c r="Y473" s="267"/>
      <c r="Z473" s="267"/>
      <c r="AA473" s="267"/>
      <c r="AB473" s="267"/>
      <c r="AC473" s="267"/>
      <c r="AD473" s="267"/>
      <c r="AE473" s="267"/>
      <c r="AF473" s="260"/>
      <c r="AG473" s="260"/>
      <c r="AH473" s="260"/>
      <c r="AI473" s="260"/>
      <c r="AJ473" s="260"/>
      <c r="AK473" s="260"/>
    </row>
    <row r="474" spans="3:38" x14ac:dyDescent="0.2">
      <c r="C474" s="263" t="s">
        <v>854</v>
      </c>
      <c r="D474" s="401"/>
      <c r="E474" s="389">
        <v>19</v>
      </c>
      <c r="F474" s="305"/>
      <c r="G474" s="305"/>
      <c r="H474" s="305"/>
      <c r="I474" s="305"/>
      <c r="J474" s="305"/>
      <c r="K474" s="305"/>
      <c r="L474" s="336"/>
      <c r="M474" s="333"/>
      <c r="N474" s="305"/>
      <c r="O474" s="990">
        <v>0</v>
      </c>
      <c r="P474" s="305"/>
      <c r="Q474" s="334"/>
      <c r="R474" s="336"/>
      <c r="S474" s="333"/>
      <c r="T474" s="305"/>
      <c r="U474" s="305"/>
      <c r="V474" s="334"/>
      <c r="W474" s="334"/>
      <c r="X474" s="336"/>
      <c r="Y474" s="333"/>
      <c r="Z474" s="305"/>
      <c r="AA474" s="305"/>
      <c r="AB474" s="305"/>
      <c r="AC474" s="336"/>
      <c r="AD474" s="333"/>
      <c r="AE474" s="305"/>
      <c r="AF474" s="336"/>
      <c r="AG474" s="333"/>
      <c r="AH474" s="305"/>
      <c r="AI474" s="305"/>
      <c r="AJ474" s="305"/>
      <c r="AK474" s="260"/>
    </row>
    <row r="475" spans="3:38" x14ac:dyDescent="0.2">
      <c r="C475" s="263" t="s">
        <v>635</v>
      </c>
      <c r="D475" s="401"/>
      <c r="E475" s="389">
        <v>20</v>
      </c>
      <c r="F475" s="305"/>
      <c r="G475" s="305"/>
      <c r="H475" s="305"/>
      <c r="I475" s="305"/>
      <c r="J475" s="305"/>
      <c r="K475" s="305"/>
      <c r="L475" s="336"/>
      <c r="M475" s="333"/>
      <c r="N475" s="305"/>
      <c r="O475" s="990">
        <v>0</v>
      </c>
      <c r="P475" s="305"/>
      <c r="Q475" s="334"/>
      <c r="R475" s="336"/>
      <c r="S475" s="333"/>
      <c r="T475" s="305"/>
      <c r="U475" s="305"/>
      <c r="V475" s="334"/>
      <c r="W475" s="334"/>
      <c r="X475" s="336"/>
      <c r="Y475" s="333"/>
      <c r="Z475" s="305"/>
      <c r="AA475" s="305"/>
      <c r="AB475" s="305"/>
      <c r="AC475" s="336"/>
      <c r="AD475" s="333"/>
      <c r="AE475" s="305"/>
      <c r="AF475" s="336"/>
      <c r="AG475" s="333"/>
      <c r="AH475" s="305"/>
      <c r="AI475" s="305"/>
      <c r="AJ475" s="305"/>
      <c r="AK475" s="260"/>
    </row>
    <row r="476" spans="3:38" x14ac:dyDescent="0.2">
      <c r="C476" s="264" t="s">
        <v>873</v>
      </c>
      <c r="D476" s="401"/>
      <c r="E476" s="389">
        <v>21</v>
      </c>
      <c r="F476" s="305"/>
      <c r="G476" s="305"/>
      <c r="H476" s="305"/>
      <c r="I476" s="305"/>
      <c r="J476" s="305"/>
      <c r="K476" s="305"/>
      <c r="L476" s="1001">
        <v>0</v>
      </c>
      <c r="M476" s="333"/>
      <c r="N476" s="305"/>
      <c r="O476" s="990">
        <v>0</v>
      </c>
      <c r="P476" s="305"/>
      <c r="Q476" s="334"/>
      <c r="R476" s="336"/>
      <c r="S476" s="333"/>
      <c r="T476" s="305"/>
      <c r="U476" s="305"/>
      <c r="V476" s="334"/>
      <c r="W476" s="334"/>
      <c r="X476" s="336"/>
      <c r="Y476" s="333"/>
      <c r="Z476" s="305"/>
      <c r="AA476" s="305"/>
      <c r="AB476" s="305"/>
      <c r="AC476" s="336"/>
      <c r="AD476" s="333"/>
      <c r="AE476" s="305"/>
      <c r="AF476" s="336"/>
      <c r="AG476" s="333"/>
      <c r="AH476" s="305"/>
      <c r="AI476" s="990">
        <v>0</v>
      </c>
      <c r="AJ476" s="305"/>
      <c r="AK476" s="260"/>
    </row>
    <row r="477" spans="3:38" x14ac:dyDescent="0.2">
      <c r="C477" s="264" t="s">
        <v>874</v>
      </c>
      <c r="D477" s="401"/>
      <c r="E477" s="389">
        <v>22</v>
      </c>
      <c r="F477" s="305"/>
      <c r="G477" s="305"/>
      <c r="H477" s="305"/>
      <c r="I477" s="305"/>
      <c r="J477" s="305"/>
      <c r="K477" s="305"/>
      <c r="L477" s="1001">
        <v>0</v>
      </c>
      <c r="M477" s="333"/>
      <c r="N477" s="305"/>
      <c r="O477" s="990">
        <v>0</v>
      </c>
      <c r="P477" s="305"/>
      <c r="Q477" s="334"/>
      <c r="R477" s="336"/>
      <c r="S477" s="333"/>
      <c r="T477" s="305"/>
      <c r="U477" s="305"/>
      <c r="V477" s="334"/>
      <c r="W477" s="334"/>
      <c r="X477" s="336"/>
      <c r="Y477" s="333"/>
      <c r="Z477" s="305"/>
      <c r="AA477" s="305"/>
      <c r="AB477" s="305"/>
      <c r="AC477" s="336"/>
      <c r="AD477" s="333"/>
      <c r="AE477" s="305"/>
      <c r="AF477" s="336"/>
      <c r="AG477" s="333"/>
      <c r="AH477" s="305"/>
      <c r="AI477" s="990">
        <v>0</v>
      </c>
      <c r="AJ477" s="305"/>
      <c r="AK477" s="260"/>
    </row>
    <row r="478" spans="3:38" x14ac:dyDescent="0.2">
      <c r="C478" s="265" t="s">
        <v>653</v>
      </c>
      <c r="D478" s="401"/>
      <c r="E478" s="389">
        <v>23</v>
      </c>
      <c r="F478" s="305"/>
      <c r="G478" s="305"/>
      <c r="H478" s="305"/>
      <c r="I478" s="305"/>
      <c r="J478" s="305"/>
      <c r="K478" s="305"/>
      <c r="L478" s="1001">
        <v>0</v>
      </c>
      <c r="M478" s="333"/>
      <c r="N478" s="305"/>
      <c r="O478" s="305"/>
      <c r="P478" s="305"/>
      <c r="Q478" s="334"/>
      <c r="R478" s="336"/>
      <c r="S478" s="333"/>
      <c r="T478" s="305"/>
      <c r="U478" s="305"/>
      <c r="V478" s="334"/>
      <c r="W478" s="334"/>
      <c r="X478" s="336"/>
      <c r="Y478" s="333"/>
      <c r="Z478" s="305"/>
      <c r="AA478" s="305"/>
      <c r="AB478" s="305"/>
      <c r="AC478" s="336"/>
      <c r="AD478" s="333"/>
      <c r="AE478" s="305"/>
      <c r="AF478" s="336"/>
      <c r="AG478" s="333"/>
      <c r="AH478" s="305"/>
      <c r="AI478" s="305"/>
      <c r="AJ478" s="305"/>
      <c r="AK478" s="260"/>
    </row>
    <row r="479" spans="3:38" x14ac:dyDescent="0.2">
      <c r="C479" s="263" t="s">
        <v>638</v>
      </c>
      <c r="D479" s="401"/>
      <c r="E479" s="389">
        <v>24</v>
      </c>
      <c r="F479" s="305"/>
      <c r="G479" s="305"/>
      <c r="H479" s="305"/>
      <c r="I479" s="305"/>
      <c r="J479" s="305"/>
      <c r="K479" s="305"/>
      <c r="L479" s="336"/>
      <c r="M479" s="333"/>
      <c r="N479" s="305"/>
      <c r="O479" s="990">
        <v>0</v>
      </c>
      <c r="P479" s="305"/>
      <c r="Q479" s="334"/>
      <c r="R479" s="336"/>
      <c r="S479" s="333"/>
      <c r="T479" s="305"/>
      <c r="U479" s="305"/>
      <c r="V479" s="334"/>
      <c r="W479" s="334"/>
      <c r="X479" s="336"/>
      <c r="Y479" s="333"/>
      <c r="Z479" s="305"/>
      <c r="AA479" s="305"/>
      <c r="AB479" s="305"/>
      <c r="AC479" s="336"/>
      <c r="AD479" s="333"/>
      <c r="AE479" s="305"/>
      <c r="AF479" s="336"/>
      <c r="AG479" s="333"/>
      <c r="AH479" s="305"/>
      <c r="AI479" s="990">
        <v>0</v>
      </c>
      <c r="AJ479" s="305"/>
      <c r="AK479" s="260"/>
    </row>
    <row r="480" spans="3:38" x14ac:dyDescent="0.2">
      <c r="C480" s="266" t="s">
        <v>855</v>
      </c>
      <c r="D480" s="401"/>
      <c r="E480" s="389">
        <v>25</v>
      </c>
      <c r="F480" s="305"/>
      <c r="G480" s="305"/>
      <c r="H480" s="305"/>
      <c r="I480" s="305"/>
      <c r="J480" s="305"/>
      <c r="K480" s="305"/>
      <c r="L480" s="336"/>
      <c r="M480" s="333"/>
      <c r="N480" s="305"/>
      <c r="O480" s="990">
        <v>0</v>
      </c>
      <c r="P480" s="990">
        <v>0</v>
      </c>
      <c r="Q480" s="334"/>
      <c r="R480" s="336"/>
      <c r="S480" s="991">
        <v>0</v>
      </c>
      <c r="T480" s="990">
        <v>0</v>
      </c>
      <c r="U480" s="990">
        <v>0</v>
      </c>
      <c r="V480" s="334"/>
      <c r="W480" s="334"/>
      <c r="X480" s="1001">
        <v>0</v>
      </c>
      <c r="Y480" s="333"/>
      <c r="Z480" s="305"/>
      <c r="AA480" s="990">
        <v>0</v>
      </c>
      <c r="AB480" s="333"/>
      <c r="AC480" s="336"/>
      <c r="AD480" s="990">
        <v>0</v>
      </c>
      <c r="AE480" s="305"/>
      <c r="AF480" s="336"/>
      <c r="AG480" s="333"/>
      <c r="AH480" s="305"/>
      <c r="AI480" s="305"/>
      <c r="AJ480" s="305"/>
      <c r="AK480" s="260"/>
    </row>
    <row r="481" spans="3:37" x14ac:dyDescent="0.2">
      <c r="C481" s="402" t="s">
        <v>875</v>
      </c>
      <c r="D481" s="261" t="s">
        <v>727</v>
      </c>
      <c r="E481" s="389">
        <v>26</v>
      </c>
      <c r="F481" s="305"/>
      <c r="G481" s="305"/>
      <c r="H481" s="305"/>
      <c r="I481" s="305"/>
      <c r="J481" s="305"/>
      <c r="K481" s="305"/>
      <c r="L481" s="1001">
        <v>0</v>
      </c>
      <c r="M481" s="333"/>
      <c r="N481" s="305"/>
      <c r="O481" s="990">
        <v>0</v>
      </c>
      <c r="P481" s="305"/>
      <c r="Q481" s="334"/>
      <c r="R481" s="336"/>
      <c r="S481" s="333"/>
      <c r="T481" s="305"/>
      <c r="U481" s="305"/>
      <c r="V481" s="334"/>
      <c r="W481" s="334"/>
      <c r="X481" s="336"/>
      <c r="Y481" s="333"/>
      <c r="Z481" s="305"/>
      <c r="AA481" s="305"/>
      <c r="AB481" s="305"/>
      <c r="AC481" s="336"/>
      <c r="AD481" s="333"/>
      <c r="AE481" s="305"/>
      <c r="AF481" s="336"/>
      <c r="AG481" s="333"/>
      <c r="AH481" s="305"/>
      <c r="AI481" s="990">
        <v>0</v>
      </c>
      <c r="AJ481" s="305"/>
      <c r="AK481" s="260"/>
    </row>
    <row r="482" spans="3:37" x14ac:dyDescent="0.2">
      <c r="C482" s="392" t="s">
        <v>729</v>
      </c>
      <c r="D482" s="393" t="s">
        <v>730</v>
      </c>
      <c r="E482" s="389">
        <v>27</v>
      </c>
      <c r="F482" s="305"/>
      <c r="G482" s="305"/>
      <c r="H482" s="305"/>
      <c r="I482" s="305"/>
      <c r="J482" s="305"/>
      <c r="K482" s="305"/>
      <c r="L482" s="1001">
        <v>0</v>
      </c>
      <c r="M482" s="333"/>
      <c r="N482" s="305"/>
      <c r="O482" s="990">
        <v>0</v>
      </c>
      <c r="P482" s="305"/>
      <c r="Q482" s="334"/>
      <c r="R482" s="336"/>
      <c r="S482" s="333"/>
      <c r="T482" s="305"/>
      <c r="U482" s="305"/>
      <c r="V482" s="334"/>
      <c r="W482" s="334"/>
      <c r="X482" s="336"/>
      <c r="Y482" s="333"/>
      <c r="Z482" s="305"/>
      <c r="AA482" s="305"/>
      <c r="AB482" s="305"/>
      <c r="AC482" s="336"/>
      <c r="AD482" s="333"/>
      <c r="AE482" s="305"/>
      <c r="AF482" s="336"/>
      <c r="AG482" s="333"/>
      <c r="AH482" s="305"/>
      <c r="AI482" s="990">
        <v>0</v>
      </c>
      <c r="AJ482" s="305"/>
      <c r="AK482" s="260"/>
    </row>
    <row r="483" spans="3:37" ht="13.5" thickBot="1" x14ac:dyDescent="0.25">
      <c r="C483" s="403" t="s">
        <v>876</v>
      </c>
      <c r="D483" s="404"/>
      <c r="E483" s="405">
        <v>28</v>
      </c>
      <c r="F483" s="406"/>
      <c r="G483" s="406"/>
      <c r="H483" s="406"/>
      <c r="I483" s="406"/>
      <c r="J483" s="406"/>
      <c r="K483" s="406"/>
      <c r="L483" s="407"/>
      <c r="M483" s="408"/>
      <c r="N483" s="406"/>
      <c r="O483" s="994">
        <v>0</v>
      </c>
      <c r="P483" s="406"/>
      <c r="Q483" s="409"/>
      <c r="R483" s="407"/>
      <c r="S483" s="408"/>
      <c r="T483" s="406"/>
      <c r="U483" s="406"/>
      <c r="V483" s="409"/>
      <c r="W483" s="409"/>
      <c r="X483" s="407"/>
      <c r="Y483" s="408"/>
      <c r="Z483" s="406"/>
      <c r="AA483" s="406"/>
      <c r="AB483" s="406"/>
      <c r="AC483" s="407"/>
      <c r="AD483" s="408"/>
      <c r="AE483" s="406"/>
      <c r="AF483" s="407"/>
      <c r="AG483" s="408"/>
      <c r="AH483" s="406"/>
      <c r="AI483" s="406"/>
      <c r="AJ483" s="406"/>
      <c r="AK483" s="260"/>
    </row>
    <row r="484" spans="3:37" x14ac:dyDescent="0.2">
      <c r="C484" s="410"/>
      <c r="D484" s="267"/>
      <c r="E484" s="411"/>
      <c r="F484" s="260"/>
      <c r="G484" s="260"/>
      <c r="H484" s="260"/>
      <c r="I484" s="260"/>
      <c r="J484" s="260"/>
      <c r="K484" s="260"/>
      <c r="L484" s="267"/>
      <c r="M484" s="267"/>
      <c r="N484" s="267"/>
      <c r="O484" s="260"/>
      <c r="P484" s="267"/>
      <c r="Q484" s="267"/>
      <c r="R484" s="267"/>
      <c r="S484" s="267"/>
      <c r="T484" s="267"/>
      <c r="U484" s="267"/>
      <c r="V484" s="267"/>
      <c r="W484" s="267"/>
      <c r="X484" s="267"/>
      <c r="Y484" s="267"/>
      <c r="Z484" s="267"/>
      <c r="AA484" s="267"/>
      <c r="AB484" s="267"/>
      <c r="AC484" s="267"/>
      <c r="AD484" s="267"/>
      <c r="AE484" s="267"/>
      <c r="AF484" s="260"/>
      <c r="AG484" s="260"/>
      <c r="AH484" s="260"/>
      <c r="AI484" s="260"/>
      <c r="AJ484" s="260"/>
      <c r="AK484" s="260"/>
    </row>
    <row r="485" spans="3:37" x14ac:dyDescent="0.2">
      <c r="C485" s="267"/>
      <c r="D485" s="267"/>
      <c r="E485" s="267"/>
      <c r="F485" s="267"/>
      <c r="G485" s="267"/>
      <c r="H485" s="267"/>
      <c r="I485" s="267"/>
      <c r="J485" s="267"/>
      <c r="K485" s="267"/>
      <c r="L485" s="267"/>
      <c r="M485" s="267"/>
      <c r="N485" s="267"/>
      <c r="O485" s="260"/>
      <c r="P485" s="267"/>
      <c r="Q485" s="267"/>
      <c r="R485" s="267"/>
      <c r="S485" s="267"/>
      <c r="T485" s="267"/>
      <c r="U485" s="267"/>
      <c r="V485" s="267"/>
      <c r="W485" s="267"/>
      <c r="X485" s="267"/>
      <c r="Y485" s="267"/>
      <c r="Z485" s="267"/>
      <c r="AA485" s="267"/>
      <c r="AB485" s="267"/>
      <c r="AC485" s="267"/>
      <c r="AD485" s="267"/>
      <c r="AE485" s="267"/>
      <c r="AF485" s="260"/>
      <c r="AG485" s="260"/>
      <c r="AH485" s="260"/>
      <c r="AI485" s="260"/>
      <c r="AJ485" s="260"/>
      <c r="AK485" s="260"/>
    </row>
    <row r="486" spans="3:37" x14ac:dyDescent="0.2">
      <c r="C486" s="412" t="s">
        <v>1351</v>
      </c>
      <c r="D486" s="732"/>
      <c r="E486" s="733">
        <v>29</v>
      </c>
      <c r="F486" s="1168" t="str">
        <f>IF('Table 1'!$E$3&lt;2020, "Not applicable", IF('New Days Equivalent Calculation'!$E$50=1,'New Days Equivalent Calculation'!$I$76, IF('New Days Equivalent Calculation'!$E$50=2,'New Days Equivalent Calculation'!$I$77,'New Days Equivalent Calculation'!$I$78)))</f>
        <v>4% default value for naphtha yield</v>
      </c>
      <c r="G486" s="1169"/>
      <c r="H486" s="1169"/>
      <c r="I486" s="1170"/>
      <c r="J486" s="734" t="s">
        <v>1357</v>
      </c>
      <c r="K486" s="267"/>
      <c r="L486" s="267"/>
      <c r="M486" s="267"/>
      <c r="N486" s="267"/>
      <c r="O486" s="260"/>
      <c r="P486" s="267"/>
      <c r="Q486" s="267"/>
      <c r="R486" s="267"/>
      <c r="S486" s="267"/>
      <c r="T486" s="267"/>
      <c r="U486" s="267"/>
      <c r="V486" s="267"/>
      <c r="W486" s="267"/>
      <c r="X486" s="267"/>
      <c r="Y486" s="267"/>
      <c r="Z486" s="267"/>
      <c r="AA486" s="267"/>
      <c r="AB486" s="267"/>
      <c r="AC486" s="267"/>
      <c r="AD486" s="267"/>
      <c r="AE486" s="267"/>
      <c r="AF486" s="260"/>
      <c r="AG486" s="260"/>
      <c r="AH486" s="260"/>
      <c r="AI486" s="260"/>
      <c r="AJ486" s="260"/>
      <c r="AK486" s="260"/>
    </row>
    <row r="487" spans="3:37" x14ac:dyDescent="0.2">
      <c r="C487" s="412" t="s">
        <v>1352</v>
      </c>
      <c r="D487" s="732"/>
      <c r="E487" s="733">
        <v>30</v>
      </c>
      <c r="F487" s="1023" t="str">
        <f>IF('Table 1'!$E$3&lt;2020,'Days Equivalent Calculation'!$F$77,'New Days Equivalent Calculation'!$F$78)</f>
        <v>Net Imports</v>
      </c>
      <c r="G487" s="1024"/>
      <c r="H487" s="735">
        <f>IF(F487="Inland Consumption",1,0)</f>
        <v>0</v>
      </c>
      <c r="I487" s="267"/>
      <c r="J487" s="267"/>
      <c r="K487" s="267"/>
      <c r="L487" s="267"/>
      <c r="M487" s="267"/>
      <c r="N487" s="267"/>
      <c r="O487" s="260"/>
      <c r="P487" s="267"/>
      <c r="Q487" s="267"/>
      <c r="R487" s="267"/>
      <c r="S487" s="267"/>
      <c r="T487" s="267"/>
      <c r="U487" s="267"/>
      <c r="V487" s="267"/>
      <c r="W487" s="267"/>
      <c r="X487" s="267"/>
      <c r="Y487" s="267"/>
      <c r="Z487" s="267"/>
      <c r="AA487" s="267"/>
      <c r="AB487" s="267"/>
      <c r="AC487" s="267"/>
      <c r="AD487" s="267"/>
      <c r="AE487" s="267"/>
      <c r="AF487" s="260"/>
      <c r="AG487" s="260"/>
      <c r="AH487" s="260"/>
      <c r="AI487" s="260"/>
      <c r="AJ487" s="260"/>
      <c r="AK487" s="260"/>
    </row>
    <row r="488" spans="3:37" x14ac:dyDescent="0.2">
      <c r="C488" s="412" t="s">
        <v>1353</v>
      </c>
      <c r="D488" s="732"/>
      <c r="E488" s="155">
        <v>31</v>
      </c>
      <c r="F488" s="1033">
        <f>IF('Table 1'!$E$3&lt;2020,'Days Equivalent Calculation'!$F$78,'New Days Equivalent Calculation'!$F$79)</f>
        <v>3918.4360273972597</v>
      </c>
      <c r="G488" s="1034"/>
      <c r="H488" s="267"/>
      <c r="I488" s="267"/>
      <c r="J488" s="267"/>
      <c r="K488" s="267"/>
      <c r="L488" s="267"/>
      <c r="M488" s="267"/>
      <c r="N488" s="267"/>
      <c r="O488" s="260"/>
      <c r="P488" s="267"/>
      <c r="Q488" s="267"/>
      <c r="R488" s="267"/>
      <c r="S488" s="267"/>
      <c r="T488" s="267"/>
      <c r="U488" s="267"/>
      <c r="V488" s="267"/>
      <c r="W488" s="267"/>
      <c r="X488" s="267"/>
      <c r="Y488" s="267"/>
      <c r="Z488" s="267"/>
      <c r="AA488" s="267"/>
      <c r="AB488" s="267"/>
      <c r="AC488" s="267"/>
      <c r="AD488" s="267"/>
      <c r="AE488" s="267"/>
      <c r="AF488" s="260"/>
      <c r="AG488" s="260"/>
      <c r="AH488" s="260"/>
      <c r="AI488" s="260"/>
      <c r="AJ488" s="1083"/>
      <c r="AK488" s="260"/>
    </row>
    <row r="489" spans="3:37" x14ac:dyDescent="0.2">
      <c r="C489" s="412" t="s">
        <v>1354</v>
      </c>
      <c r="D489" s="732"/>
      <c r="E489" s="733">
        <v>32</v>
      </c>
      <c r="F489" s="1033">
        <f>IF(H487=1,"",IF('Table 1'!$E$3&lt;2020,'Days Equivalent Calculation'!$F$79,'New Days Equivalent Calculation'!$F$80))</f>
        <v>43.538178082191777</v>
      </c>
      <c r="G489" s="1034"/>
      <c r="H489" s="267"/>
      <c r="I489" s="267"/>
      <c r="J489" s="267"/>
      <c r="K489" s="267"/>
      <c r="L489" s="267"/>
      <c r="M489" s="267"/>
      <c r="N489" s="267"/>
      <c r="O489" s="267"/>
      <c r="P489" s="267"/>
      <c r="Q489" s="267"/>
      <c r="R489" s="267"/>
      <c r="S489" s="267"/>
      <c r="T489" s="267"/>
      <c r="U489" s="267"/>
      <c r="V489" s="267"/>
      <c r="W489" s="267"/>
      <c r="X489" s="267"/>
      <c r="Y489" s="267"/>
      <c r="Z489" s="267"/>
      <c r="AA489" s="267"/>
      <c r="AB489" s="267"/>
      <c r="AC489" s="267"/>
      <c r="AD489" s="267"/>
      <c r="AE489" s="267"/>
      <c r="AF489" s="260"/>
      <c r="AG489" s="260"/>
      <c r="AH489" s="260"/>
      <c r="AI489" s="260"/>
      <c r="AJ489" s="1083"/>
      <c r="AK489" s="260"/>
    </row>
    <row r="490" spans="3:37" x14ac:dyDescent="0.2">
      <c r="C490" s="412" t="s">
        <v>1355</v>
      </c>
      <c r="D490" s="732"/>
      <c r="E490" s="733">
        <v>33</v>
      </c>
      <c r="F490" s="1033" t="str">
        <f>IF(H487&lt;&gt;1,"",IF('Table 1'!$E$3&lt;2020,'Days Equivalent Calculation'!$F$79,'New Days Equivalent Calculation'!$F$80))</f>
        <v/>
      </c>
      <c r="G490" s="1034"/>
      <c r="H490" s="267"/>
      <c r="I490" s="267"/>
      <c r="J490" s="267"/>
      <c r="K490" s="267"/>
      <c r="L490" s="267"/>
      <c r="M490" s="267"/>
      <c r="N490" s="267"/>
      <c r="O490" s="267"/>
      <c r="P490" s="267"/>
      <c r="Q490" s="267"/>
      <c r="R490" s="267"/>
      <c r="S490" s="267"/>
      <c r="T490" s="267"/>
      <c r="U490" s="267"/>
      <c r="V490" s="267"/>
      <c r="W490" s="267"/>
      <c r="X490" s="267"/>
      <c r="Y490" s="267"/>
      <c r="Z490" s="267"/>
      <c r="AA490" s="267"/>
      <c r="AB490" s="267"/>
      <c r="AC490" s="267"/>
      <c r="AD490" s="267"/>
      <c r="AE490" s="267"/>
      <c r="AF490" s="260"/>
      <c r="AG490" s="260"/>
      <c r="AH490" s="260"/>
      <c r="AI490" s="260"/>
      <c r="AJ490" s="1083"/>
      <c r="AK490" s="315">
        <v>1</v>
      </c>
    </row>
    <row r="491" spans="3:37" x14ac:dyDescent="0.2">
      <c r="C491" s="412" t="s">
        <v>1356</v>
      </c>
      <c r="D491" s="732"/>
      <c r="E491" s="733">
        <v>34</v>
      </c>
      <c r="F491" s="1027" t="str">
        <f>IF('Table 1'!$E$3&lt;2020,'Days Equivalent Calculation'!$F$128,'New Days Equivalent Calculation'!$I$121)</f>
        <v>Annex III (b)</v>
      </c>
      <c r="G491" s="1028"/>
      <c r="H491" s="267"/>
      <c r="I491" s="267"/>
      <c r="J491" s="267"/>
      <c r="K491" s="267"/>
      <c r="L491" s="267"/>
      <c r="M491" s="267"/>
      <c r="N491" s="267"/>
      <c r="O491" s="267"/>
      <c r="P491" s="267"/>
      <c r="Q491" s="267"/>
      <c r="R491" s="267"/>
      <c r="S491" s="267"/>
      <c r="T491" s="267"/>
      <c r="U491" s="267"/>
      <c r="V491" s="267"/>
      <c r="W491" s="267"/>
      <c r="X491" s="267"/>
      <c r="Y491" s="267"/>
      <c r="Z491" s="267"/>
      <c r="AA491" s="267"/>
      <c r="AB491" s="267"/>
      <c r="AC491" s="267"/>
      <c r="AD491" s="267"/>
      <c r="AE491" s="267"/>
      <c r="AF491" s="260"/>
      <c r="AG491" s="260"/>
      <c r="AH491" s="260"/>
      <c r="AI491" s="260"/>
      <c r="AJ491" s="1083"/>
      <c r="AK491" s="472" t="e">
        <f>EUDaysCell</f>
        <v>#NAME?</v>
      </c>
    </row>
    <row r="492" spans="3:37" x14ac:dyDescent="0.2">
      <c r="C492" s="412" t="s">
        <v>734</v>
      </c>
      <c r="D492" s="413"/>
      <c r="E492" s="1151">
        <v>35</v>
      </c>
      <c r="F492" s="1029"/>
      <c r="G492" s="1030"/>
      <c r="H492" s="267"/>
      <c r="I492" s="267"/>
      <c r="J492" s="267"/>
      <c r="K492" s="267"/>
      <c r="L492" s="267"/>
      <c r="M492" s="267"/>
      <c r="N492" s="267"/>
      <c r="O492" s="267"/>
      <c r="P492" s="267"/>
      <c r="Q492" s="267"/>
      <c r="R492" s="267"/>
      <c r="S492" s="267"/>
      <c r="T492" s="267"/>
      <c r="U492" s="267"/>
      <c r="V492" s="267"/>
      <c r="W492" s="267"/>
      <c r="X492" s="267"/>
      <c r="Y492" s="267"/>
      <c r="Z492" s="267"/>
      <c r="AA492" s="267"/>
      <c r="AB492" s="267"/>
      <c r="AC492" s="267"/>
      <c r="AD492" s="267"/>
      <c r="AE492" s="267"/>
      <c r="AF492" s="260"/>
      <c r="AG492" s="260"/>
      <c r="AH492" s="260"/>
      <c r="AI492" s="260"/>
      <c r="AJ492" s="1083"/>
      <c r="AK492" s="472"/>
    </row>
    <row r="493" spans="3:37" x14ac:dyDescent="0.2">
      <c r="C493" s="634" t="s">
        <v>737</v>
      </c>
      <c r="D493" s="415"/>
      <c r="E493" s="1152"/>
      <c r="F493" s="1035">
        <f>IF('Table 1'!$E$3&lt;2020,'Days Equivalent Calculation'!$F$133,'New Days Equivalent Calculation'!$F$122)</f>
        <v>52.856000000000002</v>
      </c>
      <c r="G493" s="1036"/>
      <c r="H493" s="267"/>
      <c r="I493" s="267"/>
      <c r="J493" s="267"/>
      <c r="K493" s="267"/>
      <c r="L493" s="267"/>
      <c r="M493" s="267"/>
      <c r="N493" s="267"/>
      <c r="O493" s="267"/>
      <c r="P493" s="267"/>
      <c r="Q493" s="267"/>
      <c r="R493" s="267"/>
      <c r="S493" s="267"/>
      <c r="T493" s="267"/>
      <c r="U493" s="267"/>
      <c r="V493" s="267"/>
      <c r="W493" s="267"/>
      <c r="X493" s="267"/>
      <c r="Y493" s="267"/>
      <c r="Z493" s="267"/>
      <c r="AA493" s="267"/>
      <c r="AB493" s="267"/>
      <c r="AC493" s="267"/>
      <c r="AD493" s="267"/>
      <c r="AE493" s="267"/>
      <c r="AF493" s="260"/>
      <c r="AG493" s="260"/>
      <c r="AH493" s="260"/>
      <c r="AI493" s="260"/>
      <c r="AJ493" s="1083"/>
      <c r="AK493" s="472"/>
    </row>
    <row r="494" spans="3:37" x14ac:dyDescent="0.2">
      <c r="C494" s="764" t="s">
        <v>1351</v>
      </c>
      <c r="D494" s="735"/>
      <c r="E494" s="765"/>
      <c r="F494" s="1088">
        <f>IF('Table 1'!$E$3&lt;2020, 'Days Equivalent Calculation'!$F$55, 'New Days Equivalent Calculation'!$E$50)</f>
        <v>1</v>
      </c>
      <c r="G494" s="1032"/>
      <c r="H494" s="267"/>
      <c r="I494" s="267"/>
      <c r="J494" s="267"/>
      <c r="K494" s="267"/>
      <c r="L494" s="267"/>
      <c r="M494" s="267"/>
      <c r="N494" s="267"/>
      <c r="O494" s="267"/>
      <c r="P494" s="267"/>
      <c r="Q494" s="267"/>
      <c r="R494" s="267"/>
      <c r="S494" s="267"/>
      <c r="T494" s="267"/>
      <c r="U494" s="267"/>
      <c r="V494" s="267"/>
      <c r="W494" s="267"/>
      <c r="X494" s="267"/>
      <c r="Y494" s="267"/>
      <c r="Z494" s="267"/>
      <c r="AA494" s="267"/>
      <c r="AB494" s="267"/>
      <c r="AC494" s="267"/>
      <c r="AD494" s="267"/>
      <c r="AE494" s="267"/>
      <c r="AF494" s="260"/>
      <c r="AG494" s="260"/>
      <c r="AH494" s="260"/>
      <c r="AI494" s="260"/>
      <c r="AJ494" s="1083"/>
      <c r="AK494" s="472"/>
    </row>
    <row r="495" spans="3:37" x14ac:dyDescent="0.2">
      <c r="C495" s="766" t="s">
        <v>1352</v>
      </c>
      <c r="D495" s="735"/>
      <c r="E495" s="735"/>
      <c r="F495" s="1089">
        <f>IF('Table 1'!$E$3&lt;2020,IF('Days Equivalent Calculation'!$F$78='Days Equivalent Calculation'!$L$67, 2, 1),IF('New Days Equivalent Calculation'!$F$79='New Days Equivalent Calculation'!$L$72, 2, 1))</f>
        <v>1</v>
      </c>
      <c r="G495" s="1032"/>
      <c r="H495" s="267"/>
      <c r="I495" s="267"/>
      <c r="J495" s="267"/>
      <c r="K495" s="267"/>
      <c r="L495" s="267"/>
      <c r="M495" s="267"/>
      <c r="N495" s="267"/>
      <c r="O495" s="267"/>
      <c r="P495" s="267"/>
      <c r="Q495" s="267"/>
      <c r="R495" s="267"/>
      <c r="S495" s="267"/>
      <c r="T495" s="267"/>
      <c r="U495" s="267"/>
      <c r="V495" s="267"/>
      <c r="W495" s="267"/>
      <c r="X495" s="267"/>
      <c r="Y495" s="267"/>
      <c r="Z495" s="267"/>
      <c r="AA495" s="267"/>
      <c r="AB495" s="267"/>
      <c r="AC495" s="267"/>
      <c r="AD495" s="267"/>
      <c r="AE495" s="267"/>
      <c r="AF495" s="260"/>
      <c r="AG495" s="260"/>
      <c r="AH495" s="260"/>
      <c r="AI495" s="260"/>
      <c r="AJ495" s="1083"/>
      <c r="AK495" s="260"/>
    </row>
    <row r="496" spans="3:37" x14ac:dyDescent="0.2">
      <c r="C496" s="766" t="s">
        <v>1356</v>
      </c>
      <c r="D496" s="735"/>
      <c r="E496" s="735"/>
      <c r="F496" s="1089">
        <f>IF(RIGHT(F491,2) = "a)", 1, 2)</f>
        <v>2</v>
      </c>
      <c r="G496" s="1032"/>
      <c r="H496" s="267"/>
      <c r="I496" s="267"/>
      <c r="J496" s="267"/>
      <c r="K496" s="267"/>
      <c r="L496" s="267"/>
      <c r="M496" s="267"/>
      <c r="N496" s="267"/>
      <c r="O496" s="267"/>
      <c r="P496" s="267"/>
      <c r="Q496" s="267"/>
      <c r="R496" s="267"/>
      <c r="S496" s="267"/>
      <c r="T496" s="267"/>
      <c r="U496" s="267"/>
      <c r="V496" s="267"/>
      <c r="W496" s="267"/>
      <c r="X496" s="267"/>
      <c r="Y496" s="267"/>
      <c r="Z496" s="267"/>
      <c r="AA496" s="267"/>
      <c r="AB496" s="267"/>
      <c r="AC496" s="267"/>
      <c r="AD496" s="267"/>
      <c r="AE496" s="267"/>
      <c r="AF496" s="260"/>
      <c r="AG496" s="260"/>
      <c r="AH496" s="260"/>
      <c r="AI496" s="260"/>
      <c r="AJ496" s="1083"/>
      <c r="AK496" s="260"/>
    </row>
    <row r="497" spans="3:38" x14ac:dyDescent="0.2">
      <c r="C497" s="374" t="s">
        <v>888</v>
      </c>
      <c r="D497" s="267"/>
      <c r="E497" s="267"/>
      <c r="F497" s="267"/>
      <c r="G497" s="267"/>
      <c r="H497" s="267"/>
      <c r="I497" s="267"/>
      <c r="J497" s="267"/>
      <c r="K497" s="267"/>
      <c r="L497" s="375" t="s">
        <v>74</v>
      </c>
      <c r="M497" s="267"/>
      <c r="N497" s="267"/>
      <c r="O497" s="267"/>
      <c r="P497" s="267"/>
      <c r="Q497" s="267"/>
      <c r="R497" s="267"/>
      <c r="S497" s="267"/>
      <c r="T497" s="267"/>
      <c r="U497" s="267"/>
      <c r="V497" s="267"/>
      <c r="W497" s="267"/>
      <c r="X497" s="267"/>
      <c r="Y497" s="267"/>
      <c r="Z497" s="267"/>
      <c r="AA497" s="267"/>
      <c r="AB497" s="267"/>
      <c r="AC497" s="267"/>
      <c r="AD497" s="267"/>
      <c r="AE497" s="267"/>
      <c r="AF497" s="260"/>
      <c r="AG497" s="260"/>
      <c r="AH497" s="260"/>
      <c r="AI497" s="260"/>
      <c r="AJ497" s="260"/>
      <c r="AK497" s="260"/>
    </row>
    <row r="498" spans="3:38" ht="12.75" customHeight="1" x14ac:dyDescent="0.2">
      <c r="C498" s="376"/>
      <c r="D498" s="377"/>
      <c r="E498" s="378"/>
      <c r="F498" s="1156" t="s">
        <v>656</v>
      </c>
      <c r="G498" s="1156" t="s">
        <v>657</v>
      </c>
      <c r="H498" s="1156" t="s">
        <v>647</v>
      </c>
      <c r="I498" s="1158" t="s">
        <v>666</v>
      </c>
      <c r="J498" s="281"/>
      <c r="K498" s="1164" t="s">
        <v>885</v>
      </c>
      <c r="L498" s="1171" t="s">
        <v>11</v>
      </c>
      <c r="M498" s="1166" t="s">
        <v>8</v>
      </c>
      <c r="N498" s="1164" t="s">
        <v>9</v>
      </c>
      <c r="O498" s="1162" t="s">
        <v>10</v>
      </c>
      <c r="P498" s="1114" t="s">
        <v>659</v>
      </c>
      <c r="Q498" s="329"/>
      <c r="R498" s="190"/>
      <c r="S498" s="1166" t="s">
        <v>660</v>
      </c>
      <c r="T498" s="1164" t="s">
        <v>661</v>
      </c>
      <c r="U498" s="1116" t="s">
        <v>668</v>
      </c>
      <c r="V498" s="191"/>
      <c r="W498" s="192"/>
      <c r="X498" s="1162" t="s">
        <v>664</v>
      </c>
      <c r="Y498" s="193"/>
      <c r="Z498" s="190"/>
      <c r="AA498" s="1118" t="s">
        <v>670</v>
      </c>
      <c r="AB498" s="190"/>
      <c r="AC498" s="190"/>
      <c r="AD498" s="1114" t="s">
        <v>628</v>
      </c>
      <c r="AE498" s="190"/>
      <c r="AF498" s="190"/>
      <c r="AG498" s="190"/>
      <c r="AH498" s="1166" t="s">
        <v>629</v>
      </c>
      <c r="AI498" s="1160" t="s">
        <v>630</v>
      </c>
      <c r="AJ498" s="1120" t="s">
        <v>631</v>
      </c>
      <c r="AK498" s="1120" t="s">
        <v>679</v>
      </c>
      <c r="AL498" s="260"/>
    </row>
    <row r="499" spans="3:38" ht="56.25" x14ac:dyDescent="0.2">
      <c r="C499" s="379"/>
      <c r="D499" s="302"/>
      <c r="E499" s="380"/>
      <c r="F499" s="1157"/>
      <c r="G499" s="1157"/>
      <c r="H499" s="1157"/>
      <c r="I499" s="1211"/>
      <c r="J499" s="248" t="s">
        <v>667</v>
      </c>
      <c r="K499" s="1165"/>
      <c r="L499" s="1172"/>
      <c r="M499" s="1167"/>
      <c r="N499" s="1165"/>
      <c r="O499" s="1163"/>
      <c r="P499" s="1115"/>
      <c r="Q499" s="250" t="s">
        <v>623</v>
      </c>
      <c r="R499" s="251" t="s">
        <v>626</v>
      </c>
      <c r="S499" s="1167"/>
      <c r="T499" s="1165"/>
      <c r="U499" s="1117"/>
      <c r="V499" s="254" t="s">
        <v>662</v>
      </c>
      <c r="W499" s="250" t="s">
        <v>663</v>
      </c>
      <c r="X499" s="1163"/>
      <c r="Y499" s="256" t="s">
        <v>627</v>
      </c>
      <c r="Z499" s="257" t="s">
        <v>669</v>
      </c>
      <c r="AA499" s="1119"/>
      <c r="AB499" s="250" t="s">
        <v>624</v>
      </c>
      <c r="AC499" s="254" t="s">
        <v>671</v>
      </c>
      <c r="AD499" s="1115"/>
      <c r="AE499" s="250" t="s">
        <v>674</v>
      </c>
      <c r="AF499" s="254" t="s">
        <v>1411</v>
      </c>
      <c r="AG499" s="254" t="s">
        <v>675</v>
      </c>
      <c r="AH499" s="1167"/>
      <c r="AI499" s="1161"/>
      <c r="AJ499" s="1121"/>
      <c r="AK499" s="1121"/>
      <c r="AL499" s="302"/>
    </row>
    <row r="500" spans="3:38" x14ac:dyDescent="0.2">
      <c r="C500" s="381"/>
      <c r="D500" s="382"/>
      <c r="E500" s="383"/>
      <c r="F500" s="246" t="s">
        <v>152</v>
      </c>
      <c r="G500" s="247" t="s">
        <v>153</v>
      </c>
      <c r="H500" s="247" t="s">
        <v>154</v>
      </c>
      <c r="I500" s="180" t="s">
        <v>155</v>
      </c>
      <c r="J500" s="247" t="s">
        <v>156</v>
      </c>
      <c r="K500" s="247" t="s">
        <v>157</v>
      </c>
      <c r="L500" s="199" t="s">
        <v>158</v>
      </c>
      <c r="M500" s="246" t="s">
        <v>159</v>
      </c>
      <c r="N500" s="246" t="s">
        <v>160</v>
      </c>
      <c r="O500" s="249" t="s">
        <v>161</v>
      </c>
      <c r="P500" s="179" t="s">
        <v>162</v>
      </c>
      <c r="Q500" s="247" t="s">
        <v>163</v>
      </c>
      <c r="R500" s="252" t="s">
        <v>164</v>
      </c>
      <c r="S500" s="253" t="s">
        <v>165</v>
      </c>
      <c r="T500" s="252" t="s">
        <v>166</v>
      </c>
      <c r="U500" s="180" t="s">
        <v>167</v>
      </c>
      <c r="V500" s="247" t="s">
        <v>168</v>
      </c>
      <c r="W500" s="247" t="s">
        <v>169</v>
      </c>
      <c r="X500" s="255" t="s">
        <v>170</v>
      </c>
      <c r="Y500" s="246" t="s">
        <v>171</v>
      </c>
      <c r="Z500" s="247" t="s">
        <v>172</v>
      </c>
      <c r="AA500" s="176" t="s">
        <v>173</v>
      </c>
      <c r="AB500" s="252" t="s">
        <v>174</v>
      </c>
      <c r="AC500" s="252" t="s">
        <v>175</v>
      </c>
      <c r="AD500" s="179" t="s">
        <v>176</v>
      </c>
      <c r="AE500" s="252" t="s">
        <v>177</v>
      </c>
      <c r="AF500" s="252" t="s">
        <v>181</v>
      </c>
      <c r="AG500" s="252" t="s">
        <v>417</v>
      </c>
      <c r="AH500" s="259" t="s">
        <v>672</v>
      </c>
      <c r="AI500" s="252" t="s">
        <v>678</v>
      </c>
      <c r="AJ500" s="90" t="s">
        <v>499</v>
      </c>
      <c r="AK500" s="90" t="s">
        <v>499</v>
      </c>
      <c r="AL500" s="302"/>
    </row>
    <row r="501" spans="3:38" x14ac:dyDescent="0.2">
      <c r="C501" s="261" t="s">
        <v>744</v>
      </c>
      <c r="D501" s="261" t="s">
        <v>76</v>
      </c>
      <c r="E501" s="389">
        <v>36</v>
      </c>
      <c r="F501" s="990"/>
      <c r="G501" s="990"/>
      <c r="H501" s="990"/>
      <c r="I501" s="907"/>
      <c r="J501" s="990"/>
      <c r="K501" s="990"/>
      <c r="L501" s="915">
        <f>ROUND(SUM(F501:I501,K501),3)</f>
        <v>0</v>
      </c>
      <c r="M501" s="991"/>
      <c r="N501" s="990"/>
      <c r="O501" s="992"/>
      <c r="P501" s="927"/>
      <c r="Q501" s="990"/>
      <c r="R501" s="992"/>
      <c r="S501" s="993"/>
      <c r="T501" s="990"/>
      <c r="U501" s="907"/>
      <c r="V501" s="990"/>
      <c r="W501" s="990"/>
      <c r="X501" s="992"/>
      <c r="Y501" s="993"/>
      <c r="Z501" s="990"/>
      <c r="AA501" s="907"/>
      <c r="AB501" s="990"/>
      <c r="AC501" s="992"/>
      <c r="AD501" s="927"/>
      <c r="AE501" s="990"/>
      <c r="AF501" s="992"/>
      <c r="AG501" s="992"/>
      <c r="AH501" s="993"/>
      <c r="AI501" s="992"/>
      <c r="AJ501" s="898">
        <f>ROUND(SUM(M501:P501,S501:U501,X501,AA501,AD501,AH501:AI501),3)</f>
        <v>0</v>
      </c>
      <c r="AK501" s="898">
        <f>ROUND(L501+AJ501,3)</f>
        <v>0</v>
      </c>
      <c r="AL501" s="260"/>
    </row>
    <row r="502" spans="3:38" ht="13.5" thickBot="1" x14ac:dyDescent="0.25">
      <c r="C502" s="416" t="s">
        <v>740</v>
      </c>
      <c r="D502" s="403" t="s">
        <v>77</v>
      </c>
      <c r="E502" s="405">
        <v>37</v>
      </c>
      <c r="F502" s="994"/>
      <c r="G502" s="994"/>
      <c r="H502" s="994"/>
      <c r="I502" s="995"/>
      <c r="J502" s="994"/>
      <c r="K502" s="994"/>
      <c r="L502" s="996">
        <f>ROUND(SUM(F502:I502,K502),3)</f>
        <v>0</v>
      </c>
      <c r="M502" s="994"/>
      <c r="N502" s="994"/>
      <c r="O502" s="997"/>
      <c r="P502" s="998"/>
      <c r="Q502" s="994"/>
      <c r="R502" s="997"/>
      <c r="S502" s="999"/>
      <c r="T502" s="994"/>
      <c r="U502" s="995"/>
      <c r="V502" s="994"/>
      <c r="W502" s="994"/>
      <c r="X502" s="997"/>
      <c r="Y502" s="999"/>
      <c r="Z502" s="994"/>
      <c r="AA502" s="995"/>
      <c r="AB502" s="994"/>
      <c r="AC502" s="997"/>
      <c r="AD502" s="998"/>
      <c r="AE502" s="994"/>
      <c r="AF502" s="997"/>
      <c r="AG502" s="997"/>
      <c r="AH502" s="999"/>
      <c r="AI502" s="997"/>
      <c r="AJ502" s="964">
        <f>ROUND(SUM(M502:P502,S502:U502,X502,AA502,AD502,AH502:AI502),3)</f>
        <v>0</v>
      </c>
      <c r="AK502" s="964">
        <f>ROUND(L502+AJ502,3)</f>
        <v>0</v>
      </c>
      <c r="AL502" s="260"/>
    </row>
    <row r="506" spans="3:38" x14ac:dyDescent="0.2">
      <c r="C506" s="5" t="s">
        <v>857</v>
      </c>
      <c r="D506" s="24"/>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2"/>
      <c r="AI506" s="25" t="s">
        <v>108</v>
      </c>
    </row>
    <row r="507" spans="3:38" ht="12.75" customHeight="1" x14ac:dyDescent="0.2">
      <c r="C507" s="242"/>
      <c r="D507" s="203"/>
      <c r="E507" s="1106" t="s">
        <v>656</v>
      </c>
      <c r="F507" s="1106" t="s">
        <v>657</v>
      </c>
      <c r="G507" s="1106" t="s">
        <v>647</v>
      </c>
      <c r="H507" s="1158" t="s">
        <v>666</v>
      </c>
      <c r="I507" s="281"/>
      <c r="J507" s="1150" t="s">
        <v>885</v>
      </c>
      <c r="K507" s="1110" t="s">
        <v>645</v>
      </c>
      <c r="L507" s="1122" t="s">
        <v>8</v>
      </c>
      <c r="M507" s="1124" t="s">
        <v>9</v>
      </c>
      <c r="N507" s="1126" t="s">
        <v>10</v>
      </c>
      <c r="O507" s="1114" t="s">
        <v>659</v>
      </c>
      <c r="P507" s="329"/>
      <c r="Q507" s="190"/>
      <c r="R507" s="1122" t="s">
        <v>660</v>
      </c>
      <c r="S507" s="1124" t="s">
        <v>661</v>
      </c>
      <c r="T507" s="1116" t="s">
        <v>668</v>
      </c>
      <c r="U507" s="191"/>
      <c r="V507" s="192"/>
      <c r="W507" s="1126" t="s">
        <v>664</v>
      </c>
      <c r="X507" s="193"/>
      <c r="Y507" s="190"/>
      <c r="Z507" s="1118" t="s">
        <v>670</v>
      </c>
      <c r="AA507" s="190"/>
      <c r="AB507" s="190"/>
      <c r="AC507" s="1114" t="s">
        <v>628</v>
      </c>
      <c r="AD507" s="190"/>
      <c r="AE507" s="190"/>
      <c r="AF507" s="190"/>
      <c r="AG507" s="1122" t="s">
        <v>629</v>
      </c>
      <c r="AH507" s="1150" t="s">
        <v>630</v>
      </c>
      <c r="AI507" s="1120" t="s">
        <v>631</v>
      </c>
      <c r="AJ507" s="1120" t="s">
        <v>679</v>
      </c>
    </row>
    <row r="508" spans="3:38" ht="56.25" x14ac:dyDescent="0.2">
      <c r="C508" s="201"/>
      <c r="D508" s="202"/>
      <c r="E508" s="1107"/>
      <c r="F508" s="1107"/>
      <c r="G508" s="1107"/>
      <c r="H508" s="1159"/>
      <c r="I508" s="99" t="s">
        <v>667</v>
      </c>
      <c r="J508" s="1138"/>
      <c r="K508" s="1111"/>
      <c r="L508" s="1123"/>
      <c r="M508" s="1125"/>
      <c r="N508" s="1127"/>
      <c r="O508" s="1115"/>
      <c r="P508" s="184" t="s">
        <v>623</v>
      </c>
      <c r="Q508" s="185" t="s">
        <v>626</v>
      </c>
      <c r="R508" s="1123"/>
      <c r="S508" s="1125"/>
      <c r="T508" s="1117"/>
      <c r="U508" s="186" t="s">
        <v>662</v>
      </c>
      <c r="V508" s="187" t="s">
        <v>663</v>
      </c>
      <c r="W508" s="1127"/>
      <c r="X508" s="188" t="s">
        <v>627</v>
      </c>
      <c r="Y508" s="189" t="s">
        <v>669</v>
      </c>
      <c r="Z508" s="1119"/>
      <c r="AA508" s="184" t="s">
        <v>624</v>
      </c>
      <c r="AB508" s="186" t="s">
        <v>671</v>
      </c>
      <c r="AC508" s="1115"/>
      <c r="AD508" s="187" t="s">
        <v>674</v>
      </c>
      <c r="AE508" s="186" t="s">
        <v>1411</v>
      </c>
      <c r="AF508" s="196" t="s">
        <v>872</v>
      </c>
      <c r="AG508" s="1123"/>
      <c r="AH508" s="1138"/>
      <c r="AI508" s="1121"/>
      <c r="AJ508" s="1121"/>
    </row>
    <row r="509" spans="3:38" x14ac:dyDescent="0.2">
      <c r="C509" s="97"/>
      <c r="D509" s="98"/>
      <c r="E509" s="87" t="s">
        <v>152</v>
      </c>
      <c r="F509" s="86" t="s">
        <v>153</v>
      </c>
      <c r="G509" s="86" t="s">
        <v>154</v>
      </c>
      <c r="H509" s="180" t="s">
        <v>155</v>
      </c>
      <c r="I509" s="198" t="s">
        <v>156</v>
      </c>
      <c r="J509" s="198" t="s">
        <v>157</v>
      </c>
      <c r="K509" s="199" t="s">
        <v>158</v>
      </c>
      <c r="L509" s="87" t="s">
        <v>159</v>
      </c>
      <c r="M509" s="87" t="s">
        <v>160</v>
      </c>
      <c r="N509" s="96" t="s">
        <v>161</v>
      </c>
      <c r="O509" s="179" t="s">
        <v>162</v>
      </c>
      <c r="P509" s="198" t="s">
        <v>163</v>
      </c>
      <c r="Q509" s="89" t="s">
        <v>164</v>
      </c>
      <c r="R509" s="95" t="s">
        <v>165</v>
      </c>
      <c r="S509" s="177" t="s">
        <v>166</v>
      </c>
      <c r="T509" s="180" t="s">
        <v>167</v>
      </c>
      <c r="U509" s="198" t="s">
        <v>168</v>
      </c>
      <c r="V509" s="86" t="s">
        <v>169</v>
      </c>
      <c r="W509" s="94" t="s">
        <v>170</v>
      </c>
      <c r="X509" s="87" t="s">
        <v>171</v>
      </c>
      <c r="Y509" s="101" t="s">
        <v>172</v>
      </c>
      <c r="Z509" s="176" t="s">
        <v>173</v>
      </c>
      <c r="AA509" s="200" t="s">
        <v>174</v>
      </c>
      <c r="AB509" s="89" t="s">
        <v>175</v>
      </c>
      <c r="AC509" s="179" t="s">
        <v>176</v>
      </c>
      <c r="AD509" s="200" t="s">
        <v>177</v>
      </c>
      <c r="AE509" s="200" t="s">
        <v>181</v>
      </c>
      <c r="AF509" s="89" t="s">
        <v>417</v>
      </c>
      <c r="AG509" s="178" t="s">
        <v>672</v>
      </c>
      <c r="AH509" s="89" t="s">
        <v>678</v>
      </c>
      <c r="AI509" s="90" t="s">
        <v>499</v>
      </c>
      <c r="AJ509" s="90" t="s">
        <v>680</v>
      </c>
    </row>
    <row r="510" spans="3:38" ht="12.75" customHeight="1" x14ac:dyDescent="0.2">
      <c r="C510" s="225" t="s">
        <v>930</v>
      </c>
      <c r="D510" s="426">
        <v>1</v>
      </c>
      <c r="E510" s="947"/>
      <c r="F510" s="947"/>
      <c r="G510" s="947"/>
      <c r="H510" s="981"/>
      <c r="I510" s="947"/>
      <c r="J510" s="947"/>
      <c r="K510" s="940">
        <f t="shared" ref="K510:K545" si="80">ROUND(SUM(E510:H510,J510),3)</f>
        <v>0</v>
      </c>
      <c r="L510" s="949"/>
      <c r="M510" s="949"/>
      <c r="N510" s="947"/>
      <c r="O510" s="927"/>
      <c r="P510" s="949"/>
      <c r="Q510" s="950"/>
      <c r="R510" s="949"/>
      <c r="S510" s="949"/>
      <c r="T510" s="907"/>
      <c r="U510" s="947"/>
      <c r="V510" s="947"/>
      <c r="W510" s="951"/>
      <c r="X510" s="949"/>
      <c r="Y510" s="948"/>
      <c r="Z510" s="909"/>
      <c r="AA510" s="947"/>
      <c r="AB510" s="950"/>
      <c r="AC510" s="927"/>
      <c r="AD510" s="952"/>
      <c r="AE510" s="1095"/>
      <c r="AF510" s="950"/>
      <c r="AG510" s="953"/>
      <c r="AH510" s="953"/>
      <c r="AI510" s="827">
        <f t="shared" ref="AI510:AI541" si="81">ROUND(SUM(L510:O510,R510:T510,W510,Z510,AC510,AG510:AH510),3)</f>
        <v>0</v>
      </c>
      <c r="AJ510" s="939">
        <f t="shared" ref="AJ510:AJ541" si="82">ROUND(SUM(K510,AI510),3)</f>
        <v>0</v>
      </c>
    </row>
    <row r="511" spans="3:38" ht="12.75" customHeight="1" x14ac:dyDescent="0.2">
      <c r="C511" s="225" t="s">
        <v>554</v>
      </c>
      <c r="D511" s="426">
        <v>2</v>
      </c>
      <c r="E511" s="947"/>
      <c r="F511" s="947"/>
      <c r="G511" s="947"/>
      <c r="H511" s="981"/>
      <c r="I511" s="947"/>
      <c r="J511" s="947"/>
      <c r="K511" s="940">
        <f t="shared" si="80"/>
        <v>0</v>
      </c>
      <c r="L511" s="949"/>
      <c r="M511" s="949"/>
      <c r="N511" s="947"/>
      <c r="O511" s="927"/>
      <c r="P511" s="949"/>
      <c r="Q511" s="950"/>
      <c r="R511" s="949"/>
      <c r="S511" s="949"/>
      <c r="T511" s="907"/>
      <c r="U511" s="947"/>
      <c r="V511" s="947"/>
      <c r="W511" s="951"/>
      <c r="X511" s="949"/>
      <c r="Y511" s="948"/>
      <c r="Z511" s="909"/>
      <c r="AA511" s="947"/>
      <c r="AB511" s="950"/>
      <c r="AC511" s="927"/>
      <c r="AD511" s="952"/>
      <c r="AE511" s="1095"/>
      <c r="AF511" s="950"/>
      <c r="AG511" s="953"/>
      <c r="AH511" s="953"/>
      <c r="AI511" s="827">
        <f t="shared" si="81"/>
        <v>0</v>
      </c>
      <c r="AJ511" s="939">
        <f t="shared" si="82"/>
        <v>0</v>
      </c>
    </row>
    <row r="512" spans="3:38" x14ac:dyDescent="0.2">
      <c r="C512" s="225" t="s">
        <v>115</v>
      </c>
      <c r="D512" s="426">
        <v>3</v>
      </c>
      <c r="E512" s="947"/>
      <c r="F512" s="947"/>
      <c r="G512" s="947"/>
      <c r="H512" s="981"/>
      <c r="I512" s="947"/>
      <c r="J512" s="947"/>
      <c r="K512" s="940">
        <f t="shared" si="80"/>
        <v>0</v>
      </c>
      <c r="L512" s="949"/>
      <c r="M512" s="949"/>
      <c r="N512" s="947"/>
      <c r="O512" s="927"/>
      <c r="P512" s="949"/>
      <c r="Q512" s="950"/>
      <c r="R512" s="949"/>
      <c r="S512" s="949"/>
      <c r="T512" s="907"/>
      <c r="U512" s="947"/>
      <c r="V512" s="947"/>
      <c r="W512" s="951"/>
      <c r="X512" s="949"/>
      <c r="Y512" s="948"/>
      <c r="Z512" s="909"/>
      <c r="AA512" s="947"/>
      <c r="AB512" s="950"/>
      <c r="AC512" s="927"/>
      <c r="AD512" s="952"/>
      <c r="AE512" s="1095"/>
      <c r="AF512" s="950"/>
      <c r="AG512" s="953"/>
      <c r="AH512" s="953"/>
      <c r="AI512" s="827">
        <f t="shared" si="81"/>
        <v>0</v>
      </c>
      <c r="AJ512" s="939">
        <f t="shared" si="82"/>
        <v>0</v>
      </c>
    </row>
    <row r="513" spans="3:36" x14ac:dyDescent="0.2">
      <c r="C513" s="225" t="s">
        <v>15</v>
      </c>
      <c r="D513" s="426">
        <v>4</v>
      </c>
      <c r="E513" s="947"/>
      <c r="F513" s="947"/>
      <c r="G513" s="947"/>
      <c r="H513" s="981"/>
      <c r="I513" s="947"/>
      <c r="J513" s="947"/>
      <c r="K513" s="940">
        <f t="shared" si="80"/>
        <v>0</v>
      </c>
      <c r="L513" s="949"/>
      <c r="M513" s="949"/>
      <c r="N513" s="947"/>
      <c r="O513" s="927"/>
      <c r="P513" s="949"/>
      <c r="Q513" s="950"/>
      <c r="R513" s="949"/>
      <c r="S513" s="949"/>
      <c r="T513" s="907"/>
      <c r="U513" s="947"/>
      <c r="V513" s="947"/>
      <c r="W513" s="951"/>
      <c r="X513" s="949"/>
      <c r="Y513" s="948"/>
      <c r="Z513" s="909"/>
      <c r="AA513" s="947"/>
      <c r="AB513" s="950"/>
      <c r="AC513" s="927"/>
      <c r="AD513" s="952"/>
      <c r="AE513" s="1095"/>
      <c r="AF513" s="950"/>
      <c r="AG513" s="953"/>
      <c r="AH513" s="953"/>
      <c r="AI513" s="827">
        <f t="shared" si="81"/>
        <v>0</v>
      </c>
      <c r="AJ513" s="939">
        <f t="shared" si="82"/>
        <v>0</v>
      </c>
    </row>
    <row r="514" spans="3:36" x14ac:dyDescent="0.2">
      <c r="C514" s="225" t="s">
        <v>556</v>
      </c>
      <c r="D514" s="426">
        <v>5</v>
      </c>
      <c r="E514" s="947"/>
      <c r="F514" s="947"/>
      <c r="G514" s="947"/>
      <c r="H514" s="981"/>
      <c r="I514" s="947"/>
      <c r="J514" s="947"/>
      <c r="K514" s="940">
        <f t="shared" si="80"/>
        <v>0</v>
      </c>
      <c r="L514" s="949"/>
      <c r="M514" s="949"/>
      <c r="N514" s="947"/>
      <c r="O514" s="927"/>
      <c r="P514" s="949"/>
      <c r="Q514" s="950"/>
      <c r="R514" s="949"/>
      <c r="S514" s="949"/>
      <c r="T514" s="907"/>
      <c r="U514" s="947"/>
      <c r="V514" s="947"/>
      <c r="W514" s="951"/>
      <c r="X514" s="949"/>
      <c r="Y514" s="948"/>
      <c r="Z514" s="909"/>
      <c r="AA514" s="947"/>
      <c r="AB514" s="950"/>
      <c r="AC514" s="927"/>
      <c r="AD514" s="952"/>
      <c r="AE514" s="1095"/>
      <c r="AF514" s="950"/>
      <c r="AG514" s="953"/>
      <c r="AH514" s="953"/>
      <c r="AI514" s="827">
        <f t="shared" si="81"/>
        <v>0</v>
      </c>
      <c r="AJ514" s="939">
        <f t="shared" si="82"/>
        <v>0</v>
      </c>
    </row>
    <row r="515" spans="3:36" x14ac:dyDescent="0.2">
      <c r="C515" s="225" t="s">
        <v>116</v>
      </c>
      <c r="D515" s="426">
        <v>6</v>
      </c>
      <c r="E515" s="947"/>
      <c r="F515" s="947"/>
      <c r="G515" s="947"/>
      <c r="H515" s="981"/>
      <c r="I515" s="947"/>
      <c r="J515" s="947"/>
      <c r="K515" s="940">
        <f t="shared" si="80"/>
        <v>0</v>
      </c>
      <c r="L515" s="949"/>
      <c r="M515" s="949"/>
      <c r="N515" s="947"/>
      <c r="O515" s="927"/>
      <c r="P515" s="949"/>
      <c r="Q515" s="950"/>
      <c r="R515" s="949"/>
      <c r="S515" s="949"/>
      <c r="T515" s="907"/>
      <c r="U515" s="947"/>
      <c r="V515" s="947"/>
      <c r="W515" s="951"/>
      <c r="X515" s="949"/>
      <c r="Y515" s="948"/>
      <c r="Z515" s="909"/>
      <c r="AA515" s="947"/>
      <c r="AB515" s="950"/>
      <c r="AC515" s="927"/>
      <c r="AD515" s="952"/>
      <c r="AE515" s="1095"/>
      <c r="AF515" s="950"/>
      <c r="AG515" s="953"/>
      <c r="AH515" s="953"/>
      <c r="AI515" s="827">
        <f t="shared" si="81"/>
        <v>0</v>
      </c>
      <c r="AJ515" s="939">
        <f t="shared" si="82"/>
        <v>0</v>
      </c>
    </row>
    <row r="516" spans="3:36" x14ac:dyDescent="0.2">
      <c r="C516" s="225" t="s">
        <v>595</v>
      </c>
      <c r="D516" s="426">
        <v>7</v>
      </c>
      <c r="E516" s="947"/>
      <c r="F516" s="947"/>
      <c r="G516" s="947"/>
      <c r="H516" s="981"/>
      <c r="I516" s="947"/>
      <c r="J516" s="947"/>
      <c r="K516" s="940">
        <f t="shared" si="80"/>
        <v>0</v>
      </c>
      <c r="L516" s="949"/>
      <c r="M516" s="949"/>
      <c r="N516" s="954"/>
      <c r="O516" s="927"/>
      <c r="P516" s="955"/>
      <c r="Q516" s="950"/>
      <c r="R516" s="949"/>
      <c r="S516" s="949"/>
      <c r="T516" s="907"/>
      <c r="U516" s="947"/>
      <c r="V516" s="947"/>
      <c r="W516" s="951"/>
      <c r="X516" s="949"/>
      <c r="Y516" s="948"/>
      <c r="Z516" s="909"/>
      <c r="AA516" s="947"/>
      <c r="AB516" s="950"/>
      <c r="AC516" s="927"/>
      <c r="AD516" s="952"/>
      <c r="AE516" s="1095"/>
      <c r="AF516" s="950"/>
      <c r="AG516" s="953"/>
      <c r="AH516" s="953"/>
      <c r="AI516" s="827">
        <f t="shared" si="81"/>
        <v>0</v>
      </c>
      <c r="AJ516" s="939">
        <f t="shared" si="82"/>
        <v>0</v>
      </c>
    </row>
    <row r="517" spans="3:36" x14ac:dyDescent="0.2">
      <c r="C517" s="225" t="s">
        <v>20</v>
      </c>
      <c r="D517" s="426">
        <v>8</v>
      </c>
      <c r="E517" s="947"/>
      <c r="F517" s="947"/>
      <c r="G517" s="947"/>
      <c r="H517" s="981"/>
      <c r="I517" s="947"/>
      <c r="J517" s="947"/>
      <c r="K517" s="940">
        <f t="shared" si="80"/>
        <v>0</v>
      </c>
      <c r="L517" s="949"/>
      <c r="M517" s="949"/>
      <c r="N517" s="954"/>
      <c r="O517" s="927"/>
      <c r="P517" s="955"/>
      <c r="Q517" s="950"/>
      <c r="R517" s="949"/>
      <c r="S517" s="949"/>
      <c r="T517" s="907"/>
      <c r="U517" s="947"/>
      <c r="V517" s="947"/>
      <c r="W517" s="951"/>
      <c r="X517" s="949"/>
      <c r="Y517" s="948"/>
      <c r="Z517" s="909"/>
      <c r="AA517" s="947"/>
      <c r="AB517" s="950"/>
      <c r="AC517" s="927"/>
      <c r="AD517" s="952"/>
      <c r="AE517" s="1095"/>
      <c r="AF517" s="950"/>
      <c r="AG517" s="953"/>
      <c r="AH517" s="953"/>
      <c r="AI517" s="827">
        <f t="shared" si="81"/>
        <v>0</v>
      </c>
      <c r="AJ517" s="939">
        <f t="shared" si="82"/>
        <v>0</v>
      </c>
    </row>
    <row r="518" spans="3:36" x14ac:dyDescent="0.2">
      <c r="C518" s="225" t="s">
        <v>117</v>
      </c>
      <c r="D518" s="426">
        <v>9</v>
      </c>
      <c r="E518" s="947"/>
      <c r="F518" s="947"/>
      <c r="G518" s="947"/>
      <c r="H518" s="981"/>
      <c r="I518" s="947"/>
      <c r="J518" s="947"/>
      <c r="K518" s="940">
        <f t="shared" si="80"/>
        <v>0</v>
      </c>
      <c r="L518" s="949"/>
      <c r="M518" s="949"/>
      <c r="N518" s="954"/>
      <c r="O518" s="927"/>
      <c r="P518" s="955"/>
      <c r="Q518" s="950"/>
      <c r="R518" s="949"/>
      <c r="S518" s="949"/>
      <c r="T518" s="907"/>
      <c r="U518" s="947"/>
      <c r="V518" s="947"/>
      <c r="W518" s="951"/>
      <c r="X518" s="949"/>
      <c r="Y518" s="948"/>
      <c r="Z518" s="909"/>
      <c r="AA518" s="947"/>
      <c r="AB518" s="950"/>
      <c r="AC518" s="927"/>
      <c r="AD518" s="952"/>
      <c r="AE518" s="1095"/>
      <c r="AF518" s="950"/>
      <c r="AG518" s="953"/>
      <c r="AH518" s="953"/>
      <c r="AI518" s="827">
        <f t="shared" si="81"/>
        <v>0</v>
      </c>
      <c r="AJ518" s="939">
        <f t="shared" si="82"/>
        <v>0</v>
      </c>
    </row>
    <row r="519" spans="3:36" x14ac:dyDescent="0.2">
      <c r="C519" s="225" t="s">
        <v>613</v>
      </c>
      <c r="D519" s="426">
        <v>10</v>
      </c>
      <c r="E519" s="947"/>
      <c r="F519" s="947"/>
      <c r="G519" s="947"/>
      <c r="H519" s="981"/>
      <c r="I519" s="947"/>
      <c r="J519" s="947"/>
      <c r="K519" s="940">
        <f t="shared" si="80"/>
        <v>0</v>
      </c>
      <c r="L519" s="949"/>
      <c r="M519" s="949"/>
      <c r="N519" s="954"/>
      <c r="O519" s="927"/>
      <c r="P519" s="955"/>
      <c r="Q519" s="950"/>
      <c r="R519" s="949"/>
      <c r="S519" s="949"/>
      <c r="T519" s="907"/>
      <c r="U519" s="947"/>
      <c r="V519" s="947"/>
      <c r="W519" s="951"/>
      <c r="X519" s="949"/>
      <c r="Y519" s="948"/>
      <c r="Z519" s="909"/>
      <c r="AA519" s="947"/>
      <c r="AB519" s="950"/>
      <c r="AC519" s="927"/>
      <c r="AD519" s="952"/>
      <c r="AE519" s="1095"/>
      <c r="AF519" s="950"/>
      <c r="AG519" s="953"/>
      <c r="AH519" s="953"/>
      <c r="AI519" s="827">
        <f t="shared" si="81"/>
        <v>0</v>
      </c>
      <c r="AJ519" s="939">
        <f t="shared" si="82"/>
        <v>0</v>
      </c>
    </row>
    <row r="520" spans="3:36" x14ac:dyDescent="0.2">
      <c r="C520" s="225" t="s">
        <v>23</v>
      </c>
      <c r="D520" s="426">
        <v>11</v>
      </c>
      <c r="E520" s="947"/>
      <c r="F520" s="947"/>
      <c r="G520" s="947"/>
      <c r="H520" s="981"/>
      <c r="I520" s="947"/>
      <c r="J520" s="947"/>
      <c r="K520" s="940">
        <f t="shared" si="80"/>
        <v>0</v>
      </c>
      <c r="L520" s="949"/>
      <c r="M520" s="949"/>
      <c r="N520" s="954"/>
      <c r="O520" s="927"/>
      <c r="P520" s="955"/>
      <c r="Q520" s="950"/>
      <c r="R520" s="949"/>
      <c r="S520" s="949"/>
      <c r="T520" s="907"/>
      <c r="U520" s="947"/>
      <c r="V520" s="947"/>
      <c r="W520" s="951"/>
      <c r="X520" s="949"/>
      <c r="Y520" s="948"/>
      <c r="Z520" s="909"/>
      <c r="AA520" s="947"/>
      <c r="AB520" s="950"/>
      <c r="AC520" s="927"/>
      <c r="AD520" s="952"/>
      <c r="AE520" s="1095"/>
      <c r="AF520" s="950"/>
      <c r="AG520" s="953"/>
      <c r="AH520" s="953"/>
      <c r="AI520" s="827">
        <f t="shared" si="81"/>
        <v>0</v>
      </c>
      <c r="AJ520" s="939">
        <f t="shared" si="82"/>
        <v>0</v>
      </c>
    </row>
    <row r="521" spans="3:36" x14ac:dyDescent="0.2">
      <c r="C521" s="225" t="s">
        <v>964</v>
      </c>
      <c r="D521" s="426">
        <v>12</v>
      </c>
      <c r="E521" s="947"/>
      <c r="F521" s="947"/>
      <c r="G521" s="947"/>
      <c r="H521" s="981"/>
      <c r="I521" s="947"/>
      <c r="J521" s="947"/>
      <c r="K521" s="940">
        <f t="shared" si="80"/>
        <v>0</v>
      </c>
      <c r="L521" s="949"/>
      <c r="M521" s="949"/>
      <c r="N521" s="954"/>
      <c r="O521" s="927"/>
      <c r="P521" s="955"/>
      <c r="Q521" s="950"/>
      <c r="R521" s="949"/>
      <c r="S521" s="949"/>
      <c r="T521" s="907"/>
      <c r="U521" s="947"/>
      <c r="V521" s="947"/>
      <c r="W521" s="951"/>
      <c r="X521" s="949"/>
      <c r="Y521" s="948"/>
      <c r="Z521" s="909"/>
      <c r="AA521" s="947"/>
      <c r="AB521" s="950"/>
      <c r="AC521" s="927"/>
      <c r="AD521" s="952"/>
      <c r="AE521" s="1095"/>
      <c r="AF521" s="950"/>
      <c r="AG521" s="953"/>
      <c r="AH521" s="953"/>
      <c r="AI521" s="827">
        <f t="shared" si="81"/>
        <v>0</v>
      </c>
      <c r="AJ521" s="939">
        <f t="shared" si="82"/>
        <v>0</v>
      </c>
    </row>
    <row r="522" spans="3:36" x14ac:dyDescent="0.2">
      <c r="C522" s="225" t="s">
        <v>567</v>
      </c>
      <c r="D522" s="426">
        <v>13</v>
      </c>
      <c r="E522" s="947"/>
      <c r="F522" s="947"/>
      <c r="G522" s="947"/>
      <c r="H522" s="981"/>
      <c r="I522" s="947"/>
      <c r="J522" s="947"/>
      <c r="K522" s="940">
        <f t="shared" si="80"/>
        <v>0</v>
      </c>
      <c r="L522" s="949"/>
      <c r="M522" s="949"/>
      <c r="N522" s="954"/>
      <c r="O522" s="927"/>
      <c r="P522" s="955"/>
      <c r="Q522" s="950"/>
      <c r="R522" s="949"/>
      <c r="S522" s="949"/>
      <c r="T522" s="907"/>
      <c r="U522" s="947"/>
      <c r="V522" s="947"/>
      <c r="W522" s="951"/>
      <c r="X522" s="949"/>
      <c r="Y522" s="948"/>
      <c r="Z522" s="909"/>
      <c r="AA522" s="947"/>
      <c r="AB522" s="950"/>
      <c r="AC522" s="927"/>
      <c r="AD522" s="952"/>
      <c r="AE522" s="1095"/>
      <c r="AF522" s="950"/>
      <c r="AG522" s="953"/>
      <c r="AH522" s="953"/>
      <c r="AI522" s="827">
        <f t="shared" si="81"/>
        <v>0</v>
      </c>
      <c r="AJ522" s="939">
        <f t="shared" si="82"/>
        <v>0</v>
      </c>
    </row>
    <row r="523" spans="3:36" x14ac:dyDescent="0.2">
      <c r="C523" s="225" t="s">
        <v>150</v>
      </c>
      <c r="D523" s="426">
        <v>14</v>
      </c>
      <c r="E523" s="947"/>
      <c r="F523" s="947"/>
      <c r="G523" s="947"/>
      <c r="H523" s="981"/>
      <c r="I523" s="947"/>
      <c r="J523" s="947"/>
      <c r="K523" s="940">
        <f t="shared" si="80"/>
        <v>0</v>
      </c>
      <c r="L523" s="949"/>
      <c r="M523" s="949"/>
      <c r="N523" s="954"/>
      <c r="O523" s="927"/>
      <c r="P523" s="955"/>
      <c r="Q523" s="950"/>
      <c r="R523" s="949"/>
      <c r="S523" s="949"/>
      <c r="T523" s="907"/>
      <c r="U523" s="947"/>
      <c r="V523" s="947"/>
      <c r="W523" s="951"/>
      <c r="X523" s="949"/>
      <c r="Y523" s="948"/>
      <c r="Z523" s="909"/>
      <c r="AA523" s="947"/>
      <c r="AB523" s="950"/>
      <c r="AC523" s="927"/>
      <c r="AD523" s="952"/>
      <c r="AE523" s="1095"/>
      <c r="AF523" s="950"/>
      <c r="AG523" s="953"/>
      <c r="AH523" s="953"/>
      <c r="AI523" s="827">
        <f t="shared" si="81"/>
        <v>0</v>
      </c>
      <c r="AJ523" s="939">
        <f t="shared" si="82"/>
        <v>0</v>
      </c>
    </row>
    <row r="524" spans="3:36" x14ac:dyDescent="0.2">
      <c r="C524" s="225" t="s">
        <v>25</v>
      </c>
      <c r="D524" s="426">
        <v>15</v>
      </c>
      <c r="E524" s="947"/>
      <c r="F524" s="947"/>
      <c r="G524" s="947"/>
      <c r="H524" s="981"/>
      <c r="I524" s="947"/>
      <c r="J524" s="947"/>
      <c r="K524" s="940">
        <f t="shared" si="80"/>
        <v>0</v>
      </c>
      <c r="L524" s="949"/>
      <c r="M524" s="949"/>
      <c r="N524" s="954"/>
      <c r="O524" s="927"/>
      <c r="P524" s="955"/>
      <c r="Q524" s="950"/>
      <c r="R524" s="949"/>
      <c r="S524" s="949"/>
      <c r="T524" s="907"/>
      <c r="U524" s="947"/>
      <c r="V524" s="947"/>
      <c r="W524" s="951"/>
      <c r="X524" s="949"/>
      <c r="Y524" s="948"/>
      <c r="Z524" s="909"/>
      <c r="AA524" s="947"/>
      <c r="AB524" s="950"/>
      <c r="AC524" s="927"/>
      <c r="AD524" s="952"/>
      <c r="AE524" s="1095"/>
      <c r="AF524" s="950"/>
      <c r="AG524" s="953"/>
      <c r="AH524" s="953"/>
      <c r="AI524" s="827">
        <f t="shared" si="81"/>
        <v>0</v>
      </c>
      <c r="AJ524" s="939">
        <f t="shared" si="82"/>
        <v>0</v>
      </c>
    </row>
    <row r="525" spans="3:36" x14ac:dyDescent="0.2">
      <c r="C525" s="225" t="s">
        <v>118</v>
      </c>
      <c r="D525" s="426">
        <v>16</v>
      </c>
      <c r="E525" s="947"/>
      <c r="F525" s="947"/>
      <c r="G525" s="947"/>
      <c r="H525" s="981"/>
      <c r="I525" s="947"/>
      <c r="J525" s="947"/>
      <c r="K525" s="940">
        <f t="shared" si="80"/>
        <v>0</v>
      </c>
      <c r="L525" s="949"/>
      <c r="M525" s="949"/>
      <c r="N525" s="954"/>
      <c r="O525" s="927"/>
      <c r="P525" s="955"/>
      <c r="Q525" s="950"/>
      <c r="R525" s="949"/>
      <c r="S525" s="949"/>
      <c r="T525" s="907"/>
      <c r="U525" s="947"/>
      <c r="V525" s="947"/>
      <c r="W525" s="951"/>
      <c r="X525" s="949"/>
      <c r="Y525" s="948"/>
      <c r="Z525" s="909"/>
      <c r="AA525" s="947"/>
      <c r="AB525" s="950"/>
      <c r="AC525" s="927"/>
      <c r="AD525" s="952"/>
      <c r="AE525" s="1095"/>
      <c r="AF525" s="950"/>
      <c r="AG525" s="953"/>
      <c r="AH525" s="953"/>
      <c r="AI525" s="827">
        <f t="shared" si="81"/>
        <v>0</v>
      </c>
      <c r="AJ525" s="939">
        <f t="shared" si="82"/>
        <v>0</v>
      </c>
    </row>
    <row r="526" spans="3:36" x14ac:dyDescent="0.2">
      <c r="C526" s="225" t="s">
        <v>557</v>
      </c>
      <c r="D526" s="426">
        <v>17</v>
      </c>
      <c r="E526" s="947"/>
      <c r="F526" s="947"/>
      <c r="G526" s="947"/>
      <c r="H526" s="981"/>
      <c r="I526" s="947"/>
      <c r="J526" s="947"/>
      <c r="K526" s="940">
        <f t="shared" si="80"/>
        <v>0</v>
      </c>
      <c r="L526" s="949"/>
      <c r="M526" s="949"/>
      <c r="N526" s="954"/>
      <c r="O526" s="927"/>
      <c r="P526" s="955"/>
      <c r="Q526" s="950"/>
      <c r="R526" s="949"/>
      <c r="S526" s="949"/>
      <c r="T526" s="907"/>
      <c r="U526" s="947"/>
      <c r="V526" s="947"/>
      <c r="W526" s="951"/>
      <c r="X526" s="949"/>
      <c r="Y526" s="948"/>
      <c r="Z526" s="909"/>
      <c r="AA526" s="947"/>
      <c r="AB526" s="950"/>
      <c r="AC526" s="927"/>
      <c r="AD526" s="952"/>
      <c r="AE526" s="1095"/>
      <c r="AF526" s="950"/>
      <c r="AG526" s="953"/>
      <c r="AH526" s="953"/>
      <c r="AI526" s="827">
        <f t="shared" si="81"/>
        <v>0</v>
      </c>
      <c r="AJ526" s="939">
        <f t="shared" si="82"/>
        <v>0</v>
      </c>
    </row>
    <row r="527" spans="3:36" x14ac:dyDescent="0.2">
      <c r="C527" s="225" t="s">
        <v>119</v>
      </c>
      <c r="D527" s="426">
        <v>18</v>
      </c>
      <c r="E527" s="947"/>
      <c r="F527" s="947"/>
      <c r="G527" s="947"/>
      <c r="H527" s="981"/>
      <c r="I527" s="947"/>
      <c r="J527" s="947"/>
      <c r="K527" s="940">
        <f t="shared" si="80"/>
        <v>0</v>
      </c>
      <c r="L527" s="949"/>
      <c r="M527" s="949"/>
      <c r="N527" s="954"/>
      <c r="O527" s="927"/>
      <c r="P527" s="955"/>
      <c r="Q527" s="950"/>
      <c r="R527" s="949"/>
      <c r="S527" s="949"/>
      <c r="T527" s="907"/>
      <c r="U527" s="947"/>
      <c r="V527" s="947"/>
      <c r="W527" s="951"/>
      <c r="X527" s="949"/>
      <c r="Y527" s="948"/>
      <c r="Z527" s="909"/>
      <c r="AA527" s="947"/>
      <c r="AB527" s="950"/>
      <c r="AC527" s="927"/>
      <c r="AD527" s="952"/>
      <c r="AE527" s="1095"/>
      <c r="AF527" s="950"/>
      <c r="AG527" s="953"/>
      <c r="AH527" s="953"/>
      <c r="AI527" s="827">
        <f t="shared" si="81"/>
        <v>0</v>
      </c>
      <c r="AJ527" s="939">
        <f t="shared" si="82"/>
        <v>0</v>
      </c>
    </row>
    <row r="528" spans="3:36" x14ac:dyDescent="0.2">
      <c r="C528" s="225" t="s">
        <v>30</v>
      </c>
      <c r="D528" s="426">
        <v>19</v>
      </c>
      <c r="E528" s="947"/>
      <c r="F528" s="947"/>
      <c r="G528" s="947"/>
      <c r="H528" s="981"/>
      <c r="I528" s="947"/>
      <c r="J528" s="947"/>
      <c r="K528" s="940">
        <f t="shared" si="80"/>
        <v>0</v>
      </c>
      <c r="L528" s="949"/>
      <c r="M528" s="949"/>
      <c r="N528" s="954"/>
      <c r="O528" s="927"/>
      <c r="P528" s="955"/>
      <c r="Q528" s="950"/>
      <c r="R528" s="949"/>
      <c r="S528" s="949"/>
      <c r="T528" s="907"/>
      <c r="U528" s="947"/>
      <c r="V528" s="947"/>
      <c r="W528" s="951"/>
      <c r="X528" s="949"/>
      <c r="Y528" s="948"/>
      <c r="Z528" s="909"/>
      <c r="AA528" s="947"/>
      <c r="AB528" s="950"/>
      <c r="AC528" s="927"/>
      <c r="AD528" s="952"/>
      <c r="AE528" s="1095"/>
      <c r="AF528" s="950"/>
      <c r="AG528" s="953"/>
      <c r="AH528" s="953"/>
      <c r="AI528" s="827">
        <f t="shared" si="81"/>
        <v>0</v>
      </c>
      <c r="AJ528" s="939">
        <f t="shared" si="82"/>
        <v>0</v>
      </c>
    </row>
    <row r="529" spans="3:36" x14ac:dyDescent="0.2">
      <c r="C529" s="225" t="s">
        <v>558</v>
      </c>
      <c r="D529" s="426">
        <v>20</v>
      </c>
      <c r="E529" s="947"/>
      <c r="F529" s="947"/>
      <c r="G529" s="947"/>
      <c r="H529" s="981"/>
      <c r="I529" s="947"/>
      <c r="J529" s="947"/>
      <c r="K529" s="940">
        <f t="shared" si="80"/>
        <v>0</v>
      </c>
      <c r="L529" s="949"/>
      <c r="M529" s="949"/>
      <c r="N529" s="954"/>
      <c r="O529" s="927"/>
      <c r="P529" s="955"/>
      <c r="Q529" s="950"/>
      <c r="R529" s="949"/>
      <c r="S529" s="949"/>
      <c r="T529" s="907"/>
      <c r="U529" s="947"/>
      <c r="V529" s="947"/>
      <c r="W529" s="951"/>
      <c r="X529" s="949"/>
      <c r="Y529" s="948"/>
      <c r="Z529" s="909"/>
      <c r="AA529" s="947"/>
      <c r="AB529" s="950"/>
      <c r="AC529" s="927"/>
      <c r="AD529" s="952"/>
      <c r="AE529" s="1095"/>
      <c r="AF529" s="950"/>
      <c r="AG529" s="953"/>
      <c r="AH529" s="953"/>
      <c r="AI529" s="827">
        <f t="shared" si="81"/>
        <v>0</v>
      </c>
      <c r="AJ529" s="939">
        <f t="shared" si="82"/>
        <v>0</v>
      </c>
    </row>
    <row r="530" spans="3:36" x14ac:dyDescent="0.2">
      <c r="C530" s="225" t="s">
        <v>120</v>
      </c>
      <c r="D530" s="426">
        <v>21</v>
      </c>
      <c r="E530" s="947"/>
      <c r="F530" s="947"/>
      <c r="G530" s="947"/>
      <c r="H530" s="981"/>
      <c r="I530" s="947"/>
      <c r="J530" s="947"/>
      <c r="K530" s="940">
        <f t="shared" si="80"/>
        <v>0</v>
      </c>
      <c r="L530" s="949"/>
      <c r="M530" s="949"/>
      <c r="N530" s="954"/>
      <c r="O530" s="927"/>
      <c r="P530" s="955"/>
      <c r="Q530" s="950"/>
      <c r="R530" s="949"/>
      <c r="S530" s="949"/>
      <c r="T530" s="907"/>
      <c r="U530" s="947"/>
      <c r="V530" s="947"/>
      <c r="W530" s="951"/>
      <c r="X530" s="949"/>
      <c r="Y530" s="948"/>
      <c r="Z530" s="909"/>
      <c r="AA530" s="947"/>
      <c r="AB530" s="950"/>
      <c r="AC530" s="927"/>
      <c r="AD530" s="952"/>
      <c r="AE530" s="1095"/>
      <c r="AF530" s="950"/>
      <c r="AG530" s="953"/>
      <c r="AH530" s="953"/>
      <c r="AI530" s="827">
        <f t="shared" si="81"/>
        <v>0</v>
      </c>
      <c r="AJ530" s="939">
        <f t="shared" si="82"/>
        <v>0</v>
      </c>
    </row>
    <row r="531" spans="3:36" x14ac:dyDescent="0.2">
      <c r="C531" s="225" t="s">
        <v>121</v>
      </c>
      <c r="D531" s="426">
        <v>22</v>
      </c>
      <c r="E531" s="947"/>
      <c r="F531" s="947"/>
      <c r="G531" s="947"/>
      <c r="H531" s="981"/>
      <c r="I531" s="947"/>
      <c r="J531" s="947"/>
      <c r="K531" s="940">
        <f t="shared" si="80"/>
        <v>0</v>
      </c>
      <c r="L531" s="949"/>
      <c r="M531" s="949"/>
      <c r="N531" s="954"/>
      <c r="O531" s="927"/>
      <c r="P531" s="955"/>
      <c r="Q531" s="950"/>
      <c r="R531" s="949"/>
      <c r="S531" s="949"/>
      <c r="T531" s="907"/>
      <c r="U531" s="947"/>
      <c r="V531" s="947"/>
      <c r="W531" s="951"/>
      <c r="X531" s="949"/>
      <c r="Y531" s="948"/>
      <c r="Z531" s="909"/>
      <c r="AA531" s="947"/>
      <c r="AB531" s="950"/>
      <c r="AC531" s="927"/>
      <c r="AD531" s="952"/>
      <c r="AE531" s="1095"/>
      <c r="AF531" s="950"/>
      <c r="AG531" s="953"/>
      <c r="AH531" s="953"/>
      <c r="AI531" s="827">
        <f t="shared" si="81"/>
        <v>0</v>
      </c>
      <c r="AJ531" s="939">
        <f t="shared" si="82"/>
        <v>0</v>
      </c>
    </row>
    <row r="532" spans="3:36" x14ac:dyDescent="0.2">
      <c r="C532" s="225" t="s">
        <v>122</v>
      </c>
      <c r="D532" s="426">
        <v>23</v>
      </c>
      <c r="E532" s="947"/>
      <c r="F532" s="947"/>
      <c r="G532" s="947"/>
      <c r="H532" s="981"/>
      <c r="I532" s="947"/>
      <c r="J532" s="947"/>
      <c r="K532" s="940">
        <f t="shared" si="80"/>
        <v>0</v>
      </c>
      <c r="L532" s="949"/>
      <c r="M532" s="949"/>
      <c r="N532" s="954"/>
      <c r="O532" s="927"/>
      <c r="P532" s="955"/>
      <c r="Q532" s="950"/>
      <c r="R532" s="949"/>
      <c r="S532" s="949"/>
      <c r="T532" s="907"/>
      <c r="U532" s="947"/>
      <c r="V532" s="947"/>
      <c r="W532" s="951"/>
      <c r="X532" s="949"/>
      <c r="Y532" s="948"/>
      <c r="Z532" s="909"/>
      <c r="AA532" s="947"/>
      <c r="AB532" s="950"/>
      <c r="AC532" s="927"/>
      <c r="AD532" s="952"/>
      <c r="AE532" s="1095"/>
      <c r="AF532" s="950"/>
      <c r="AG532" s="953"/>
      <c r="AH532" s="953"/>
      <c r="AI532" s="827">
        <f t="shared" si="81"/>
        <v>0</v>
      </c>
      <c r="AJ532" s="939">
        <f t="shared" si="82"/>
        <v>0</v>
      </c>
    </row>
    <row r="533" spans="3:36" x14ac:dyDescent="0.2">
      <c r="C533" s="225" t="s">
        <v>123</v>
      </c>
      <c r="D533" s="426">
        <v>24</v>
      </c>
      <c r="E533" s="947"/>
      <c r="F533" s="947"/>
      <c r="G533" s="947"/>
      <c r="H533" s="981"/>
      <c r="I533" s="947"/>
      <c r="J533" s="947"/>
      <c r="K533" s="940">
        <f t="shared" si="80"/>
        <v>0</v>
      </c>
      <c r="L533" s="949"/>
      <c r="M533" s="949"/>
      <c r="N533" s="954"/>
      <c r="O533" s="927"/>
      <c r="P533" s="955"/>
      <c r="Q533" s="950"/>
      <c r="R533" s="949"/>
      <c r="S533" s="949"/>
      <c r="T533" s="907"/>
      <c r="U533" s="947"/>
      <c r="V533" s="947"/>
      <c r="W533" s="951"/>
      <c r="X533" s="949"/>
      <c r="Y533" s="948"/>
      <c r="Z533" s="909"/>
      <c r="AA533" s="947"/>
      <c r="AB533" s="950"/>
      <c r="AC533" s="927"/>
      <c r="AD533" s="952"/>
      <c r="AE533" s="1095"/>
      <c r="AF533" s="950"/>
      <c r="AG533" s="953"/>
      <c r="AH533" s="953"/>
      <c r="AI533" s="827">
        <f t="shared" si="81"/>
        <v>0</v>
      </c>
      <c r="AJ533" s="939">
        <f t="shared" si="82"/>
        <v>0</v>
      </c>
    </row>
    <row r="534" spans="3:36" x14ac:dyDescent="0.2">
      <c r="C534" s="225" t="s">
        <v>124</v>
      </c>
      <c r="D534" s="426">
        <v>25</v>
      </c>
      <c r="E534" s="947"/>
      <c r="F534" s="947"/>
      <c r="G534" s="947"/>
      <c r="H534" s="981"/>
      <c r="I534" s="947"/>
      <c r="J534" s="947"/>
      <c r="K534" s="940">
        <f t="shared" si="80"/>
        <v>0</v>
      </c>
      <c r="L534" s="949"/>
      <c r="M534" s="949"/>
      <c r="N534" s="954"/>
      <c r="O534" s="927"/>
      <c r="P534" s="955"/>
      <c r="Q534" s="950"/>
      <c r="R534" s="949"/>
      <c r="S534" s="949"/>
      <c r="T534" s="907"/>
      <c r="U534" s="947"/>
      <c r="V534" s="947"/>
      <c r="W534" s="951"/>
      <c r="X534" s="949"/>
      <c r="Y534" s="948"/>
      <c r="Z534" s="909"/>
      <c r="AA534" s="947"/>
      <c r="AB534" s="950"/>
      <c r="AC534" s="927"/>
      <c r="AD534" s="952"/>
      <c r="AE534" s="1095"/>
      <c r="AF534" s="950"/>
      <c r="AG534" s="953"/>
      <c r="AH534" s="953"/>
      <c r="AI534" s="827">
        <f t="shared" si="81"/>
        <v>0</v>
      </c>
      <c r="AJ534" s="939">
        <f t="shared" si="82"/>
        <v>0</v>
      </c>
    </row>
    <row r="535" spans="3:36" x14ac:dyDescent="0.2">
      <c r="C535" s="225" t="s">
        <v>97</v>
      </c>
      <c r="D535" s="426">
        <v>26</v>
      </c>
      <c r="E535" s="947"/>
      <c r="F535" s="947"/>
      <c r="G535" s="947"/>
      <c r="H535" s="981"/>
      <c r="I535" s="947"/>
      <c r="J535" s="947"/>
      <c r="K535" s="940">
        <f t="shared" si="80"/>
        <v>0</v>
      </c>
      <c r="L535" s="949"/>
      <c r="M535" s="949"/>
      <c r="N535" s="954"/>
      <c r="O535" s="927"/>
      <c r="P535" s="955"/>
      <c r="Q535" s="950"/>
      <c r="R535" s="949"/>
      <c r="S535" s="949"/>
      <c r="T535" s="907"/>
      <c r="U535" s="947"/>
      <c r="V535" s="947"/>
      <c r="W535" s="951"/>
      <c r="X535" s="949"/>
      <c r="Y535" s="948"/>
      <c r="Z535" s="909"/>
      <c r="AA535" s="947"/>
      <c r="AB535" s="950"/>
      <c r="AC535" s="927"/>
      <c r="AD535" s="952"/>
      <c r="AE535" s="1095"/>
      <c r="AF535" s="950"/>
      <c r="AG535" s="953"/>
      <c r="AH535" s="953"/>
      <c r="AI535" s="827">
        <f t="shared" si="81"/>
        <v>0</v>
      </c>
      <c r="AJ535" s="939">
        <f t="shared" si="82"/>
        <v>0</v>
      </c>
    </row>
    <row r="536" spans="3:36" x14ac:dyDescent="0.2">
      <c r="C536" s="225" t="s">
        <v>125</v>
      </c>
      <c r="D536" s="426">
        <v>27</v>
      </c>
      <c r="E536" s="947"/>
      <c r="F536" s="947"/>
      <c r="G536" s="947"/>
      <c r="H536" s="981"/>
      <c r="I536" s="947"/>
      <c r="J536" s="947"/>
      <c r="K536" s="940">
        <f t="shared" si="80"/>
        <v>0</v>
      </c>
      <c r="L536" s="949"/>
      <c r="M536" s="949"/>
      <c r="N536" s="947"/>
      <c r="O536" s="927"/>
      <c r="P536" s="949"/>
      <c r="Q536" s="950"/>
      <c r="R536" s="949"/>
      <c r="S536" s="949"/>
      <c r="T536" s="907"/>
      <c r="U536" s="947"/>
      <c r="V536" s="947"/>
      <c r="W536" s="951"/>
      <c r="X536" s="949"/>
      <c r="Y536" s="948"/>
      <c r="Z536" s="909"/>
      <c r="AA536" s="947"/>
      <c r="AB536" s="950"/>
      <c r="AC536" s="927"/>
      <c r="AD536" s="952"/>
      <c r="AE536" s="1095"/>
      <c r="AF536" s="950"/>
      <c r="AG536" s="953"/>
      <c r="AH536" s="953"/>
      <c r="AI536" s="827">
        <f t="shared" si="81"/>
        <v>0</v>
      </c>
      <c r="AJ536" s="939">
        <f t="shared" si="82"/>
        <v>0</v>
      </c>
    </row>
    <row r="537" spans="3:36" x14ac:dyDescent="0.2">
      <c r="C537" s="225" t="s">
        <v>126</v>
      </c>
      <c r="D537" s="426">
        <v>28</v>
      </c>
      <c r="E537" s="947"/>
      <c r="F537" s="947"/>
      <c r="G537" s="947"/>
      <c r="H537" s="981"/>
      <c r="I537" s="947"/>
      <c r="J537" s="947"/>
      <c r="K537" s="940">
        <f t="shared" si="80"/>
        <v>0</v>
      </c>
      <c r="L537" s="949"/>
      <c r="M537" s="949"/>
      <c r="N537" s="947"/>
      <c r="O537" s="927"/>
      <c r="P537" s="949"/>
      <c r="Q537" s="950"/>
      <c r="R537" s="949"/>
      <c r="S537" s="949"/>
      <c r="T537" s="907"/>
      <c r="U537" s="947"/>
      <c r="V537" s="947"/>
      <c r="W537" s="951"/>
      <c r="X537" s="949"/>
      <c r="Y537" s="948"/>
      <c r="Z537" s="909"/>
      <c r="AA537" s="947"/>
      <c r="AB537" s="950"/>
      <c r="AC537" s="927"/>
      <c r="AD537" s="952"/>
      <c r="AE537" s="1095"/>
      <c r="AF537" s="950"/>
      <c r="AG537" s="953"/>
      <c r="AH537" s="953"/>
      <c r="AI537" s="827">
        <f t="shared" si="81"/>
        <v>0</v>
      </c>
      <c r="AJ537" s="939">
        <f t="shared" si="82"/>
        <v>0</v>
      </c>
    </row>
    <row r="538" spans="3:36" x14ac:dyDescent="0.2">
      <c r="C538" s="74" t="s">
        <v>127</v>
      </c>
      <c r="D538" s="426">
        <v>29</v>
      </c>
      <c r="E538" s="947"/>
      <c r="F538" s="947"/>
      <c r="G538" s="947"/>
      <c r="H538" s="981"/>
      <c r="I538" s="947"/>
      <c r="J538" s="947"/>
      <c r="K538" s="940">
        <f t="shared" si="80"/>
        <v>0</v>
      </c>
      <c r="L538" s="949"/>
      <c r="M538" s="949"/>
      <c r="N538" s="947"/>
      <c r="O538" s="927"/>
      <c r="P538" s="949"/>
      <c r="Q538" s="950"/>
      <c r="R538" s="949"/>
      <c r="S538" s="949"/>
      <c r="T538" s="907"/>
      <c r="U538" s="947"/>
      <c r="V538" s="947"/>
      <c r="W538" s="951"/>
      <c r="X538" s="949"/>
      <c r="Y538" s="948"/>
      <c r="Z538" s="909"/>
      <c r="AA538" s="947"/>
      <c r="AB538" s="950"/>
      <c r="AC538" s="927"/>
      <c r="AD538" s="952"/>
      <c r="AE538" s="1095"/>
      <c r="AF538" s="950"/>
      <c r="AG538" s="953"/>
      <c r="AH538" s="953"/>
      <c r="AI538" s="827">
        <f t="shared" si="81"/>
        <v>0</v>
      </c>
      <c r="AJ538" s="939">
        <f t="shared" si="82"/>
        <v>0</v>
      </c>
    </row>
    <row r="539" spans="3:36" x14ac:dyDescent="0.2">
      <c r="C539" s="225" t="s">
        <v>936</v>
      </c>
      <c r="D539" s="426">
        <v>30</v>
      </c>
      <c r="E539" s="947"/>
      <c r="F539" s="947"/>
      <c r="G539" s="947"/>
      <c r="H539" s="981"/>
      <c r="I539" s="947"/>
      <c r="J539" s="947"/>
      <c r="K539" s="940">
        <f t="shared" si="80"/>
        <v>0</v>
      </c>
      <c r="L539" s="949"/>
      <c r="M539" s="949"/>
      <c r="N539" s="947"/>
      <c r="O539" s="927"/>
      <c r="P539" s="949"/>
      <c r="Q539" s="950"/>
      <c r="R539" s="949"/>
      <c r="S539" s="949"/>
      <c r="T539" s="907"/>
      <c r="U539" s="947"/>
      <c r="V539" s="947"/>
      <c r="W539" s="951"/>
      <c r="X539" s="949"/>
      <c r="Y539" s="948"/>
      <c r="Z539" s="909"/>
      <c r="AA539" s="947"/>
      <c r="AB539" s="950"/>
      <c r="AC539" s="927"/>
      <c r="AD539" s="952"/>
      <c r="AE539" s="1095"/>
      <c r="AF539" s="950"/>
      <c r="AG539" s="953"/>
      <c r="AH539" s="953"/>
      <c r="AI539" s="827">
        <f t="shared" si="81"/>
        <v>0</v>
      </c>
      <c r="AJ539" s="939">
        <f t="shared" si="82"/>
        <v>0</v>
      </c>
    </row>
    <row r="540" spans="3:36" x14ac:dyDescent="0.2">
      <c r="C540" s="225" t="s">
        <v>561</v>
      </c>
      <c r="D540" s="426">
        <v>31</v>
      </c>
      <c r="E540" s="947"/>
      <c r="F540" s="947"/>
      <c r="G540" s="947"/>
      <c r="H540" s="981"/>
      <c r="I540" s="947"/>
      <c r="J540" s="947"/>
      <c r="K540" s="940">
        <f t="shared" si="80"/>
        <v>0</v>
      </c>
      <c r="L540" s="949"/>
      <c r="M540" s="949"/>
      <c r="N540" s="947"/>
      <c r="O540" s="927"/>
      <c r="P540" s="949"/>
      <c r="Q540" s="950"/>
      <c r="R540" s="949"/>
      <c r="S540" s="949"/>
      <c r="T540" s="907"/>
      <c r="U540" s="947"/>
      <c r="V540" s="947"/>
      <c r="W540" s="951"/>
      <c r="X540" s="949"/>
      <c r="Y540" s="948"/>
      <c r="Z540" s="909"/>
      <c r="AA540" s="947"/>
      <c r="AB540" s="950"/>
      <c r="AC540" s="927"/>
      <c r="AD540" s="952"/>
      <c r="AE540" s="1095"/>
      <c r="AF540" s="950"/>
      <c r="AG540" s="953"/>
      <c r="AH540" s="953"/>
      <c r="AI540" s="827">
        <f t="shared" si="81"/>
        <v>0</v>
      </c>
      <c r="AJ540" s="939">
        <f t="shared" si="82"/>
        <v>0</v>
      </c>
    </row>
    <row r="541" spans="3:36" x14ac:dyDescent="0.2">
      <c r="C541" s="225" t="s">
        <v>562</v>
      </c>
      <c r="D541" s="426">
        <v>32</v>
      </c>
      <c r="E541" s="947"/>
      <c r="F541" s="947"/>
      <c r="G541" s="947"/>
      <c r="H541" s="981"/>
      <c r="I541" s="947"/>
      <c r="J541" s="947"/>
      <c r="K541" s="940">
        <f t="shared" si="80"/>
        <v>0</v>
      </c>
      <c r="L541" s="949"/>
      <c r="M541" s="949"/>
      <c r="N541" s="947"/>
      <c r="O541" s="927"/>
      <c r="P541" s="949"/>
      <c r="Q541" s="950"/>
      <c r="R541" s="949"/>
      <c r="S541" s="949"/>
      <c r="T541" s="907"/>
      <c r="U541" s="947"/>
      <c r="V541" s="947"/>
      <c r="W541" s="951"/>
      <c r="X541" s="949"/>
      <c r="Y541" s="948"/>
      <c r="Z541" s="909"/>
      <c r="AA541" s="947"/>
      <c r="AB541" s="950"/>
      <c r="AC541" s="927"/>
      <c r="AD541" s="952"/>
      <c r="AE541" s="1095"/>
      <c r="AF541" s="950"/>
      <c r="AG541" s="953"/>
      <c r="AH541" s="953"/>
      <c r="AI541" s="827">
        <f t="shared" si="81"/>
        <v>0</v>
      </c>
      <c r="AJ541" s="939">
        <f t="shared" si="82"/>
        <v>0</v>
      </c>
    </row>
    <row r="542" spans="3:36" x14ac:dyDescent="0.2">
      <c r="C542" s="225" t="s">
        <v>128</v>
      </c>
      <c r="D542" s="426">
        <v>33</v>
      </c>
      <c r="E542" s="947"/>
      <c r="F542" s="947"/>
      <c r="G542" s="947"/>
      <c r="H542" s="981"/>
      <c r="I542" s="947"/>
      <c r="J542" s="947"/>
      <c r="K542" s="940">
        <f t="shared" si="80"/>
        <v>0</v>
      </c>
      <c r="L542" s="949"/>
      <c r="M542" s="949"/>
      <c r="N542" s="947"/>
      <c r="O542" s="927"/>
      <c r="P542" s="949"/>
      <c r="Q542" s="950"/>
      <c r="R542" s="949"/>
      <c r="S542" s="949"/>
      <c r="T542" s="907"/>
      <c r="U542" s="947"/>
      <c r="V542" s="947"/>
      <c r="W542" s="951"/>
      <c r="X542" s="949"/>
      <c r="Y542" s="948"/>
      <c r="Z542" s="909"/>
      <c r="AA542" s="947"/>
      <c r="AB542" s="950"/>
      <c r="AC542" s="927"/>
      <c r="AD542" s="952"/>
      <c r="AE542" s="1095"/>
      <c r="AF542" s="950"/>
      <c r="AG542" s="953"/>
      <c r="AH542" s="953"/>
      <c r="AI542" s="827">
        <f t="shared" ref="AI542:AI566" si="83">ROUND(SUM(L542:O542,R542:T542,W542,Z542,AC542,AG542:AH542),3)</f>
        <v>0</v>
      </c>
      <c r="AJ542" s="939">
        <f t="shared" ref="AJ542:AJ566" si="84">ROUND(SUM(K542,AI542),3)</f>
        <v>0</v>
      </c>
    </row>
    <row r="543" spans="3:36" x14ac:dyDescent="0.2">
      <c r="C543" s="225" t="s">
        <v>151</v>
      </c>
      <c r="D543" s="426">
        <v>34</v>
      </c>
      <c r="E543" s="947"/>
      <c r="F543" s="947"/>
      <c r="G543" s="947"/>
      <c r="H543" s="981"/>
      <c r="I543" s="947"/>
      <c r="J543" s="947"/>
      <c r="K543" s="940">
        <f t="shared" si="80"/>
        <v>0</v>
      </c>
      <c r="L543" s="949"/>
      <c r="M543" s="949"/>
      <c r="N543" s="947"/>
      <c r="O543" s="927"/>
      <c r="P543" s="949"/>
      <c r="Q543" s="950"/>
      <c r="R543" s="949"/>
      <c r="S543" s="949"/>
      <c r="T543" s="907"/>
      <c r="U543" s="947"/>
      <c r="V543" s="947"/>
      <c r="W543" s="951"/>
      <c r="X543" s="949"/>
      <c r="Y543" s="948"/>
      <c r="Z543" s="909"/>
      <c r="AA543" s="947"/>
      <c r="AB543" s="950"/>
      <c r="AC543" s="927"/>
      <c r="AD543" s="952"/>
      <c r="AE543" s="1095"/>
      <c r="AF543" s="950"/>
      <c r="AG543" s="953"/>
      <c r="AH543" s="953"/>
      <c r="AI543" s="827">
        <f t="shared" si="83"/>
        <v>0</v>
      </c>
      <c r="AJ543" s="939">
        <f t="shared" si="84"/>
        <v>0</v>
      </c>
    </row>
    <row r="544" spans="3:36" x14ac:dyDescent="0.2">
      <c r="C544" s="225" t="s">
        <v>129</v>
      </c>
      <c r="D544" s="426">
        <v>35</v>
      </c>
      <c r="E544" s="947"/>
      <c r="F544" s="947"/>
      <c r="G544" s="947"/>
      <c r="H544" s="981"/>
      <c r="I544" s="947"/>
      <c r="J544" s="947"/>
      <c r="K544" s="940">
        <f t="shared" si="80"/>
        <v>0</v>
      </c>
      <c r="L544" s="949"/>
      <c r="M544" s="949"/>
      <c r="N544" s="947"/>
      <c r="O544" s="927"/>
      <c r="P544" s="949"/>
      <c r="Q544" s="950"/>
      <c r="R544" s="949"/>
      <c r="S544" s="949"/>
      <c r="T544" s="907"/>
      <c r="U544" s="947"/>
      <c r="V544" s="947"/>
      <c r="W544" s="951"/>
      <c r="X544" s="949"/>
      <c r="Y544" s="948"/>
      <c r="Z544" s="909"/>
      <c r="AA544" s="947"/>
      <c r="AB544" s="950"/>
      <c r="AC544" s="927"/>
      <c r="AD544" s="952"/>
      <c r="AE544" s="1095"/>
      <c r="AF544" s="950"/>
      <c r="AG544" s="953"/>
      <c r="AH544" s="953"/>
      <c r="AI544" s="827">
        <f t="shared" si="83"/>
        <v>0</v>
      </c>
      <c r="AJ544" s="939">
        <f t="shared" si="84"/>
        <v>0</v>
      </c>
    </row>
    <row r="545" spans="3:36" x14ac:dyDescent="0.2">
      <c r="C545" s="225" t="s">
        <v>939</v>
      </c>
      <c r="D545" s="426">
        <v>36</v>
      </c>
      <c r="E545" s="947"/>
      <c r="F545" s="947"/>
      <c r="G545" s="947"/>
      <c r="H545" s="981"/>
      <c r="I545" s="947"/>
      <c r="J545" s="947"/>
      <c r="K545" s="940">
        <f t="shared" si="80"/>
        <v>0</v>
      </c>
      <c r="L545" s="949"/>
      <c r="M545" s="949"/>
      <c r="N545" s="947"/>
      <c r="O545" s="927"/>
      <c r="P545" s="949"/>
      <c r="Q545" s="950"/>
      <c r="R545" s="949"/>
      <c r="S545" s="949"/>
      <c r="T545" s="907"/>
      <c r="U545" s="947"/>
      <c r="V545" s="947"/>
      <c r="W545" s="951"/>
      <c r="X545" s="949"/>
      <c r="Y545" s="948"/>
      <c r="Z545" s="909"/>
      <c r="AA545" s="947"/>
      <c r="AB545" s="950"/>
      <c r="AC545" s="927"/>
      <c r="AD545" s="952"/>
      <c r="AE545" s="1095"/>
      <c r="AF545" s="950"/>
      <c r="AG545" s="953"/>
      <c r="AH545" s="953"/>
      <c r="AI545" s="827">
        <f t="shared" si="83"/>
        <v>0</v>
      </c>
      <c r="AJ545" s="939">
        <f t="shared" si="84"/>
        <v>0</v>
      </c>
    </row>
    <row r="546" spans="3:36" x14ac:dyDescent="0.2">
      <c r="C546" s="225" t="s">
        <v>568</v>
      </c>
      <c r="D546" s="426">
        <v>37</v>
      </c>
      <c r="E546" s="947"/>
      <c r="F546" s="947"/>
      <c r="G546" s="947"/>
      <c r="H546" s="981"/>
      <c r="I546" s="947"/>
      <c r="J546" s="947"/>
      <c r="K546" s="940">
        <f t="shared" ref="K546:K566" si="85">ROUND(SUM(E546:H546,J546),3)</f>
        <v>0</v>
      </c>
      <c r="L546" s="949"/>
      <c r="M546" s="949"/>
      <c r="N546" s="954"/>
      <c r="O546" s="927"/>
      <c r="P546" s="955"/>
      <c r="Q546" s="950"/>
      <c r="R546" s="949"/>
      <c r="S546" s="949"/>
      <c r="T546" s="907"/>
      <c r="U546" s="947"/>
      <c r="V546" s="947"/>
      <c r="W546" s="951"/>
      <c r="X546" s="949"/>
      <c r="Y546" s="948"/>
      <c r="Z546" s="909"/>
      <c r="AA546" s="947"/>
      <c r="AB546" s="950"/>
      <c r="AC546" s="927"/>
      <c r="AD546" s="952"/>
      <c r="AE546" s="1095"/>
      <c r="AF546" s="950"/>
      <c r="AG546" s="953"/>
      <c r="AH546" s="953"/>
      <c r="AI546" s="827">
        <f t="shared" si="83"/>
        <v>0</v>
      </c>
      <c r="AJ546" s="939">
        <f t="shared" si="84"/>
        <v>0</v>
      </c>
    </row>
    <row r="547" spans="3:36" x14ac:dyDescent="0.2">
      <c r="C547" s="225" t="s">
        <v>130</v>
      </c>
      <c r="D547" s="426">
        <v>38</v>
      </c>
      <c r="E547" s="947"/>
      <c r="F547" s="947"/>
      <c r="G547" s="947"/>
      <c r="H547" s="981"/>
      <c r="I547" s="947"/>
      <c r="J547" s="947"/>
      <c r="K547" s="940">
        <f t="shared" si="85"/>
        <v>0</v>
      </c>
      <c r="L547" s="949"/>
      <c r="M547" s="949"/>
      <c r="N547" s="954"/>
      <c r="O547" s="927"/>
      <c r="P547" s="955"/>
      <c r="Q547" s="950"/>
      <c r="R547" s="949"/>
      <c r="S547" s="949"/>
      <c r="T547" s="907"/>
      <c r="U547" s="947"/>
      <c r="V547" s="947"/>
      <c r="W547" s="951"/>
      <c r="X547" s="949"/>
      <c r="Y547" s="948"/>
      <c r="Z547" s="909"/>
      <c r="AA547" s="947"/>
      <c r="AB547" s="950"/>
      <c r="AC547" s="927"/>
      <c r="AD547" s="952"/>
      <c r="AE547" s="1095"/>
      <c r="AF547" s="950"/>
      <c r="AG547" s="953"/>
      <c r="AH547" s="953"/>
      <c r="AI547" s="827">
        <f t="shared" si="83"/>
        <v>0</v>
      </c>
      <c r="AJ547" s="939">
        <f t="shared" si="84"/>
        <v>0</v>
      </c>
    </row>
    <row r="548" spans="3:36" x14ac:dyDescent="0.2">
      <c r="C548" s="225" t="s">
        <v>131</v>
      </c>
      <c r="D548" s="426">
        <v>39</v>
      </c>
      <c r="E548" s="947"/>
      <c r="F548" s="947"/>
      <c r="G548" s="947"/>
      <c r="H548" s="981"/>
      <c r="I548" s="947"/>
      <c r="J548" s="947"/>
      <c r="K548" s="940">
        <f t="shared" si="85"/>
        <v>0</v>
      </c>
      <c r="L548" s="949"/>
      <c r="M548" s="949"/>
      <c r="N548" s="954"/>
      <c r="O548" s="927"/>
      <c r="P548" s="955"/>
      <c r="Q548" s="950"/>
      <c r="R548" s="949"/>
      <c r="S548" s="949"/>
      <c r="T548" s="907"/>
      <c r="U548" s="947"/>
      <c r="V548" s="947"/>
      <c r="W548" s="951"/>
      <c r="X548" s="949"/>
      <c r="Y548" s="948"/>
      <c r="Z548" s="909"/>
      <c r="AA548" s="947"/>
      <c r="AB548" s="950"/>
      <c r="AC548" s="927"/>
      <c r="AD548" s="952"/>
      <c r="AE548" s="1095"/>
      <c r="AF548" s="950"/>
      <c r="AG548" s="953"/>
      <c r="AH548" s="953"/>
      <c r="AI548" s="827">
        <f t="shared" si="83"/>
        <v>0</v>
      </c>
      <c r="AJ548" s="939">
        <f t="shared" si="84"/>
        <v>0</v>
      </c>
    </row>
    <row r="549" spans="3:36" x14ac:dyDescent="0.2">
      <c r="C549" s="74" t="s">
        <v>1365</v>
      </c>
      <c r="D549" s="426">
        <v>40</v>
      </c>
      <c r="E549" s="947"/>
      <c r="F549" s="947"/>
      <c r="G549" s="947"/>
      <c r="H549" s="981"/>
      <c r="I549" s="947"/>
      <c r="J549" s="947"/>
      <c r="K549" s="940">
        <f t="shared" si="85"/>
        <v>0</v>
      </c>
      <c r="L549" s="949"/>
      <c r="M549" s="949"/>
      <c r="N549" s="954"/>
      <c r="O549" s="927"/>
      <c r="P549" s="955"/>
      <c r="Q549" s="950"/>
      <c r="R549" s="949"/>
      <c r="S549" s="949"/>
      <c r="T549" s="907"/>
      <c r="U549" s="947"/>
      <c r="V549" s="947"/>
      <c r="W549" s="951"/>
      <c r="X549" s="949"/>
      <c r="Y549" s="948"/>
      <c r="Z549" s="909"/>
      <c r="AA549" s="947"/>
      <c r="AB549" s="950"/>
      <c r="AC549" s="927"/>
      <c r="AD549" s="952"/>
      <c r="AE549" s="1095"/>
      <c r="AF549" s="950"/>
      <c r="AG549" s="953"/>
      <c r="AH549" s="953"/>
      <c r="AI549" s="827">
        <f t="shared" si="83"/>
        <v>0</v>
      </c>
      <c r="AJ549" s="939">
        <f t="shared" si="84"/>
        <v>0</v>
      </c>
    </row>
    <row r="550" spans="3:36" x14ac:dyDescent="0.2">
      <c r="C550" s="427" t="s">
        <v>132</v>
      </c>
      <c r="D550" s="426">
        <v>41</v>
      </c>
      <c r="E550" s="947"/>
      <c r="F550" s="947"/>
      <c r="G550" s="947"/>
      <c r="H550" s="981"/>
      <c r="I550" s="947"/>
      <c r="J550" s="947"/>
      <c r="K550" s="940">
        <f t="shared" si="85"/>
        <v>0</v>
      </c>
      <c r="L550" s="949"/>
      <c r="M550" s="949"/>
      <c r="N550" s="954"/>
      <c r="O550" s="927"/>
      <c r="P550" s="955"/>
      <c r="Q550" s="950"/>
      <c r="R550" s="949"/>
      <c r="S550" s="949"/>
      <c r="T550" s="907"/>
      <c r="U550" s="947"/>
      <c r="V550" s="947"/>
      <c r="W550" s="951"/>
      <c r="X550" s="949"/>
      <c r="Y550" s="948"/>
      <c r="Z550" s="909"/>
      <c r="AA550" s="947"/>
      <c r="AB550" s="950"/>
      <c r="AC550" s="927"/>
      <c r="AD550" s="952"/>
      <c r="AE550" s="1095"/>
      <c r="AF550" s="950"/>
      <c r="AG550" s="953"/>
      <c r="AH550" s="953"/>
      <c r="AI550" s="827">
        <f t="shared" si="83"/>
        <v>0</v>
      </c>
      <c r="AJ550" s="939">
        <f t="shared" si="84"/>
        <v>0</v>
      </c>
    </row>
    <row r="551" spans="3:36" x14ac:dyDescent="0.2">
      <c r="C551" s="427" t="s">
        <v>133</v>
      </c>
      <c r="D551" s="426">
        <v>42</v>
      </c>
      <c r="E551" s="947"/>
      <c r="F551" s="947"/>
      <c r="G551" s="947"/>
      <c r="H551" s="981"/>
      <c r="I551" s="947"/>
      <c r="J551" s="947"/>
      <c r="K551" s="940">
        <f t="shared" si="85"/>
        <v>0</v>
      </c>
      <c r="L551" s="949"/>
      <c r="M551" s="949"/>
      <c r="N551" s="947"/>
      <c r="O551" s="927"/>
      <c r="P551" s="949"/>
      <c r="Q551" s="950"/>
      <c r="R551" s="949"/>
      <c r="S551" s="949"/>
      <c r="T551" s="907"/>
      <c r="U551" s="947"/>
      <c r="V551" s="947"/>
      <c r="W551" s="951"/>
      <c r="X551" s="949"/>
      <c r="Y551" s="948"/>
      <c r="Z551" s="909"/>
      <c r="AA551" s="947"/>
      <c r="AB551" s="950"/>
      <c r="AC551" s="927"/>
      <c r="AD551" s="952"/>
      <c r="AE551" s="1095"/>
      <c r="AF551" s="950"/>
      <c r="AG551" s="953"/>
      <c r="AH551" s="953"/>
      <c r="AI551" s="827">
        <f t="shared" si="83"/>
        <v>0</v>
      </c>
      <c r="AJ551" s="939">
        <f t="shared" si="84"/>
        <v>0</v>
      </c>
    </row>
    <row r="552" spans="3:36" x14ac:dyDescent="0.2">
      <c r="C552" s="427" t="s">
        <v>134</v>
      </c>
      <c r="D552" s="426">
        <v>43</v>
      </c>
      <c r="E552" s="947"/>
      <c r="F552" s="947"/>
      <c r="G552" s="947"/>
      <c r="H552" s="981"/>
      <c r="I552" s="947"/>
      <c r="J552" s="947"/>
      <c r="K552" s="940">
        <f t="shared" si="85"/>
        <v>0</v>
      </c>
      <c r="L552" s="949"/>
      <c r="M552" s="949"/>
      <c r="N552" s="947"/>
      <c r="O552" s="927"/>
      <c r="P552" s="949"/>
      <c r="Q552" s="950"/>
      <c r="R552" s="949"/>
      <c r="S552" s="949"/>
      <c r="T552" s="907"/>
      <c r="U552" s="947"/>
      <c r="V552" s="947"/>
      <c r="W552" s="951"/>
      <c r="X552" s="949"/>
      <c r="Y552" s="948"/>
      <c r="Z552" s="909"/>
      <c r="AA552" s="947"/>
      <c r="AB552" s="950"/>
      <c r="AC552" s="927"/>
      <c r="AD552" s="952"/>
      <c r="AE552" s="1095"/>
      <c r="AF552" s="950"/>
      <c r="AG552" s="953"/>
      <c r="AH552" s="953"/>
      <c r="AI552" s="827">
        <f t="shared" si="83"/>
        <v>0</v>
      </c>
      <c r="AJ552" s="939">
        <f t="shared" si="84"/>
        <v>0</v>
      </c>
    </row>
    <row r="553" spans="3:36" x14ac:dyDescent="0.2">
      <c r="C553" s="427" t="s">
        <v>59</v>
      </c>
      <c r="D553" s="426">
        <v>44</v>
      </c>
      <c r="E553" s="947"/>
      <c r="F553" s="947"/>
      <c r="G553" s="947"/>
      <c r="H553" s="981"/>
      <c r="I553" s="947"/>
      <c r="J553" s="947"/>
      <c r="K553" s="940">
        <f t="shared" si="85"/>
        <v>0</v>
      </c>
      <c r="L553" s="949"/>
      <c r="M553" s="949"/>
      <c r="N553" s="947"/>
      <c r="O553" s="927"/>
      <c r="P553" s="949"/>
      <c r="Q553" s="950"/>
      <c r="R553" s="949"/>
      <c r="S553" s="949"/>
      <c r="T553" s="907"/>
      <c r="U553" s="947"/>
      <c r="V553" s="947"/>
      <c r="W553" s="951"/>
      <c r="X553" s="949"/>
      <c r="Y553" s="948"/>
      <c r="Z553" s="909"/>
      <c r="AA553" s="947"/>
      <c r="AB553" s="950"/>
      <c r="AC553" s="927"/>
      <c r="AD553" s="952"/>
      <c r="AE553" s="1095"/>
      <c r="AF553" s="950"/>
      <c r="AG553" s="953"/>
      <c r="AH553" s="953"/>
      <c r="AI553" s="827">
        <f t="shared" si="83"/>
        <v>0</v>
      </c>
      <c r="AJ553" s="939">
        <f t="shared" si="84"/>
        <v>0</v>
      </c>
    </row>
    <row r="554" spans="3:36" x14ac:dyDescent="0.2">
      <c r="C554" s="427" t="s">
        <v>621</v>
      </c>
      <c r="D554" s="426">
        <v>45</v>
      </c>
      <c r="E554" s="947"/>
      <c r="F554" s="947"/>
      <c r="G554" s="947"/>
      <c r="H554" s="981"/>
      <c r="I554" s="947"/>
      <c r="J554" s="947"/>
      <c r="K554" s="940">
        <f t="shared" si="85"/>
        <v>0</v>
      </c>
      <c r="L554" s="949"/>
      <c r="M554" s="949"/>
      <c r="N554" s="947"/>
      <c r="O554" s="927"/>
      <c r="P554" s="949"/>
      <c r="Q554" s="950"/>
      <c r="R554" s="949"/>
      <c r="S554" s="949"/>
      <c r="T554" s="907"/>
      <c r="U554" s="947"/>
      <c r="V554" s="947"/>
      <c r="W554" s="951"/>
      <c r="X554" s="949"/>
      <c r="Y554" s="948"/>
      <c r="Z554" s="909"/>
      <c r="AA554" s="947"/>
      <c r="AB554" s="950"/>
      <c r="AC554" s="927"/>
      <c r="AD554" s="952"/>
      <c r="AE554" s="1095"/>
      <c r="AF554" s="950"/>
      <c r="AG554" s="953"/>
      <c r="AH554" s="953"/>
      <c r="AI554" s="827">
        <f t="shared" si="83"/>
        <v>0</v>
      </c>
      <c r="AJ554" s="939">
        <f t="shared" si="84"/>
        <v>0</v>
      </c>
    </row>
    <row r="555" spans="3:36" x14ac:dyDescent="0.2">
      <c r="C555" s="427" t="s">
        <v>569</v>
      </c>
      <c r="D555" s="426">
        <v>46</v>
      </c>
      <c r="E555" s="947"/>
      <c r="F555" s="947"/>
      <c r="G555" s="947"/>
      <c r="H555" s="981"/>
      <c r="I555" s="947"/>
      <c r="J555" s="947"/>
      <c r="K555" s="940">
        <f t="shared" si="85"/>
        <v>0</v>
      </c>
      <c r="L555" s="949"/>
      <c r="M555" s="949"/>
      <c r="N555" s="954"/>
      <c r="O555" s="927"/>
      <c r="P555" s="955"/>
      <c r="Q555" s="950"/>
      <c r="R555" s="949"/>
      <c r="S555" s="949"/>
      <c r="T555" s="907"/>
      <c r="U555" s="947"/>
      <c r="V555" s="947"/>
      <c r="W555" s="951"/>
      <c r="X555" s="949"/>
      <c r="Y555" s="948"/>
      <c r="Z555" s="909"/>
      <c r="AA555" s="947"/>
      <c r="AB555" s="950"/>
      <c r="AC555" s="927"/>
      <c r="AD555" s="952"/>
      <c r="AE555" s="1095"/>
      <c r="AF555" s="950"/>
      <c r="AG555" s="953"/>
      <c r="AH555" s="953"/>
      <c r="AI555" s="827">
        <f t="shared" si="83"/>
        <v>0</v>
      </c>
      <c r="AJ555" s="939">
        <f t="shared" si="84"/>
        <v>0</v>
      </c>
    </row>
    <row r="556" spans="3:36" x14ac:dyDescent="0.2">
      <c r="C556" s="427" t="s">
        <v>99</v>
      </c>
      <c r="D556" s="426">
        <v>47</v>
      </c>
      <c r="E556" s="947"/>
      <c r="F556" s="947"/>
      <c r="G556" s="947"/>
      <c r="H556" s="981"/>
      <c r="I556" s="947"/>
      <c r="J556" s="947"/>
      <c r="K556" s="940">
        <f t="shared" si="85"/>
        <v>0</v>
      </c>
      <c r="L556" s="949"/>
      <c r="M556" s="949"/>
      <c r="N556" s="947"/>
      <c r="O556" s="927"/>
      <c r="P556" s="949"/>
      <c r="Q556" s="950"/>
      <c r="R556" s="949"/>
      <c r="S556" s="949"/>
      <c r="T556" s="907"/>
      <c r="U556" s="947"/>
      <c r="V556" s="947"/>
      <c r="W556" s="951"/>
      <c r="X556" s="949"/>
      <c r="Y556" s="948"/>
      <c r="Z556" s="909"/>
      <c r="AA556" s="947"/>
      <c r="AB556" s="950"/>
      <c r="AC556" s="927"/>
      <c r="AD556" s="952"/>
      <c r="AE556" s="1095"/>
      <c r="AF556" s="950"/>
      <c r="AG556" s="953"/>
      <c r="AH556" s="953"/>
      <c r="AI556" s="827">
        <f t="shared" si="83"/>
        <v>0</v>
      </c>
      <c r="AJ556" s="939">
        <f t="shared" si="84"/>
        <v>0</v>
      </c>
    </row>
    <row r="557" spans="3:36" x14ac:dyDescent="0.2">
      <c r="C557" s="427" t="s">
        <v>570</v>
      </c>
      <c r="D557" s="426">
        <v>48</v>
      </c>
      <c r="E557" s="947"/>
      <c r="F557" s="947"/>
      <c r="G557" s="947"/>
      <c r="H557" s="981"/>
      <c r="I557" s="947"/>
      <c r="J557" s="947"/>
      <c r="K557" s="940">
        <f t="shared" si="85"/>
        <v>0</v>
      </c>
      <c r="L557" s="949"/>
      <c r="M557" s="949"/>
      <c r="N557" s="947"/>
      <c r="O557" s="927"/>
      <c r="P557" s="949"/>
      <c r="Q557" s="950"/>
      <c r="R557" s="949"/>
      <c r="S557" s="949"/>
      <c r="T557" s="907"/>
      <c r="U557" s="947"/>
      <c r="V557" s="947"/>
      <c r="W557" s="951"/>
      <c r="X557" s="949"/>
      <c r="Y557" s="948"/>
      <c r="Z557" s="909"/>
      <c r="AA557" s="947"/>
      <c r="AB557" s="950"/>
      <c r="AC557" s="927"/>
      <c r="AD557" s="952"/>
      <c r="AE557" s="1095"/>
      <c r="AF557" s="950"/>
      <c r="AG557" s="953"/>
      <c r="AH557" s="953"/>
      <c r="AI557" s="827">
        <f t="shared" si="83"/>
        <v>0</v>
      </c>
      <c r="AJ557" s="939">
        <f t="shared" si="84"/>
        <v>0</v>
      </c>
    </row>
    <row r="558" spans="3:36" x14ac:dyDescent="0.2">
      <c r="C558" s="427" t="s">
        <v>135</v>
      </c>
      <c r="D558" s="426">
        <v>49</v>
      </c>
      <c r="E558" s="947"/>
      <c r="F558" s="947"/>
      <c r="G558" s="947"/>
      <c r="H558" s="981"/>
      <c r="I558" s="947"/>
      <c r="J558" s="947"/>
      <c r="K558" s="940">
        <f t="shared" si="85"/>
        <v>0</v>
      </c>
      <c r="L558" s="949"/>
      <c r="M558" s="949"/>
      <c r="N558" s="947"/>
      <c r="O558" s="927"/>
      <c r="P558" s="949"/>
      <c r="Q558" s="950"/>
      <c r="R558" s="949"/>
      <c r="S558" s="949"/>
      <c r="T558" s="907"/>
      <c r="U558" s="947"/>
      <c r="V558" s="947"/>
      <c r="W558" s="951"/>
      <c r="X558" s="949"/>
      <c r="Y558" s="948"/>
      <c r="Z558" s="909"/>
      <c r="AA558" s="947"/>
      <c r="AB558" s="950"/>
      <c r="AC558" s="927"/>
      <c r="AD558" s="952"/>
      <c r="AE558" s="1095"/>
      <c r="AF558" s="950"/>
      <c r="AG558" s="953"/>
      <c r="AH558" s="953"/>
      <c r="AI558" s="827">
        <f t="shared" si="83"/>
        <v>0</v>
      </c>
      <c r="AJ558" s="939">
        <f t="shared" si="84"/>
        <v>0</v>
      </c>
    </row>
    <row r="559" spans="3:36" x14ac:dyDescent="0.2">
      <c r="C559" s="427" t="s">
        <v>136</v>
      </c>
      <c r="D559" s="426">
        <v>50</v>
      </c>
      <c r="E559" s="947"/>
      <c r="F559" s="947"/>
      <c r="G559" s="947"/>
      <c r="H559" s="981"/>
      <c r="I559" s="947"/>
      <c r="J559" s="947"/>
      <c r="K559" s="940">
        <f t="shared" si="85"/>
        <v>0</v>
      </c>
      <c r="L559" s="949"/>
      <c r="M559" s="949"/>
      <c r="N559" s="947"/>
      <c r="O559" s="927"/>
      <c r="P559" s="949"/>
      <c r="Q559" s="950"/>
      <c r="R559" s="949"/>
      <c r="S559" s="949"/>
      <c r="T559" s="907"/>
      <c r="U559" s="947"/>
      <c r="V559" s="947"/>
      <c r="W559" s="951"/>
      <c r="X559" s="949"/>
      <c r="Y559" s="948"/>
      <c r="Z559" s="909"/>
      <c r="AA559" s="947"/>
      <c r="AB559" s="950"/>
      <c r="AC559" s="927"/>
      <c r="AD559" s="952"/>
      <c r="AE559" s="1095"/>
      <c r="AF559" s="950"/>
      <c r="AG559" s="953"/>
      <c r="AH559" s="953"/>
      <c r="AI559" s="827">
        <f t="shared" si="83"/>
        <v>0</v>
      </c>
      <c r="AJ559" s="939">
        <f t="shared" si="84"/>
        <v>0</v>
      </c>
    </row>
    <row r="560" spans="3:36" x14ac:dyDescent="0.2">
      <c r="C560" s="427" t="s">
        <v>137</v>
      </c>
      <c r="D560" s="426">
        <v>51</v>
      </c>
      <c r="E560" s="947"/>
      <c r="F560" s="947"/>
      <c r="G560" s="947"/>
      <c r="H560" s="981"/>
      <c r="I560" s="947"/>
      <c r="J560" s="947"/>
      <c r="K560" s="940">
        <f t="shared" si="85"/>
        <v>0</v>
      </c>
      <c r="L560" s="949"/>
      <c r="M560" s="949"/>
      <c r="N560" s="947"/>
      <c r="O560" s="927"/>
      <c r="P560" s="949"/>
      <c r="Q560" s="950"/>
      <c r="R560" s="949"/>
      <c r="S560" s="949"/>
      <c r="T560" s="907"/>
      <c r="U560" s="947"/>
      <c r="V560" s="947"/>
      <c r="W560" s="951"/>
      <c r="X560" s="949"/>
      <c r="Y560" s="948"/>
      <c r="Z560" s="909"/>
      <c r="AA560" s="947"/>
      <c r="AB560" s="950"/>
      <c r="AC560" s="927"/>
      <c r="AD560" s="952"/>
      <c r="AE560" s="1095"/>
      <c r="AF560" s="950"/>
      <c r="AG560" s="953"/>
      <c r="AH560" s="953"/>
      <c r="AI560" s="827">
        <f t="shared" si="83"/>
        <v>0</v>
      </c>
      <c r="AJ560" s="939">
        <f t="shared" si="84"/>
        <v>0</v>
      </c>
    </row>
    <row r="561" spans="3:36" x14ac:dyDescent="0.2">
      <c r="C561" s="427" t="s">
        <v>138</v>
      </c>
      <c r="D561" s="426">
        <v>52</v>
      </c>
      <c r="E561" s="947"/>
      <c r="F561" s="947"/>
      <c r="G561" s="947"/>
      <c r="H561" s="981"/>
      <c r="I561" s="947"/>
      <c r="J561" s="947"/>
      <c r="K561" s="940">
        <f t="shared" si="85"/>
        <v>0</v>
      </c>
      <c r="L561" s="949"/>
      <c r="M561" s="949"/>
      <c r="N561" s="947"/>
      <c r="O561" s="927"/>
      <c r="P561" s="949"/>
      <c r="Q561" s="950"/>
      <c r="R561" s="949"/>
      <c r="S561" s="949"/>
      <c r="T561" s="907"/>
      <c r="U561" s="947"/>
      <c r="V561" s="947"/>
      <c r="W561" s="951"/>
      <c r="X561" s="949"/>
      <c r="Y561" s="948"/>
      <c r="Z561" s="909"/>
      <c r="AA561" s="947"/>
      <c r="AB561" s="950"/>
      <c r="AC561" s="927"/>
      <c r="AD561" s="952"/>
      <c r="AE561" s="1095"/>
      <c r="AF561" s="950"/>
      <c r="AG561" s="953"/>
      <c r="AH561" s="953"/>
      <c r="AI561" s="827">
        <f t="shared" si="83"/>
        <v>0</v>
      </c>
      <c r="AJ561" s="939">
        <f t="shared" si="84"/>
        <v>0</v>
      </c>
    </row>
    <row r="562" spans="3:36" x14ac:dyDescent="0.2">
      <c r="C562" s="427" t="s">
        <v>565</v>
      </c>
      <c r="D562" s="426">
        <v>53</v>
      </c>
      <c r="E562" s="947"/>
      <c r="F562" s="947"/>
      <c r="G562" s="947"/>
      <c r="H562" s="981"/>
      <c r="I562" s="947"/>
      <c r="J562" s="947"/>
      <c r="K562" s="940">
        <f t="shared" si="85"/>
        <v>0</v>
      </c>
      <c r="L562" s="949"/>
      <c r="M562" s="949"/>
      <c r="N562" s="954"/>
      <c r="O562" s="927"/>
      <c r="P562" s="955"/>
      <c r="Q562" s="950"/>
      <c r="R562" s="949"/>
      <c r="S562" s="949"/>
      <c r="T562" s="907"/>
      <c r="U562" s="947"/>
      <c r="V562" s="947"/>
      <c r="W562" s="951"/>
      <c r="X562" s="949"/>
      <c r="Y562" s="948"/>
      <c r="Z562" s="909"/>
      <c r="AA562" s="947"/>
      <c r="AB562" s="950"/>
      <c r="AC562" s="927"/>
      <c r="AD562" s="952"/>
      <c r="AE562" s="1095"/>
      <c r="AF562" s="950"/>
      <c r="AG562" s="953"/>
      <c r="AH562" s="953"/>
      <c r="AI562" s="827">
        <f t="shared" si="83"/>
        <v>0</v>
      </c>
      <c r="AJ562" s="939">
        <f t="shared" si="84"/>
        <v>0</v>
      </c>
    </row>
    <row r="563" spans="3:36" x14ac:dyDescent="0.2">
      <c r="C563" s="427" t="s">
        <v>67</v>
      </c>
      <c r="D563" s="426">
        <v>54</v>
      </c>
      <c r="E563" s="947"/>
      <c r="F563" s="947"/>
      <c r="G563" s="947"/>
      <c r="H563" s="981"/>
      <c r="I563" s="947"/>
      <c r="J563" s="947"/>
      <c r="K563" s="940">
        <f t="shared" si="85"/>
        <v>0</v>
      </c>
      <c r="L563" s="949"/>
      <c r="M563" s="949"/>
      <c r="N563" s="954"/>
      <c r="O563" s="927"/>
      <c r="P563" s="955"/>
      <c r="Q563" s="950"/>
      <c r="R563" s="949"/>
      <c r="S563" s="949"/>
      <c r="T563" s="907"/>
      <c r="U563" s="947"/>
      <c r="V563" s="947"/>
      <c r="W563" s="951"/>
      <c r="X563" s="949"/>
      <c r="Y563" s="948"/>
      <c r="Z563" s="909"/>
      <c r="AA563" s="947"/>
      <c r="AB563" s="950"/>
      <c r="AC563" s="927"/>
      <c r="AD563" s="952"/>
      <c r="AE563" s="1095"/>
      <c r="AF563" s="950"/>
      <c r="AG563" s="953"/>
      <c r="AH563" s="953"/>
      <c r="AI563" s="827">
        <f t="shared" si="83"/>
        <v>0</v>
      </c>
      <c r="AJ563" s="939">
        <f t="shared" si="84"/>
        <v>0</v>
      </c>
    </row>
    <row r="564" spans="3:36" x14ac:dyDescent="0.2">
      <c r="C564" s="427" t="s">
        <v>139</v>
      </c>
      <c r="D564" s="426">
        <v>55</v>
      </c>
      <c r="E564" s="947"/>
      <c r="F564" s="947"/>
      <c r="G564" s="947"/>
      <c r="H564" s="981"/>
      <c r="I564" s="947"/>
      <c r="J564" s="947"/>
      <c r="K564" s="940">
        <f t="shared" si="85"/>
        <v>0</v>
      </c>
      <c r="L564" s="949"/>
      <c r="M564" s="949"/>
      <c r="N564" s="954"/>
      <c r="O564" s="927"/>
      <c r="P564" s="955"/>
      <c r="Q564" s="950"/>
      <c r="R564" s="949"/>
      <c r="S564" s="949"/>
      <c r="T564" s="907"/>
      <c r="U564" s="947"/>
      <c r="V564" s="947"/>
      <c r="W564" s="951"/>
      <c r="X564" s="949"/>
      <c r="Y564" s="948"/>
      <c r="Z564" s="909"/>
      <c r="AA564" s="947"/>
      <c r="AB564" s="950"/>
      <c r="AC564" s="927"/>
      <c r="AD564" s="952"/>
      <c r="AE564" s="1095"/>
      <c r="AF564" s="950"/>
      <c r="AG564" s="953"/>
      <c r="AH564" s="953"/>
      <c r="AI564" s="827">
        <f t="shared" si="83"/>
        <v>0</v>
      </c>
      <c r="AJ564" s="939">
        <f t="shared" si="84"/>
        <v>0</v>
      </c>
    </row>
    <row r="565" spans="3:36" ht="13.5" thickBot="1" x14ac:dyDescent="0.25">
      <c r="C565" s="207" t="s">
        <v>95</v>
      </c>
      <c r="D565" s="426">
        <v>56</v>
      </c>
      <c r="E565" s="947"/>
      <c r="F565" s="947"/>
      <c r="G565" s="947"/>
      <c r="H565" s="981"/>
      <c r="I565" s="947"/>
      <c r="J565" s="947"/>
      <c r="K565" s="940">
        <f t="shared" si="85"/>
        <v>0</v>
      </c>
      <c r="L565" s="949"/>
      <c r="M565" s="949"/>
      <c r="N565" s="954"/>
      <c r="O565" s="982"/>
      <c r="P565" s="955"/>
      <c r="Q565" s="950"/>
      <c r="R565" s="949"/>
      <c r="S565" s="949"/>
      <c r="T565" s="934"/>
      <c r="U565" s="947"/>
      <c r="V565" s="947"/>
      <c r="W565" s="951"/>
      <c r="X565" s="949"/>
      <c r="Y565" s="948"/>
      <c r="Z565" s="983"/>
      <c r="AA565" s="947"/>
      <c r="AB565" s="950"/>
      <c r="AC565" s="982"/>
      <c r="AD565" s="952"/>
      <c r="AE565" s="1095"/>
      <c r="AF565" s="950"/>
      <c r="AG565" s="953"/>
      <c r="AH565" s="953"/>
      <c r="AI565" s="939">
        <f t="shared" si="83"/>
        <v>0</v>
      </c>
      <c r="AJ565" s="939">
        <f t="shared" si="84"/>
        <v>0</v>
      </c>
    </row>
    <row r="566" spans="3:36" ht="13.5" thickBot="1" x14ac:dyDescent="0.25">
      <c r="C566" s="73" t="s">
        <v>899</v>
      </c>
      <c r="D566" s="158">
        <v>57</v>
      </c>
      <c r="E566" s="935">
        <f t="shared" ref="E566:J566" si="86">ROUND(SUM(E510:E565),3)</f>
        <v>0</v>
      </c>
      <c r="F566" s="935">
        <f t="shared" si="86"/>
        <v>0</v>
      </c>
      <c r="G566" s="935">
        <f t="shared" si="86"/>
        <v>0</v>
      </c>
      <c r="H566" s="935">
        <f t="shared" si="86"/>
        <v>0</v>
      </c>
      <c r="I566" s="935">
        <f t="shared" si="86"/>
        <v>0</v>
      </c>
      <c r="J566" s="935">
        <f t="shared" si="86"/>
        <v>0</v>
      </c>
      <c r="K566" s="984">
        <f t="shared" si="85"/>
        <v>0</v>
      </c>
      <c r="L566" s="985">
        <f t="shared" ref="L566:AH566" si="87">ROUND(SUM(L510:L565),3)</f>
        <v>0</v>
      </c>
      <c r="M566" s="935">
        <f t="shared" si="87"/>
        <v>0</v>
      </c>
      <c r="N566" s="984">
        <f t="shared" si="87"/>
        <v>0</v>
      </c>
      <c r="O566" s="986">
        <f t="shared" si="87"/>
        <v>0</v>
      </c>
      <c r="P566" s="935">
        <f t="shared" si="87"/>
        <v>0</v>
      </c>
      <c r="Q566" s="984">
        <f t="shared" si="87"/>
        <v>0</v>
      </c>
      <c r="R566" s="936">
        <f t="shared" si="87"/>
        <v>0</v>
      </c>
      <c r="S566" s="935">
        <f t="shared" si="87"/>
        <v>0</v>
      </c>
      <c r="T566" s="987">
        <f t="shared" si="87"/>
        <v>0</v>
      </c>
      <c r="U566" s="935">
        <f t="shared" si="87"/>
        <v>0</v>
      </c>
      <c r="V566" s="935">
        <f t="shared" si="87"/>
        <v>0</v>
      </c>
      <c r="W566" s="984">
        <f t="shared" si="87"/>
        <v>0</v>
      </c>
      <c r="X566" s="936">
        <f t="shared" si="87"/>
        <v>0</v>
      </c>
      <c r="Y566" s="935">
        <f t="shared" si="87"/>
        <v>0</v>
      </c>
      <c r="Z566" s="988">
        <f t="shared" si="87"/>
        <v>0</v>
      </c>
      <c r="AA566" s="935">
        <f t="shared" si="87"/>
        <v>0</v>
      </c>
      <c r="AB566" s="984">
        <f t="shared" si="87"/>
        <v>0</v>
      </c>
      <c r="AC566" s="986">
        <f t="shared" si="87"/>
        <v>0</v>
      </c>
      <c r="AD566" s="935">
        <f t="shared" si="87"/>
        <v>0</v>
      </c>
      <c r="AE566" s="935">
        <f t="shared" si="87"/>
        <v>0</v>
      </c>
      <c r="AF566" s="984">
        <f t="shared" si="87"/>
        <v>0</v>
      </c>
      <c r="AG566" s="935">
        <f t="shared" si="87"/>
        <v>0</v>
      </c>
      <c r="AH566" s="936">
        <f t="shared" si="87"/>
        <v>0</v>
      </c>
      <c r="AI566" s="935">
        <f t="shared" si="83"/>
        <v>0</v>
      </c>
      <c r="AJ566" s="938">
        <f t="shared" si="84"/>
        <v>0</v>
      </c>
    </row>
    <row r="567" spans="3:36" ht="13.5" thickBot="1" x14ac:dyDescent="0.25">
      <c r="C567" s="205"/>
      <c r="D567" s="204"/>
      <c r="E567" s="989"/>
      <c r="F567" s="989"/>
      <c r="G567" s="989"/>
      <c r="H567" s="989"/>
      <c r="I567" s="989"/>
      <c r="J567" s="989"/>
      <c r="K567" s="989"/>
      <c r="L567" s="989"/>
      <c r="M567" s="989"/>
      <c r="N567" s="989"/>
      <c r="O567" s="989"/>
      <c r="P567" s="989"/>
      <c r="Q567" s="989"/>
      <c r="R567" s="989"/>
      <c r="S567" s="989"/>
      <c r="T567" s="989"/>
      <c r="U567" s="989"/>
      <c r="V567" s="989"/>
      <c r="W567" s="989"/>
      <c r="X567" s="989"/>
      <c r="Y567" s="989"/>
      <c r="Z567" s="989"/>
      <c r="AA567" s="989"/>
      <c r="AB567" s="989"/>
      <c r="AC567" s="989"/>
      <c r="AD567" s="989"/>
      <c r="AE567" s="989"/>
      <c r="AF567" s="989"/>
      <c r="AG567" s="989"/>
      <c r="AH567" s="989"/>
      <c r="AI567" s="989"/>
      <c r="AJ567" s="989"/>
    </row>
    <row r="568" spans="3:36" ht="13.5" thickBot="1" x14ac:dyDescent="0.25">
      <c r="C568" s="206" t="str">
        <f>IF(EnCMember=1,"Total EnC Contracting Parties","Total EU MS")</f>
        <v>Total EU MS</v>
      </c>
      <c r="D568" s="208">
        <v>58</v>
      </c>
      <c r="E568" s="811">
        <f>ROUND(IF('Table 1'!$G$3&gt;1,IF(EnCMember=1,E510+E516+E549+E529+E539+E545+E546+E555+E562+E513+E515+E517+E522+E523+E524+E525+E526+E527+E528+E530+E531+E532+E534+E536+E540+E541+E542+E543+E547+E551+E552+E553+E556+E557+E558+E559+E563,E513+E515+E517+E522+E523+E524+E525+E526+E527+E528+E530+E531+E532+E534+E536+E540+E541+E542+E543+E547+E551+E552+E553+E556+E557+E558+E559+E563),IF(EnCMember=1,E510+E516+E549+E529+E539+E545+E546+E555+E562+E513+E515+E517+E522+E523+E524+E525+E526+E527+E528+E530+E531+E532+E534+E536+E540+E541+E542+E543+E547+E551+E552+E553+E556+E557+E558+E559,E513+E515+E517+E522+E523+E524+E525+E526+E527+E528+E530+E531+E532+E534+E536+E540+E541+E542+E543+E547+E551+E552+E553+E556+E557+E558+E559)),3)</f>
        <v>0</v>
      </c>
      <c r="F568" s="811">
        <f>ROUND(IF('Table 1'!$G$3&gt;1,IF(EnCMember=1,F510+F516+F549+F529+F539+F545+F546+F555+F562+F513+F515+F517+F522+F523+F524+F525+F526+F527+F528+F530+F531+F532+F534+F536+F540+F541+F542+F543+F547+F551+F552+F553+F556+F557+F558+F559+F563,F513+F515+F517+F522+F523+F524+F525+F526+F527+F528+F530+F531+F532+F534+F536+F540+F541+F542+F543+F547+F551+F552+F553+F556+F557+F558+F559+F563),IF(EnCMember=1,F510+F516+F549+F529+F539+F545+F546+F555+F562+F513+F515+F517+F522+F523+F524+F525+F526+F527+F528+F530+F531+F532+F534+F536+F540+F541+F542+F543+F547+F551+F552+F553+F556+F557+F558+F559,F513+F515+F517+F522+F523+F524+F525+F526+F527+F528+F530+F531+F532+F534+F536+F540+F541+F542+F543+F547+F551+F552+F553+F556+F557+F558+F559)),3)</f>
        <v>0</v>
      </c>
      <c r="G568" s="811">
        <f>ROUND(IF('Table 1'!$G$3&gt;1,IF(EnCMember=1,G510+G516+G549+G529+G539+G545+G546+G555+G562+G513+G515+G517+G522+G523+G524+G525+G526+G527+G528+G530+G531+G532+G534+G536+G540+G541+G542+G543+G547+G551+G552+G553+G556+G557+G558+G559+G563,G513+G515+G517+G522+G523+G524+G525+G526+G527+G528+G530+G531+G532+G534+G536+G540+G541+G542+G543+G547+G551+G552+G553+G556+G557+G558+G559+G563),IF(EnCMember=1,G510+G516+G549+G529+G539+G545+G546+G555+G562+G513+G515+G517+G522+G523+G524+G525+G526+G527+G528+G530+G531+G532+G534+G536+G540+G541+G542+G543+G547+G551+G552+G553+G556+G557+G558+G559,G513+G515+G517+G522+G523+G524+G525+G526+G527+G528+G530+G531+G532+G534+G536+G540+G541+G542+G543+G547+G551+G552+G553+G556+G557+G558+G559)),3)</f>
        <v>0</v>
      </c>
      <c r="H568" s="811">
        <f>ROUND(IF('Table 1'!$G$3&gt;1,IF(EnCMember=1,H510+H516+H549+H529+H539+H545+H546+H555+H562+H513+H515+H517+H522+H523+H524+H525+H526+H527+H528+H530+H531+H532+H534+H536+H540+H541+H542+H543+H547+H551+H552+H553+H556+H557+H558+H559+H563,H513+H515+H517+H522+H523+H524+H525+H526+H527+H528+H530+H531+H532+H534+H536+H540+H541+H542+H543+H547+H551+H552+H553+H556+H557+H558+H559+H563),IF(EnCMember=1,H510+H516+H549+H529+H539+H545+H546+H555+H562+H513+H515+H517+H522+H523+H524+H525+H526+H527+H528+H530+H531+H532+H534+H536+H540+H541+H542+H543+H547+H551+H552+H553+H556+H557+H558+H559,H513+H515+H517+H522+H523+H524+H525+H526+H527+H528+H530+H531+H532+H534+H536+H540+H541+H542+H543+H547+H551+H552+H553+H556+H557+H558+H559)),3)</f>
        <v>0</v>
      </c>
      <c r="I568" s="811">
        <f>ROUND(IF('Table 1'!$G$3&gt;1,IF(EnCMember=1,I510+I516+I549+I529+I539+I545+I546+I555+I562+I513+I515+I517+I522+I523+I524+I525+I526+I527+I528+I530+I531+I532+I534+I536+I540+I541+I542+I543+I547+I551+I552+I553+I556+I557+I558+I559+I563,I513+I515+I517+I522+I523+I524+I525+I526+I527+I528+I530+I531+I532+I534+I536+I540+I541+I542+I543+I547+I551+I552+I553+I556+I557+I558+I559+I563),IF(EnCMember=1,I510+I516+I549+I529+I539+I545+I546+I555+I562+I513+I515+I517+I522+I523+I524+I525+I526+I527+I528+I530+I531+I532+I534+I536+I540+I541+I542+I543+I547+I551+I552+I553+I556+I557+I558+I559,I513+I515+I517+I522+I523+I524+I525+I526+I527+I528+I530+I531+I532+I534+I536+I540+I541+I542+I543+I547+I551+I552+I553+I556+I557+I558+I559)),3)</f>
        <v>0</v>
      </c>
      <c r="J568" s="811">
        <f>ROUND(IF('Table 1'!$G$3&gt;1,IF(EnCMember=1,J510+J516+J549+J529+J539+J545+J546+J555+J562+J513+J515+J517+J522+J523+J524+J525+J526+J527+J528+J530+J531+J532+J534+J536+J540+J541+J542+J543+J547+J551+J552+J553+J556+J557+J558+J559+J563,J513+J515+J517+J522+J523+J524+J525+J526+J527+J528+J530+J531+J532+J534+J536+J540+J541+J542+J543+J547+J551+J552+J553+J556+J557+J558+J559+J563),IF(EnCMember=1,J510+J516+J549+J529+J539+J545+J546+J555+J562+J513+J515+J517+J522+J523+J524+J525+J526+J527+J528+J530+J531+J532+J534+J536+J540+J541+J542+J543+J547+J551+J552+J553+J556+J557+J558+J559,J513+J515+J517+J522+J523+J524+J525+J526+J527+J528+J530+J531+J532+J534+J536+J540+J541+J542+J543+J547+J551+J552+J553+J556+J557+J558+J559)),3)</f>
        <v>0</v>
      </c>
      <c r="K568" s="812">
        <f>ROUND(IF('Table 1'!$G$3&gt;1,IF(EnCMember=1,K510+K516+K549+K529+K539+K545+K546+K555+K562+K513+K515+K517+K522+K523+K524+K525+K526+K527+K528+K530+K531+K532+K534+K536+K540+K541+K542+K543+K547+K551+K552+K553+K556+K557+K558+K559+K563,K513+K515+K517+K522+K523+K524+K525+K526+K527+K528+K530+K531+K532+K534+K536+K540+K541+K542+K543+K547+K551+K552+K553+K556+K557+K558+K559+K563),IF(EnCMember=1,K510+K516+K549+K529+K539+K545+K546+K555+K562+K513+K515+K517+K522+K523+K524+K525+K526+K527+K528+K530+K531+K532+K534+K536+K540+K541+K542+K543+K547+K551+K552+K553+K556+K557+K558+K559,K513+K515+K517+K522+K523+K524+K525+K526+K527+K528+K530+K531+K532+K534+K536+K540+K541+K542+K543+K547+K551+K552+K553+K556+K557+K558+K559)),3)</f>
        <v>0</v>
      </c>
      <c r="L568" s="813">
        <f>ROUND(IF('Table 1'!$G$3&gt;1,IF(EnCMember=1,L510+L516+L549+L529+L539+L545+L546+L555+L562+L513+L515+L517+L522+L523+L524+L525+L526+L527+L528+L530+L531+L532+L534+L536+L540+L541+L542+L543+L547+L551+L552+L553+L556+L557+L558+L559+L563,L513+L515+L517+L522+L523+L524+L525+L526+L527+L528+L530+L531+L532+L534+L536+L540+L541+L542+L543+L547+L551+L552+L553+L556+L557+L558+L559+L563),IF(EnCMember=1,L510+L516+L549+L529+L539+L545+L546+L555+L562+L513+L515+L517+L522+L523+L524+L525+L526+L527+L528+L530+L531+L532+L534+L536+L540+L541+L542+L543+L547+L551+L552+L553+L556+L557+L558+L559,L513+L515+L517+L522+L523+L524+L525+L526+L527+L528+L530+L531+L532+L534+L536+L540+L541+L542+L543+L547+L551+L552+L553+L556+L557+L558+L559)),3)</f>
        <v>0</v>
      </c>
      <c r="M568" s="811">
        <f>ROUND(IF('Table 1'!$G$3&gt;1,IF(EnCMember=1,M510+M516+M549+M529+M539+M545+M546+M555+M562+M513+M515+M517+M522+M523+M524+M525+M526+M527+M528+M530+M531+M532+M534+M536+M540+M541+M542+M543+M547+M551+M552+M553+M556+M557+M558+M559+M563,M513+M515+M517+M522+M523+M524+M525+M526+M527+M528+M530+M531+M532+M534+M536+M540+M541+M542+M543+M547+M551+M552+M553+M556+M557+M558+M559+M563),IF(EnCMember=1,M510+M516+M549+M529+M539+M545+M546+M555+M562+M513+M515+M517+M522+M523+M524+M525+M526+M527+M528+M530+M531+M532+M534+M536+M540+M541+M542+M543+M547+M551+M552+M553+M556+M557+M558+M559,M513+M515+M517+M522+M523+M524+M525+M526+M527+M528+M530+M531+M532+M534+M536+M540+M541+M542+M543+M547+M551+M552+M553+M556+M557+M558+M559)),3)</f>
        <v>0</v>
      </c>
      <c r="N568" s="812">
        <f>ROUND(IF('Table 1'!$G$3&gt;1,IF(EnCMember=1,N510+N516+N549+N529+N539+N545+N546+N555+N562+N513+N515+N517+N522+N523+N524+N525+N526+N527+N528+N530+N531+N532+N534+N536+N540+N541+N542+N543+N547+N551+N552+N553+N556+N557+N558+N559+N563,N513+N515+N517+N522+N523+N524+N525+N526+N527+N528+N530+N531+N532+N534+N536+N540+N541+N542+N543+N547+N551+N552+N553+N556+N557+N558+N559+N563),IF(EnCMember=1,N510+N516+N549+N529+N539+N545+N546+N555+N562+N513+N515+N517+N522+N523+N524+N525+N526+N527+N528+N530+N531+N532+N534+N536+N540+N541+N542+N543+N547+N551+N552+N553+N556+N557+N558+N559,N513+N515+N517+N522+N523+N524+N525+N526+N527+N528+N530+N531+N532+N534+N536+N540+N541+N542+N543+N547+N551+N552+N553+N556+N557+N558+N559)),3)</f>
        <v>0</v>
      </c>
      <c r="O568" s="813">
        <f>ROUND(IF('Table 1'!$G$3&gt;1,IF(EnCMember=1,O510+O516+O549+O529+O539+O545+O546+O555+O562+O513+O515+O517+O522+O523+O524+O525+O526+O527+O528+O530+O531+O532+O534+O536+O540+O541+O542+O543+O547+O551+O552+O553+O556+O557+O558+O559+O563,O513+O515+O517+O522+O523+O524+O525+O526+O527+O528+O530+O531+O532+O534+O536+O540+O541+O542+O543+O547+O551+O552+O553+O556+O557+O558+O559+O563),IF(EnCMember=1,O510+O516+O549+O529+O539+O545+O546+O555+O562+O513+O515+O517+O522+O523+O524+O525+O526+O527+O528+O530+O531+O532+O534+O536+O540+O541+O542+O543+O547+O551+O552+O553+O556+O557+O558+O559,O513+O515+O517+O522+O523+O524+O525+O526+O527+O528+O530+O531+O532+O534+O536+O540+O541+O542+O543+O547+O551+O552+O553+O556+O557+O558+O559)),3)</f>
        <v>0</v>
      </c>
      <c r="P568" s="811">
        <f>ROUND(IF('Table 1'!$G$3&gt;1,IF(EnCMember=1,P510+P516+P549+P529+P539+P545+P546+P555+P562+P513+P515+P517+P522+P523+P524+P525+P526+P527+P528+P530+P531+P532+P534+P536+P540+P541+P542+P543+P547+P551+P552+P553+P556+P557+P558+P559+P563,P513+P515+P517+P522+P523+P524+P525+P526+P527+P528+P530+P531+P532+P534+P536+P540+P541+P542+P543+P547+P551+P552+P553+P556+P557+P558+P559+P563),IF(EnCMember=1,P510+P516+P549+P529+P539+P545+P546+P555+P562+P513+P515+P517+P522+P523+P524+P525+P526+P527+P528+P530+P531+P532+P534+P536+P540+P541+P542+P543+P547+P551+P552+P553+P556+P557+P558+P559,P513+P515+P517+P522+P523+P524+P525+P526+P527+P528+P530+P531+P532+P534+P536+P540+P541+P542+P543+P547+P551+P552+P553+P556+P557+P558+P559)),3)</f>
        <v>0</v>
      </c>
      <c r="Q568" s="812">
        <f>ROUND(IF('Table 1'!$G$3&gt;1,IF(EnCMember=1,Q510+Q516+Q549+Q529+Q539+Q545+Q546+Q555+Q562+Q513+Q515+Q517+Q522+Q523+Q524+Q525+Q526+Q527+Q528+Q530+Q531+Q532+Q534+Q536+Q540+Q541+Q542+Q543+Q547+Q551+Q552+Q553+Q556+Q557+Q558+Q559+Q563,Q513+Q515+Q517+Q522+Q523+Q524+Q525+Q526+Q527+Q528+Q530+Q531+Q532+Q534+Q536+Q540+Q541+Q542+Q543+Q547+Q551+Q552+Q553+Q556+Q557+Q558+Q559+Q563),IF(EnCMember=1,Q510+Q516+Q549+Q529+Q539+Q545+Q546+Q555+Q562+Q513+Q515+Q517+Q522+Q523+Q524+Q525+Q526+Q527+Q528+Q530+Q531+Q532+Q534+Q536+Q540+Q541+Q542+Q543+Q547+Q551+Q552+Q553+Q556+Q557+Q558+Q559,Q513+Q515+Q517+Q522+Q523+Q524+Q525+Q526+Q527+Q528+Q530+Q531+Q532+Q534+Q536+Q540+Q541+Q542+Q543+Q547+Q551+Q552+Q553+Q556+Q557+Q558+Q559)),3)</f>
        <v>0</v>
      </c>
      <c r="R568" s="813">
        <f>ROUND(IF('Table 1'!$G$3&gt;1,IF(EnCMember=1,R510+R516+R549+R529+R539+R545+R546+R555+R562+R513+R515+R517+R522+R523+R524+R525+R526+R527+R528+R530+R531+R532+R534+R536+R540+R541+R542+R543+R547+R551+R552+R553+R556+R557+R558+R559+R563,R513+R515+R517+R522+R523+R524+R525+R526+R527+R528+R530+R531+R532+R534+R536+R540+R541+R542+R543+R547+R551+R552+R553+R556+R557+R558+R559+R563),IF(EnCMember=1,R510+R516+R549+R529+R539+R545+R546+R555+R562+R513+R515+R517+R522+R523+R524+R525+R526+R527+R528+R530+R531+R532+R534+R536+R540+R541+R542+R543+R547+R551+R552+R553+R556+R557+R558+R559,R513+R515+R517+R522+R523+R524+R525+R526+R527+R528+R530+R531+R532+R534+R536+R540+R541+R542+R543+R547+R551+R552+R553+R556+R557+R558+R559)),3)</f>
        <v>0</v>
      </c>
      <c r="S568" s="811">
        <f>ROUND(IF('Table 1'!$G$3&gt;1,IF(EnCMember=1,S510+S516+S549+S529+S539+S545+S546+S555+S562+S513+S515+S517+S522+S523+S524+S525+S526+S527+S528+S530+S531+S532+S534+S536+S540+S541+S542+S543+S547+S551+S552+S553+S556+S557+S558+S559+S563,S513+S515+S517+S522+S523+S524+S525+S526+S527+S528+S530+S531+S532+S534+S536+S540+S541+S542+S543+S547+S551+S552+S553+S556+S557+S558+S559+S563),IF(EnCMember=1,S510+S516+S549+S529+S539+S545+S546+S555+S562+S513+S515+S517+S522+S523+S524+S525+S526+S527+S528+S530+S531+S532+S534+S536+S540+S541+S542+S543+S547+S551+S552+S553+S556+S557+S558+S559,S513+S515+S517+S522+S523+S524+S525+S526+S527+S528+S530+S531+S532+S534+S536+S540+S541+S542+S543+S547+S551+S552+S553+S556+S557+S558+S559)),3)</f>
        <v>0</v>
      </c>
      <c r="T568" s="811">
        <f>ROUND(IF('Table 1'!$G$3&gt;1,IF(EnCMember=1,T510+T516+T549+T529+T539+T545+T546+T555+T562+T513+T515+T517+T522+T523+T524+T525+T526+T527+T528+T530+T531+T532+T534+T536+T540+T541+T542+T543+T547+T551+T552+T553+T556+T557+T558+T559+T563,T513+T515+T517+T522+T523+T524+T525+T526+T527+T528+T530+T531+T532+T534+T536+T540+T541+T542+T543+T547+T551+T552+T553+T556+T557+T558+T559+T563),IF(EnCMember=1,T510+T516+T549+T529+T539+T545+T546+T555+T562+T513+T515+T517+T522+T523+T524+T525+T526+T527+T528+T530+T531+T532+T534+T536+T540+T541+T542+T543+T547+T551+T552+T553+T556+T557+T558+T559,T513+T515+T517+T522+T523+T524+T525+T526+T527+T528+T530+T531+T532+T534+T536+T540+T541+T542+T543+T547+T551+T552+T553+T556+T557+T558+T559)),3)</f>
        <v>0</v>
      </c>
      <c r="U568" s="811">
        <f>ROUND(IF('Table 1'!$G$3&gt;1,IF(EnCMember=1,U510+U516+U549+U529+U539+U545+U546+U555+U562+U513+U515+U517+U522+U523+U524+U525+U526+U527+U528+U530+U531+U532+U534+U536+U540+U541+U542+U543+U547+U551+U552+U553+U556+U557+U558+U559+U563,U513+U515+U517+U522+U523+U524+U525+U526+U527+U528+U530+U531+U532+U534+U536+U540+U541+U542+U543+U547+U551+U552+U553+U556+U557+U558+U559+U563),IF(EnCMember=1,U510+U516+U549+U529+U539+U545+U546+U555+U562+U513+U515+U517+U522+U523+U524+U525+U526+U527+U528+U530+U531+U532+U534+U536+U540+U541+U542+U543+U547+U551+U552+U553+U556+U557+U558+U559,U513+U515+U517+U522+U523+U524+U525+U526+U527+U528+U530+U531+U532+U534+U536+U540+U541+U542+U543+U547+U551+U552+U553+U556+U557+U558+U559)),3)</f>
        <v>0</v>
      </c>
      <c r="V568" s="811">
        <f>ROUND(IF('Table 1'!$G$3&gt;1,IF(EnCMember=1,V510+V516+V549+V529+V539+V545+V546+V555+V562+V513+V515+V517+V522+V523+V524+V525+V526+V527+V528+V530+V531+V532+V534+V536+V540+V541+V542+V543+V547+V551+V552+V553+V556+V557+V558+V559+V563,V513+V515+V517+V522+V523+V524+V525+V526+V527+V528+V530+V531+V532+V534+V536+V540+V541+V542+V543+V547+V551+V552+V553+V556+V557+V558+V559+V563),IF(EnCMember=1,V510+V516+V549+V529+V539+V545+V546+V555+V562+V513+V515+V517+V522+V523+V524+V525+V526+V527+V528+V530+V531+V532+V534+V536+V540+V541+V542+V543+V547+V551+V552+V553+V556+V557+V558+V559,V513+V515+V517+V522+V523+V524+V525+V526+V527+V528+V530+V531+V532+V534+V536+V540+V541+V542+V543+V547+V551+V552+V553+V556+V557+V558+V559)),3)</f>
        <v>0</v>
      </c>
      <c r="W568" s="812">
        <f>ROUND(IF('Table 1'!$G$3&gt;1,IF(EnCMember=1,W510+W516+W549+W529+W539+W545+W546+W555+W562+W513+W515+W517+W522+W523+W524+W525+W526+W527+W528+W530+W531+W532+W534+W536+W540+W541+W542+W543+W547+W551+W552+W553+W556+W557+W558+W559+W563,W513+W515+W517+W522+W523+W524+W525+W526+W527+W528+W530+W531+W532+W534+W536+W540+W541+W542+W543+W547+W551+W552+W553+W556+W557+W558+W559+W563),IF(EnCMember=1,W510+W516+W549+W529+W539+W545+W546+W555+W562+W513+W515+W517+W522+W523+W524+W525+W526+W527+W528+W530+W531+W532+W534+W536+W540+W541+W542+W543+W547+W551+W552+W553+W556+W557+W558+W559,W513+W515+W517+W522+W523+W524+W525+W526+W527+W528+W530+W531+W532+W534+W536+W540+W541+W542+W543+W547+W551+W552+W553+W556+W557+W558+W559)),3)</f>
        <v>0</v>
      </c>
      <c r="X568" s="813">
        <f>ROUND(IF('Table 1'!$G$3&gt;1,IF(EnCMember=1,X510+X516+X549+X529+X539+X545+X546+X555+X562+X513+X515+X517+X522+X523+X524+X525+X526+X527+X528+X530+X531+X532+X534+X536+X540+X541+X542+X543+X547+X551+X552+X553+X556+X557+X558+X559+X563,X513+X515+X517+X522+X523+X524+X525+X526+X527+X528+X530+X531+X532+X534+X536+X540+X541+X542+X543+X547+X551+X552+X553+X556+X557+X558+X559+X563),IF(EnCMember=1,X510+X516+X549+X529+X539+X545+X546+X555+X562+X513+X515+X517+X522+X523+X524+X525+X526+X527+X528+X530+X531+X532+X534+X536+X540+X541+X542+X543+X547+X551+X552+X553+X556+X557+X558+X559,X513+X515+X517+X522+X523+X524+X525+X526+X527+X528+X530+X531+X532+X534+X536+X540+X541+X542+X543+X547+X551+X552+X553+X556+X557+X558+X559)),3)</f>
        <v>0</v>
      </c>
      <c r="Y568" s="811">
        <f>ROUND(IF('Table 1'!$G$3&gt;1,IF(EnCMember=1,Y510+Y516+Y549+Y529+Y539+Y545+Y546+Y555+Y562+Y513+Y515+Y517+Y522+Y523+Y524+Y525+Y526+Y527+Y528+Y530+Y531+Y532+Y534+Y536+Y540+Y541+Y542+Y543+Y547+Y551+Y552+Y553+Y556+Y557+Y558+Y559+Y563,Y513+Y515+Y517+Y522+Y523+Y524+Y525+Y526+Y527+Y528+Y530+Y531+Y532+Y534+Y536+Y540+Y541+Y542+Y543+Y547+Y551+Y552+Y553+Y556+Y557+Y558+Y559+Y563),IF(EnCMember=1,Y510+Y516+Y549+Y529+Y539+Y545+Y546+Y555+Y562+Y513+Y515+Y517+Y522+Y523+Y524+Y525+Y526+Y527+Y528+Y530+Y531+Y532+Y534+Y536+Y540+Y541+Y542+Y543+Y547+Y551+Y552+Y553+Y556+Y557+Y558+Y559,Y513+Y515+Y517+Y522+Y523+Y524+Y525+Y526+Y527+Y528+Y530+Y531+Y532+Y534+Y536+Y540+Y541+Y542+Y543+Y547+Y551+Y552+Y553+Y556+Y557+Y558+Y559)),3)</f>
        <v>0</v>
      </c>
      <c r="Z568" s="811">
        <f>ROUND(IF('Table 1'!$G$3&gt;1,IF(EnCMember=1,Z510+Z516+Z549+Z529+Z539+Z545+Z546+Z555+Z562+Z513+Z515+Z517+Z522+Z523+Z524+Z525+Z526+Z527+Z528+Z530+Z531+Z532+Z534+Z536+Z540+Z541+Z542+Z543+Z547+Z551+Z552+Z553+Z556+Z557+Z558+Z559+Z563,Z513+Z515+Z517+Z522+Z523+Z524+Z525+Z526+Z527+Z528+Z530+Z531+Z532+Z534+Z536+Z540+Z541+Z542+Z543+Z547+Z551+Z552+Z553+Z556+Z557+Z558+Z559+Z563),IF(EnCMember=1,Z510+Z516+Z549+Z529+Z539+Z545+Z546+Z555+Z562+Z513+Z515+Z517+Z522+Z523+Z524+Z525+Z526+Z527+Z528+Z530+Z531+Z532+Z534+Z536+Z540+Z541+Z542+Z543+Z547+Z551+Z552+Z553+Z556+Z557+Z558+Z559,Z513+Z515+Z517+Z522+Z523+Z524+Z525+Z526+Z527+Z528+Z530+Z531+Z532+Z534+Z536+Z540+Z541+Z542+Z543+Z547+Z551+Z552+Z553+Z556+Z557+Z558+Z559)),3)</f>
        <v>0</v>
      </c>
      <c r="AA568" s="811">
        <f>ROUND(IF('Table 1'!$G$3&gt;1,IF(EnCMember=1,AA510+AA516+AA549+AA529+AA539+AA545+AA546+AA555+AA562+AA513+AA515+AA517+AA522+AA523+AA524+AA525+AA526+AA527+AA528+AA530+AA531+AA532+AA534+AA536+AA540+AA541+AA542+AA543+AA547+AA551+AA552+AA553+AA556+AA557+AA558+AA559+AA563,AA513+AA515+AA517+AA522+AA523+AA524+AA525+AA526+AA527+AA528+AA530+AA531+AA532+AA534+AA536+AA540+AA541+AA542+AA543+AA547+AA551+AA552+AA553+AA556+AA557+AA558+AA559+AA563),IF(EnCMember=1,AA510+AA516+AA549+AA529+AA539+AA545+AA546+AA555+AA562+AA513+AA515+AA517+AA522+AA523+AA524+AA525+AA526+AA527+AA528+AA530+AA531+AA532+AA534+AA536+AA540+AA541+AA542+AA543+AA547+AA551+AA552+AA553+AA556+AA557+AA558+AA559,AA513+AA515+AA517+AA522+AA523+AA524+AA525+AA526+AA527+AA528+AA530+AA531+AA532+AA534+AA536+AA540+AA541+AA542+AA543+AA547+AA551+AA552+AA553+AA556+AA557+AA558+AA559)),3)</f>
        <v>0</v>
      </c>
      <c r="AB568" s="812">
        <f>ROUND(IF('Table 1'!$G$3&gt;1,IF(EnCMember=1,AB510+AB516+AB549+AB529+AB539+AB545+AB546+AB555+AB562+AB513+AB515+AB517+AB522+AB523+AB524+AB525+AB526+AB527+AB528+AB530+AB531+AB532+AB534+AB536+AB540+AB541+AB542+AB543+AB547+AB551+AB552+AB553+AB556+AB557+AB558+AB559+AB563,AB513+AB515+AB517+AB522+AB523+AB524+AB525+AB526+AB527+AB528+AB530+AB531+AB532+AB534+AB536+AB540+AB541+AB542+AB543+AB547+AB551+AB552+AB553+AB556+AB557+AB558+AB559+AB563),IF(EnCMember=1,AB510+AB516+AB549+AB529+AB539+AB545+AB546+AB555+AB562+AB513+AB515+AB517+AB522+AB523+AB524+AB525+AB526+AB527+AB528+AB530+AB531+AB532+AB534+AB536+AB540+AB541+AB542+AB543+AB547+AB551+AB552+AB553+AB556+AB557+AB558+AB559,AB513+AB515+AB517+AB522+AB523+AB524+AB525+AB526+AB527+AB528+AB530+AB531+AB532+AB534+AB536+AB540+AB541+AB542+AB543+AB547+AB551+AB552+AB553+AB556+AB557+AB558+AB559)),3)</f>
        <v>0</v>
      </c>
      <c r="AC568" s="813">
        <f>ROUND(IF('Table 1'!$G$3&gt;1,IF(EnCMember=1,AC510+AC516+AC549+AC529+AC539+AC545+AC546+AC555+AC562+AC513+AC515+AC517+AC522+AC523+AC524+AC525+AC526+AC527+AC528+AC530+AC531+AC532+AC534+AC536+AC540+AC541+AC542+AC543+AC547+AC551+AC552+AC553+AC556+AC557+AC558+AC559+AC563,AC513+AC515+AC517+AC522+AC523+AC524+AC525+AC526+AC527+AC528+AC530+AC531+AC532+AC534+AC536+AC540+AC541+AC542+AC543+AC547+AC551+AC552+AC553+AC556+AC557+AC558+AC559+AC563),IF(EnCMember=1,AC510+AC516+AC549+AC529+AC539+AC545+AC546+AC555+AC562+AC513+AC515+AC517+AC522+AC523+AC524+AC525+AC526+AC527+AC528+AC530+AC531+AC532+AC534+AC536+AC540+AC541+AC542+AC543+AC547+AC551+AC552+AC553+AC556+AC557+AC558+AC559,AC513+AC515+AC517+AC522+AC523+AC524+AC525+AC526+AC527+AC528+AC530+AC531+AC532+AC534+AC536+AC540+AC541+AC542+AC543+AC547+AC551+AC552+AC553+AC556+AC557+AC558+AC559)),3)</f>
        <v>0</v>
      </c>
      <c r="AD568" s="811">
        <f>ROUND(IF('Table 1'!$G$3&gt;1,IF(EnCMember=1,AD510+AD516+AD549+AD529+AD539+AD545+AD546+AD555+AD562+AD513+AD515+AD517+AD522+AD523+AD524+AD525+AD526+AD527+AD528+AD530+AD531+AD532+AD534+AD536+AD540+AD541+AD542+AD543+AD547+AD551+AD552+AD553+AD556+AD557+AD558+AD559+AD563,AD513+AD515+AD517+AD522+AD523+AD524+AD525+AD526+AD527+AD528+AD530+AD531+AD532+AD534+AD536+AD540+AD541+AD542+AD543+AD547+AD551+AD552+AD553+AD556+AD557+AD558+AD559+AD563),IF(EnCMember=1,AD510+AD516+AD549+AD529+AD539+AD545+AD546+AD555+AD562+AD513+AD515+AD517+AD522+AD523+AD524+AD525+AD526+AD527+AD528+AD530+AD531+AD532+AD534+AD536+AD540+AD541+AD542+AD543+AD547+AD551+AD552+AD553+AD556+AD557+AD558+AD559,AD513+AD515+AD517+AD522+AD523+AD524+AD525+AD526+AD527+AD528+AD530+AD531+AD532+AD534+AD536+AD540+AD541+AD542+AD543+AD547+AD551+AD552+AD553+AD556+AD557+AD558+AD559)),3)</f>
        <v>0</v>
      </c>
      <c r="AE568" s="811">
        <f>ROUND(IF('Table 1'!$G$3&gt;1,IF(EnCMember=1,AE510+AE516+AE549+AE529+AE539+AE545+AE546+AE555+AE562+AE513+AE515+AE517+AE522+AE523+AE524+AE525+AE526+AE527+AE528+AE530+AE531+AE532+AE534+AE536+AE540+AE541+AE542+AE543+AE547+AE551+AE552+AE553+AE556+AE557+AE558+AE559+AE563,AE513+AE515+AE517+AE522+AE523+AE524+AE525+AE526+AE527+AE528+AE530+AE531+AE532+AE534+AE536+AE540+AE541+AE542+AE543+AE547+AE551+AE552+AE553+AE556+AE557+AE558+AE559+AE563),IF(EnCMember=1,AE510+AE516+AE549+AE529+AE539+AE545+AE546+AE555+AE562+AE513+AE515+AE517+AE522+AE523+AE524+AE525+AE526+AE527+AE528+AE530+AE531+AE532+AE534+AE536+AE540+AE541+AE542+AE543+AE547+AE551+AE552+AE553+AE556+AE557+AE558+AE559,AE513+AE515+AE517+AE522+AE523+AE524+AE525+AE526+AE527+AE528+AE530+AE531+AE532+AE534+AE536+AE540+AE541+AE542+AE543+AE547+AE551+AE552+AE553+AE556+AE557+AE558+AE559)),3)</f>
        <v>0</v>
      </c>
      <c r="AF568" s="812">
        <f>ROUND(IF('Table 1'!$G$3&gt;1,IF(EnCMember=1,AF510+AF516+AF549+AF529+AF539+AF545+AF546+AF555+AF562+AF513+AF515+AF517+AF522+AF523+AF524+AF525+AF526+AF527+AF528+AF530+AF531+AF532+AF534+AF536+AF540+AF541+AF542+AF543+AF547+AF551+AF552+AF553+AF556+AF557+AF558+AF559+AF563,AF513+AF515+AF517+AF522+AF523+AF524+AF525+AF526+AF527+AF528+AF530+AF531+AF532+AF534+AF536+AF540+AF541+AF542+AF543+AF547+AF551+AF552+AF553+AF556+AF557+AF558+AF559+AF563),IF(EnCMember=1,AF510+AF516+AF549+AF529+AF539+AF545+AF546+AF555+AF562+AF513+AF515+AF517+AF522+AF523+AF524+AF525+AF526+AF527+AF528+AF530+AF531+AF532+AF534+AF536+AF540+AF541+AF542+AF543+AF547+AF551+AF552+AF553+AF556+AF557+AF558+AF559,AF513+AF515+AF517+AF522+AF523+AF524+AF525+AF526+AF527+AF528+AF530+AF531+AF532+AF534+AF536+AF540+AF541+AF542+AF543+AF547+AF551+AF552+AF553+AF556+AF557+AF558+AF559)),3)</f>
        <v>0</v>
      </c>
      <c r="AG568" s="813">
        <f>ROUND(IF('Table 1'!$G$3&gt;1,IF(EnCMember=1,AG510+AG516+AG549+AG529+AG539+AG545+AG546+AG555+AG562+AG513+AG515+AG517+AG522+AG523+AG524+AG525+AG526+AG527+AG528+AG530+AG531+AG532+AG534+AG536+AG540+AG541+AG542+AG543+AG547+AG551+AG552+AG553+AG556+AG557+AG558+AG559+AG563,AG513+AG515+AG517+AG522+AG523+AG524+AG525+AG526+AG527+AG528+AG530+AG531+AG532+AG534+AG536+AG540+AG541+AG542+AG543+AG547+AG551+AG552+AG553+AG556+AG557+AG558+AG559+AG563),IF(EnCMember=1,AG510+AG516+AG549+AG529+AG539+AG545+AG546+AG555+AG562+AG513+AG515+AG517+AG522+AG523+AG524+AG525+AG526+AG527+AG528+AG530+AG531+AG532+AG534+AG536+AG540+AG541+AG542+AG543+AG547+AG551+AG552+AG553+AG556+AG557+AG558+AG559,AG513+AG515+AG517+AG522+AG523+AG524+AG525+AG526+AG527+AG528+AG530+AG531+AG532+AG534+AG536+AG540+AG541+AG542+AG543+AG547+AG551+AG552+AG553+AG556+AG557+AG558+AG559)),3)</f>
        <v>0</v>
      </c>
      <c r="AH568" s="811">
        <f>ROUND(IF('Table 1'!$G$3&gt;1,IF(EnCMember=1,AH510+AH516+AH549+AH529+AH539+AH545+AH546+AH555+AH562+AH513+AH515+AH517+AH522+AH523+AH524+AH525+AH526+AH527+AH528+AH530+AH531+AH532+AH534+AH536+AH540+AH541+AH542+AH543+AH547+AH551+AH552+AH553+AH556+AH557+AH558+AH559+AH563,AH513+AH515+AH517+AH522+AH523+AH524+AH525+AH526+AH527+AH528+AH530+AH531+AH532+AH534+AH536+AH540+AH541+AH542+AH543+AH547+AH551+AH552+AH553+AH556+AH557+AH558+AH559+AH563),IF(EnCMember=1,AH510+AH516+AH549+AH529+AH539+AH545+AH546+AH555+AH562+AH513+AH515+AH517+AH522+AH523+AH524+AH525+AH526+AH527+AH528+AH530+AH531+AH532+AH534+AH536+AH540+AH541+AH542+AH543+AH547+AH551+AH552+AH553+AH556+AH557+AH558+AH559,AH513+AH515+AH517+AH522+AH523+AH524+AH525+AH526+AH527+AH528+AH530+AH531+AH532+AH534+AH536+AH540+AH541+AH542+AH543+AH547+AH551+AH552+AH553+AH556+AH557+AH558+AH559)),3)</f>
        <v>0</v>
      </c>
      <c r="AI568" s="811">
        <f>ROUND(IF('Table 1'!$G$3&gt;1,IF(EnCMember=1,AI510+AI516+AI549+AI529+AI539+AI545+AI546+AI555+AI562+AI513+AI515+AI517+AI522+AI523+AI524+AI525+AI526+AI527+AI528+AI530+AI531+AI532+AI534+AI536+AI540+AI541+AI542+AI543+AI547+AI551+AI552+AI553+AI556+AI557+AI558+AI559+AI563,AI513+AI515+AI517+AI522+AI523+AI524+AI525+AI526+AI527+AI528+AI530+AI531+AI532+AI534+AI536+AI540+AI541+AI542+AI543+AI547+AI551+AI552+AI553+AI556+AI557+AI558+AI559+AI563),IF(EnCMember=1,AI510+AI516+AI549+AI529+AI539+AI545+AI546+AI555+AI562+AI513+AI515+AI517+AI522+AI523+AI524+AI525+AI526+AI527+AI528+AI530+AI531+AI532+AI534+AI536+AI540+AI541+AI542+AI543+AI547+AI551+AI552+AI553+AI556+AI557+AI558+AI559,AI513+AI515+AI517+AI522+AI523+AI524+AI525+AI526+AI527+AI528+AI530+AI531+AI532+AI534+AI536+AI540+AI541+AI542+AI543+AI547+AI551+AI552+AI553+AI556+AI557+AI558+AI559)),3)</f>
        <v>0</v>
      </c>
      <c r="AJ568" s="816">
        <f>ROUND(IF('Table 1'!$G$3&gt;1,IF(EnCMember=1,AJ510+AJ516+AJ549+AJ529+AJ539+AJ545+AJ546+AJ555+AJ562+AJ513+AJ515+AJ517+AJ522+AJ523+AJ524+AJ525+AJ526+AJ527+AJ528+AJ530+AJ531+AJ532+AJ534+AJ536+AJ540+AJ541+AJ542+AJ543+AJ547+AJ551+AJ552+AJ553+AJ556+AJ557+AJ558+AJ559+AJ563,AJ513+AJ515+AJ517+AJ522+AJ523+AJ524+AJ525+AJ526+AJ527+AJ528+AJ530+AJ531+AJ532+AJ534+AJ536+AJ540+AJ541+AJ542+AJ543+AJ547+AJ551+AJ552+AJ553+AJ556+AJ557+AJ558+AJ559+AJ563),IF(EnCMember=1,AJ510+AJ516+AJ549+AJ529+AJ539+AJ545+AJ546+AJ555+AJ562+AJ513+AJ515+AJ517+AJ522+AJ523+AJ524+AJ525+AJ526+AJ527+AJ528+AJ530+AJ531+AJ532+AJ534+AJ536+AJ540+AJ541+AJ542+AJ543+AJ547+AJ551+AJ552+AJ553+AJ556+AJ557+AJ558+AJ559,AJ513+AJ515+AJ517+AJ522+AJ523+AJ524+AJ525+AJ526+AJ527+AJ528+AJ530+AJ531+AJ532+AJ534+AJ536+AJ540+AJ541+AJ542+AJ543+AJ547+AJ551+AJ552+AJ553+AJ556+AJ557+AJ558+AJ559)),3)</f>
        <v>0</v>
      </c>
    </row>
    <row r="572" spans="3:36" x14ac:dyDescent="0.2">
      <c r="C572" s="5" t="s">
        <v>682</v>
      </c>
      <c r="D572" s="24"/>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2"/>
      <c r="AJ572" s="25" t="s">
        <v>108</v>
      </c>
    </row>
    <row r="573" spans="3:36" ht="12.75" customHeight="1" x14ac:dyDescent="0.2">
      <c r="C573" s="242"/>
      <c r="D573" s="203"/>
      <c r="E573" s="1106" t="s">
        <v>656</v>
      </c>
      <c r="F573" s="1106" t="s">
        <v>657</v>
      </c>
      <c r="G573" s="1106" t="s">
        <v>647</v>
      </c>
      <c r="H573" s="1158" t="s">
        <v>666</v>
      </c>
      <c r="I573" s="281"/>
      <c r="J573" s="1150" t="s">
        <v>885</v>
      </c>
      <c r="K573" s="1110" t="s">
        <v>645</v>
      </c>
      <c r="L573" s="1122" t="s">
        <v>8</v>
      </c>
      <c r="M573" s="1124" t="s">
        <v>9</v>
      </c>
      <c r="N573" s="1126" t="s">
        <v>10</v>
      </c>
      <c r="O573" s="1114" t="s">
        <v>659</v>
      </c>
      <c r="P573" s="329"/>
      <c r="Q573" s="190"/>
      <c r="R573" s="1122" t="s">
        <v>660</v>
      </c>
      <c r="S573" s="1124" t="s">
        <v>661</v>
      </c>
      <c r="T573" s="1116" t="s">
        <v>668</v>
      </c>
      <c r="U573" s="191"/>
      <c r="V573" s="192"/>
      <c r="W573" s="1126" t="s">
        <v>664</v>
      </c>
      <c r="X573" s="193"/>
      <c r="Y573" s="190"/>
      <c r="Z573" s="1118" t="s">
        <v>670</v>
      </c>
      <c r="AA573" s="190"/>
      <c r="AB573" s="190"/>
      <c r="AC573" s="1114" t="s">
        <v>628</v>
      </c>
      <c r="AD573" s="190"/>
      <c r="AE573" s="190"/>
      <c r="AF573" s="190"/>
      <c r="AG573" s="1122" t="s">
        <v>629</v>
      </c>
      <c r="AH573" s="1150" t="s">
        <v>630</v>
      </c>
      <c r="AI573" s="1120" t="s">
        <v>631</v>
      </c>
      <c r="AJ573" s="1120" t="s">
        <v>679</v>
      </c>
    </row>
    <row r="574" spans="3:36" ht="56.25" x14ac:dyDescent="0.2">
      <c r="C574" s="201"/>
      <c r="D574" s="202"/>
      <c r="E574" s="1107"/>
      <c r="F574" s="1107"/>
      <c r="G574" s="1107"/>
      <c r="H574" s="1159"/>
      <c r="I574" s="99" t="s">
        <v>667</v>
      </c>
      <c r="J574" s="1138"/>
      <c r="K574" s="1111"/>
      <c r="L574" s="1123"/>
      <c r="M574" s="1125"/>
      <c r="N574" s="1127"/>
      <c r="O574" s="1115"/>
      <c r="P574" s="184" t="s">
        <v>623</v>
      </c>
      <c r="Q574" s="185" t="s">
        <v>626</v>
      </c>
      <c r="R574" s="1123"/>
      <c r="S574" s="1125"/>
      <c r="T574" s="1117"/>
      <c r="U574" s="186" t="s">
        <v>662</v>
      </c>
      <c r="V574" s="187" t="s">
        <v>663</v>
      </c>
      <c r="W574" s="1127"/>
      <c r="X574" s="188" t="s">
        <v>627</v>
      </c>
      <c r="Y574" s="189" t="s">
        <v>669</v>
      </c>
      <c r="Z574" s="1119"/>
      <c r="AA574" s="184" t="s">
        <v>624</v>
      </c>
      <c r="AB574" s="186" t="s">
        <v>671</v>
      </c>
      <c r="AC574" s="1115"/>
      <c r="AD574" s="187" t="s">
        <v>674</v>
      </c>
      <c r="AE574" s="186" t="s">
        <v>1411</v>
      </c>
      <c r="AF574" s="196" t="s">
        <v>872</v>
      </c>
      <c r="AG574" s="1123"/>
      <c r="AH574" s="1138"/>
      <c r="AI574" s="1121"/>
      <c r="AJ574" s="1121"/>
    </row>
    <row r="575" spans="3:36" x14ac:dyDescent="0.2">
      <c r="C575" s="97"/>
      <c r="D575" s="98"/>
      <c r="E575" s="87" t="s">
        <v>152</v>
      </c>
      <c r="F575" s="86" t="s">
        <v>153</v>
      </c>
      <c r="G575" s="86" t="s">
        <v>154</v>
      </c>
      <c r="H575" s="180" t="s">
        <v>155</v>
      </c>
      <c r="I575" s="198" t="s">
        <v>156</v>
      </c>
      <c r="J575" s="198" t="s">
        <v>157</v>
      </c>
      <c r="K575" s="199" t="s">
        <v>158</v>
      </c>
      <c r="L575" s="87" t="s">
        <v>159</v>
      </c>
      <c r="M575" s="87" t="s">
        <v>160</v>
      </c>
      <c r="N575" s="96" t="s">
        <v>161</v>
      </c>
      <c r="O575" s="179" t="s">
        <v>162</v>
      </c>
      <c r="P575" s="198" t="s">
        <v>163</v>
      </c>
      <c r="Q575" s="89" t="s">
        <v>164</v>
      </c>
      <c r="R575" s="95" t="s">
        <v>165</v>
      </c>
      <c r="S575" s="177" t="s">
        <v>166</v>
      </c>
      <c r="T575" s="180" t="s">
        <v>167</v>
      </c>
      <c r="U575" s="198" t="s">
        <v>168</v>
      </c>
      <c r="V575" s="86" t="s">
        <v>169</v>
      </c>
      <c r="W575" s="94" t="s">
        <v>170</v>
      </c>
      <c r="X575" s="87" t="s">
        <v>171</v>
      </c>
      <c r="Y575" s="101" t="s">
        <v>172</v>
      </c>
      <c r="Z575" s="176" t="s">
        <v>173</v>
      </c>
      <c r="AA575" s="200" t="s">
        <v>174</v>
      </c>
      <c r="AB575" s="89" t="s">
        <v>175</v>
      </c>
      <c r="AC575" s="179" t="s">
        <v>176</v>
      </c>
      <c r="AD575" s="200" t="s">
        <v>177</v>
      </c>
      <c r="AE575" s="200" t="s">
        <v>181</v>
      </c>
      <c r="AF575" s="89" t="s">
        <v>417</v>
      </c>
      <c r="AG575" s="178" t="s">
        <v>672</v>
      </c>
      <c r="AH575" s="89" t="s">
        <v>678</v>
      </c>
      <c r="AI575" s="90" t="s">
        <v>499</v>
      </c>
      <c r="AJ575" s="90" t="s">
        <v>680</v>
      </c>
    </row>
    <row r="576" spans="3:36" x14ac:dyDescent="0.2">
      <c r="C576" s="225" t="s">
        <v>930</v>
      </c>
      <c r="D576" s="426">
        <v>1</v>
      </c>
      <c r="E576" s="947"/>
      <c r="F576" s="947"/>
      <c r="G576" s="947"/>
      <c r="H576" s="981"/>
      <c r="I576" s="947"/>
      <c r="J576" s="947"/>
      <c r="K576" s="940">
        <f t="shared" ref="K576:K611" si="88">ROUND(SUM(E576:H576,J576),3)</f>
        <v>0</v>
      </c>
      <c r="L576" s="949"/>
      <c r="M576" s="949"/>
      <c r="N576" s="947"/>
      <c r="O576" s="927"/>
      <c r="P576" s="949"/>
      <c r="Q576" s="950"/>
      <c r="R576" s="949"/>
      <c r="S576" s="949"/>
      <c r="T576" s="907"/>
      <c r="U576" s="947"/>
      <c r="V576" s="947"/>
      <c r="W576" s="951"/>
      <c r="X576" s="949"/>
      <c r="Y576" s="948"/>
      <c r="Z576" s="909"/>
      <c r="AA576" s="947"/>
      <c r="AB576" s="950"/>
      <c r="AC576" s="927"/>
      <c r="AD576" s="952"/>
      <c r="AE576" s="1095"/>
      <c r="AF576" s="950"/>
      <c r="AG576" s="953"/>
      <c r="AH576" s="953"/>
      <c r="AI576" s="939">
        <f t="shared" ref="AI576:AI607" si="89">ROUND(SUM(L576:O576,R576:T576,W576,Z576,AC576,AG576:AH576),3)</f>
        <v>0</v>
      </c>
      <c r="AJ576" s="939">
        <f t="shared" ref="AJ576:AJ607" si="90">ROUND(SUM(K576,AI576),3)</f>
        <v>0</v>
      </c>
    </row>
    <row r="577" spans="3:36" x14ac:dyDescent="0.2">
      <c r="C577" s="225" t="s">
        <v>554</v>
      </c>
      <c r="D577" s="426">
        <v>2</v>
      </c>
      <c r="E577" s="947"/>
      <c r="F577" s="947"/>
      <c r="G577" s="947"/>
      <c r="H577" s="981"/>
      <c r="I577" s="947"/>
      <c r="J577" s="947"/>
      <c r="K577" s="940">
        <f t="shared" si="88"/>
        <v>0</v>
      </c>
      <c r="L577" s="949"/>
      <c r="M577" s="949"/>
      <c r="N577" s="947"/>
      <c r="O577" s="927"/>
      <c r="P577" s="949"/>
      <c r="Q577" s="950"/>
      <c r="R577" s="949"/>
      <c r="S577" s="949"/>
      <c r="T577" s="907"/>
      <c r="U577" s="947"/>
      <c r="V577" s="947"/>
      <c r="W577" s="951"/>
      <c r="X577" s="949"/>
      <c r="Y577" s="948"/>
      <c r="Z577" s="909"/>
      <c r="AA577" s="947"/>
      <c r="AB577" s="950"/>
      <c r="AC577" s="927"/>
      <c r="AD577" s="952"/>
      <c r="AE577" s="1095"/>
      <c r="AF577" s="950"/>
      <c r="AG577" s="953"/>
      <c r="AH577" s="953"/>
      <c r="AI577" s="939">
        <f t="shared" si="89"/>
        <v>0</v>
      </c>
      <c r="AJ577" s="939">
        <f t="shared" si="90"/>
        <v>0</v>
      </c>
    </row>
    <row r="578" spans="3:36" x14ac:dyDescent="0.2">
      <c r="C578" s="225" t="s">
        <v>115</v>
      </c>
      <c r="D578" s="426">
        <v>3</v>
      </c>
      <c r="E578" s="947"/>
      <c r="F578" s="947"/>
      <c r="G578" s="947"/>
      <c r="H578" s="981"/>
      <c r="I578" s="947"/>
      <c r="J578" s="947"/>
      <c r="K578" s="940">
        <f t="shared" si="88"/>
        <v>0</v>
      </c>
      <c r="L578" s="949"/>
      <c r="M578" s="949"/>
      <c r="N578" s="947"/>
      <c r="O578" s="927"/>
      <c r="P578" s="949"/>
      <c r="Q578" s="950"/>
      <c r="R578" s="949"/>
      <c r="S578" s="949"/>
      <c r="T578" s="907"/>
      <c r="U578" s="947"/>
      <c r="V578" s="947"/>
      <c r="W578" s="951"/>
      <c r="X578" s="949"/>
      <c r="Y578" s="948"/>
      <c r="Z578" s="909"/>
      <c r="AA578" s="947"/>
      <c r="AB578" s="950"/>
      <c r="AC578" s="927"/>
      <c r="AD578" s="952"/>
      <c r="AE578" s="1095"/>
      <c r="AF578" s="950"/>
      <c r="AG578" s="953"/>
      <c r="AH578" s="953"/>
      <c r="AI578" s="939">
        <f t="shared" si="89"/>
        <v>0</v>
      </c>
      <c r="AJ578" s="939">
        <f t="shared" si="90"/>
        <v>0</v>
      </c>
    </row>
    <row r="579" spans="3:36" x14ac:dyDescent="0.2">
      <c r="C579" s="225" t="s">
        <v>15</v>
      </c>
      <c r="D579" s="426">
        <v>4</v>
      </c>
      <c r="E579" s="947"/>
      <c r="F579" s="947"/>
      <c r="G579" s="947"/>
      <c r="H579" s="981"/>
      <c r="I579" s="947"/>
      <c r="J579" s="947"/>
      <c r="K579" s="940">
        <f t="shared" si="88"/>
        <v>0</v>
      </c>
      <c r="L579" s="949"/>
      <c r="M579" s="949"/>
      <c r="N579" s="947"/>
      <c r="O579" s="927"/>
      <c r="P579" s="949"/>
      <c r="Q579" s="950"/>
      <c r="R579" s="949"/>
      <c r="S579" s="949"/>
      <c r="T579" s="907"/>
      <c r="U579" s="947"/>
      <c r="V579" s="947"/>
      <c r="W579" s="951"/>
      <c r="X579" s="949"/>
      <c r="Y579" s="948"/>
      <c r="Z579" s="909"/>
      <c r="AA579" s="947"/>
      <c r="AB579" s="950"/>
      <c r="AC579" s="927"/>
      <c r="AD579" s="952"/>
      <c r="AE579" s="1095"/>
      <c r="AF579" s="950"/>
      <c r="AG579" s="953"/>
      <c r="AH579" s="953"/>
      <c r="AI579" s="939">
        <f t="shared" si="89"/>
        <v>0</v>
      </c>
      <c r="AJ579" s="939">
        <f t="shared" si="90"/>
        <v>0</v>
      </c>
    </row>
    <row r="580" spans="3:36" x14ac:dyDescent="0.2">
      <c r="C580" s="225" t="s">
        <v>556</v>
      </c>
      <c r="D580" s="426">
        <v>5</v>
      </c>
      <c r="E580" s="947"/>
      <c r="F580" s="947"/>
      <c r="G580" s="947"/>
      <c r="H580" s="981"/>
      <c r="I580" s="947"/>
      <c r="J580" s="947"/>
      <c r="K580" s="940">
        <f t="shared" si="88"/>
        <v>0</v>
      </c>
      <c r="L580" s="949"/>
      <c r="M580" s="949"/>
      <c r="N580" s="947"/>
      <c r="O580" s="927"/>
      <c r="P580" s="949"/>
      <c r="Q580" s="950"/>
      <c r="R580" s="949"/>
      <c r="S580" s="949"/>
      <c r="T580" s="907"/>
      <c r="U580" s="947"/>
      <c r="V580" s="947"/>
      <c r="W580" s="951"/>
      <c r="X580" s="949"/>
      <c r="Y580" s="948"/>
      <c r="Z580" s="909"/>
      <c r="AA580" s="947"/>
      <c r="AB580" s="950"/>
      <c r="AC580" s="927"/>
      <c r="AD580" s="952"/>
      <c r="AE580" s="1095"/>
      <c r="AF580" s="950"/>
      <c r="AG580" s="953"/>
      <c r="AH580" s="953"/>
      <c r="AI580" s="939">
        <f t="shared" si="89"/>
        <v>0</v>
      </c>
      <c r="AJ580" s="939">
        <f t="shared" si="90"/>
        <v>0</v>
      </c>
    </row>
    <row r="581" spans="3:36" x14ac:dyDescent="0.2">
      <c r="C581" s="225" t="s">
        <v>116</v>
      </c>
      <c r="D581" s="426">
        <v>6</v>
      </c>
      <c r="E581" s="947"/>
      <c r="F581" s="947"/>
      <c r="G581" s="947"/>
      <c r="H581" s="981"/>
      <c r="I581" s="947"/>
      <c r="J581" s="947"/>
      <c r="K581" s="940">
        <f t="shared" si="88"/>
        <v>0</v>
      </c>
      <c r="L581" s="949"/>
      <c r="M581" s="949"/>
      <c r="N581" s="947"/>
      <c r="O581" s="927"/>
      <c r="P581" s="949"/>
      <c r="Q581" s="950"/>
      <c r="R581" s="949"/>
      <c r="S581" s="949"/>
      <c r="T581" s="907"/>
      <c r="U581" s="947"/>
      <c r="V581" s="947"/>
      <c r="W581" s="951"/>
      <c r="X581" s="949"/>
      <c r="Y581" s="948"/>
      <c r="Z581" s="909"/>
      <c r="AA581" s="947"/>
      <c r="AB581" s="950"/>
      <c r="AC581" s="927"/>
      <c r="AD581" s="952"/>
      <c r="AE581" s="1095"/>
      <c r="AF581" s="950"/>
      <c r="AG581" s="953"/>
      <c r="AH581" s="953"/>
      <c r="AI581" s="939">
        <f t="shared" si="89"/>
        <v>0</v>
      </c>
      <c r="AJ581" s="939">
        <f t="shared" si="90"/>
        <v>0</v>
      </c>
    </row>
    <row r="582" spans="3:36" x14ac:dyDescent="0.2">
      <c r="C582" s="225" t="s">
        <v>595</v>
      </c>
      <c r="D582" s="426">
        <v>7</v>
      </c>
      <c r="E582" s="947"/>
      <c r="F582" s="947"/>
      <c r="G582" s="947"/>
      <c r="H582" s="981"/>
      <c r="I582" s="947"/>
      <c r="J582" s="947"/>
      <c r="K582" s="940">
        <f t="shared" si="88"/>
        <v>0</v>
      </c>
      <c r="L582" s="949"/>
      <c r="M582" s="949"/>
      <c r="N582" s="954"/>
      <c r="O582" s="927"/>
      <c r="P582" s="955"/>
      <c r="Q582" s="950"/>
      <c r="R582" s="949"/>
      <c r="S582" s="949"/>
      <c r="T582" s="907"/>
      <c r="U582" s="947"/>
      <c r="V582" s="947"/>
      <c r="W582" s="951"/>
      <c r="X582" s="949"/>
      <c r="Y582" s="948"/>
      <c r="Z582" s="909"/>
      <c r="AA582" s="947"/>
      <c r="AB582" s="950"/>
      <c r="AC582" s="927"/>
      <c r="AD582" s="952"/>
      <c r="AE582" s="1095"/>
      <c r="AF582" s="950"/>
      <c r="AG582" s="953"/>
      <c r="AH582" s="953"/>
      <c r="AI582" s="939">
        <f t="shared" si="89"/>
        <v>0</v>
      </c>
      <c r="AJ582" s="939">
        <f t="shared" si="90"/>
        <v>0</v>
      </c>
    </row>
    <row r="583" spans="3:36" x14ac:dyDescent="0.2">
      <c r="C583" s="225" t="s">
        <v>20</v>
      </c>
      <c r="D583" s="426">
        <v>8</v>
      </c>
      <c r="E583" s="947"/>
      <c r="F583" s="947"/>
      <c r="G583" s="947"/>
      <c r="H583" s="981"/>
      <c r="I583" s="947"/>
      <c r="J583" s="947"/>
      <c r="K583" s="940">
        <f t="shared" si="88"/>
        <v>0</v>
      </c>
      <c r="L583" s="949"/>
      <c r="M583" s="949"/>
      <c r="N583" s="954"/>
      <c r="O583" s="927"/>
      <c r="P583" s="955"/>
      <c r="Q583" s="950"/>
      <c r="R583" s="949"/>
      <c r="S583" s="949"/>
      <c r="T583" s="907"/>
      <c r="U583" s="947"/>
      <c r="V583" s="947"/>
      <c r="W583" s="951"/>
      <c r="X583" s="949"/>
      <c r="Y583" s="948"/>
      <c r="Z583" s="909"/>
      <c r="AA583" s="947"/>
      <c r="AB583" s="950"/>
      <c r="AC583" s="927"/>
      <c r="AD583" s="952"/>
      <c r="AE583" s="1095"/>
      <c r="AF583" s="950"/>
      <c r="AG583" s="953"/>
      <c r="AH583" s="953"/>
      <c r="AI583" s="939">
        <f t="shared" si="89"/>
        <v>0</v>
      </c>
      <c r="AJ583" s="939">
        <f t="shared" si="90"/>
        <v>0</v>
      </c>
    </row>
    <row r="584" spans="3:36" x14ac:dyDescent="0.2">
      <c r="C584" s="225" t="s">
        <v>117</v>
      </c>
      <c r="D584" s="426">
        <v>9</v>
      </c>
      <c r="E584" s="947"/>
      <c r="F584" s="947"/>
      <c r="G584" s="947"/>
      <c r="H584" s="981"/>
      <c r="I584" s="947"/>
      <c r="J584" s="947"/>
      <c r="K584" s="940">
        <f t="shared" si="88"/>
        <v>0</v>
      </c>
      <c r="L584" s="949"/>
      <c r="M584" s="949"/>
      <c r="N584" s="954"/>
      <c r="O584" s="927"/>
      <c r="P584" s="955"/>
      <c r="Q584" s="950"/>
      <c r="R584" s="949"/>
      <c r="S584" s="949"/>
      <c r="T584" s="907"/>
      <c r="U584" s="947"/>
      <c r="V584" s="947"/>
      <c r="W584" s="951"/>
      <c r="X584" s="949"/>
      <c r="Y584" s="948"/>
      <c r="Z584" s="909"/>
      <c r="AA584" s="947"/>
      <c r="AB584" s="950"/>
      <c r="AC584" s="927"/>
      <c r="AD584" s="952"/>
      <c r="AE584" s="1095"/>
      <c r="AF584" s="950"/>
      <c r="AG584" s="953"/>
      <c r="AH584" s="953"/>
      <c r="AI584" s="939">
        <f t="shared" si="89"/>
        <v>0</v>
      </c>
      <c r="AJ584" s="939">
        <f t="shared" si="90"/>
        <v>0</v>
      </c>
    </row>
    <row r="585" spans="3:36" x14ac:dyDescent="0.2">
      <c r="C585" s="225" t="s">
        <v>613</v>
      </c>
      <c r="D585" s="426">
        <v>10</v>
      </c>
      <c r="E585" s="947"/>
      <c r="F585" s="947"/>
      <c r="G585" s="947"/>
      <c r="H585" s="981"/>
      <c r="I585" s="947"/>
      <c r="J585" s="947"/>
      <c r="K585" s="940">
        <f t="shared" si="88"/>
        <v>0</v>
      </c>
      <c r="L585" s="949"/>
      <c r="M585" s="949"/>
      <c r="N585" s="954"/>
      <c r="O585" s="927"/>
      <c r="P585" s="955"/>
      <c r="Q585" s="950"/>
      <c r="R585" s="949"/>
      <c r="S585" s="949"/>
      <c r="T585" s="907"/>
      <c r="U585" s="947"/>
      <c r="V585" s="947"/>
      <c r="W585" s="951"/>
      <c r="X585" s="949"/>
      <c r="Y585" s="948"/>
      <c r="Z585" s="909"/>
      <c r="AA585" s="947"/>
      <c r="AB585" s="950"/>
      <c r="AC585" s="927"/>
      <c r="AD585" s="952"/>
      <c r="AE585" s="1095"/>
      <c r="AF585" s="950"/>
      <c r="AG585" s="953"/>
      <c r="AH585" s="953"/>
      <c r="AI585" s="939">
        <f t="shared" si="89"/>
        <v>0</v>
      </c>
      <c r="AJ585" s="939">
        <f t="shared" si="90"/>
        <v>0</v>
      </c>
    </row>
    <row r="586" spans="3:36" x14ac:dyDescent="0.2">
      <c r="C586" s="225" t="s">
        <v>23</v>
      </c>
      <c r="D586" s="426">
        <v>11</v>
      </c>
      <c r="E586" s="947"/>
      <c r="F586" s="947"/>
      <c r="G586" s="947"/>
      <c r="H586" s="981"/>
      <c r="I586" s="947"/>
      <c r="J586" s="947"/>
      <c r="K586" s="940">
        <f t="shared" si="88"/>
        <v>0</v>
      </c>
      <c r="L586" s="949"/>
      <c r="M586" s="949"/>
      <c r="N586" s="954"/>
      <c r="O586" s="927"/>
      <c r="P586" s="955"/>
      <c r="Q586" s="950"/>
      <c r="R586" s="949"/>
      <c r="S586" s="949"/>
      <c r="T586" s="907"/>
      <c r="U586" s="947"/>
      <c r="V586" s="947"/>
      <c r="W586" s="951"/>
      <c r="X586" s="949"/>
      <c r="Y586" s="948"/>
      <c r="Z586" s="909"/>
      <c r="AA586" s="947"/>
      <c r="AB586" s="950"/>
      <c r="AC586" s="927"/>
      <c r="AD586" s="952"/>
      <c r="AE586" s="1095"/>
      <c r="AF586" s="950"/>
      <c r="AG586" s="953"/>
      <c r="AH586" s="953"/>
      <c r="AI586" s="939">
        <f t="shared" si="89"/>
        <v>0</v>
      </c>
      <c r="AJ586" s="939">
        <f t="shared" si="90"/>
        <v>0</v>
      </c>
    </row>
    <row r="587" spans="3:36" x14ac:dyDescent="0.2">
      <c r="C587" s="225" t="s">
        <v>964</v>
      </c>
      <c r="D587" s="426">
        <v>12</v>
      </c>
      <c r="E587" s="947"/>
      <c r="F587" s="947"/>
      <c r="G587" s="947"/>
      <c r="H587" s="981"/>
      <c r="I587" s="947"/>
      <c r="J587" s="947"/>
      <c r="K587" s="940">
        <f t="shared" si="88"/>
        <v>0</v>
      </c>
      <c r="L587" s="949"/>
      <c r="M587" s="949"/>
      <c r="N587" s="954"/>
      <c r="O587" s="927"/>
      <c r="P587" s="955"/>
      <c r="Q587" s="950"/>
      <c r="R587" s="949"/>
      <c r="S587" s="949"/>
      <c r="T587" s="907"/>
      <c r="U587" s="947"/>
      <c r="V587" s="947"/>
      <c r="W587" s="951"/>
      <c r="X587" s="949"/>
      <c r="Y587" s="948"/>
      <c r="Z587" s="909"/>
      <c r="AA587" s="947"/>
      <c r="AB587" s="950"/>
      <c r="AC587" s="927"/>
      <c r="AD587" s="952"/>
      <c r="AE587" s="1095"/>
      <c r="AF587" s="950"/>
      <c r="AG587" s="953"/>
      <c r="AH587" s="953"/>
      <c r="AI587" s="939">
        <f t="shared" si="89"/>
        <v>0</v>
      </c>
      <c r="AJ587" s="939">
        <f t="shared" si="90"/>
        <v>0</v>
      </c>
    </row>
    <row r="588" spans="3:36" x14ac:dyDescent="0.2">
      <c r="C588" s="225" t="s">
        <v>567</v>
      </c>
      <c r="D588" s="426">
        <v>13</v>
      </c>
      <c r="E588" s="947"/>
      <c r="F588" s="947"/>
      <c r="G588" s="947"/>
      <c r="H588" s="981"/>
      <c r="I588" s="947"/>
      <c r="J588" s="947"/>
      <c r="K588" s="940">
        <f t="shared" si="88"/>
        <v>0</v>
      </c>
      <c r="L588" s="949"/>
      <c r="M588" s="949"/>
      <c r="N588" s="954"/>
      <c r="O588" s="927"/>
      <c r="P588" s="955"/>
      <c r="Q588" s="950"/>
      <c r="R588" s="949"/>
      <c r="S588" s="949"/>
      <c r="T588" s="907"/>
      <c r="U588" s="947"/>
      <c r="V588" s="947"/>
      <c r="W588" s="951"/>
      <c r="X588" s="949"/>
      <c r="Y588" s="948"/>
      <c r="Z588" s="909"/>
      <c r="AA588" s="947"/>
      <c r="AB588" s="950"/>
      <c r="AC588" s="927"/>
      <c r="AD588" s="952"/>
      <c r="AE588" s="1095"/>
      <c r="AF588" s="950"/>
      <c r="AG588" s="953"/>
      <c r="AH588" s="953"/>
      <c r="AI588" s="939">
        <f t="shared" si="89"/>
        <v>0</v>
      </c>
      <c r="AJ588" s="939">
        <f t="shared" si="90"/>
        <v>0</v>
      </c>
    </row>
    <row r="589" spans="3:36" x14ac:dyDescent="0.2">
      <c r="C589" s="225" t="s">
        <v>150</v>
      </c>
      <c r="D589" s="426">
        <v>14</v>
      </c>
      <c r="E589" s="947"/>
      <c r="F589" s="947"/>
      <c r="G589" s="947"/>
      <c r="H589" s="981"/>
      <c r="I589" s="947"/>
      <c r="J589" s="947"/>
      <c r="K589" s="940">
        <f t="shared" si="88"/>
        <v>0</v>
      </c>
      <c r="L589" s="949"/>
      <c r="M589" s="949"/>
      <c r="N589" s="954"/>
      <c r="O589" s="927"/>
      <c r="P589" s="955"/>
      <c r="Q589" s="950"/>
      <c r="R589" s="949"/>
      <c r="S589" s="949"/>
      <c r="T589" s="907"/>
      <c r="U589" s="947"/>
      <c r="V589" s="947"/>
      <c r="W589" s="951"/>
      <c r="X589" s="949"/>
      <c r="Y589" s="948"/>
      <c r="Z589" s="909"/>
      <c r="AA589" s="947"/>
      <c r="AB589" s="950"/>
      <c r="AC589" s="927"/>
      <c r="AD589" s="952"/>
      <c r="AE589" s="1095"/>
      <c r="AF589" s="950"/>
      <c r="AG589" s="953"/>
      <c r="AH589" s="953"/>
      <c r="AI589" s="939">
        <f t="shared" si="89"/>
        <v>0</v>
      </c>
      <c r="AJ589" s="939">
        <f t="shared" si="90"/>
        <v>0</v>
      </c>
    </row>
    <row r="590" spans="3:36" x14ac:dyDescent="0.2">
      <c r="C590" s="225" t="s">
        <v>25</v>
      </c>
      <c r="D590" s="426">
        <v>15</v>
      </c>
      <c r="E590" s="947"/>
      <c r="F590" s="947"/>
      <c r="G590" s="947"/>
      <c r="H590" s="981"/>
      <c r="I590" s="947"/>
      <c r="J590" s="947"/>
      <c r="K590" s="940">
        <f t="shared" si="88"/>
        <v>0</v>
      </c>
      <c r="L590" s="949"/>
      <c r="M590" s="949"/>
      <c r="N590" s="954"/>
      <c r="O590" s="927"/>
      <c r="P590" s="955"/>
      <c r="Q590" s="950"/>
      <c r="R590" s="949"/>
      <c r="S590" s="949"/>
      <c r="T590" s="907"/>
      <c r="U590" s="947"/>
      <c r="V590" s="947"/>
      <c r="W590" s="951"/>
      <c r="X590" s="949"/>
      <c r="Y590" s="948"/>
      <c r="Z590" s="909"/>
      <c r="AA590" s="947"/>
      <c r="AB590" s="950"/>
      <c r="AC590" s="927"/>
      <c r="AD590" s="952"/>
      <c r="AE590" s="1095"/>
      <c r="AF590" s="950"/>
      <c r="AG590" s="953"/>
      <c r="AH590" s="953"/>
      <c r="AI590" s="939">
        <f t="shared" si="89"/>
        <v>0</v>
      </c>
      <c r="AJ590" s="939">
        <f t="shared" si="90"/>
        <v>0</v>
      </c>
    </row>
    <row r="591" spans="3:36" x14ac:dyDescent="0.2">
      <c r="C591" s="225" t="s">
        <v>118</v>
      </c>
      <c r="D591" s="426">
        <v>16</v>
      </c>
      <c r="E591" s="947"/>
      <c r="F591" s="947"/>
      <c r="G591" s="947"/>
      <c r="H591" s="981"/>
      <c r="I591" s="947"/>
      <c r="J591" s="947"/>
      <c r="K591" s="940">
        <f t="shared" si="88"/>
        <v>0</v>
      </c>
      <c r="L591" s="949"/>
      <c r="M591" s="949"/>
      <c r="N591" s="954"/>
      <c r="O591" s="927"/>
      <c r="P591" s="955"/>
      <c r="Q591" s="950"/>
      <c r="R591" s="949"/>
      <c r="S591" s="949"/>
      <c r="T591" s="907"/>
      <c r="U591" s="947"/>
      <c r="V591" s="947"/>
      <c r="W591" s="951"/>
      <c r="X591" s="949"/>
      <c r="Y591" s="948"/>
      <c r="Z591" s="909"/>
      <c r="AA591" s="947"/>
      <c r="AB591" s="950"/>
      <c r="AC591" s="927"/>
      <c r="AD591" s="952"/>
      <c r="AE591" s="1095"/>
      <c r="AF591" s="950"/>
      <c r="AG591" s="953"/>
      <c r="AH591" s="953"/>
      <c r="AI591" s="939">
        <f t="shared" si="89"/>
        <v>0</v>
      </c>
      <c r="AJ591" s="939">
        <f t="shared" si="90"/>
        <v>0</v>
      </c>
    </row>
    <row r="592" spans="3:36" x14ac:dyDescent="0.2">
      <c r="C592" s="225" t="s">
        <v>557</v>
      </c>
      <c r="D592" s="426">
        <v>17</v>
      </c>
      <c r="E592" s="947"/>
      <c r="F592" s="947"/>
      <c r="G592" s="947"/>
      <c r="H592" s="981"/>
      <c r="I592" s="947"/>
      <c r="J592" s="947"/>
      <c r="K592" s="940">
        <f t="shared" si="88"/>
        <v>0</v>
      </c>
      <c r="L592" s="949"/>
      <c r="M592" s="949"/>
      <c r="N592" s="954"/>
      <c r="O592" s="927"/>
      <c r="P592" s="955"/>
      <c r="Q592" s="950"/>
      <c r="R592" s="949"/>
      <c r="S592" s="949"/>
      <c r="T592" s="907"/>
      <c r="U592" s="947"/>
      <c r="V592" s="947"/>
      <c r="W592" s="951"/>
      <c r="X592" s="949"/>
      <c r="Y592" s="948"/>
      <c r="Z592" s="909"/>
      <c r="AA592" s="947"/>
      <c r="AB592" s="950"/>
      <c r="AC592" s="927"/>
      <c r="AD592" s="952"/>
      <c r="AE592" s="1095"/>
      <c r="AF592" s="950"/>
      <c r="AG592" s="953"/>
      <c r="AH592" s="953"/>
      <c r="AI592" s="939">
        <f t="shared" si="89"/>
        <v>0</v>
      </c>
      <c r="AJ592" s="939">
        <f t="shared" si="90"/>
        <v>0</v>
      </c>
    </row>
    <row r="593" spans="3:36" x14ac:dyDescent="0.2">
      <c r="C593" s="225" t="s">
        <v>119</v>
      </c>
      <c r="D593" s="426">
        <v>18</v>
      </c>
      <c r="E593" s="947"/>
      <c r="F593" s="947"/>
      <c r="G593" s="947"/>
      <c r="H593" s="981"/>
      <c r="I593" s="947"/>
      <c r="J593" s="947"/>
      <c r="K593" s="940">
        <f t="shared" si="88"/>
        <v>0</v>
      </c>
      <c r="L593" s="949"/>
      <c r="M593" s="949"/>
      <c r="N593" s="954"/>
      <c r="O593" s="927"/>
      <c r="P593" s="955"/>
      <c r="Q593" s="950"/>
      <c r="R593" s="949"/>
      <c r="S593" s="949"/>
      <c r="T593" s="907"/>
      <c r="U593" s="947"/>
      <c r="V593" s="947"/>
      <c r="W593" s="951"/>
      <c r="X593" s="949"/>
      <c r="Y593" s="948"/>
      <c r="Z593" s="909"/>
      <c r="AA593" s="947"/>
      <c r="AB593" s="950"/>
      <c r="AC593" s="927"/>
      <c r="AD593" s="952"/>
      <c r="AE593" s="1095"/>
      <c r="AF593" s="950"/>
      <c r="AG593" s="953"/>
      <c r="AH593" s="953"/>
      <c r="AI593" s="939">
        <f t="shared" si="89"/>
        <v>0</v>
      </c>
      <c r="AJ593" s="939">
        <f t="shared" si="90"/>
        <v>0</v>
      </c>
    </row>
    <row r="594" spans="3:36" x14ac:dyDescent="0.2">
      <c r="C594" s="225" t="s">
        <v>30</v>
      </c>
      <c r="D594" s="426">
        <v>19</v>
      </c>
      <c r="E594" s="947"/>
      <c r="F594" s="947"/>
      <c r="G594" s="947"/>
      <c r="H594" s="981"/>
      <c r="I594" s="947"/>
      <c r="J594" s="947"/>
      <c r="K594" s="940">
        <f t="shared" si="88"/>
        <v>0</v>
      </c>
      <c r="L594" s="949"/>
      <c r="M594" s="949"/>
      <c r="N594" s="954"/>
      <c r="O594" s="927"/>
      <c r="P594" s="955"/>
      <c r="Q594" s="950"/>
      <c r="R594" s="949"/>
      <c r="S594" s="949"/>
      <c r="T594" s="907"/>
      <c r="U594" s="947"/>
      <c r="V594" s="947"/>
      <c r="W594" s="951"/>
      <c r="X594" s="949"/>
      <c r="Y594" s="948"/>
      <c r="Z594" s="909"/>
      <c r="AA594" s="947"/>
      <c r="AB594" s="950"/>
      <c r="AC594" s="927"/>
      <c r="AD594" s="952"/>
      <c r="AE594" s="1095"/>
      <c r="AF594" s="950"/>
      <c r="AG594" s="953"/>
      <c r="AH594" s="953"/>
      <c r="AI594" s="939">
        <f t="shared" si="89"/>
        <v>0</v>
      </c>
      <c r="AJ594" s="939">
        <f t="shared" si="90"/>
        <v>0</v>
      </c>
    </row>
    <row r="595" spans="3:36" x14ac:dyDescent="0.2">
      <c r="C595" s="225" t="s">
        <v>558</v>
      </c>
      <c r="D595" s="426">
        <v>20</v>
      </c>
      <c r="E595" s="947"/>
      <c r="F595" s="947"/>
      <c r="G595" s="947"/>
      <c r="H595" s="981"/>
      <c r="I595" s="947"/>
      <c r="J595" s="947"/>
      <c r="K595" s="940">
        <f t="shared" si="88"/>
        <v>0</v>
      </c>
      <c r="L595" s="949"/>
      <c r="M595" s="949"/>
      <c r="N595" s="954"/>
      <c r="O595" s="927"/>
      <c r="P595" s="955"/>
      <c r="Q595" s="950"/>
      <c r="R595" s="949"/>
      <c r="S595" s="949"/>
      <c r="T595" s="907"/>
      <c r="U595" s="947"/>
      <c r="V595" s="947"/>
      <c r="W595" s="951"/>
      <c r="X595" s="949"/>
      <c r="Y595" s="948"/>
      <c r="Z595" s="909"/>
      <c r="AA595" s="947"/>
      <c r="AB595" s="950"/>
      <c r="AC595" s="927"/>
      <c r="AD595" s="952"/>
      <c r="AE595" s="1095"/>
      <c r="AF595" s="950"/>
      <c r="AG595" s="953"/>
      <c r="AH595" s="953"/>
      <c r="AI595" s="939">
        <f t="shared" si="89"/>
        <v>0</v>
      </c>
      <c r="AJ595" s="939">
        <f t="shared" si="90"/>
        <v>0</v>
      </c>
    </row>
    <row r="596" spans="3:36" x14ac:dyDescent="0.2">
      <c r="C596" s="225" t="s">
        <v>120</v>
      </c>
      <c r="D596" s="426">
        <v>21</v>
      </c>
      <c r="E596" s="947"/>
      <c r="F596" s="947"/>
      <c r="G596" s="947"/>
      <c r="H596" s="981"/>
      <c r="I596" s="947"/>
      <c r="J596" s="947"/>
      <c r="K596" s="940">
        <f t="shared" si="88"/>
        <v>0</v>
      </c>
      <c r="L596" s="949"/>
      <c r="M596" s="949"/>
      <c r="N596" s="954"/>
      <c r="O596" s="927"/>
      <c r="P596" s="955"/>
      <c r="Q596" s="950"/>
      <c r="R596" s="949"/>
      <c r="S596" s="949"/>
      <c r="T596" s="907"/>
      <c r="U596" s="947"/>
      <c r="V596" s="947"/>
      <c r="W596" s="951"/>
      <c r="X596" s="949"/>
      <c r="Y596" s="948"/>
      <c r="Z596" s="909"/>
      <c r="AA596" s="947"/>
      <c r="AB596" s="950"/>
      <c r="AC596" s="927"/>
      <c r="AD596" s="952"/>
      <c r="AE596" s="1095"/>
      <c r="AF596" s="950"/>
      <c r="AG596" s="953"/>
      <c r="AH596" s="953"/>
      <c r="AI596" s="939">
        <f t="shared" si="89"/>
        <v>0</v>
      </c>
      <c r="AJ596" s="939">
        <f t="shared" si="90"/>
        <v>0</v>
      </c>
    </row>
    <row r="597" spans="3:36" x14ac:dyDescent="0.2">
      <c r="C597" s="225" t="s">
        <v>121</v>
      </c>
      <c r="D597" s="426">
        <v>22</v>
      </c>
      <c r="E597" s="947"/>
      <c r="F597" s="947"/>
      <c r="G597" s="947"/>
      <c r="H597" s="981"/>
      <c r="I597" s="947"/>
      <c r="J597" s="947"/>
      <c r="K597" s="940">
        <f t="shared" si="88"/>
        <v>0</v>
      </c>
      <c r="L597" s="949"/>
      <c r="M597" s="949"/>
      <c r="N597" s="954"/>
      <c r="O597" s="927"/>
      <c r="P597" s="955"/>
      <c r="Q597" s="950"/>
      <c r="R597" s="949"/>
      <c r="S597" s="949"/>
      <c r="T597" s="907"/>
      <c r="U597" s="947"/>
      <c r="V597" s="947"/>
      <c r="W597" s="951"/>
      <c r="X597" s="949"/>
      <c r="Y597" s="948"/>
      <c r="Z597" s="909"/>
      <c r="AA597" s="947"/>
      <c r="AB597" s="950"/>
      <c r="AC597" s="927"/>
      <c r="AD597" s="952"/>
      <c r="AE597" s="1095"/>
      <c r="AF597" s="950"/>
      <c r="AG597" s="953"/>
      <c r="AH597" s="953"/>
      <c r="AI597" s="939">
        <f t="shared" si="89"/>
        <v>0</v>
      </c>
      <c r="AJ597" s="939">
        <f t="shared" si="90"/>
        <v>0</v>
      </c>
    </row>
    <row r="598" spans="3:36" x14ac:dyDescent="0.2">
      <c r="C598" s="225" t="s">
        <v>122</v>
      </c>
      <c r="D598" s="426">
        <v>23</v>
      </c>
      <c r="E598" s="947"/>
      <c r="F598" s="947"/>
      <c r="G598" s="947"/>
      <c r="H598" s="981"/>
      <c r="I598" s="947"/>
      <c r="J598" s="947"/>
      <c r="K598" s="940">
        <f t="shared" si="88"/>
        <v>0</v>
      </c>
      <c r="L598" s="949"/>
      <c r="M598" s="949"/>
      <c r="N598" s="954"/>
      <c r="O598" s="927"/>
      <c r="P598" s="955"/>
      <c r="Q598" s="950"/>
      <c r="R598" s="949"/>
      <c r="S598" s="949"/>
      <c r="T598" s="907"/>
      <c r="U598" s="947"/>
      <c r="V598" s="947"/>
      <c r="W598" s="951"/>
      <c r="X598" s="949"/>
      <c r="Y598" s="948"/>
      <c r="Z598" s="909"/>
      <c r="AA598" s="947"/>
      <c r="AB598" s="950"/>
      <c r="AC598" s="927"/>
      <c r="AD598" s="952"/>
      <c r="AE598" s="1095"/>
      <c r="AF598" s="950"/>
      <c r="AG598" s="953"/>
      <c r="AH598" s="953"/>
      <c r="AI598" s="939">
        <f t="shared" si="89"/>
        <v>0</v>
      </c>
      <c r="AJ598" s="939">
        <f t="shared" si="90"/>
        <v>0</v>
      </c>
    </row>
    <row r="599" spans="3:36" x14ac:dyDescent="0.2">
      <c r="C599" s="225" t="s">
        <v>123</v>
      </c>
      <c r="D599" s="426">
        <v>24</v>
      </c>
      <c r="E599" s="947"/>
      <c r="F599" s="947"/>
      <c r="G599" s="947"/>
      <c r="H599" s="981"/>
      <c r="I599" s="947"/>
      <c r="J599" s="947"/>
      <c r="K599" s="940">
        <f t="shared" si="88"/>
        <v>0</v>
      </c>
      <c r="L599" s="949"/>
      <c r="M599" s="949"/>
      <c r="N599" s="954"/>
      <c r="O599" s="927"/>
      <c r="P599" s="955"/>
      <c r="Q599" s="950"/>
      <c r="R599" s="949"/>
      <c r="S599" s="949"/>
      <c r="T599" s="907"/>
      <c r="U599" s="947"/>
      <c r="V599" s="947"/>
      <c r="W599" s="951"/>
      <c r="X599" s="949"/>
      <c r="Y599" s="948"/>
      <c r="Z599" s="909"/>
      <c r="AA599" s="947"/>
      <c r="AB599" s="950"/>
      <c r="AC599" s="927"/>
      <c r="AD599" s="952"/>
      <c r="AE599" s="1095"/>
      <c r="AF599" s="950"/>
      <c r="AG599" s="953"/>
      <c r="AH599" s="953"/>
      <c r="AI599" s="939">
        <f t="shared" si="89"/>
        <v>0</v>
      </c>
      <c r="AJ599" s="939">
        <f t="shared" si="90"/>
        <v>0</v>
      </c>
    </row>
    <row r="600" spans="3:36" x14ac:dyDescent="0.2">
      <c r="C600" s="225" t="s">
        <v>124</v>
      </c>
      <c r="D600" s="426">
        <v>25</v>
      </c>
      <c r="E600" s="947"/>
      <c r="F600" s="947"/>
      <c r="G600" s="947"/>
      <c r="H600" s="981"/>
      <c r="I600" s="947"/>
      <c r="J600" s="947"/>
      <c r="K600" s="940">
        <f t="shared" si="88"/>
        <v>0</v>
      </c>
      <c r="L600" s="949"/>
      <c r="M600" s="949"/>
      <c r="N600" s="954"/>
      <c r="O600" s="927"/>
      <c r="P600" s="955"/>
      <c r="Q600" s="950"/>
      <c r="R600" s="949"/>
      <c r="S600" s="949"/>
      <c r="T600" s="907"/>
      <c r="U600" s="947"/>
      <c r="V600" s="947"/>
      <c r="W600" s="951"/>
      <c r="X600" s="949"/>
      <c r="Y600" s="948"/>
      <c r="Z600" s="909"/>
      <c r="AA600" s="947"/>
      <c r="AB600" s="950"/>
      <c r="AC600" s="927"/>
      <c r="AD600" s="952"/>
      <c r="AE600" s="1095"/>
      <c r="AF600" s="950"/>
      <c r="AG600" s="953"/>
      <c r="AH600" s="953"/>
      <c r="AI600" s="939">
        <f t="shared" si="89"/>
        <v>0</v>
      </c>
      <c r="AJ600" s="939">
        <f t="shared" si="90"/>
        <v>0</v>
      </c>
    </row>
    <row r="601" spans="3:36" x14ac:dyDescent="0.2">
      <c r="C601" s="225" t="s">
        <v>97</v>
      </c>
      <c r="D601" s="426">
        <v>26</v>
      </c>
      <c r="E601" s="947"/>
      <c r="F601" s="947"/>
      <c r="G601" s="947"/>
      <c r="H601" s="981"/>
      <c r="I601" s="947"/>
      <c r="J601" s="947"/>
      <c r="K601" s="940">
        <f t="shared" si="88"/>
        <v>0</v>
      </c>
      <c r="L601" s="949"/>
      <c r="M601" s="949"/>
      <c r="N601" s="954"/>
      <c r="O601" s="927"/>
      <c r="P601" s="955"/>
      <c r="Q601" s="950"/>
      <c r="R601" s="949"/>
      <c r="S601" s="949"/>
      <c r="T601" s="907"/>
      <c r="U601" s="947"/>
      <c r="V601" s="947"/>
      <c r="W601" s="951"/>
      <c r="X601" s="949"/>
      <c r="Y601" s="948"/>
      <c r="Z601" s="909"/>
      <c r="AA601" s="947"/>
      <c r="AB601" s="950"/>
      <c r="AC601" s="927"/>
      <c r="AD601" s="952"/>
      <c r="AE601" s="1095"/>
      <c r="AF601" s="950"/>
      <c r="AG601" s="953"/>
      <c r="AH601" s="953"/>
      <c r="AI601" s="939">
        <f t="shared" si="89"/>
        <v>0</v>
      </c>
      <c r="AJ601" s="939">
        <f t="shared" si="90"/>
        <v>0</v>
      </c>
    </row>
    <row r="602" spans="3:36" x14ac:dyDescent="0.2">
      <c r="C602" s="225" t="s">
        <v>125</v>
      </c>
      <c r="D602" s="426">
        <v>27</v>
      </c>
      <c r="E602" s="947"/>
      <c r="F602" s="947"/>
      <c r="G602" s="947"/>
      <c r="H602" s="981"/>
      <c r="I602" s="947"/>
      <c r="J602" s="947"/>
      <c r="K602" s="940">
        <f t="shared" si="88"/>
        <v>0</v>
      </c>
      <c r="L602" s="949"/>
      <c r="M602" s="949"/>
      <c r="N602" s="954"/>
      <c r="O602" s="927"/>
      <c r="P602" s="955"/>
      <c r="Q602" s="950"/>
      <c r="R602" s="949"/>
      <c r="S602" s="949"/>
      <c r="T602" s="907"/>
      <c r="U602" s="947"/>
      <c r="V602" s="947"/>
      <c r="W602" s="951"/>
      <c r="X602" s="949"/>
      <c r="Y602" s="948"/>
      <c r="Z602" s="909"/>
      <c r="AA602" s="947"/>
      <c r="AB602" s="950"/>
      <c r="AC602" s="927"/>
      <c r="AD602" s="952"/>
      <c r="AE602" s="1095"/>
      <c r="AF602" s="950"/>
      <c r="AG602" s="953"/>
      <c r="AH602" s="953"/>
      <c r="AI602" s="939">
        <f t="shared" si="89"/>
        <v>0</v>
      </c>
      <c r="AJ602" s="939">
        <f t="shared" si="90"/>
        <v>0</v>
      </c>
    </row>
    <row r="603" spans="3:36" x14ac:dyDescent="0.2">
      <c r="C603" s="225" t="s">
        <v>126</v>
      </c>
      <c r="D603" s="426">
        <v>28</v>
      </c>
      <c r="E603" s="947"/>
      <c r="F603" s="947"/>
      <c r="G603" s="947"/>
      <c r="H603" s="981"/>
      <c r="I603" s="947"/>
      <c r="J603" s="947"/>
      <c r="K603" s="940">
        <f t="shared" si="88"/>
        <v>0</v>
      </c>
      <c r="L603" s="949"/>
      <c r="M603" s="949"/>
      <c r="N603" s="954"/>
      <c r="O603" s="927"/>
      <c r="P603" s="955"/>
      <c r="Q603" s="950"/>
      <c r="R603" s="949"/>
      <c r="S603" s="949"/>
      <c r="T603" s="907"/>
      <c r="U603" s="947"/>
      <c r="V603" s="947"/>
      <c r="W603" s="951"/>
      <c r="X603" s="949"/>
      <c r="Y603" s="948"/>
      <c r="Z603" s="909"/>
      <c r="AA603" s="947"/>
      <c r="AB603" s="950"/>
      <c r="AC603" s="927"/>
      <c r="AD603" s="952"/>
      <c r="AE603" s="1095"/>
      <c r="AF603" s="950"/>
      <c r="AG603" s="953"/>
      <c r="AH603" s="953"/>
      <c r="AI603" s="939">
        <f t="shared" si="89"/>
        <v>0</v>
      </c>
      <c r="AJ603" s="939">
        <f t="shared" si="90"/>
        <v>0</v>
      </c>
    </row>
    <row r="604" spans="3:36" x14ac:dyDescent="0.2">
      <c r="C604" s="225" t="s">
        <v>127</v>
      </c>
      <c r="D604" s="426">
        <v>29</v>
      </c>
      <c r="E604" s="947"/>
      <c r="F604" s="947"/>
      <c r="G604" s="947"/>
      <c r="H604" s="981"/>
      <c r="I604" s="947"/>
      <c r="J604" s="947"/>
      <c r="K604" s="940">
        <f t="shared" si="88"/>
        <v>0</v>
      </c>
      <c r="L604" s="949"/>
      <c r="M604" s="949"/>
      <c r="N604" s="954"/>
      <c r="O604" s="927"/>
      <c r="P604" s="955"/>
      <c r="Q604" s="950"/>
      <c r="R604" s="949"/>
      <c r="S604" s="949"/>
      <c r="T604" s="907"/>
      <c r="U604" s="947"/>
      <c r="V604" s="947"/>
      <c r="W604" s="951"/>
      <c r="X604" s="949"/>
      <c r="Y604" s="948"/>
      <c r="Z604" s="909"/>
      <c r="AA604" s="947"/>
      <c r="AB604" s="950"/>
      <c r="AC604" s="927"/>
      <c r="AD604" s="952"/>
      <c r="AE604" s="1095"/>
      <c r="AF604" s="950"/>
      <c r="AG604" s="953"/>
      <c r="AH604" s="953"/>
      <c r="AI604" s="939">
        <f t="shared" si="89"/>
        <v>0</v>
      </c>
      <c r="AJ604" s="939">
        <f t="shared" si="90"/>
        <v>0</v>
      </c>
    </row>
    <row r="605" spans="3:36" x14ac:dyDescent="0.2">
      <c r="C605" s="225" t="s">
        <v>936</v>
      </c>
      <c r="D605" s="426">
        <v>30</v>
      </c>
      <c r="E605" s="947"/>
      <c r="F605" s="947"/>
      <c r="G605" s="947"/>
      <c r="H605" s="981"/>
      <c r="I605" s="947"/>
      <c r="J605" s="947"/>
      <c r="K605" s="940">
        <f t="shared" si="88"/>
        <v>0</v>
      </c>
      <c r="L605" s="949"/>
      <c r="M605" s="949"/>
      <c r="N605" s="954"/>
      <c r="O605" s="927"/>
      <c r="P605" s="955"/>
      <c r="Q605" s="950"/>
      <c r="R605" s="949"/>
      <c r="S605" s="949"/>
      <c r="T605" s="907"/>
      <c r="U605" s="947"/>
      <c r="V605" s="947"/>
      <c r="W605" s="951"/>
      <c r="X605" s="949"/>
      <c r="Y605" s="948"/>
      <c r="Z605" s="909"/>
      <c r="AA605" s="947"/>
      <c r="AB605" s="950"/>
      <c r="AC605" s="927"/>
      <c r="AD605" s="952"/>
      <c r="AE605" s="1095"/>
      <c r="AF605" s="950"/>
      <c r="AG605" s="953"/>
      <c r="AH605" s="953"/>
      <c r="AI605" s="939">
        <f t="shared" si="89"/>
        <v>0</v>
      </c>
      <c r="AJ605" s="939">
        <f t="shared" si="90"/>
        <v>0</v>
      </c>
    </row>
    <row r="606" spans="3:36" x14ac:dyDescent="0.2">
      <c r="C606" s="225" t="s">
        <v>561</v>
      </c>
      <c r="D606" s="426">
        <v>31</v>
      </c>
      <c r="E606" s="947"/>
      <c r="F606" s="947"/>
      <c r="G606" s="947"/>
      <c r="H606" s="981"/>
      <c r="I606" s="947"/>
      <c r="J606" s="947"/>
      <c r="K606" s="940">
        <f t="shared" si="88"/>
        <v>0</v>
      </c>
      <c r="L606" s="949"/>
      <c r="M606" s="949"/>
      <c r="N606" s="954"/>
      <c r="O606" s="927"/>
      <c r="P606" s="955"/>
      <c r="Q606" s="950"/>
      <c r="R606" s="949"/>
      <c r="S606" s="949"/>
      <c r="T606" s="907"/>
      <c r="U606" s="947"/>
      <c r="V606" s="947"/>
      <c r="W606" s="951"/>
      <c r="X606" s="949"/>
      <c r="Y606" s="948"/>
      <c r="Z606" s="909"/>
      <c r="AA606" s="947"/>
      <c r="AB606" s="950"/>
      <c r="AC606" s="927"/>
      <c r="AD606" s="952"/>
      <c r="AE606" s="1095"/>
      <c r="AF606" s="950"/>
      <c r="AG606" s="953"/>
      <c r="AH606" s="953"/>
      <c r="AI606" s="939">
        <f t="shared" si="89"/>
        <v>0</v>
      </c>
      <c r="AJ606" s="939">
        <f t="shared" si="90"/>
        <v>0</v>
      </c>
    </row>
    <row r="607" spans="3:36" x14ac:dyDescent="0.2">
      <c r="C607" s="225" t="s">
        <v>562</v>
      </c>
      <c r="D607" s="426">
        <v>32</v>
      </c>
      <c r="E607" s="947"/>
      <c r="F607" s="947"/>
      <c r="G607" s="947"/>
      <c r="H607" s="981"/>
      <c r="I607" s="947"/>
      <c r="J607" s="947"/>
      <c r="K607" s="940">
        <f t="shared" si="88"/>
        <v>0</v>
      </c>
      <c r="L607" s="949"/>
      <c r="M607" s="949"/>
      <c r="N607" s="954"/>
      <c r="O607" s="927"/>
      <c r="P607" s="955"/>
      <c r="Q607" s="950"/>
      <c r="R607" s="949"/>
      <c r="S607" s="949"/>
      <c r="T607" s="907"/>
      <c r="U607" s="947"/>
      <c r="V607" s="947"/>
      <c r="W607" s="951"/>
      <c r="X607" s="949"/>
      <c r="Y607" s="948"/>
      <c r="Z607" s="909"/>
      <c r="AA607" s="947"/>
      <c r="AB607" s="950"/>
      <c r="AC607" s="927"/>
      <c r="AD607" s="952"/>
      <c r="AE607" s="1095"/>
      <c r="AF607" s="950"/>
      <c r="AG607" s="953"/>
      <c r="AH607" s="953"/>
      <c r="AI607" s="939">
        <f t="shared" si="89"/>
        <v>0</v>
      </c>
      <c r="AJ607" s="939">
        <f t="shared" si="90"/>
        <v>0</v>
      </c>
    </row>
    <row r="608" spans="3:36" x14ac:dyDescent="0.2">
      <c r="C608" s="225" t="s">
        <v>128</v>
      </c>
      <c r="D608" s="426">
        <v>33</v>
      </c>
      <c r="E608" s="947"/>
      <c r="F608" s="947"/>
      <c r="G608" s="947"/>
      <c r="H608" s="981"/>
      <c r="I608" s="947"/>
      <c r="J608" s="947"/>
      <c r="K608" s="940">
        <f t="shared" si="88"/>
        <v>0</v>
      </c>
      <c r="L608" s="949"/>
      <c r="M608" s="949"/>
      <c r="N608" s="947"/>
      <c r="O608" s="927"/>
      <c r="P608" s="949"/>
      <c r="Q608" s="950"/>
      <c r="R608" s="949"/>
      <c r="S608" s="949"/>
      <c r="T608" s="907"/>
      <c r="U608" s="947"/>
      <c r="V608" s="947"/>
      <c r="W608" s="951"/>
      <c r="X608" s="949"/>
      <c r="Y608" s="948"/>
      <c r="Z608" s="909"/>
      <c r="AA608" s="947"/>
      <c r="AB608" s="950"/>
      <c r="AC608" s="927"/>
      <c r="AD608" s="952"/>
      <c r="AE608" s="1095"/>
      <c r="AF608" s="950"/>
      <c r="AG608" s="953"/>
      <c r="AH608" s="953"/>
      <c r="AI608" s="939">
        <f t="shared" ref="AI608:AI632" si="91">ROUND(SUM(L608:O608,R608:T608,W608,Z608,AC608,AG608:AH608),3)</f>
        <v>0</v>
      </c>
      <c r="AJ608" s="939">
        <f t="shared" ref="AJ608:AJ632" si="92">ROUND(SUM(K608,AI608),3)</f>
        <v>0</v>
      </c>
    </row>
    <row r="609" spans="3:36" x14ac:dyDescent="0.2">
      <c r="C609" s="225" t="s">
        <v>151</v>
      </c>
      <c r="D609" s="426">
        <v>34</v>
      </c>
      <c r="E609" s="947"/>
      <c r="F609" s="947"/>
      <c r="G609" s="947"/>
      <c r="H609" s="981"/>
      <c r="I609" s="947"/>
      <c r="J609" s="947"/>
      <c r="K609" s="940">
        <f t="shared" si="88"/>
        <v>0</v>
      </c>
      <c r="L609" s="949"/>
      <c r="M609" s="949"/>
      <c r="N609" s="947"/>
      <c r="O609" s="927"/>
      <c r="P609" s="949"/>
      <c r="Q609" s="950"/>
      <c r="R609" s="949"/>
      <c r="S609" s="949"/>
      <c r="T609" s="907"/>
      <c r="U609" s="947"/>
      <c r="V609" s="947"/>
      <c r="W609" s="951"/>
      <c r="X609" s="949"/>
      <c r="Y609" s="948"/>
      <c r="Z609" s="909"/>
      <c r="AA609" s="947"/>
      <c r="AB609" s="950"/>
      <c r="AC609" s="927"/>
      <c r="AD609" s="952"/>
      <c r="AE609" s="1095"/>
      <c r="AF609" s="950"/>
      <c r="AG609" s="953"/>
      <c r="AH609" s="953"/>
      <c r="AI609" s="939">
        <f t="shared" si="91"/>
        <v>0</v>
      </c>
      <c r="AJ609" s="939">
        <f t="shared" si="92"/>
        <v>0</v>
      </c>
    </row>
    <row r="610" spans="3:36" x14ac:dyDescent="0.2">
      <c r="C610" s="74" t="s">
        <v>129</v>
      </c>
      <c r="D610" s="426">
        <v>35</v>
      </c>
      <c r="E610" s="947"/>
      <c r="F610" s="947"/>
      <c r="G610" s="947"/>
      <c r="H610" s="981"/>
      <c r="I610" s="947"/>
      <c r="J610" s="947"/>
      <c r="K610" s="940">
        <f t="shared" si="88"/>
        <v>0</v>
      </c>
      <c r="L610" s="949"/>
      <c r="M610" s="949"/>
      <c r="N610" s="947"/>
      <c r="O610" s="927"/>
      <c r="P610" s="949"/>
      <c r="Q610" s="950"/>
      <c r="R610" s="949"/>
      <c r="S610" s="949"/>
      <c r="T610" s="907"/>
      <c r="U610" s="947"/>
      <c r="V610" s="947"/>
      <c r="W610" s="951"/>
      <c r="X610" s="949"/>
      <c r="Y610" s="948"/>
      <c r="Z610" s="909"/>
      <c r="AA610" s="947"/>
      <c r="AB610" s="950"/>
      <c r="AC610" s="927"/>
      <c r="AD610" s="952"/>
      <c r="AE610" s="1095"/>
      <c r="AF610" s="950"/>
      <c r="AG610" s="953"/>
      <c r="AH610" s="953"/>
      <c r="AI610" s="939">
        <f t="shared" si="91"/>
        <v>0</v>
      </c>
      <c r="AJ610" s="939">
        <f t="shared" si="92"/>
        <v>0</v>
      </c>
    </row>
    <row r="611" spans="3:36" x14ac:dyDescent="0.2">
      <c r="C611" s="225" t="s">
        <v>939</v>
      </c>
      <c r="D611" s="426">
        <v>36</v>
      </c>
      <c r="E611" s="947"/>
      <c r="F611" s="947"/>
      <c r="G611" s="947"/>
      <c r="H611" s="981"/>
      <c r="I611" s="947"/>
      <c r="J611" s="947"/>
      <c r="K611" s="940">
        <f t="shared" si="88"/>
        <v>0</v>
      </c>
      <c r="L611" s="949"/>
      <c r="M611" s="949"/>
      <c r="N611" s="947"/>
      <c r="O611" s="927"/>
      <c r="P611" s="949"/>
      <c r="Q611" s="950"/>
      <c r="R611" s="949"/>
      <c r="S611" s="949"/>
      <c r="T611" s="907"/>
      <c r="U611" s="947"/>
      <c r="V611" s="947"/>
      <c r="W611" s="951"/>
      <c r="X611" s="949"/>
      <c r="Y611" s="948"/>
      <c r="Z611" s="909"/>
      <c r="AA611" s="947"/>
      <c r="AB611" s="950"/>
      <c r="AC611" s="927"/>
      <c r="AD611" s="952"/>
      <c r="AE611" s="1095"/>
      <c r="AF611" s="950"/>
      <c r="AG611" s="953"/>
      <c r="AH611" s="953"/>
      <c r="AI611" s="939">
        <f t="shared" si="91"/>
        <v>0</v>
      </c>
      <c r="AJ611" s="939">
        <f t="shared" si="92"/>
        <v>0</v>
      </c>
    </row>
    <row r="612" spans="3:36" x14ac:dyDescent="0.2">
      <c r="C612" s="225" t="s">
        <v>568</v>
      </c>
      <c r="D612" s="426">
        <v>37</v>
      </c>
      <c r="E612" s="947"/>
      <c r="F612" s="947"/>
      <c r="G612" s="947"/>
      <c r="H612" s="981"/>
      <c r="I612" s="947"/>
      <c r="J612" s="947"/>
      <c r="K612" s="940">
        <f t="shared" ref="K612:K632" si="93">ROUND(SUM(E612:H612,J612),3)</f>
        <v>0</v>
      </c>
      <c r="L612" s="949"/>
      <c r="M612" s="949"/>
      <c r="N612" s="954"/>
      <c r="O612" s="927"/>
      <c r="P612" s="955"/>
      <c r="Q612" s="950"/>
      <c r="R612" s="949"/>
      <c r="S612" s="949"/>
      <c r="T612" s="907"/>
      <c r="U612" s="947"/>
      <c r="V612" s="947"/>
      <c r="W612" s="951"/>
      <c r="X612" s="949"/>
      <c r="Y612" s="948"/>
      <c r="Z612" s="909"/>
      <c r="AA612" s="947"/>
      <c r="AB612" s="950"/>
      <c r="AC612" s="927"/>
      <c r="AD612" s="952"/>
      <c r="AE612" s="1095"/>
      <c r="AF612" s="950"/>
      <c r="AG612" s="953"/>
      <c r="AH612" s="953"/>
      <c r="AI612" s="939">
        <f t="shared" si="91"/>
        <v>0</v>
      </c>
      <c r="AJ612" s="939">
        <f t="shared" si="92"/>
        <v>0</v>
      </c>
    </row>
    <row r="613" spans="3:36" x14ac:dyDescent="0.2">
      <c r="C613" s="225" t="s">
        <v>130</v>
      </c>
      <c r="D613" s="426">
        <v>38</v>
      </c>
      <c r="E613" s="947"/>
      <c r="F613" s="947"/>
      <c r="G613" s="947"/>
      <c r="H613" s="981"/>
      <c r="I613" s="947"/>
      <c r="J613" s="947"/>
      <c r="K613" s="940">
        <f t="shared" si="93"/>
        <v>0</v>
      </c>
      <c r="L613" s="949"/>
      <c r="M613" s="949"/>
      <c r="N613" s="954"/>
      <c r="O613" s="927"/>
      <c r="P613" s="955"/>
      <c r="Q613" s="950"/>
      <c r="R613" s="949"/>
      <c r="S613" s="949"/>
      <c r="T613" s="907"/>
      <c r="U613" s="947"/>
      <c r="V613" s="947"/>
      <c r="W613" s="951"/>
      <c r="X613" s="949"/>
      <c r="Y613" s="948"/>
      <c r="Z613" s="909"/>
      <c r="AA613" s="947"/>
      <c r="AB613" s="950"/>
      <c r="AC613" s="927"/>
      <c r="AD613" s="952"/>
      <c r="AE613" s="1095"/>
      <c r="AF613" s="950"/>
      <c r="AG613" s="953"/>
      <c r="AH613" s="953"/>
      <c r="AI613" s="939">
        <f t="shared" si="91"/>
        <v>0</v>
      </c>
      <c r="AJ613" s="939">
        <f t="shared" si="92"/>
        <v>0</v>
      </c>
    </row>
    <row r="614" spans="3:36" x14ac:dyDescent="0.2">
      <c r="C614" s="225" t="s">
        <v>131</v>
      </c>
      <c r="D614" s="426">
        <v>39</v>
      </c>
      <c r="E614" s="947"/>
      <c r="F614" s="947"/>
      <c r="G614" s="947"/>
      <c r="H614" s="981"/>
      <c r="I614" s="947"/>
      <c r="J614" s="947"/>
      <c r="K614" s="940">
        <f t="shared" si="93"/>
        <v>0</v>
      </c>
      <c r="L614" s="949"/>
      <c r="M614" s="949"/>
      <c r="N614" s="954"/>
      <c r="O614" s="927"/>
      <c r="P614" s="955"/>
      <c r="Q614" s="950"/>
      <c r="R614" s="949"/>
      <c r="S614" s="949"/>
      <c r="T614" s="907"/>
      <c r="U614" s="947"/>
      <c r="V614" s="947"/>
      <c r="W614" s="951"/>
      <c r="X614" s="949"/>
      <c r="Y614" s="948"/>
      <c r="Z614" s="909"/>
      <c r="AA614" s="947"/>
      <c r="AB614" s="950"/>
      <c r="AC614" s="927"/>
      <c r="AD614" s="952"/>
      <c r="AE614" s="1095"/>
      <c r="AF614" s="950"/>
      <c r="AG614" s="953"/>
      <c r="AH614" s="953"/>
      <c r="AI614" s="939">
        <f t="shared" si="91"/>
        <v>0</v>
      </c>
      <c r="AJ614" s="939">
        <f t="shared" si="92"/>
        <v>0</v>
      </c>
    </row>
    <row r="615" spans="3:36" x14ac:dyDescent="0.2">
      <c r="C615" s="74" t="s">
        <v>1365</v>
      </c>
      <c r="D615" s="426">
        <v>40</v>
      </c>
      <c r="E615" s="947"/>
      <c r="F615" s="947"/>
      <c r="G615" s="947"/>
      <c r="H615" s="981"/>
      <c r="I615" s="947"/>
      <c r="J615" s="947"/>
      <c r="K615" s="940">
        <f t="shared" si="93"/>
        <v>0</v>
      </c>
      <c r="L615" s="949"/>
      <c r="M615" s="949"/>
      <c r="N615" s="954"/>
      <c r="O615" s="927"/>
      <c r="P615" s="955"/>
      <c r="Q615" s="950"/>
      <c r="R615" s="949"/>
      <c r="S615" s="949"/>
      <c r="T615" s="907"/>
      <c r="U615" s="947"/>
      <c r="V615" s="947"/>
      <c r="W615" s="951"/>
      <c r="X615" s="949"/>
      <c r="Y615" s="948"/>
      <c r="Z615" s="909"/>
      <c r="AA615" s="947"/>
      <c r="AB615" s="950"/>
      <c r="AC615" s="927"/>
      <c r="AD615" s="952"/>
      <c r="AE615" s="1095"/>
      <c r="AF615" s="950"/>
      <c r="AG615" s="953"/>
      <c r="AH615" s="953"/>
      <c r="AI615" s="939">
        <f t="shared" si="91"/>
        <v>0</v>
      </c>
      <c r="AJ615" s="939">
        <f t="shared" si="92"/>
        <v>0</v>
      </c>
    </row>
    <row r="616" spans="3:36" x14ac:dyDescent="0.2">
      <c r="C616" s="427" t="s">
        <v>132</v>
      </c>
      <c r="D616" s="426">
        <v>41</v>
      </c>
      <c r="E616" s="947"/>
      <c r="F616" s="947"/>
      <c r="G616" s="947"/>
      <c r="H616" s="981"/>
      <c r="I616" s="947"/>
      <c r="J616" s="947"/>
      <c r="K616" s="940">
        <f t="shared" si="93"/>
        <v>0</v>
      </c>
      <c r="L616" s="949"/>
      <c r="M616" s="949"/>
      <c r="N616" s="954"/>
      <c r="O616" s="927"/>
      <c r="P616" s="955"/>
      <c r="Q616" s="950"/>
      <c r="R616" s="949"/>
      <c r="S616" s="949"/>
      <c r="T616" s="907"/>
      <c r="U616" s="947"/>
      <c r="V616" s="947"/>
      <c r="W616" s="951"/>
      <c r="X616" s="949"/>
      <c r="Y616" s="948"/>
      <c r="Z616" s="909"/>
      <c r="AA616" s="947"/>
      <c r="AB616" s="950"/>
      <c r="AC616" s="927"/>
      <c r="AD616" s="952"/>
      <c r="AE616" s="1095"/>
      <c r="AF616" s="950"/>
      <c r="AG616" s="953"/>
      <c r="AH616" s="953"/>
      <c r="AI616" s="939">
        <f t="shared" si="91"/>
        <v>0</v>
      </c>
      <c r="AJ616" s="939">
        <f t="shared" si="92"/>
        <v>0</v>
      </c>
    </row>
    <row r="617" spans="3:36" x14ac:dyDescent="0.2">
      <c r="C617" s="427" t="s">
        <v>133</v>
      </c>
      <c r="D617" s="426">
        <v>42</v>
      </c>
      <c r="E617" s="947"/>
      <c r="F617" s="947"/>
      <c r="G617" s="947"/>
      <c r="H617" s="981"/>
      <c r="I617" s="947"/>
      <c r="J617" s="947"/>
      <c r="K617" s="940">
        <f t="shared" si="93"/>
        <v>0</v>
      </c>
      <c r="L617" s="949"/>
      <c r="M617" s="949"/>
      <c r="N617" s="947"/>
      <c r="O617" s="927"/>
      <c r="P617" s="949"/>
      <c r="Q617" s="950"/>
      <c r="R617" s="949"/>
      <c r="S617" s="949"/>
      <c r="T617" s="907"/>
      <c r="U617" s="947"/>
      <c r="V617" s="947"/>
      <c r="W617" s="951"/>
      <c r="X617" s="949"/>
      <c r="Y617" s="948"/>
      <c r="Z617" s="909"/>
      <c r="AA617" s="947"/>
      <c r="AB617" s="950"/>
      <c r="AC617" s="927"/>
      <c r="AD617" s="952"/>
      <c r="AE617" s="1095"/>
      <c r="AF617" s="950"/>
      <c r="AG617" s="953"/>
      <c r="AH617" s="953"/>
      <c r="AI617" s="939">
        <f t="shared" si="91"/>
        <v>0</v>
      </c>
      <c r="AJ617" s="939">
        <f t="shared" si="92"/>
        <v>0</v>
      </c>
    </row>
    <row r="618" spans="3:36" x14ac:dyDescent="0.2">
      <c r="C618" s="427" t="s">
        <v>134</v>
      </c>
      <c r="D618" s="426">
        <v>43</v>
      </c>
      <c r="E618" s="947"/>
      <c r="F618" s="947"/>
      <c r="G618" s="947"/>
      <c r="H618" s="981"/>
      <c r="I618" s="947"/>
      <c r="J618" s="947"/>
      <c r="K618" s="940">
        <f t="shared" si="93"/>
        <v>0</v>
      </c>
      <c r="L618" s="949"/>
      <c r="M618" s="949"/>
      <c r="N618" s="947"/>
      <c r="O618" s="927"/>
      <c r="P618" s="949"/>
      <c r="Q618" s="950"/>
      <c r="R618" s="949"/>
      <c r="S618" s="949"/>
      <c r="T618" s="907"/>
      <c r="U618" s="947"/>
      <c r="V618" s="947"/>
      <c r="W618" s="951"/>
      <c r="X618" s="949"/>
      <c r="Y618" s="948"/>
      <c r="Z618" s="909"/>
      <c r="AA618" s="947"/>
      <c r="AB618" s="950"/>
      <c r="AC618" s="927"/>
      <c r="AD618" s="952"/>
      <c r="AE618" s="1095"/>
      <c r="AF618" s="950"/>
      <c r="AG618" s="953"/>
      <c r="AH618" s="953"/>
      <c r="AI618" s="939">
        <f t="shared" si="91"/>
        <v>0</v>
      </c>
      <c r="AJ618" s="939">
        <f t="shared" si="92"/>
        <v>0</v>
      </c>
    </row>
    <row r="619" spans="3:36" x14ac:dyDescent="0.2">
      <c r="C619" s="427" t="s">
        <v>59</v>
      </c>
      <c r="D619" s="426">
        <v>44</v>
      </c>
      <c r="E619" s="947"/>
      <c r="F619" s="947"/>
      <c r="G619" s="947"/>
      <c r="H619" s="981"/>
      <c r="I619" s="947"/>
      <c r="J619" s="947"/>
      <c r="K619" s="940">
        <f t="shared" si="93"/>
        <v>0</v>
      </c>
      <c r="L619" s="949"/>
      <c r="M619" s="949"/>
      <c r="N619" s="947"/>
      <c r="O619" s="927"/>
      <c r="P619" s="949"/>
      <c r="Q619" s="950"/>
      <c r="R619" s="949"/>
      <c r="S619" s="949"/>
      <c r="T619" s="907"/>
      <c r="U619" s="947"/>
      <c r="V619" s="947"/>
      <c r="W619" s="951"/>
      <c r="X619" s="949"/>
      <c r="Y619" s="948"/>
      <c r="Z619" s="909"/>
      <c r="AA619" s="947"/>
      <c r="AB619" s="950"/>
      <c r="AC619" s="927"/>
      <c r="AD619" s="952"/>
      <c r="AE619" s="1095"/>
      <c r="AF619" s="950"/>
      <c r="AG619" s="953"/>
      <c r="AH619" s="953"/>
      <c r="AI619" s="939">
        <f t="shared" si="91"/>
        <v>0</v>
      </c>
      <c r="AJ619" s="939">
        <f t="shared" si="92"/>
        <v>0</v>
      </c>
    </row>
    <row r="620" spans="3:36" x14ac:dyDescent="0.2">
      <c r="C620" s="427" t="s">
        <v>621</v>
      </c>
      <c r="D620" s="426">
        <v>45</v>
      </c>
      <c r="E620" s="947"/>
      <c r="F620" s="947"/>
      <c r="G620" s="947"/>
      <c r="H620" s="981"/>
      <c r="I620" s="947"/>
      <c r="J620" s="947"/>
      <c r="K620" s="940">
        <f t="shared" si="93"/>
        <v>0</v>
      </c>
      <c r="L620" s="949"/>
      <c r="M620" s="949"/>
      <c r="N620" s="947"/>
      <c r="O620" s="927"/>
      <c r="P620" s="949"/>
      <c r="Q620" s="950"/>
      <c r="R620" s="949"/>
      <c r="S620" s="949"/>
      <c r="T620" s="907"/>
      <c r="U620" s="947"/>
      <c r="V620" s="947"/>
      <c r="W620" s="951"/>
      <c r="X620" s="949"/>
      <c r="Y620" s="948"/>
      <c r="Z620" s="909"/>
      <c r="AA620" s="947"/>
      <c r="AB620" s="950"/>
      <c r="AC620" s="927"/>
      <c r="AD620" s="952"/>
      <c r="AE620" s="1095"/>
      <c r="AF620" s="950"/>
      <c r="AG620" s="953"/>
      <c r="AH620" s="953"/>
      <c r="AI620" s="939">
        <f t="shared" si="91"/>
        <v>0</v>
      </c>
      <c r="AJ620" s="939">
        <f t="shared" si="92"/>
        <v>0</v>
      </c>
    </row>
    <row r="621" spans="3:36" x14ac:dyDescent="0.2">
      <c r="C621" s="427" t="s">
        <v>569</v>
      </c>
      <c r="D621" s="426">
        <v>46</v>
      </c>
      <c r="E621" s="947"/>
      <c r="F621" s="947"/>
      <c r="G621" s="947"/>
      <c r="H621" s="981"/>
      <c r="I621" s="947"/>
      <c r="J621" s="947"/>
      <c r="K621" s="940">
        <f t="shared" si="93"/>
        <v>0</v>
      </c>
      <c r="L621" s="949"/>
      <c r="M621" s="949"/>
      <c r="N621" s="954"/>
      <c r="O621" s="927"/>
      <c r="P621" s="955"/>
      <c r="Q621" s="950"/>
      <c r="R621" s="949"/>
      <c r="S621" s="949"/>
      <c r="T621" s="907"/>
      <c r="U621" s="947"/>
      <c r="V621" s="947"/>
      <c r="W621" s="951"/>
      <c r="X621" s="949"/>
      <c r="Y621" s="948"/>
      <c r="Z621" s="909"/>
      <c r="AA621" s="947"/>
      <c r="AB621" s="950"/>
      <c r="AC621" s="927"/>
      <c r="AD621" s="952"/>
      <c r="AE621" s="1095"/>
      <c r="AF621" s="950"/>
      <c r="AG621" s="953"/>
      <c r="AH621" s="953"/>
      <c r="AI621" s="939">
        <f t="shared" si="91"/>
        <v>0</v>
      </c>
      <c r="AJ621" s="939">
        <f t="shared" si="92"/>
        <v>0</v>
      </c>
    </row>
    <row r="622" spans="3:36" x14ac:dyDescent="0.2">
      <c r="C622" s="427" t="s">
        <v>99</v>
      </c>
      <c r="D622" s="426">
        <v>47</v>
      </c>
      <c r="E622" s="947"/>
      <c r="F622" s="947"/>
      <c r="G622" s="947"/>
      <c r="H622" s="981"/>
      <c r="I622" s="947"/>
      <c r="J622" s="947"/>
      <c r="K622" s="940">
        <f t="shared" si="93"/>
        <v>0</v>
      </c>
      <c r="L622" s="949"/>
      <c r="M622" s="949"/>
      <c r="N622" s="947"/>
      <c r="O622" s="927"/>
      <c r="P622" s="949"/>
      <c r="Q622" s="950"/>
      <c r="R622" s="949"/>
      <c r="S622" s="949"/>
      <c r="T622" s="907"/>
      <c r="U622" s="947"/>
      <c r="V622" s="947"/>
      <c r="W622" s="951"/>
      <c r="X622" s="949"/>
      <c r="Y622" s="948"/>
      <c r="Z622" s="909"/>
      <c r="AA622" s="947"/>
      <c r="AB622" s="950"/>
      <c r="AC622" s="927"/>
      <c r="AD622" s="952"/>
      <c r="AE622" s="1095"/>
      <c r="AF622" s="950"/>
      <c r="AG622" s="953"/>
      <c r="AH622" s="953"/>
      <c r="AI622" s="939">
        <f t="shared" si="91"/>
        <v>0</v>
      </c>
      <c r="AJ622" s="939">
        <f t="shared" si="92"/>
        <v>0</v>
      </c>
    </row>
    <row r="623" spans="3:36" x14ac:dyDescent="0.2">
      <c r="C623" s="427" t="s">
        <v>570</v>
      </c>
      <c r="D623" s="426">
        <v>48</v>
      </c>
      <c r="E623" s="947"/>
      <c r="F623" s="947"/>
      <c r="G623" s="947"/>
      <c r="H623" s="981"/>
      <c r="I623" s="947"/>
      <c r="J623" s="947"/>
      <c r="K623" s="940">
        <f t="shared" si="93"/>
        <v>0</v>
      </c>
      <c r="L623" s="949"/>
      <c r="M623" s="949"/>
      <c r="N623" s="947"/>
      <c r="O623" s="927"/>
      <c r="P623" s="949"/>
      <c r="Q623" s="950"/>
      <c r="R623" s="949"/>
      <c r="S623" s="949"/>
      <c r="T623" s="907"/>
      <c r="U623" s="947"/>
      <c r="V623" s="947"/>
      <c r="W623" s="951"/>
      <c r="X623" s="949"/>
      <c r="Y623" s="948"/>
      <c r="Z623" s="909"/>
      <c r="AA623" s="947"/>
      <c r="AB623" s="950"/>
      <c r="AC623" s="927"/>
      <c r="AD623" s="952"/>
      <c r="AE623" s="1095"/>
      <c r="AF623" s="950"/>
      <c r="AG623" s="953"/>
      <c r="AH623" s="953"/>
      <c r="AI623" s="939">
        <f t="shared" si="91"/>
        <v>0</v>
      </c>
      <c r="AJ623" s="939">
        <f t="shared" si="92"/>
        <v>0</v>
      </c>
    </row>
    <row r="624" spans="3:36" x14ac:dyDescent="0.2">
      <c r="C624" s="427" t="s">
        <v>135</v>
      </c>
      <c r="D624" s="426">
        <v>49</v>
      </c>
      <c r="E624" s="947"/>
      <c r="F624" s="947"/>
      <c r="G624" s="947"/>
      <c r="H624" s="981"/>
      <c r="I624" s="947"/>
      <c r="J624" s="947"/>
      <c r="K624" s="940">
        <f t="shared" si="93"/>
        <v>0</v>
      </c>
      <c r="L624" s="949"/>
      <c r="M624" s="949"/>
      <c r="N624" s="947"/>
      <c r="O624" s="927"/>
      <c r="P624" s="949"/>
      <c r="Q624" s="950"/>
      <c r="R624" s="949"/>
      <c r="S624" s="949"/>
      <c r="T624" s="907"/>
      <c r="U624" s="947"/>
      <c r="V624" s="947"/>
      <c r="W624" s="951"/>
      <c r="X624" s="949"/>
      <c r="Y624" s="948"/>
      <c r="Z624" s="909"/>
      <c r="AA624" s="947"/>
      <c r="AB624" s="950"/>
      <c r="AC624" s="927"/>
      <c r="AD624" s="952"/>
      <c r="AE624" s="1095"/>
      <c r="AF624" s="950"/>
      <c r="AG624" s="953"/>
      <c r="AH624" s="953"/>
      <c r="AI624" s="939">
        <f t="shared" si="91"/>
        <v>0</v>
      </c>
      <c r="AJ624" s="939">
        <f t="shared" si="92"/>
        <v>0</v>
      </c>
    </row>
    <row r="625" spans="3:36" x14ac:dyDescent="0.2">
      <c r="C625" s="427" t="s">
        <v>136</v>
      </c>
      <c r="D625" s="426">
        <v>50</v>
      </c>
      <c r="E625" s="947"/>
      <c r="F625" s="947"/>
      <c r="G625" s="947"/>
      <c r="H625" s="981"/>
      <c r="I625" s="947"/>
      <c r="J625" s="947"/>
      <c r="K625" s="940">
        <f t="shared" si="93"/>
        <v>0</v>
      </c>
      <c r="L625" s="949"/>
      <c r="M625" s="949"/>
      <c r="N625" s="947"/>
      <c r="O625" s="927"/>
      <c r="P625" s="949"/>
      <c r="Q625" s="950"/>
      <c r="R625" s="949"/>
      <c r="S625" s="949"/>
      <c r="T625" s="907"/>
      <c r="U625" s="947"/>
      <c r="V625" s="947"/>
      <c r="W625" s="951"/>
      <c r="X625" s="949"/>
      <c r="Y625" s="948"/>
      <c r="Z625" s="909"/>
      <c r="AA625" s="947"/>
      <c r="AB625" s="950"/>
      <c r="AC625" s="927"/>
      <c r="AD625" s="952"/>
      <c r="AE625" s="1095"/>
      <c r="AF625" s="950"/>
      <c r="AG625" s="953"/>
      <c r="AH625" s="953"/>
      <c r="AI625" s="939">
        <f t="shared" si="91"/>
        <v>0</v>
      </c>
      <c r="AJ625" s="939">
        <f t="shared" si="92"/>
        <v>0</v>
      </c>
    </row>
    <row r="626" spans="3:36" x14ac:dyDescent="0.2">
      <c r="C626" s="427" t="s">
        <v>137</v>
      </c>
      <c r="D626" s="426">
        <v>51</v>
      </c>
      <c r="E626" s="947"/>
      <c r="F626" s="947"/>
      <c r="G626" s="947"/>
      <c r="H626" s="981"/>
      <c r="I626" s="947"/>
      <c r="J626" s="947"/>
      <c r="K626" s="940">
        <f t="shared" si="93"/>
        <v>0</v>
      </c>
      <c r="L626" s="949"/>
      <c r="M626" s="949"/>
      <c r="N626" s="947"/>
      <c r="O626" s="927"/>
      <c r="P626" s="949"/>
      <c r="Q626" s="950"/>
      <c r="R626" s="949"/>
      <c r="S626" s="949"/>
      <c r="T626" s="907"/>
      <c r="U626" s="947"/>
      <c r="V626" s="947"/>
      <c r="W626" s="951"/>
      <c r="X626" s="949"/>
      <c r="Y626" s="948"/>
      <c r="Z626" s="909"/>
      <c r="AA626" s="947"/>
      <c r="AB626" s="950"/>
      <c r="AC626" s="927"/>
      <c r="AD626" s="952"/>
      <c r="AE626" s="1095"/>
      <c r="AF626" s="950"/>
      <c r="AG626" s="953"/>
      <c r="AH626" s="953"/>
      <c r="AI626" s="939">
        <f t="shared" si="91"/>
        <v>0</v>
      </c>
      <c r="AJ626" s="939">
        <f t="shared" si="92"/>
        <v>0</v>
      </c>
    </row>
    <row r="627" spans="3:36" x14ac:dyDescent="0.2">
      <c r="C627" s="427" t="s">
        <v>138</v>
      </c>
      <c r="D627" s="426">
        <v>52</v>
      </c>
      <c r="E627" s="947"/>
      <c r="F627" s="947"/>
      <c r="G627" s="947"/>
      <c r="H627" s="981"/>
      <c r="I627" s="947"/>
      <c r="J627" s="947"/>
      <c r="K627" s="940">
        <f t="shared" si="93"/>
        <v>0</v>
      </c>
      <c r="L627" s="949"/>
      <c r="M627" s="949"/>
      <c r="N627" s="947"/>
      <c r="O627" s="927"/>
      <c r="P627" s="949"/>
      <c r="Q627" s="950"/>
      <c r="R627" s="949"/>
      <c r="S627" s="949"/>
      <c r="T627" s="907"/>
      <c r="U627" s="947"/>
      <c r="V627" s="947"/>
      <c r="W627" s="951"/>
      <c r="X627" s="949"/>
      <c r="Y627" s="948"/>
      <c r="Z627" s="909"/>
      <c r="AA627" s="947"/>
      <c r="AB627" s="950"/>
      <c r="AC627" s="927"/>
      <c r="AD627" s="952"/>
      <c r="AE627" s="1095"/>
      <c r="AF627" s="950"/>
      <c r="AG627" s="953"/>
      <c r="AH627" s="953"/>
      <c r="AI627" s="939">
        <f t="shared" si="91"/>
        <v>0</v>
      </c>
      <c r="AJ627" s="939">
        <f t="shared" si="92"/>
        <v>0</v>
      </c>
    </row>
    <row r="628" spans="3:36" x14ac:dyDescent="0.2">
      <c r="C628" s="427" t="s">
        <v>565</v>
      </c>
      <c r="D628" s="426">
        <v>53</v>
      </c>
      <c r="E628" s="947"/>
      <c r="F628" s="947"/>
      <c r="G628" s="947"/>
      <c r="H628" s="981"/>
      <c r="I628" s="947"/>
      <c r="J628" s="947"/>
      <c r="K628" s="940">
        <f t="shared" si="93"/>
        <v>0</v>
      </c>
      <c r="L628" s="949"/>
      <c r="M628" s="949"/>
      <c r="N628" s="954"/>
      <c r="O628" s="927"/>
      <c r="P628" s="955"/>
      <c r="Q628" s="950"/>
      <c r="R628" s="949"/>
      <c r="S628" s="949"/>
      <c r="T628" s="907"/>
      <c r="U628" s="947"/>
      <c r="V628" s="947"/>
      <c r="W628" s="951"/>
      <c r="X628" s="949"/>
      <c r="Y628" s="948"/>
      <c r="Z628" s="909"/>
      <c r="AA628" s="947"/>
      <c r="AB628" s="950"/>
      <c r="AC628" s="927"/>
      <c r="AD628" s="952"/>
      <c r="AE628" s="1095"/>
      <c r="AF628" s="950"/>
      <c r="AG628" s="953"/>
      <c r="AH628" s="953"/>
      <c r="AI628" s="939">
        <f t="shared" si="91"/>
        <v>0</v>
      </c>
      <c r="AJ628" s="939">
        <f t="shared" si="92"/>
        <v>0</v>
      </c>
    </row>
    <row r="629" spans="3:36" x14ac:dyDescent="0.2">
      <c r="C629" s="427" t="s">
        <v>67</v>
      </c>
      <c r="D629" s="426">
        <v>54</v>
      </c>
      <c r="E629" s="947"/>
      <c r="F629" s="947"/>
      <c r="G629" s="947"/>
      <c r="H629" s="981"/>
      <c r="I629" s="947"/>
      <c r="J629" s="947"/>
      <c r="K629" s="940">
        <f t="shared" si="93"/>
        <v>0</v>
      </c>
      <c r="L629" s="949"/>
      <c r="M629" s="949"/>
      <c r="N629" s="954"/>
      <c r="O629" s="927"/>
      <c r="P629" s="955"/>
      <c r="Q629" s="950"/>
      <c r="R629" s="949"/>
      <c r="S629" s="949"/>
      <c r="T629" s="907"/>
      <c r="U629" s="947"/>
      <c r="V629" s="947"/>
      <c r="W629" s="951"/>
      <c r="X629" s="949"/>
      <c r="Y629" s="948"/>
      <c r="Z629" s="909"/>
      <c r="AA629" s="947"/>
      <c r="AB629" s="950"/>
      <c r="AC629" s="927"/>
      <c r="AD629" s="952"/>
      <c r="AE629" s="1095"/>
      <c r="AF629" s="950"/>
      <c r="AG629" s="953"/>
      <c r="AH629" s="953"/>
      <c r="AI629" s="939">
        <f t="shared" si="91"/>
        <v>0</v>
      </c>
      <c r="AJ629" s="939">
        <f t="shared" si="92"/>
        <v>0</v>
      </c>
    </row>
    <row r="630" spans="3:36" x14ac:dyDescent="0.2">
      <c r="C630" s="427" t="s">
        <v>139</v>
      </c>
      <c r="D630" s="426">
        <v>55</v>
      </c>
      <c r="E630" s="947"/>
      <c r="F630" s="947"/>
      <c r="G630" s="947"/>
      <c r="H630" s="981"/>
      <c r="I630" s="947"/>
      <c r="J630" s="947"/>
      <c r="K630" s="940">
        <f t="shared" si="93"/>
        <v>0</v>
      </c>
      <c r="L630" s="949"/>
      <c r="M630" s="949"/>
      <c r="N630" s="954"/>
      <c r="O630" s="927"/>
      <c r="P630" s="955"/>
      <c r="Q630" s="950"/>
      <c r="R630" s="949"/>
      <c r="S630" s="949"/>
      <c r="T630" s="907"/>
      <c r="U630" s="947"/>
      <c r="V630" s="947"/>
      <c r="W630" s="951"/>
      <c r="X630" s="949"/>
      <c r="Y630" s="948"/>
      <c r="Z630" s="909"/>
      <c r="AA630" s="947"/>
      <c r="AB630" s="950"/>
      <c r="AC630" s="927"/>
      <c r="AD630" s="952"/>
      <c r="AE630" s="1095"/>
      <c r="AF630" s="950"/>
      <c r="AG630" s="953"/>
      <c r="AH630" s="953"/>
      <c r="AI630" s="939">
        <f t="shared" si="91"/>
        <v>0</v>
      </c>
      <c r="AJ630" s="939">
        <f t="shared" si="92"/>
        <v>0</v>
      </c>
    </row>
    <row r="631" spans="3:36" ht="13.5" thickBot="1" x14ac:dyDescent="0.25">
      <c r="C631" s="207" t="s">
        <v>95</v>
      </c>
      <c r="D631" s="426">
        <v>56</v>
      </c>
      <c r="E631" s="947"/>
      <c r="F631" s="947"/>
      <c r="G631" s="947"/>
      <c r="H631" s="981"/>
      <c r="I631" s="947"/>
      <c r="J631" s="947"/>
      <c r="K631" s="940">
        <f t="shared" si="93"/>
        <v>0</v>
      </c>
      <c r="L631" s="949"/>
      <c r="M631" s="949"/>
      <c r="N631" s="954"/>
      <c r="O631" s="982"/>
      <c r="P631" s="955"/>
      <c r="Q631" s="950"/>
      <c r="R631" s="949"/>
      <c r="S631" s="949"/>
      <c r="T631" s="934"/>
      <c r="U631" s="947"/>
      <c r="V631" s="947"/>
      <c r="W631" s="951"/>
      <c r="X631" s="949"/>
      <c r="Y631" s="948"/>
      <c r="Z631" s="983"/>
      <c r="AA631" s="947"/>
      <c r="AB631" s="950"/>
      <c r="AC631" s="982"/>
      <c r="AD631" s="952"/>
      <c r="AE631" s="1095"/>
      <c r="AF631" s="950"/>
      <c r="AG631" s="953"/>
      <c r="AH631" s="953"/>
      <c r="AI631" s="939">
        <f t="shared" si="91"/>
        <v>0</v>
      </c>
      <c r="AJ631" s="939">
        <f t="shared" si="92"/>
        <v>0</v>
      </c>
    </row>
    <row r="632" spans="3:36" ht="13.5" thickBot="1" x14ac:dyDescent="0.25">
      <c r="C632" s="73" t="s">
        <v>899</v>
      </c>
      <c r="D632" s="158">
        <v>57</v>
      </c>
      <c r="E632" s="935">
        <f t="shared" ref="E632:J632" si="94">ROUND(SUM(E576:E631),3)</f>
        <v>0</v>
      </c>
      <c r="F632" s="935">
        <f t="shared" si="94"/>
        <v>0</v>
      </c>
      <c r="G632" s="935">
        <f t="shared" si="94"/>
        <v>0</v>
      </c>
      <c r="H632" s="935">
        <f t="shared" si="94"/>
        <v>0</v>
      </c>
      <c r="I632" s="935">
        <f t="shared" si="94"/>
        <v>0</v>
      </c>
      <c r="J632" s="935">
        <f t="shared" si="94"/>
        <v>0</v>
      </c>
      <c r="K632" s="984">
        <f t="shared" si="93"/>
        <v>0</v>
      </c>
      <c r="L632" s="985">
        <f t="shared" ref="L632:AH632" si="95">ROUND(SUM(L576:L631),3)</f>
        <v>0</v>
      </c>
      <c r="M632" s="935">
        <f t="shared" si="95"/>
        <v>0</v>
      </c>
      <c r="N632" s="984">
        <f t="shared" si="95"/>
        <v>0</v>
      </c>
      <c r="O632" s="986">
        <f t="shared" si="95"/>
        <v>0</v>
      </c>
      <c r="P632" s="935">
        <f t="shared" si="95"/>
        <v>0</v>
      </c>
      <c r="Q632" s="984">
        <f t="shared" si="95"/>
        <v>0</v>
      </c>
      <c r="R632" s="936">
        <f t="shared" si="95"/>
        <v>0</v>
      </c>
      <c r="S632" s="935">
        <f t="shared" si="95"/>
        <v>0</v>
      </c>
      <c r="T632" s="987">
        <f t="shared" si="95"/>
        <v>0</v>
      </c>
      <c r="U632" s="935">
        <f t="shared" si="95"/>
        <v>0</v>
      </c>
      <c r="V632" s="935">
        <f t="shared" si="95"/>
        <v>0</v>
      </c>
      <c r="W632" s="984">
        <f t="shared" si="95"/>
        <v>0</v>
      </c>
      <c r="X632" s="936">
        <f t="shared" si="95"/>
        <v>0</v>
      </c>
      <c r="Y632" s="935">
        <f t="shared" si="95"/>
        <v>0</v>
      </c>
      <c r="Z632" s="988">
        <f t="shared" si="95"/>
        <v>0</v>
      </c>
      <c r="AA632" s="935">
        <f t="shared" si="95"/>
        <v>0</v>
      </c>
      <c r="AB632" s="984">
        <f t="shared" si="95"/>
        <v>0</v>
      </c>
      <c r="AC632" s="986">
        <f t="shared" si="95"/>
        <v>0</v>
      </c>
      <c r="AD632" s="935">
        <f t="shared" si="95"/>
        <v>0</v>
      </c>
      <c r="AE632" s="935">
        <f t="shared" si="95"/>
        <v>0</v>
      </c>
      <c r="AF632" s="984">
        <f t="shared" si="95"/>
        <v>0</v>
      </c>
      <c r="AG632" s="935">
        <f t="shared" si="95"/>
        <v>0</v>
      </c>
      <c r="AH632" s="936">
        <f t="shared" si="95"/>
        <v>0</v>
      </c>
      <c r="AI632" s="935">
        <f t="shared" si="91"/>
        <v>0</v>
      </c>
      <c r="AJ632" s="938">
        <f t="shared" si="92"/>
        <v>0</v>
      </c>
    </row>
    <row r="633" spans="3:36" ht="13.5" thickBot="1" x14ac:dyDescent="0.25">
      <c r="C633" s="205"/>
      <c r="D633" s="204"/>
      <c r="E633" s="989"/>
      <c r="F633" s="989"/>
      <c r="G633" s="989"/>
      <c r="H633" s="989"/>
      <c r="I633" s="989"/>
      <c r="J633" s="989"/>
      <c r="K633" s="989"/>
      <c r="L633" s="989"/>
      <c r="M633" s="989"/>
      <c r="N633" s="989"/>
      <c r="O633" s="989"/>
      <c r="P633" s="989"/>
      <c r="Q633" s="989"/>
      <c r="R633" s="989"/>
      <c r="S633" s="989"/>
      <c r="T633" s="989"/>
      <c r="U633" s="989"/>
      <c r="V633" s="989"/>
      <c r="W633" s="989"/>
      <c r="X633" s="989"/>
      <c r="Y633" s="989"/>
      <c r="Z633" s="989"/>
      <c r="AA633" s="989"/>
      <c r="AB633" s="989"/>
      <c r="AC633" s="989"/>
      <c r="AD633" s="989"/>
      <c r="AE633" s="989"/>
      <c r="AF633" s="989"/>
      <c r="AG633" s="989"/>
      <c r="AH633" s="989"/>
      <c r="AI633" s="989"/>
      <c r="AJ633" s="989"/>
    </row>
    <row r="634" spans="3:36" ht="13.5" thickBot="1" x14ac:dyDescent="0.25">
      <c r="C634" s="206" t="str">
        <f>IF(EnCMember=1,"Total EnC Contracting Parties","Total EU MS")</f>
        <v>Total EU MS</v>
      </c>
      <c r="D634" s="208">
        <v>58</v>
      </c>
      <c r="E634" s="811">
        <f>ROUND(IF('Table 1'!$G$3&gt;1,IF(EnCMember=1,E576+E582+E615+E595+E605+E611+E612+E621+E628+E579+E581+E583+E588+E589+E590+E591+E592+E593+E594+E596+E597+E598+E600+E602+E606+E607+E608+E609+E613+E617+E618+E619+E622+E623+E624+E625+E629,E579+E581+E583+E588+E589+E590+E591+E592+E593+E594+E596+E597+E598+E600+E602+E606+E607+E608+E609+E613+E617+E618+E619+E622+E623+E624+E625+E629),IF(EnCMember=1,E576+E582+E615+E595+E605+E611+E612+E621+E628+E579+E581+E583+E588+E589+E590+E591+E592+E593+E594+E596+E597+E598+E600+E602+E606+E607+E608+E609+E613+E617+E618+E619+E622+E623+E624+E625,E579+E581+E583+E588+E589+E590+E591+E592+E593+E594+E596+E597+E598+E600+E602+E606+E607+E608+E609+E613+E617+E618+E619+E622+E623+E624+E625)),3)</f>
        <v>0</v>
      </c>
      <c r="F634" s="811">
        <f>ROUND(IF('Table 1'!$G$3&gt;1,IF(EnCMember=1,F576+F582+F615+F595+F605+F611+F612+F621+F628+F579+F581+F583+F588+F589+F590+F591+F592+F593+F594+F596+F597+F598+F600+F602+F606+F607+F608+F609+F613+F617+F618+F619+F622+F623+F624+F625+F629,F579+F581+F583+F588+F589+F590+F591+F592+F593+F594+F596+F597+F598+F600+F602+F606+F607+F608+F609+F613+F617+F618+F619+F622+F623+F624+F625+F629),IF(EnCMember=1,F576+F582+F615+F595+F605+F611+F612+F621+F628+F579+F581+F583+F588+F589+F590+F591+F592+F593+F594+F596+F597+F598+F600+F602+F606+F607+F608+F609+F613+F617+F618+F619+F622+F623+F624+F625,F579+F581+F583+F588+F589+F590+F591+F592+F593+F594+F596+F597+F598+F600+F602+F606+F607+F608+F609+F613+F617+F618+F619+F622+F623+F624+F625)),3)</f>
        <v>0</v>
      </c>
      <c r="G634" s="811">
        <f>ROUND(IF('Table 1'!$G$3&gt;1,IF(EnCMember=1,G576+G582+G615+G595+G605+G611+G612+G621+G628+G579+G581+G583+G588+G589+G590+G591+G592+G593+G594+G596+G597+G598+G600+G602+G606+G607+G608+G609+G613+G617+G618+G619+G622+G623+G624+G625+G629,G579+G581+G583+G588+G589+G590+G591+G592+G593+G594+G596+G597+G598+G600+G602+G606+G607+G608+G609+G613+G617+G618+G619+G622+G623+G624+G625+G629),IF(EnCMember=1,G576+G582+G615+G595+G605+G611+G612+G621+G628+G579+G581+G583+G588+G589+G590+G591+G592+G593+G594+G596+G597+G598+G600+G602+G606+G607+G608+G609+G613+G617+G618+G619+G622+G623+G624+G625,G579+G581+G583+G588+G589+G590+G591+G592+G593+G594+G596+G597+G598+G600+G602+G606+G607+G608+G609+G613+G617+G618+G619+G622+G623+G624+G625)),3)</f>
        <v>0</v>
      </c>
      <c r="H634" s="811">
        <f>ROUND(IF('Table 1'!$G$3&gt;1,IF(EnCMember=1,H576+H582+H615+H595+H605+H611+H612+H621+H628+H579+H581+H583+H588+H589+H590+H591+H592+H593+H594+H596+H597+H598+H600+H602+H606+H607+H608+H609+H613+H617+H618+H619+H622+H623+H624+H625+H629,H579+H581+H583+H588+H589+H590+H591+H592+H593+H594+H596+H597+H598+H600+H602+H606+H607+H608+H609+H613+H617+H618+H619+H622+H623+H624+H625+H629),IF(EnCMember=1,H576+H582+H615+H595+H605+H611+H612+H621+H628+H579+H581+H583+H588+H589+H590+H591+H592+H593+H594+H596+H597+H598+H600+H602+H606+H607+H608+H609+H613+H617+H618+H619+H622+H623+H624+H625,H579+H581+H583+H588+H589+H590+H591+H592+H593+H594+H596+H597+H598+H600+H602+H606+H607+H608+H609+H613+H617+H618+H619+H622+H623+H624+H625)),3)</f>
        <v>0</v>
      </c>
      <c r="I634" s="811">
        <f>ROUND(IF('Table 1'!$G$3&gt;1,IF(EnCMember=1,I576+I582+I615+I595+I605+I611+I612+I621+I628+I579+I581+I583+I588+I589+I590+I591+I592+I593+I594+I596+I597+I598+I600+I602+I606+I607+I608+I609+I613+I617+I618+I619+I622+I623+I624+I625+I629,I579+I581+I583+I588+I589+I590+I591+I592+I593+I594+I596+I597+I598+I600+I602+I606+I607+I608+I609+I613+I617+I618+I619+I622+I623+I624+I625+I629),IF(EnCMember=1,I576+I582+I615+I595+I605+I611+I612+I621+I628+I579+I581+I583+I588+I589+I590+I591+I592+I593+I594+I596+I597+I598+I600+I602+I606+I607+I608+I609+I613+I617+I618+I619+I622+I623+I624+I625,I579+I581+I583+I588+I589+I590+I591+I592+I593+I594+I596+I597+I598+I600+I602+I606+I607+I608+I609+I613+I617+I618+I619+I622+I623+I624+I625)),3)</f>
        <v>0</v>
      </c>
      <c r="J634" s="811">
        <f>ROUND(IF('Table 1'!$G$3&gt;1,IF(EnCMember=1,J576+J582+J615+J595+J605+J611+J612+J621+J628+J579+J581+J583+J588+J589+J590+J591+J592+J593+J594+J596+J597+J598+J600+J602+J606+J607+J608+J609+J613+J617+J618+J619+J622+J623+J624+J625+J629,J579+J581+J583+J588+J589+J590+J591+J592+J593+J594+J596+J597+J598+J600+J602+J606+J607+J608+J609+J613+J617+J618+J619+J622+J623+J624+J625+J629),IF(EnCMember=1,J576+J582+J615+J595+J605+J611+J612+J621+J628+J579+J581+J583+J588+J589+J590+J591+J592+J593+J594+J596+J597+J598+J600+J602+J606+J607+J608+J609+J613+J617+J618+J619+J622+J623+J624+J625,J579+J581+J583+J588+J589+J590+J591+J592+J593+J594+J596+J597+J598+J600+J602+J606+J607+J608+J609+J613+J617+J618+J619+J622+J623+J624+J625)),3)</f>
        <v>0</v>
      </c>
      <c r="K634" s="812">
        <f>ROUND(IF('Table 1'!$G$3&gt;1,IF(EnCMember=1,K576+K582+K615+K595+K605+K611+K612+K621+K628+K579+K581+K583+K588+K589+K590+K591+K592+K593+K594+K596+K597+K598+K600+K602+K606+K607+K608+K609+K613+K617+K618+K619+K622+K623+K624+K625+K629,K579+K581+K583+K588+K589+K590+K591+K592+K593+K594+K596+K597+K598+K600+K602+K606+K607+K608+K609+K613+K617+K618+K619+K622+K623+K624+K625+K629),IF(EnCMember=1,K576+K582+K615+K595+K605+K611+K612+K621+K628+K579+K581+K583+K588+K589+K590+K591+K592+K593+K594+K596+K597+K598+K600+K602+K606+K607+K608+K609+K613+K617+K618+K619+K622+K623+K624+K625,K579+K581+K583+K588+K589+K590+K591+K592+K593+K594+K596+K597+K598+K600+K602+K606+K607+K608+K609+K613+K617+K618+K619+K622+K623+K624+K625)),3)</f>
        <v>0</v>
      </c>
      <c r="L634" s="813">
        <f>ROUND(IF('Table 1'!$G$3&gt;1,IF(EnCMember=1,L576+L582+L615+L595+L605+L611+L612+L621+L628+L579+L581+L583+L588+L589+L590+L591+L592+L593+L594+L596+L597+L598+L600+L602+L606+L607+L608+L609+L613+L617+L618+L619+L622+L623+L624+L625+L629,L579+L581+L583+L588+L589+L590+L591+L592+L593+L594+L596+L597+L598+L600+L602+L606+L607+L608+L609+L613+L617+L618+L619+L622+L623+L624+L625+L629),IF(EnCMember=1,L576+L582+L615+L595+L605+L611+L612+L621+L628+L579+L581+L583+L588+L589+L590+L591+L592+L593+L594+L596+L597+L598+L600+L602+L606+L607+L608+L609+L613+L617+L618+L619+L622+L623+L624+L625,L579+L581+L583+L588+L589+L590+L591+L592+L593+L594+L596+L597+L598+L600+L602+L606+L607+L608+L609+L613+L617+L618+L619+L622+L623+L624+L625)),3)</f>
        <v>0</v>
      </c>
      <c r="M634" s="811">
        <f>ROUND(IF('Table 1'!$G$3&gt;1,IF(EnCMember=1,M576+M582+M615+M595+M605+M611+M612+M621+M628+M579+M581+M583+M588+M589+M590+M591+M592+M593+M594+M596+M597+M598+M600+M602+M606+M607+M608+M609+M613+M617+M618+M619+M622+M623+M624+M625+M629,M579+M581+M583+M588+M589+M590+M591+M592+M593+M594+M596+M597+M598+M600+M602+M606+M607+M608+M609+M613+M617+M618+M619+M622+M623+M624+M625+M629),IF(EnCMember=1,M576+M582+M615+M595+M605+M611+M612+M621+M628+M579+M581+M583+M588+M589+M590+M591+M592+M593+M594+M596+M597+M598+M600+M602+M606+M607+M608+M609+M613+M617+M618+M619+M622+M623+M624+M625,M579+M581+M583+M588+M589+M590+M591+M592+M593+M594+M596+M597+M598+M600+M602+M606+M607+M608+M609+M613+M617+M618+M619+M622+M623+M624+M625)),3)</f>
        <v>0</v>
      </c>
      <c r="N634" s="812">
        <f>ROUND(IF('Table 1'!$G$3&gt;1,IF(EnCMember=1,N576+N582+N615+N595+N605+N611+N612+N621+N628+N579+N581+N583+N588+N589+N590+N591+N592+N593+N594+N596+N597+N598+N600+N602+N606+N607+N608+N609+N613+N617+N618+N619+N622+N623+N624+N625+N629,N579+N581+N583+N588+N589+N590+N591+N592+N593+N594+N596+N597+N598+N600+N602+N606+N607+N608+N609+N613+N617+N618+N619+N622+N623+N624+N625+N629),IF(EnCMember=1,N576+N582+N615+N595+N605+N611+N612+N621+N628+N579+N581+N583+N588+N589+N590+N591+N592+N593+N594+N596+N597+N598+N600+N602+N606+N607+N608+N609+N613+N617+N618+N619+N622+N623+N624+N625,N579+N581+N583+N588+N589+N590+N591+N592+N593+N594+N596+N597+N598+N600+N602+N606+N607+N608+N609+N613+N617+N618+N619+N622+N623+N624+N625)),3)</f>
        <v>0</v>
      </c>
      <c r="O634" s="813">
        <f>ROUND(IF('Table 1'!$G$3&gt;1,IF(EnCMember=1,O576+O582+O615+O595+O605+O611+O612+O621+O628+O579+O581+O583+O588+O589+O590+O591+O592+O593+O594+O596+O597+O598+O600+O602+O606+O607+O608+O609+O613+O617+O618+O619+O622+O623+O624+O625+O629,O579+O581+O583+O588+O589+O590+O591+O592+O593+O594+O596+O597+O598+O600+O602+O606+O607+O608+O609+O613+O617+O618+O619+O622+O623+O624+O625+O629),IF(EnCMember=1,O576+O582+O615+O595+O605+O611+O612+O621+O628+O579+O581+O583+O588+O589+O590+O591+O592+O593+O594+O596+O597+O598+O600+O602+O606+O607+O608+O609+O613+O617+O618+O619+O622+O623+O624+O625,O579+O581+O583+O588+O589+O590+O591+O592+O593+O594+O596+O597+O598+O600+O602+O606+O607+O608+O609+O613+O617+O618+O619+O622+O623+O624+O625)),3)</f>
        <v>0</v>
      </c>
      <c r="P634" s="811">
        <f>ROUND(IF('Table 1'!$G$3&gt;1,IF(EnCMember=1,P576+P582+P615+P595+P605+P611+P612+P621+P628+P579+P581+P583+P588+P589+P590+P591+P592+P593+P594+P596+P597+P598+P600+P602+P606+P607+P608+P609+P613+P617+P618+P619+P622+P623+P624+P625+P629,P579+P581+P583+P588+P589+P590+P591+P592+P593+P594+P596+P597+P598+P600+P602+P606+P607+P608+P609+P613+P617+P618+P619+P622+P623+P624+P625+P629),IF(EnCMember=1,P576+P582+P615+P595+P605+P611+P612+P621+P628+P579+P581+P583+P588+P589+P590+P591+P592+P593+P594+P596+P597+P598+P600+P602+P606+P607+P608+P609+P613+P617+P618+P619+P622+P623+P624+P625,P579+P581+P583+P588+P589+P590+P591+P592+P593+P594+P596+P597+P598+P600+P602+P606+P607+P608+P609+P613+P617+P618+P619+P622+P623+P624+P625)),3)</f>
        <v>0</v>
      </c>
      <c r="Q634" s="812">
        <f>ROUND(IF('Table 1'!$G$3&gt;1,IF(EnCMember=1,Q576+Q582+Q615+Q595+Q605+Q611+Q612+Q621+Q628+Q579+Q581+Q583+Q588+Q589+Q590+Q591+Q592+Q593+Q594+Q596+Q597+Q598+Q600+Q602+Q606+Q607+Q608+Q609+Q613+Q617+Q618+Q619+Q622+Q623+Q624+Q625+Q629,Q579+Q581+Q583+Q588+Q589+Q590+Q591+Q592+Q593+Q594+Q596+Q597+Q598+Q600+Q602+Q606+Q607+Q608+Q609+Q613+Q617+Q618+Q619+Q622+Q623+Q624+Q625+Q629),IF(EnCMember=1,Q576+Q582+Q615+Q595+Q605+Q611+Q612+Q621+Q628+Q579+Q581+Q583+Q588+Q589+Q590+Q591+Q592+Q593+Q594+Q596+Q597+Q598+Q600+Q602+Q606+Q607+Q608+Q609+Q613+Q617+Q618+Q619+Q622+Q623+Q624+Q625,Q579+Q581+Q583+Q588+Q589+Q590+Q591+Q592+Q593+Q594+Q596+Q597+Q598+Q600+Q602+Q606+Q607+Q608+Q609+Q613+Q617+Q618+Q619+Q622+Q623+Q624+Q625)),3)</f>
        <v>0</v>
      </c>
      <c r="R634" s="813">
        <f>ROUND(IF('Table 1'!$G$3&gt;1,IF(EnCMember=1,R576+R582+R615+R595+R605+R611+R612+R621+R628+R579+R581+R583+R588+R589+R590+R591+R592+R593+R594+R596+R597+R598+R600+R602+R606+R607+R608+R609+R613+R617+R618+R619+R622+R623+R624+R625+R629,R579+R581+R583+R588+R589+R590+R591+R592+R593+R594+R596+R597+R598+R600+R602+R606+R607+R608+R609+R613+R617+R618+R619+R622+R623+R624+R625+R629),IF(EnCMember=1,R576+R582+R615+R595+R605+R611+R612+R621+R628+R579+R581+R583+R588+R589+R590+R591+R592+R593+R594+R596+R597+R598+R600+R602+R606+R607+R608+R609+R613+R617+R618+R619+R622+R623+R624+R625,R579+R581+R583+R588+R589+R590+R591+R592+R593+R594+R596+R597+R598+R600+R602+R606+R607+R608+R609+R613+R617+R618+R619+R622+R623+R624+R625)),3)</f>
        <v>0</v>
      </c>
      <c r="S634" s="811">
        <f>ROUND(IF('Table 1'!$G$3&gt;1,IF(EnCMember=1,S576+S582+S615+S595+S605+S611+S612+S621+S628+S579+S581+S583+S588+S589+S590+S591+S592+S593+S594+S596+S597+S598+S600+S602+S606+S607+S608+S609+S613+S617+S618+S619+S622+S623+S624+S625+S629,S579+S581+S583+S588+S589+S590+S591+S592+S593+S594+S596+S597+S598+S600+S602+S606+S607+S608+S609+S613+S617+S618+S619+S622+S623+S624+S625+S629),IF(EnCMember=1,S576+S582+S615+S595+S605+S611+S612+S621+S628+S579+S581+S583+S588+S589+S590+S591+S592+S593+S594+S596+S597+S598+S600+S602+S606+S607+S608+S609+S613+S617+S618+S619+S622+S623+S624+S625,S579+S581+S583+S588+S589+S590+S591+S592+S593+S594+S596+S597+S598+S600+S602+S606+S607+S608+S609+S613+S617+S618+S619+S622+S623+S624+S625)),3)</f>
        <v>0</v>
      </c>
      <c r="T634" s="811">
        <f>ROUND(IF('Table 1'!$G$3&gt;1,IF(EnCMember=1,T576+T582+T615+T595+T605+T611+T612+T621+T628+T579+T581+T583+T588+T589+T590+T591+T592+T593+T594+T596+T597+T598+T600+T602+T606+T607+T608+T609+T613+T617+T618+T619+T622+T623+T624+T625+T629,T579+T581+T583+T588+T589+T590+T591+T592+T593+T594+T596+T597+T598+T600+T602+T606+T607+T608+T609+T613+T617+T618+T619+T622+T623+T624+T625+T629),IF(EnCMember=1,T576+T582+T615+T595+T605+T611+T612+T621+T628+T579+T581+T583+T588+T589+T590+T591+T592+T593+T594+T596+T597+T598+T600+T602+T606+T607+T608+T609+T613+T617+T618+T619+T622+T623+T624+T625,T579+T581+T583+T588+T589+T590+T591+T592+T593+T594+T596+T597+T598+T600+T602+T606+T607+T608+T609+T613+T617+T618+T619+T622+T623+T624+T625)),3)</f>
        <v>0</v>
      </c>
      <c r="U634" s="811">
        <f>ROUND(IF('Table 1'!$G$3&gt;1,IF(EnCMember=1,U576+U582+U615+U595+U605+U611+U612+U621+U628+U579+U581+U583+U588+U589+U590+U591+U592+U593+U594+U596+U597+U598+U600+U602+U606+U607+U608+U609+U613+U617+U618+U619+U622+U623+U624+U625+U629,U579+U581+U583+U588+U589+U590+U591+U592+U593+U594+U596+U597+U598+U600+U602+U606+U607+U608+U609+U613+U617+U618+U619+U622+U623+U624+U625+U629),IF(EnCMember=1,U576+U582+U615+U595+U605+U611+U612+U621+U628+U579+U581+U583+U588+U589+U590+U591+U592+U593+U594+U596+U597+U598+U600+U602+U606+U607+U608+U609+U613+U617+U618+U619+U622+U623+U624+U625,U579+U581+U583+U588+U589+U590+U591+U592+U593+U594+U596+U597+U598+U600+U602+U606+U607+U608+U609+U613+U617+U618+U619+U622+U623+U624+U625)),3)</f>
        <v>0</v>
      </c>
      <c r="V634" s="811">
        <f>ROUND(IF('Table 1'!$G$3&gt;1,IF(EnCMember=1,V576+V582+V615+V595+V605+V611+V612+V621+V628+V579+V581+V583+V588+V589+V590+V591+V592+V593+V594+V596+V597+V598+V600+V602+V606+V607+V608+V609+V613+V617+V618+V619+V622+V623+V624+V625+V629,V579+V581+V583+V588+V589+V590+V591+V592+V593+V594+V596+V597+V598+V600+V602+V606+V607+V608+V609+V613+V617+V618+V619+V622+V623+V624+V625+V629),IF(EnCMember=1,V576+V582+V615+V595+V605+V611+V612+V621+V628+V579+V581+V583+V588+V589+V590+V591+V592+V593+V594+V596+V597+V598+V600+V602+V606+V607+V608+V609+V613+V617+V618+V619+V622+V623+V624+V625,V579+V581+V583+V588+V589+V590+V591+V592+V593+V594+V596+V597+V598+V600+V602+V606+V607+V608+V609+V613+V617+V618+V619+V622+V623+V624+V625)),3)</f>
        <v>0</v>
      </c>
      <c r="W634" s="812">
        <f>ROUND(IF('Table 1'!$G$3&gt;1,IF(EnCMember=1,W576+W582+W615+W595+W605+W611+W612+W621+W628+W579+W581+W583+W588+W589+W590+W591+W592+W593+W594+W596+W597+W598+W600+W602+W606+W607+W608+W609+W613+W617+W618+W619+W622+W623+W624+W625+W629,W579+W581+W583+W588+W589+W590+W591+W592+W593+W594+W596+W597+W598+W600+W602+W606+W607+W608+W609+W613+W617+W618+W619+W622+W623+W624+W625+W629),IF(EnCMember=1,W576+W582+W615+W595+W605+W611+W612+W621+W628+W579+W581+W583+W588+W589+W590+W591+W592+W593+W594+W596+W597+W598+W600+W602+W606+W607+W608+W609+W613+W617+W618+W619+W622+W623+W624+W625,W579+W581+W583+W588+W589+W590+W591+W592+W593+W594+W596+W597+W598+W600+W602+W606+W607+W608+W609+W613+W617+W618+W619+W622+W623+W624+W625)),3)</f>
        <v>0</v>
      </c>
      <c r="X634" s="813">
        <f>ROUND(IF('Table 1'!$G$3&gt;1,IF(EnCMember=1,X576+X582+X615+X595+X605+X611+X612+X621+X628+X579+X581+X583+X588+X589+X590+X591+X592+X593+X594+X596+X597+X598+X600+X602+X606+X607+X608+X609+X613+X617+X618+X619+X622+X623+X624+X625+X629,X579+X581+X583+X588+X589+X590+X591+X592+X593+X594+X596+X597+X598+X600+X602+X606+X607+X608+X609+X613+X617+X618+X619+X622+X623+X624+X625+X629),IF(EnCMember=1,X576+X582+X615+X595+X605+X611+X612+X621+X628+X579+X581+X583+X588+X589+X590+X591+X592+X593+X594+X596+X597+X598+X600+X602+X606+X607+X608+X609+X613+X617+X618+X619+X622+X623+X624+X625,X579+X581+X583+X588+X589+X590+X591+X592+X593+X594+X596+X597+X598+X600+X602+X606+X607+X608+X609+X613+X617+X618+X619+X622+X623+X624+X625)),3)</f>
        <v>0</v>
      </c>
      <c r="Y634" s="811">
        <f>ROUND(IF('Table 1'!$G$3&gt;1,IF(EnCMember=1,Y576+Y582+Y615+Y595+Y605+Y611+Y612+Y621+Y628+Y579+Y581+Y583+Y588+Y589+Y590+Y591+Y592+Y593+Y594+Y596+Y597+Y598+Y600+Y602+Y606+Y607+Y608+Y609+Y613+Y617+Y618+Y619+Y622+Y623+Y624+Y625+Y629,Y579+Y581+Y583+Y588+Y589+Y590+Y591+Y592+Y593+Y594+Y596+Y597+Y598+Y600+Y602+Y606+Y607+Y608+Y609+Y613+Y617+Y618+Y619+Y622+Y623+Y624+Y625+Y629),IF(EnCMember=1,Y576+Y582+Y615+Y595+Y605+Y611+Y612+Y621+Y628+Y579+Y581+Y583+Y588+Y589+Y590+Y591+Y592+Y593+Y594+Y596+Y597+Y598+Y600+Y602+Y606+Y607+Y608+Y609+Y613+Y617+Y618+Y619+Y622+Y623+Y624+Y625,Y579+Y581+Y583+Y588+Y589+Y590+Y591+Y592+Y593+Y594+Y596+Y597+Y598+Y600+Y602+Y606+Y607+Y608+Y609+Y613+Y617+Y618+Y619+Y622+Y623+Y624+Y625)),3)</f>
        <v>0</v>
      </c>
      <c r="Z634" s="811">
        <f>ROUND(IF('Table 1'!$G$3&gt;1,IF(EnCMember=1,Z576+Z582+Z615+Z595+Z605+Z611+Z612+Z621+Z628+Z579+Z581+Z583+Z588+Z589+Z590+Z591+Z592+Z593+Z594+Z596+Z597+Z598+Z600+Z602+Z606+Z607+Z608+Z609+Z613+Z617+Z618+Z619+Z622+Z623+Z624+Z625+Z629,Z579+Z581+Z583+Z588+Z589+Z590+Z591+Z592+Z593+Z594+Z596+Z597+Z598+Z600+Z602+Z606+Z607+Z608+Z609+Z613+Z617+Z618+Z619+Z622+Z623+Z624+Z625+Z629),IF(EnCMember=1,Z576+Z582+Z615+Z595+Z605+Z611+Z612+Z621+Z628+Z579+Z581+Z583+Z588+Z589+Z590+Z591+Z592+Z593+Z594+Z596+Z597+Z598+Z600+Z602+Z606+Z607+Z608+Z609+Z613+Z617+Z618+Z619+Z622+Z623+Z624+Z625,Z579+Z581+Z583+Z588+Z589+Z590+Z591+Z592+Z593+Z594+Z596+Z597+Z598+Z600+Z602+Z606+Z607+Z608+Z609+Z613+Z617+Z618+Z619+Z622+Z623+Z624+Z625)),3)</f>
        <v>0</v>
      </c>
      <c r="AA634" s="811">
        <f>ROUND(IF('Table 1'!$G$3&gt;1,IF(EnCMember=1,AA576+AA582+AA615+AA595+AA605+AA611+AA612+AA621+AA628+AA579+AA581+AA583+AA588+AA589+AA590+AA591+AA592+AA593+AA594+AA596+AA597+AA598+AA600+AA602+AA606+AA607+AA608+AA609+AA613+AA617+AA618+AA619+AA622+AA623+AA624+AA625+AA629,AA579+AA581+AA583+AA588+AA589+AA590+AA591+AA592+AA593+AA594+AA596+AA597+AA598+AA600+AA602+AA606+AA607+AA608+AA609+AA613+AA617+AA618+AA619+AA622+AA623+AA624+AA625+AA629),IF(EnCMember=1,AA576+AA582+AA615+AA595+AA605+AA611+AA612+AA621+AA628+AA579+AA581+AA583+AA588+AA589+AA590+AA591+AA592+AA593+AA594+AA596+AA597+AA598+AA600+AA602+AA606+AA607+AA608+AA609+AA613+AA617+AA618+AA619+AA622+AA623+AA624+AA625,AA579+AA581+AA583+AA588+AA589+AA590+AA591+AA592+AA593+AA594+AA596+AA597+AA598+AA600+AA602+AA606+AA607+AA608+AA609+AA613+AA617+AA618+AA619+AA622+AA623+AA624+AA625)),3)</f>
        <v>0</v>
      </c>
      <c r="AB634" s="812">
        <f>ROUND(IF('Table 1'!$G$3&gt;1,IF(EnCMember=1,AB576+AB582+AB615+AB595+AB605+AB611+AB612+AB621+AB628+AB579+AB581+AB583+AB588+AB589+AB590+AB591+AB592+AB593+AB594+AB596+AB597+AB598+AB600+AB602+AB606+AB607+AB608+AB609+AB613+AB617+AB618+AB619+AB622+AB623+AB624+AB625+AB629,AB579+AB581+AB583+AB588+AB589+AB590+AB591+AB592+AB593+AB594+AB596+AB597+AB598+AB600+AB602+AB606+AB607+AB608+AB609+AB613+AB617+AB618+AB619+AB622+AB623+AB624+AB625+AB629),IF(EnCMember=1,AB576+AB582+AB615+AB595+AB605+AB611+AB612+AB621+AB628+AB579+AB581+AB583+AB588+AB589+AB590+AB591+AB592+AB593+AB594+AB596+AB597+AB598+AB600+AB602+AB606+AB607+AB608+AB609+AB613+AB617+AB618+AB619+AB622+AB623+AB624+AB625,AB579+AB581+AB583+AB588+AB589+AB590+AB591+AB592+AB593+AB594+AB596+AB597+AB598+AB600+AB602+AB606+AB607+AB608+AB609+AB613+AB617+AB618+AB619+AB622+AB623+AB624+AB625)),3)</f>
        <v>0</v>
      </c>
      <c r="AC634" s="813">
        <f>ROUND(IF('Table 1'!$G$3&gt;1,IF(EnCMember=1,AC576+AC582+AC615+AC595+AC605+AC611+AC612+AC621+AC628+AC579+AC581+AC583+AC588+AC589+AC590+AC591+AC592+AC593+AC594+AC596+AC597+AC598+AC600+AC602+AC606+AC607+AC608+AC609+AC613+AC617+AC618+AC619+AC622+AC623+AC624+AC625+AC629,AC579+AC581+AC583+AC588+AC589+AC590+AC591+AC592+AC593+AC594+AC596+AC597+AC598+AC600+AC602+AC606+AC607+AC608+AC609+AC613+AC617+AC618+AC619+AC622+AC623+AC624+AC625+AC629),IF(EnCMember=1,AC576+AC582+AC615+AC595+AC605+AC611+AC612+AC621+AC628+AC579+AC581+AC583+AC588+AC589+AC590+AC591+AC592+AC593+AC594+AC596+AC597+AC598+AC600+AC602+AC606+AC607+AC608+AC609+AC613+AC617+AC618+AC619+AC622+AC623+AC624+AC625,AC579+AC581+AC583+AC588+AC589+AC590+AC591+AC592+AC593+AC594+AC596+AC597+AC598+AC600+AC602+AC606+AC607+AC608+AC609+AC613+AC617+AC618+AC619+AC622+AC623+AC624+AC625)),3)</f>
        <v>0</v>
      </c>
      <c r="AD634" s="811">
        <f>ROUND(IF('Table 1'!$G$3&gt;1,IF(EnCMember=1,AD576+AD582+AD615+AD595+AD605+AD611+AD612+AD621+AD628+AD579+AD581+AD583+AD588+AD589+AD590+AD591+AD592+AD593+AD594+AD596+AD597+AD598+AD600+AD602+AD606+AD607+AD608+AD609+AD613+AD617+AD618+AD619+AD622+AD623+AD624+AD625+AD629,AD579+AD581+AD583+AD588+AD589+AD590+AD591+AD592+AD593+AD594+AD596+AD597+AD598+AD600+AD602+AD606+AD607+AD608+AD609+AD613+AD617+AD618+AD619+AD622+AD623+AD624+AD625+AD629),IF(EnCMember=1,AD576+AD582+AD615+AD595+AD605+AD611+AD612+AD621+AD628+AD579+AD581+AD583+AD588+AD589+AD590+AD591+AD592+AD593+AD594+AD596+AD597+AD598+AD600+AD602+AD606+AD607+AD608+AD609+AD613+AD617+AD618+AD619+AD622+AD623+AD624+AD625,AD579+AD581+AD583+AD588+AD589+AD590+AD591+AD592+AD593+AD594+AD596+AD597+AD598+AD600+AD602+AD606+AD607+AD608+AD609+AD613+AD617+AD618+AD619+AD622+AD623+AD624+AD625)),3)</f>
        <v>0</v>
      </c>
      <c r="AE634" s="811">
        <f>ROUND(IF('Table 1'!$G$3&gt;1,IF(EnCMember=1,AE576+AE582+AE615+AE595+AE605+AE611+AE612+AE621+AE628+AE579+AE581+AE583+AE588+AE589+AE590+AE591+AE592+AE593+AE594+AE596+AE597+AE598+AE600+AE602+AE606+AE607+AE608+AE609+AE613+AE617+AE618+AE619+AE622+AE623+AE624+AE625+AE629,AE579+AE581+AE583+AE588+AE589+AE590+AE591+AE592+AE593+AE594+AE596+AE597+AE598+AE600+AE602+AE606+AE607+AE608+AE609+AE613+AE617+AE618+AE619+AE622+AE623+AE624+AE625+AE629),IF(EnCMember=1,AE576+AE582+AE615+AE595+AE605+AE611+AE612+AE621+AE628+AE579+AE581+AE583+AE588+AE589+AE590+AE591+AE592+AE593+AE594+AE596+AE597+AE598+AE600+AE602+AE606+AE607+AE608+AE609+AE613+AE617+AE618+AE619+AE622+AE623+AE624+AE625,AE579+AE581+AE583+AE588+AE589+AE590+AE591+AE592+AE593+AE594+AE596+AE597+AE598+AE600+AE602+AE606+AE607+AE608+AE609+AE613+AE617+AE618+AE619+AE622+AE623+AE624+AE625)),3)</f>
        <v>0</v>
      </c>
      <c r="AF634" s="812">
        <f>ROUND(IF('Table 1'!$G$3&gt;1,IF(EnCMember=1,AF576+AF582+AF615+AF595+AF605+AF611+AF612+AF621+AF628+AF579+AF581+AF583+AF588+AF589+AF590+AF591+AF592+AF593+AF594+AF596+AF597+AF598+AF600+AF602+AF606+AF607+AF608+AF609+AF613+AF617+AF618+AF619+AF622+AF623+AF624+AF625+AF629,AF579+AF581+AF583+AF588+AF589+AF590+AF591+AF592+AF593+AF594+AF596+AF597+AF598+AF600+AF602+AF606+AF607+AF608+AF609+AF613+AF617+AF618+AF619+AF622+AF623+AF624+AF625+AF629),IF(EnCMember=1,AF576+AF582+AF615+AF595+AF605+AF611+AF612+AF621+AF628+AF579+AF581+AF583+AF588+AF589+AF590+AF591+AF592+AF593+AF594+AF596+AF597+AF598+AF600+AF602+AF606+AF607+AF608+AF609+AF613+AF617+AF618+AF619+AF622+AF623+AF624+AF625,AF579+AF581+AF583+AF588+AF589+AF590+AF591+AF592+AF593+AF594+AF596+AF597+AF598+AF600+AF602+AF606+AF607+AF608+AF609+AF613+AF617+AF618+AF619+AF622+AF623+AF624+AF625)),3)</f>
        <v>0</v>
      </c>
      <c r="AG634" s="813">
        <f>ROUND(IF('Table 1'!$G$3&gt;1,IF(EnCMember=1,AG576+AG582+AG615+AG595+AG605+AG611+AG612+AG621+AG628+AG579+AG581+AG583+AG588+AG589+AG590+AG591+AG592+AG593+AG594+AG596+AG597+AG598+AG600+AG602+AG606+AG607+AG608+AG609+AG613+AG617+AG618+AG619+AG622+AG623+AG624+AG625+AG629,AG579+AG581+AG583+AG588+AG589+AG590+AG591+AG592+AG593+AG594+AG596+AG597+AG598+AG600+AG602+AG606+AG607+AG608+AG609+AG613+AG617+AG618+AG619+AG622+AG623+AG624+AG625+AG629),IF(EnCMember=1,AG576+AG582+AG615+AG595+AG605+AG611+AG612+AG621+AG628+AG579+AG581+AG583+AG588+AG589+AG590+AG591+AG592+AG593+AG594+AG596+AG597+AG598+AG600+AG602+AG606+AG607+AG608+AG609+AG613+AG617+AG618+AG619+AG622+AG623+AG624+AG625,AG579+AG581+AG583+AG588+AG589+AG590+AG591+AG592+AG593+AG594+AG596+AG597+AG598+AG600+AG602+AG606+AG607+AG608+AG609+AG613+AG617+AG618+AG619+AG622+AG623+AG624+AG625)),3)</f>
        <v>0</v>
      </c>
      <c r="AH634" s="811">
        <f>ROUND(IF('Table 1'!$G$3&gt;1,IF(EnCMember=1,AH576+AH582+AH615+AH595+AH605+AH611+AH612+AH621+AH628+AH579+AH581+AH583+AH588+AH589+AH590+AH591+AH592+AH593+AH594+AH596+AH597+AH598+AH600+AH602+AH606+AH607+AH608+AH609+AH613+AH617+AH618+AH619+AH622+AH623+AH624+AH625+AH629,AH579+AH581+AH583+AH588+AH589+AH590+AH591+AH592+AH593+AH594+AH596+AH597+AH598+AH600+AH602+AH606+AH607+AH608+AH609+AH613+AH617+AH618+AH619+AH622+AH623+AH624+AH625+AH629),IF(EnCMember=1,AH576+AH582+AH615+AH595+AH605+AH611+AH612+AH621+AH628+AH579+AH581+AH583+AH588+AH589+AH590+AH591+AH592+AH593+AH594+AH596+AH597+AH598+AH600+AH602+AH606+AH607+AH608+AH609+AH613+AH617+AH618+AH619+AH622+AH623+AH624+AH625,AH579+AH581+AH583+AH588+AH589+AH590+AH591+AH592+AH593+AH594+AH596+AH597+AH598+AH600+AH602+AH606+AH607+AH608+AH609+AH613+AH617+AH618+AH619+AH622+AH623+AH624+AH625)),3)</f>
        <v>0</v>
      </c>
      <c r="AI634" s="811">
        <f>ROUND(IF('Table 1'!$G$3&gt;1,IF(EnCMember=1,AI576+AI582+AI615+AI595+AI605+AI611+AI612+AI621+AI628+AI579+AI581+AI583+AI588+AI589+AI590+AI591+AI592+AI593+AI594+AI596+AI597+AI598+AI600+AI602+AI606+AI607+AI608+AI609+AI613+AI617+AI618+AI619+AI622+AI623+AI624+AI625+AI629,AI579+AI581+AI583+AI588+AI589+AI590+AI591+AI592+AI593+AI594+AI596+AI597+AI598+AI600+AI602+AI606+AI607+AI608+AI609+AI613+AI617+AI618+AI619+AI622+AI623+AI624+AI625+AI629),IF(EnCMember=1,AI576+AI582+AI615+AI595+AI605+AI611+AI612+AI621+AI628+AI579+AI581+AI583+AI588+AI589+AI590+AI591+AI592+AI593+AI594+AI596+AI597+AI598+AI600+AI602+AI606+AI607+AI608+AI609+AI613+AI617+AI618+AI619+AI622+AI623+AI624+AI625,AI579+AI581+AI583+AI588+AI589+AI590+AI591+AI592+AI593+AI594+AI596+AI597+AI598+AI600+AI602+AI606+AI607+AI608+AI609+AI613+AI617+AI618+AI619+AI622+AI623+AI624+AI625)),3)</f>
        <v>0</v>
      </c>
      <c r="AJ634" s="816">
        <f>ROUND(IF('Table 1'!$G$3&gt;1,IF(EnCMember=1,AJ576+AJ582+AJ615+AJ595+AJ605+AJ611+AJ612+AJ621+AJ628+AJ579+AJ581+AJ583+AJ588+AJ589+AJ590+AJ591+AJ592+AJ593+AJ594+AJ596+AJ597+AJ598+AJ600+AJ602+AJ606+AJ607+AJ608+AJ609+AJ613+AJ617+AJ618+AJ619+AJ622+AJ623+AJ624+AJ625+AJ629,AJ579+AJ581+AJ583+AJ588+AJ589+AJ590+AJ591+AJ592+AJ593+AJ594+AJ596+AJ597+AJ598+AJ600+AJ602+AJ606+AJ607+AJ608+AJ609+AJ613+AJ617+AJ618+AJ619+AJ622+AJ623+AJ624+AJ625+AJ629),IF(EnCMember=1,AJ576+AJ582+AJ615+AJ595+AJ605+AJ611+AJ612+AJ621+AJ628+AJ579+AJ581+AJ583+AJ588+AJ589+AJ590+AJ591+AJ592+AJ593+AJ594+AJ596+AJ597+AJ598+AJ600+AJ602+AJ606+AJ607+AJ608+AJ609+AJ613+AJ617+AJ618+AJ619+AJ622+AJ623+AJ624+AJ625,AJ579+AJ581+AJ583+AJ588+AJ589+AJ590+AJ591+AJ592+AJ593+AJ594+AJ596+AJ597+AJ598+AJ600+AJ602+AJ606+AJ607+AJ608+AJ609+AJ613+AJ617+AJ618+AJ619+AJ622+AJ623+AJ624+AJ625)),3)</f>
        <v>0</v>
      </c>
    </row>
    <row r="638" spans="3:36" x14ac:dyDescent="0.2">
      <c r="C638" s="5" t="s">
        <v>683</v>
      </c>
      <c r="D638" s="24"/>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2"/>
      <c r="AJ638" s="25" t="s">
        <v>108</v>
      </c>
    </row>
    <row r="639" spans="3:36" ht="12.75" customHeight="1" x14ac:dyDescent="0.2">
      <c r="C639" s="242"/>
      <c r="D639" s="203"/>
      <c r="E639" s="1106" t="s">
        <v>656</v>
      </c>
      <c r="F639" s="1106" t="s">
        <v>657</v>
      </c>
      <c r="G639" s="1106" t="s">
        <v>647</v>
      </c>
      <c r="H639" s="1158" t="s">
        <v>666</v>
      </c>
      <c r="I639" s="281"/>
      <c r="J639" s="1150" t="s">
        <v>885</v>
      </c>
      <c r="K639" s="1110" t="s">
        <v>645</v>
      </c>
      <c r="L639" s="1122" t="s">
        <v>8</v>
      </c>
      <c r="M639" s="1124" t="s">
        <v>9</v>
      </c>
      <c r="N639" s="1126" t="s">
        <v>10</v>
      </c>
      <c r="O639" s="1114" t="s">
        <v>659</v>
      </c>
      <c r="P639" s="329"/>
      <c r="Q639" s="190"/>
      <c r="R639" s="1122" t="s">
        <v>660</v>
      </c>
      <c r="S639" s="1124" t="s">
        <v>661</v>
      </c>
      <c r="T639" s="1116" t="s">
        <v>668</v>
      </c>
      <c r="U639" s="191"/>
      <c r="V639" s="192"/>
      <c r="W639" s="1126" t="s">
        <v>664</v>
      </c>
      <c r="X639" s="193"/>
      <c r="Y639" s="190"/>
      <c r="Z639" s="1118" t="s">
        <v>670</v>
      </c>
      <c r="AA639" s="190"/>
      <c r="AB639" s="190"/>
      <c r="AC639" s="1114" t="s">
        <v>628</v>
      </c>
      <c r="AD639" s="190"/>
      <c r="AE639" s="190"/>
      <c r="AF639" s="190"/>
      <c r="AG639" s="1122" t="s">
        <v>629</v>
      </c>
      <c r="AH639" s="1150" t="s">
        <v>630</v>
      </c>
      <c r="AI639" s="1120" t="s">
        <v>631</v>
      </c>
      <c r="AJ639" s="1120" t="s">
        <v>679</v>
      </c>
    </row>
    <row r="640" spans="3:36" ht="56.25" x14ac:dyDescent="0.2">
      <c r="C640" s="201"/>
      <c r="D640" s="202"/>
      <c r="E640" s="1107"/>
      <c r="F640" s="1107"/>
      <c r="G640" s="1107"/>
      <c r="H640" s="1159"/>
      <c r="I640" s="99" t="s">
        <v>667</v>
      </c>
      <c r="J640" s="1138"/>
      <c r="K640" s="1111"/>
      <c r="L640" s="1123"/>
      <c r="M640" s="1125"/>
      <c r="N640" s="1127"/>
      <c r="O640" s="1115"/>
      <c r="P640" s="184" t="s">
        <v>623</v>
      </c>
      <c r="Q640" s="185" t="s">
        <v>626</v>
      </c>
      <c r="R640" s="1123"/>
      <c r="S640" s="1125"/>
      <c r="T640" s="1117"/>
      <c r="U640" s="186" t="s">
        <v>662</v>
      </c>
      <c r="V640" s="187" t="s">
        <v>663</v>
      </c>
      <c r="W640" s="1127"/>
      <c r="X640" s="188" t="s">
        <v>627</v>
      </c>
      <c r="Y640" s="189" t="s">
        <v>669</v>
      </c>
      <c r="Z640" s="1119"/>
      <c r="AA640" s="184" t="s">
        <v>624</v>
      </c>
      <c r="AB640" s="186" t="s">
        <v>671</v>
      </c>
      <c r="AC640" s="1115"/>
      <c r="AD640" s="187" t="s">
        <v>674</v>
      </c>
      <c r="AE640" s="186" t="s">
        <v>1411</v>
      </c>
      <c r="AF640" s="196" t="s">
        <v>872</v>
      </c>
      <c r="AG640" s="1123"/>
      <c r="AH640" s="1138"/>
      <c r="AI640" s="1121"/>
      <c r="AJ640" s="1121"/>
    </row>
    <row r="641" spans="3:36" x14ac:dyDescent="0.2">
      <c r="C641" s="97"/>
      <c r="D641" s="98"/>
      <c r="E641" s="87" t="s">
        <v>152</v>
      </c>
      <c r="F641" s="86" t="s">
        <v>153</v>
      </c>
      <c r="G641" s="86" t="s">
        <v>154</v>
      </c>
      <c r="H641" s="180" t="s">
        <v>155</v>
      </c>
      <c r="I641" s="198" t="s">
        <v>156</v>
      </c>
      <c r="J641" s="198" t="s">
        <v>157</v>
      </c>
      <c r="K641" s="199" t="s">
        <v>158</v>
      </c>
      <c r="L641" s="87" t="s">
        <v>159</v>
      </c>
      <c r="M641" s="87" t="s">
        <v>160</v>
      </c>
      <c r="N641" s="96" t="s">
        <v>161</v>
      </c>
      <c r="O641" s="179" t="s">
        <v>162</v>
      </c>
      <c r="P641" s="198" t="s">
        <v>163</v>
      </c>
      <c r="Q641" s="89" t="s">
        <v>164</v>
      </c>
      <c r="R641" s="95" t="s">
        <v>165</v>
      </c>
      <c r="S641" s="177" t="s">
        <v>166</v>
      </c>
      <c r="T641" s="180" t="s">
        <v>167</v>
      </c>
      <c r="U641" s="198" t="s">
        <v>168</v>
      </c>
      <c r="V641" s="86" t="s">
        <v>169</v>
      </c>
      <c r="W641" s="94" t="s">
        <v>170</v>
      </c>
      <c r="X641" s="87" t="s">
        <v>171</v>
      </c>
      <c r="Y641" s="101" t="s">
        <v>172</v>
      </c>
      <c r="Z641" s="176" t="s">
        <v>173</v>
      </c>
      <c r="AA641" s="200" t="s">
        <v>174</v>
      </c>
      <c r="AB641" s="89" t="s">
        <v>175</v>
      </c>
      <c r="AC641" s="179" t="s">
        <v>176</v>
      </c>
      <c r="AD641" s="200" t="s">
        <v>177</v>
      </c>
      <c r="AE641" s="200" t="s">
        <v>181</v>
      </c>
      <c r="AF641" s="89" t="s">
        <v>417</v>
      </c>
      <c r="AG641" s="178" t="s">
        <v>672</v>
      </c>
      <c r="AH641" s="89" t="s">
        <v>678</v>
      </c>
      <c r="AI641" s="90" t="s">
        <v>499</v>
      </c>
      <c r="AJ641" s="90" t="s">
        <v>680</v>
      </c>
    </row>
    <row r="642" spans="3:36" x14ac:dyDescent="0.2">
      <c r="C642" s="225" t="s">
        <v>930</v>
      </c>
      <c r="D642" s="426">
        <v>1</v>
      </c>
      <c r="E642" s="947"/>
      <c r="F642" s="947"/>
      <c r="G642" s="947"/>
      <c r="H642" s="981"/>
      <c r="I642" s="947"/>
      <c r="J642" s="947"/>
      <c r="K642" s="940">
        <f t="shared" ref="K642:K677" si="96">ROUND(SUM(E642:H642,J642),3)</f>
        <v>0</v>
      </c>
      <c r="L642" s="949"/>
      <c r="M642" s="949"/>
      <c r="N642" s="947"/>
      <c r="O642" s="927"/>
      <c r="P642" s="949"/>
      <c r="Q642" s="950"/>
      <c r="R642" s="949"/>
      <c r="S642" s="949"/>
      <c r="T642" s="907"/>
      <c r="U642" s="947"/>
      <c r="V642" s="947"/>
      <c r="W642" s="951"/>
      <c r="X642" s="949"/>
      <c r="Y642" s="948"/>
      <c r="Z642" s="909"/>
      <c r="AA642" s="947"/>
      <c r="AB642" s="950"/>
      <c r="AC642" s="927"/>
      <c r="AD642" s="952"/>
      <c r="AE642" s="1095"/>
      <c r="AF642" s="950"/>
      <c r="AG642" s="953"/>
      <c r="AH642" s="953"/>
      <c r="AI642" s="939">
        <f t="shared" ref="AI642:AI673" si="97">ROUND(SUM(L642:O642,R642:T642,W642,Z642,AC642,AG642:AH642),3)</f>
        <v>0</v>
      </c>
      <c r="AJ642" s="939">
        <f t="shared" ref="AJ642:AJ673" si="98">ROUND(SUM(K642,AI642),3)</f>
        <v>0</v>
      </c>
    </row>
    <row r="643" spans="3:36" x14ac:dyDescent="0.2">
      <c r="C643" s="225" t="s">
        <v>554</v>
      </c>
      <c r="D643" s="426">
        <v>2</v>
      </c>
      <c r="E643" s="947"/>
      <c r="F643" s="947"/>
      <c r="G643" s="947"/>
      <c r="H643" s="981"/>
      <c r="I643" s="947"/>
      <c r="J643" s="947"/>
      <c r="K643" s="940">
        <f t="shared" si="96"/>
        <v>0</v>
      </c>
      <c r="L643" s="949"/>
      <c r="M643" s="949"/>
      <c r="N643" s="947"/>
      <c r="O643" s="927"/>
      <c r="P643" s="949"/>
      <c r="Q643" s="950"/>
      <c r="R643" s="949"/>
      <c r="S643" s="949"/>
      <c r="T643" s="907"/>
      <c r="U643" s="947"/>
      <c r="V643" s="947"/>
      <c r="W643" s="951"/>
      <c r="X643" s="949"/>
      <c r="Y643" s="948"/>
      <c r="Z643" s="909"/>
      <c r="AA643" s="947"/>
      <c r="AB643" s="950"/>
      <c r="AC643" s="927"/>
      <c r="AD643" s="952"/>
      <c r="AE643" s="1095"/>
      <c r="AF643" s="950"/>
      <c r="AG643" s="953"/>
      <c r="AH643" s="953"/>
      <c r="AI643" s="939">
        <f t="shared" si="97"/>
        <v>0</v>
      </c>
      <c r="AJ643" s="939">
        <f t="shared" si="98"/>
        <v>0</v>
      </c>
    </row>
    <row r="644" spans="3:36" x14ac:dyDescent="0.2">
      <c r="C644" s="225" t="s">
        <v>115</v>
      </c>
      <c r="D644" s="426">
        <v>3</v>
      </c>
      <c r="E644" s="947"/>
      <c r="F644" s="947"/>
      <c r="G644" s="947"/>
      <c r="H644" s="981"/>
      <c r="I644" s="947"/>
      <c r="J644" s="947"/>
      <c r="K644" s="940">
        <f t="shared" si="96"/>
        <v>0</v>
      </c>
      <c r="L644" s="949"/>
      <c r="M644" s="949"/>
      <c r="N644" s="947"/>
      <c r="O644" s="927"/>
      <c r="P644" s="949"/>
      <c r="Q644" s="950"/>
      <c r="R644" s="949"/>
      <c r="S644" s="949"/>
      <c r="T644" s="907"/>
      <c r="U644" s="947"/>
      <c r="V644" s="947"/>
      <c r="W644" s="951"/>
      <c r="X644" s="949"/>
      <c r="Y644" s="948"/>
      <c r="Z644" s="909"/>
      <c r="AA644" s="947"/>
      <c r="AB644" s="950"/>
      <c r="AC644" s="927"/>
      <c r="AD644" s="952"/>
      <c r="AE644" s="1095"/>
      <c r="AF644" s="950"/>
      <c r="AG644" s="953"/>
      <c r="AH644" s="953"/>
      <c r="AI644" s="939">
        <f t="shared" si="97"/>
        <v>0</v>
      </c>
      <c r="AJ644" s="939">
        <f t="shared" si="98"/>
        <v>0</v>
      </c>
    </row>
    <row r="645" spans="3:36" x14ac:dyDescent="0.2">
      <c r="C645" s="225" t="s">
        <v>15</v>
      </c>
      <c r="D645" s="426">
        <v>4</v>
      </c>
      <c r="E645" s="947"/>
      <c r="F645" s="947"/>
      <c r="G645" s="947"/>
      <c r="H645" s="981"/>
      <c r="I645" s="947"/>
      <c r="J645" s="947"/>
      <c r="K645" s="940">
        <f t="shared" si="96"/>
        <v>0</v>
      </c>
      <c r="L645" s="949"/>
      <c r="M645" s="949"/>
      <c r="N645" s="947"/>
      <c r="O645" s="927"/>
      <c r="P645" s="949"/>
      <c r="Q645" s="950"/>
      <c r="R645" s="949"/>
      <c r="S645" s="949"/>
      <c r="T645" s="907"/>
      <c r="U645" s="947"/>
      <c r="V645" s="947"/>
      <c r="W645" s="951"/>
      <c r="X645" s="949"/>
      <c r="Y645" s="948"/>
      <c r="Z645" s="909"/>
      <c r="AA645" s="947"/>
      <c r="AB645" s="950"/>
      <c r="AC645" s="927"/>
      <c r="AD645" s="952"/>
      <c r="AE645" s="1095"/>
      <c r="AF645" s="950"/>
      <c r="AG645" s="953"/>
      <c r="AH645" s="953"/>
      <c r="AI645" s="939">
        <f t="shared" si="97"/>
        <v>0</v>
      </c>
      <c r="AJ645" s="939">
        <f t="shared" si="98"/>
        <v>0</v>
      </c>
    </row>
    <row r="646" spans="3:36" x14ac:dyDescent="0.2">
      <c r="C646" s="225" t="s">
        <v>556</v>
      </c>
      <c r="D646" s="426">
        <v>5</v>
      </c>
      <c r="E646" s="947"/>
      <c r="F646" s="947"/>
      <c r="G646" s="947"/>
      <c r="H646" s="981"/>
      <c r="I646" s="947"/>
      <c r="J646" s="947"/>
      <c r="K646" s="940">
        <f t="shared" si="96"/>
        <v>0</v>
      </c>
      <c r="L646" s="949"/>
      <c r="M646" s="949"/>
      <c r="N646" s="947"/>
      <c r="O646" s="927"/>
      <c r="P646" s="949"/>
      <c r="Q646" s="950"/>
      <c r="R646" s="949"/>
      <c r="S646" s="949"/>
      <c r="T646" s="907"/>
      <c r="U646" s="947"/>
      <c r="V646" s="947"/>
      <c r="W646" s="951"/>
      <c r="X646" s="949"/>
      <c r="Y646" s="948"/>
      <c r="Z646" s="909"/>
      <c r="AA646" s="947"/>
      <c r="AB646" s="950"/>
      <c r="AC646" s="927"/>
      <c r="AD646" s="952"/>
      <c r="AE646" s="1095"/>
      <c r="AF646" s="950"/>
      <c r="AG646" s="953"/>
      <c r="AH646" s="953"/>
      <c r="AI646" s="939">
        <f t="shared" si="97"/>
        <v>0</v>
      </c>
      <c r="AJ646" s="939">
        <f t="shared" si="98"/>
        <v>0</v>
      </c>
    </row>
    <row r="647" spans="3:36" x14ac:dyDescent="0.2">
      <c r="C647" s="225" t="s">
        <v>116</v>
      </c>
      <c r="D647" s="426">
        <v>6</v>
      </c>
      <c r="E647" s="947"/>
      <c r="F647" s="947"/>
      <c r="G647" s="947"/>
      <c r="H647" s="981"/>
      <c r="I647" s="947"/>
      <c r="J647" s="947"/>
      <c r="K647" s="940">
        <f t="shared" si="96"/>
        <v>0</v>
      </c>
      <c r="L647" s="949"/>
      <c r="M647" s="949"/>
      <c r="N647" s="947"/>
      <c r="O647" s="927"/>
      <c r="P647" s="949"/>
      <c r="Q647" s="950"/>
      <c r="R647" s="949"/>
      <c r="S647" s="949"/>
      <c r="T647" s="907"/>
      <c r="U647" s="947"/>
      <c r="V647" s="947"/>
      <c r="W647" s="951"/>
      <c r="X647" s="949"/>
      <c r="Y647" s="948"/>
      <c r="Z647" s="909"/>
      <c r="AA647" s="947"/>
      <c r="AB647" s="950"/>
      <c r="AC647" s="927"/>
      <c r="AD647" s="952"/>
      <c r="AE647" s="1095"/>
      <c r="AF647" s="950"/>
      <c r="AG647" s="953"/>
      <c r="AH647" s="953"/>
      <c r="AI647" s="939">
        <f t="shared" si="97"/>
        <v>0</v>
      </c>
      <c r="AJ647" s="939">
        <f t="shared" si="98"/>
        <v>0</v>
      </c>
    </row>
    <row r="648" spans="3:36" x14ac:dyDescent="0.2">
      <c r="C648" s="225" t="s">
        <v>595</v>
      </c>
      <c r="D648" s="426">
        <v>7</v>
      </c>
      <c r="E648" s="947"/>
      <c r="F648" s="947"/>
      <c r="G648" s="947"/>
      <c r="H648" s="981"/>
      <c r="I648" s="947"/>
      <c r="J648" s="947"/>
      <c r="K648" s="940">
        <f t="shared" si="96"/>
        <v>0</v>
      </c>
      <c r="L648" s="949"/>
      <c r="M648" s="949"/>
      <c r="N648" s="954"/>
      <c r="O648" s="927"/>
      <c r="P648" s="955"/>
      <c r="Q648" s="950"/>
      <c r="R648" s="949"/>
      <c r="S648" s="949"/>
      <c r="T648" s="907"/>
      <c r="U648" s="947"/>
      <c r="V648" s="947"/>
      <c r="W648" s="951"/>
      <c r="X648" s="949"/>
      <c r="Y648" s="948"/>
      <c r="Z648" s="909"/>
      <c r="AA648" s="947"/>
      <c r="AB648" s="950"/>
      <c r="AC648" s="927"/>
      <c r="AD648" s="952"/>
      <c r="AE648" s="1095"/>
      <c r="AF648" s="950"/>
      <c r="AG648" s="953"/>
      <c r="AH648" s="953"/>
      <c r="AI648" s="939">
        <f t="shared" si="97"/>
        <v>0</v>
      </c>
      <c r="AJ648" s="939">
        <f t="shared" si="98"/>
        <v>0</v>
      </c>
    </row>
    <row r="649" spans="3:36" x14ac:dyDescent="0.2">
      <c r="C649" s="225" t="s">
        <v>20</v>
      </c>
      <c r="D649" s="426">
        <v>8</v>
      </c>
      <c r="E649" s="947"/>
      <c r="F649" s="947"/>
      <c r="G649" s="947"/>
      <c r="H649" s="981"/>
      <c r="I649" s="947"/>
      <c r="J649" s="947"/>
      <c r="K649" s="940">
        <f t="shared" si="96"/>
        <v>0</v>
      </c>
      <c r="L649" s="949"/>
      <c r="M649" s="949"/>
      <c r="N649" s="954"/>
      <c r="O649" s="927"/>
      <c r="P649" s="955"/>
      <c r="Q649" s="950"/>
      <c r="R649" s="949"/>
      <c r="S649" s="949"/>
      <c r="T649" s="907"/>
      <c r="U649" s="947"/>
      <c r="V649" s="947"/>
      <c r="W649" s="951"/>
      <c r="X649" s="949"/>
      <c r="Y649" s="948"/>
      <c r="Z649" s="909"/>
      <c r="AA649" s="947"/>
      <c r="AB649" s="950"/>
      <c r="AC649" s="927"/>
      <c r="AD649" s="952"/>
      <c r="AE649" s="1095"/>
      <c r="AF649" s="950"/>
      <c r="AG649" s="953"/>
      <c r="AH649" s="953"/>
      <c r="AI649" s="939">
        <f t="shared" si="97"/>
        <v>0</v>
      </c>
      <c r="AJ649" s="939">
        <f t="shared" si="98"/>
        <v>0</v>
      </c>
    </row>
    <row r="650" spans="3:36" x14ac:dyDescent="0.2">
      <c r="C650" s="225" t="s">
        <v>117</v>
      </c>
      <c r="D650" s="426">
        <v>9</v>
      </c>
      <c r="E650" s="947"/>
      <c r="F650" s="947"/>
      <c r="G650" s="947"/>
      <c r="H650" s="981"/>
      <c r="I650" s="947"/>
      <c r="J650" s="947"/>
      <c r="K650" s="940">
        <f t="shared" si="96"/>
        <v>0</v>
      </c>
      <c r="L650" s="949"/>
      <c r="M650" s="949"/>
      <c r="N650" s="954"/>
      <c r="O650" s="927"/>
      <c r="P650" s="955"/>
      <c r="Q650" s="950"/>
      <c r="R650" s="949"/>
      <c r="S650" s="949"/>
      <c r="T650" s="907"/>
      <c r="U650" s="947"/>
      <c r="V650" s="947"/>
      <c r="W650" s="951"/>
      <c r="X650" s="949"/>
      <c r="Y650" s="948"/>
      <c r="Z650" s="909"/>
      <c r="AA650" s="947"/>
      <c r="AB650" s="950"/>
      <c r="AC650" s="927"/>
      <c r="AD650" s="952"/>
      <c r="AE650" s="1095"/>
      <c r="AF650" s="950"/>
      <c r="AG650" s="953"/>
      <c r="AH650" s="953"/>
      <c r="AI650" s="939">
        <f t="shared" si="97"/>
        <v>0</v>
      </c>
      <c r="AJ650" s="939">
        <f t="shared" si="98"/>
        <v>0</v>
      </c>
    </row>
    <row r="651" spans="3:36" x14ac:dyDescent="0.2">
      <c r="C651" s="225" t="s">
        <v>613</v>
      </c>
      <c r="D651" s="426">
        <v>10</v>
      </c>
      <c r="E651" s="947"/>
      <c r="F651" s="947"/>
      <c r="G651" s="947"/>
      <c r="H651" s="981"/>
      <c r="I651" s="947"/>
      <c r="J651" s="947"/>
      <c r="K651" s="940">
        <f t="shared" si="96"/>
        <v>0</v>
      </c>
      <c r="L651" s="949"/>
      <c r="M651" s="949"/>
      <c r="N651" s="954"/>
      <c r="O651" s="927"/>
      <c r="P651" s="955"/>
      <c r="Q651" s="950"/>
      <c r="R651" s="949"/>
      <c r="S651" s="949"/>
      <c r="T651" s="907"/>
      <c r="U651" s="947"/>
      <c r="V651" s="947"/>
      <c r="W651" s="951"/>
      <c r="X651" s="949"/>
      <c r="Y651" s="948"/>
      <c r="Z651" s="909"/>
      <c r="AA651" s="947"/>
      <c r="AB651" s="950"/>
      <c r="AC651" s="927"/>
      <c r="AD651" s="952"/>
      <c r="AE651" s="1095"/>
      <c r="AF651" s="950"/>
      <c r="AG651" s="953"/>
      <c r="AH651" s="953"/>
      <c r="AI651" s="939">
        <f t="shared" si="97"/>
        <v>0</v>
      </c>
      <c r="AJ651" s="939">
        <f t="shared" si="98"/>
        <v>0</v>
      </c>
    </row>
    <row r="652" spans="3:36" x14ac:dyDescent="0.2">
      <c r="C652" s="225" t="s">
        <v>23</v>
      </c>
      <c r="D652" s="426">
        <v>11</v>
      </c>
      <c r="E652" s="947"/>
      <c r="F652" s="947"/>
      <c r="G652" s="947"/>
      <c r="H652" s="981"/>
      <c r="I652" s="947"/>
      <c r="J652" s="947"/>
      <c r="K652" s="940">
        <f t="shared" si="96"/>
        <v>0</v>
      </c>
      <c r="L652" s="949"/>
      <c r="M652" s="949"/>
      <c r="N652" s="954"/>
      <c r="O652" s="927"/>
      <c r="P652" s="955"/>
      <c r="Q652" s="950"/>
      <c r="R652" s="949"/>
      <c r="S652" s="949"/>
      <c r="T652" s="907"/>
      <c r="U652" s="947"/>
      <c r="V652" s="947"/>
      <c r="W652" s="951"/>
      <c r="X652" s="949"/>
      <c r="Y652" s="948"/>
      <c r="Z652" s="909"/>
      <c r="AA652" s="947"/>
      <c r="AB652" s="950"/>
      <c r="AC652" s="927"/>
      <c r="AD652" s="952"/>
      <c r="AE652" s="1095"/>
      <c r="AF652" s="950"/>
      <c r="AG652" s="953"/>
      <c r="AH652" s="953"/>
      <c r="AI652" s="939">
        <f t="shared" si="97"/>
        <v>0</v>
      </c>
      <c r="AJ652" s="939">
        <f t="shared" si="98"/>
        <v>0</v>
      </c>
    </row>
    <row r="653" spans="3:36" x14ac:dyDescent="0.2">
      <c r="C653" s="225" t="s">
        <v>964</v>
      </c>
      <c r="D653" s="426">
        <v>12</v>
      </c>
      <c r="E653" s="947"/>
      <c r="F653" s="947"/>
      <c r="G653" s="947"/>
      <c r="H653" s="981"/>
      <c r="I653" s="947"/>
      <c r="J653" s="947"/>
      <c r="K653" s="940">
        <f t="shared" si="96"/>
        <v>0</v>
      </c>
      <c r="L653" s="949"/>
      <c r="M653" s="949"/>
      <c r="N653" s="954"/>
      <c r="O653" s="927"/>
      <c r="P653" s="955"/>
      <c r="Q653" s="950"/>
      <c r="R653" s="949"/>
      <c r="S653" s="949"/>
      <c r="T653" s="907"/>
      <c r="U653" s="947"/>
      <c r="V653" s="947"/>
      <c r="W653" s="951"/>
      <c r="X653" s="949"/>
      <c r="Y653" s="948"/>
      <c r="Z653" s="909"/>
      <c r="AA653" s="947"/>
      <c r="AB653" s="950"/>
      <c r="AC653" s="927"/>
      <c r="AD653" s="952"/>
      <c r="AE653" s="1095"/>
      <c r="AF653" s="950"/>
      <c r="AG653" s="953"/>
      <c r="AH653" s="953"/>
      <c r="AI653" s="939">
        <f t="shared" si="97"/>
        <v>0</v>
      </c>
      <c r="AJ653" s="939">
        <f t="shared" si="98"/>
        <v>0</v>
      </c>
    </row>
    <row r="654" spans="3:36" x14ac:dyDescent="0.2">
      <c r="C654" s="225" t="s">
        <v>567</v>
      </c>
      <c r="D654" s="426">
        <v>13</v>
      </c>
      <c r="E654" s="947"/>
      <c r="F654" s="947"/>
      <c r="G654" s="947"/>
      <c r="H654" s="981"/>
      <c r="I654" s="947"/>
      <c r="J654" s="947"/>
      <c r="K654" s="940">
        <f t="shared" si="96"/>
        <v>0</v>
      </c>
      <c r="L654" s="949"/>
      <c r="M654" s="949"/>
      <c r="N654" s="954"/>
      <c r="O654" s="927"/>
      <c r="P654" s="955"/>
      <c r="Q654" s="950"/>
      <c r="R654" s="949"/>
      <c r="S654" s="949"/>
      <c r="T654" s="907"/>
      <c r="U654" s="947"/>
      <c r="V654" s="947"/>
      <c r="W654" s="951"/>
      <c r="X654" s="949"/>
      <c r="Y654" s="948"/>
      <c r="Z654" s="909"/>
      <c r="AA654" s="947"/>
      <c r="AB654" s="950"/>
      <c r="AC654" s="927"/>
      <c r="AD654" s="952"/>
      <c r="AE654" s="1095"/>
      <c r="AF654" s="950"/>
      <c r="AG654" s="953"/>
      <c r="AH654" s="953"/>
      <c r="AI654" s="939">
        <f t="shared" si="97"/>
        <v>0</v>
      </c>
      <c r="AJ654" s="939">
        <f t="shared" si="98"/>
        <v>0</v>
      </c>
    </row>
    <row r="655" spans="3:36" x14ac:dyDescent="0.2">
      <c r="C655" s="225" t="s">
        <v>150</v>
      </c>
      <c r="D655" s="426">
        <v>14</v>
      </c>
      <c r="E655" s="947"/>
      <c r="F655" s="947"/>
      <c r="G655" s="947"/>
      <c r="H655" s="981"/>
      <c r="I655" s="947"/>
      <c r="J655" s="947"/>
      <c r="K655" s="940">
        <f t="shared" si="96"/>
        <v>0</v>
      </c>
      <c r="L655" s="949"/>
      <c r="M655" s="949"/>
      <c r="N655" s="954"/>
      <c r="O655" s="927"/>
      <c r="P655" s="955"/>
      <c r="Q655" s="950"/>
      <c r="R655" s="949"/>
      <c r="S655" s="949"/>
      <c r="T655" s="907"/>
      <c r="U655" s="947"/>
      <c r="V655" s="947"/>
      <c r="W655" s="951"/>
      <c r="X655" s="949"/>
      <c r="Y655" s="948"/>
      <c r="Z655" s="909"/>
      <c r="AA655" s="947"/>
      <c r="AB655" s="950"/>
      <c r="AC655" s="927"/>
      <c r="AD655" s="952"/>
      <c r="AE655" s="1095"/>
      <c r="AF655" s="950"/>
      <c r="AG655" s="953"/>
      <c r="AH655" s="953"/>
      <c r="AI655" s="939">
        <f t="shared" si="97"/>
        <v>0</v>
      </c>
      <c r="AJ655" s="939">
        <f t="shared" si="98"/>
        <v>0</v>
      </c>
    </row>
    <row r="656" spans="3:36" x14ac:dyDescent="0.2">
      <c r="C656" s="225" t="s">
        <v>25</v>
      </c>
      <c r="D656" s="426">
        <v>15</v>
      </c>
      <c r="E656" s="947"/>
      <c r="F656" s="947"/>
      <c r="G656" s="947"/>
      <c r="H656" s="981"/>
      <c r="I656" s="947"/>
      <c r="J656" s="947"/>
      <c r="K656" s="940">
        <f t="shared" si="96"/>
        <v>0</v>
      </c>
      <c r="L656" s="949"/>
      <c r="M656" s="949"/>
      <c r="N656" s="954"/>
      <c r="O656" s="927"/>
      <c r="P656" s="955"/>
      <c r="Q656" s="950"/>
      <c r="R656" s="949"/>
      <c r="S656" s="949"/>
      <c r="T656" s="907"/>
      <c r="U656" s="947"/>
      <c r="V656" s="947"/>
      <c r="W656" s="951"/>
      <c r="X656" s="949"/>
      <c r="Y656" s="948"/>
      <c r="Z656" s="909"/>
      <c r="AA656" s="947"/>
      <c r="AB656" s="950"/>
      <c r="AC656" s="927"/>
      <c r="AD656" s="952"/>
      <c r="AE656" s="1095"/>
      <c r="AF656" s="950"/>
      <c r="AG656" s="953"/>
      <c r="AH656" s="953"/>
      <c r="AI656" s="939">
        <f t="shared" si="97"/>
        <v>0</v>
      </c>
      <c r="AJ656" s="939">
        <f t="shared" si="98"/>
        <v>0</v>
      </c>
    </row>
    <row r="657" spans="3:36" x14ac:dyDescent="0.2">
      <c r="C657" s="225" t="s">
        <v>118</v>
      </c>
      <c r="D657" s="426">
        <v>16</v>
      </c>
      <c r="E657" s="947"/>
      <c r="F657" s="947"/>
      <c r="G657" s="947"/>
      <c r="H657" s="981"/>
      <c r="I657" s="947"/>
      <c r="J657" s="947"/>
      <c r="K657" s="940">
        <f t="shared" si="96"/>
        <v>0</v>
      </c>
      <c r="L657" s="949"/>
      <c r="M657" s="949"/>
      <c r="N657" s="954"/>
      <c r="O657" s="927"/>
      <c r="P657" s="955"/>
      <c r="Q657" s="950"/>
      <c r="R657" s="949"/>
      <c r="S657" s="949"/>
      <c r="T657" s="907"/>
      <c r="U657" s="947"/>
      <c r="V657" s="947"/>
      <c r="W657" s="951"/>
      <c r="X657" s="949"/>
      <c r="Y657" s="948"/>
      <c r="Z657" s="909"/>
      <c r="AA657" s="947"/>
      <c r="AB657" s="950"/>
      <c r="AC657" s="927"/>
      <c r="AD657" s="952"/>
      <c r="AE657" s="1095"/>
      <c r="AF657" s="950"/>
      <c r="AG657" s="953"/>
      <c r="AH657" s="953"/>
      <c r="AI657" s="939">
        <f t="shared" si="97"/>
        <v>0</v>
      </c>
      <c r="AJ657" s="939">
        <f t="shared" si="98"/>
        <v>0</v>
      </c>
    </row>
    <row r="658" spans="3:36" x14ac:dyDescent="0.2">
      <c r="C658" s="225" t="s">
        <v>557</v>
      </c>
      <c r="D658" s="426">
        <v>17</v>
      </c>
      <c r="E658" s="947"/>
      <c r="F658" s="947"/>
      <c r="G658" s="947"/>
      <c r="H658" s="981"/>
      <c r="I658" s="947"/>
      <c r="J658" s="947"/>
      <c r="K658" s="940">
        <f t="shared" si="96"/>
        <v>0</v>
      </c>
      <c r="L658" s="949"/>
      <c r="M658" s="949"/>
      <c r="N658" s="954"/>
      <c r="O658" s="927"/>
      <c r="P658" s="955"/>
      <c r="Q658" s="950"/>
      <c r="R658" s="949"/>
      <c r="S658" s="949"/>
      <c r="T658" s="907"/>
      <c r="U658" s="947"/>
      <c r="V658" s="947"/>
      <c r="W658" s="951"/>
      <c r="X658" s="949"/>
      <c r="Y658" s="948"/>
      <c r="Z658" s="909"/>
      <c r="AA658" s="947"/>
      <c r="AB658" s="950"/>
      <c r="AC658" s="927"/>
      <c r="AD658" s="952"/>
      <c r="AE658" s="1095"/>
      <c r="AF658" s="950"/>
      <c r="AG658" s="953"/>
      <c r="AH658" s="953"/>
      <c r="AI658" s="939">
        <f t="shared" si="97"/>
        <v>0</v>
      </c>
      <c r="AJ658" s="939">
        <f t="shared" si="98"/>
        <v>0</v>
      </c>
    </row>
    <row r="659" spans="3:36" x14ac:dyDescent="0.2">
      <c r="C659" s="225" t="s">
        <v>119</v>
      </c>
      <c r="D659" s="426">
        <v>18</v>
      </c>
      <c r="E659" s="947"/>
      <c r="F659" s="947"/>
      <c r="G659" s="947"/>
      <c r="H659" s="981"/>
      <c r="I659" s="947"/>
      <c r="J659" s="947"/>
      <c r="K659" s="940">
        <f t="shared" si="96"/>
        <v>0</v>
      </c>
      <c r="L659" s="949"/>
      <c r="M659" s="949"/>
      <c r="N659" s="954"/>
      <c r="O659" s="927"/>
      <c r="P659" s="955"/>
      <c r="Q659" s="950"/>
      <c r="R659" s="949"/>
      <c r="S659" s="949"/>
      <c r="T659" s="907"/>
      <c r="U659" s="947"/>
      <c r="V659" s="947"/>
      <c r="W659" s="951"/>
      <c r="X659" s="949"/>
      <c r="Y659" s="948"/>
      <c r="Z659" s="909"/>
      <c r="AA659" s="947"/>
      <c r="AB659" s="950"/>
      <c r="AC659" s="927"/>
      <c r="AD659" s="952"/>
      <c r="AE659" s="1095"/>
      <c r="AF659" s="950"/>
      <c r="AG659" s="953"/>
      <c r="AH659" s="953"/>
      <c r="AI659" s="939">
        <f t="shared" si="97"/>
        <v>0</v>
      </c>
      <c r="AJ659" s="939">
        <f t="shared" si="98"/>
        <v>0</v>
      </c>
    </row>
    <row r="660" spans="3:36" x14ac:dyDescent="0.2">
      <c r="C660" s="225" t="s">
        <v>30</v>
      </c>
      <c r="D660" s="426">
        <v>19</v>
      </c>
      <c r="E660" s="947"/>
      <c r="F660" s="947"/>
      <c r="G660" s="947"/>
      <c r="H660" s="981"/>
      <c r="I660" s="947"/>
      <c r="J660" s="947"/>
      <c r="K660" s="940">
        <f t="shared" si="96"/>
        <v>0</v>
      </c>
      <c r="L660" s="949"/>
      <c r="M660" s="949"/>
      <c r="N660" s="954"/>
      <c r="O660" s="927"/>
      <c r="P660" s="955"/>
      <c r="Q660" s="950"/>
      <c r="R660" s="949"/>
      <c r="S660" s="949"/>
      <c r="T660" s="907"/>
      <c r="U660" s="947"/>
      <c r="V660" s="947"/>
      <c r="W660" s="951"/>
      <c r="X660" s="949"/>
      <c r="Y660" s="948"/>
      <c r="Z660" s="909"/>
      <c r="AA660" s="947"/>
      <c r="AB660" s="950"/>
      <c r="AC660" s="927"/>
      <c r="AD660" s="952"/>
      <c r="AE660" s="1095"/>
      <c r="AF660" s="950"/>
      <c r="AG660" s="953"/>
      <c r="AH660" s="953"/>
      <c r="AI660" s="939">
        <f t="shared" si="97"/>
        <v>0</v>
      </c>
      <c r="AJ660" s="939">
        <f t="shared" si="98"/>
        <v>0</v>
      </c>
    </row>
    <row r="661" spans="3:36" x14ac:dyDescent="0.2">
      <c r="C661" s="225" t="s">
        <v>558</v>
      </c>
      <c r="D661" s="426">
        <v>20</v>
      </c>
      <c r="E661" s="947"/>
      <c r="F661" s="947"/>
      <c r="G661" s="947"/>
      <c r="H661" s="981"/>
      <c r="I661" s="947"/>
      <c r="J661" s="947"/>
      <c r="K661" s="940">
        <f t="shared" si="96"/>
        <v>0</v>
      </c>
      <c r="L661" s="949"/>
      <c r="M661" s="949"/>
      <c r="N661" s="954"/>
      <c r="O661" s="927"/>
      <c r="P661" s="955"/>
      <c r="Q661" s="950"/>
      <c r="R661" s="949"/>
      <c r="S661" s="949"/>
      <c r="T661" s="907"/>
      <c r="U661" s="947"/>
      <c r="V661" s="947"/>
      <c r="W661" s="951"/>
      <c r="X661" s="949"/>
      <c r="Y661" s="948"/>
      <c r="Z661" s="909"/>
      <c r="AA661" s="947"/>
      <c r="AB661" s="950"/>
      <c r="AC661" s="927"/>
      <c r="AD661" s="952"/>
      <c r="AE661" s="1095"/>
      <c r="AF661" s="950"/>
      <c r="AG661" s="953"/>
      <c r="AH661" s="953"/>
      <c r="AI661" s="939">
        <f t="shared" si="97"/>
        <v>0</v>
      </c>
      <c r="AJ661" s="939">
        <f t="shared" si="98"/>
        <v>0</v>
      </c>
    </row>
    <row r="662" spans="3:36" x14ac:dyDescent="0.2">
      <c r="C662" s="225" t="s">
        <v>120</v>
      </c>
      <c r="D662" s="426">
        <v>21</v>
      </c>
      <c r="E662" s="947"/>
      <c r="F662" s="947"/>
      <c r="G662" s="947"/>
      <c r="H662" s="981"/>
      <c r="I662" s="947"/>
      <c r="J662" s="947"/>
      <c r="K662" s="940">
        <f t="shared" si="96"/>
        <v>0</v>
      </c>
      <c r="L662" s="949"/>
      <c r="M662" s="949"/>
      <c r="N662" s="954"/>
      <c r="O662" s="927"/>
      <c r="P662" s="955"/>
      <c r="Q662" s="950"/>
      <c r="R662" s="949"/>
      <c r="S662" s="949"/>
      <c r="T662" s="907"/>
      <c r="U662" s="947"/>
      <c r="V662" s="947"/>
      <c r="W662" s="951"/>
      <c r="X662" s="949"/>
      <c r="Y662" s="948"/>
      <c r="Z662" s="909"/>
      <c r="AA662" s="947"/>
      <c r="AB662" s="950"/>
      <c r="AC662" s="927"/>
      <c r="AD662" s="952"/>
      <c r="AE662" s="1095"/>
      <c r="AF662" s="950"/>
      <c r="AG662" s="953"/>
      <c r="AH662" s="953"/>
      <c r="AI662" s="939">
        <f t="shared" si="97"/>
        <v>0</v>
      </c>
      <c r="AJ662" s="939">
        <f t="shared" si="98"/>
        <v>0</v>
      </c>
    </row>
    <row r="663" spans="3:36" x14ac:dyDescent="0.2">
      <c r="C663" s="225" t="s">
        <v>121</v>
      </c>
      <c r="D663" s="426">
        <v>22</v>
      </c>
      <c r="E663" s="947"/>
      <c r="F663" s="947"/>
      <c r="G663" s="947"/>
      <c r="H663" s="981"/>
      <c r="I663" s="947"/>
      <c r="J663" s="947"/>
      <c r="K663" s="940">
        <f t="shared" si="96"/>
        <v>0</v>
      </c>
      <c r="L663" s="949"/>
      <c r="M663" s="949"/>
      <c r="N663" s="954"/>
      <c r="O663" s="927"/>
      <c r="P663" s="955"/>
      <c r="Q663" s="950"/>
      <c r="R663" s="949"/>
      <c r="S663" s="949"/>
      <c r="T663" s="907"/>
      <c r="U663" s="947"/>
      <c r="V663" s="947"/>
      <c r="W663" s="951"/>
      <c r="X663" s="949"/>
      <c r="Y663" s="948"/>
      <c r="Z663" s="909"/>
      <c r="AA663" s="947"/>
      <c r="AB663" s="950"/>
      <c r="AC663" s="927"/>
      <c r="AD663" s="952"/>
      <c r="AE663" s="1095"/>
      <c r="AF663" s="950"/>
      <c r="AG663" s="953"/>
      <c r="AH663" s="953"/>
      <c r="AI663" s="939">
        <f t="shared" si="97"/>
        <v>0</v>
      </c>
      <c r="AJ663" s="939">
        <f t="shared" si="98"/>
        <v>0</v>
      </c>
    </row>
    <row r="664" spans="3:36" x14ac:dyDescent="0.2">
      <c r="C664" s="225" t="s">
        <v>122</v>
      </c>
      <c r="D664" s="426">
        <v>23</v>
      </c>
      <c r="E664" s="947"/>
      <c r="F664" s="947"/>
      <c r="G664" s="947"/>
      <c r="H664" s="981"/>
      <c r="I664" s="947"/>
      <c r="J664" s="947"/>
      <c r="K664" s="940">
        <f t="shared" si="96"/>
        <v>0</v>
      </c>
      <c r="L664" s="949"/>
      <c r="M664" s="949"/>
      <c r="N664" s="954"/>
      <c r="O664" s="927"/>
      <c r="P664" s="955"/>
      <c r="Q664" s="950"/>
      <c r="R664" s="949"/>
      <c r="S664" s="949"/>
      <c r="T664" s="907"/>
      <c r="U664" s="947"/>
      <c r="V664" s="947"/>
      <c r="W664" s="951"/>
      <c r="X664" s="949"/>
      <c r="Y664" s="948"/>
      <c r="Z664" s="909"/>
      <c r="AA664" s="947"/>
      <c r="AB664" s="950"/>
      <c r="AC664" s="927"/>
      <c r="AD664" s="952"/>
      <c r="AE664" s="1095"/>
      <c r="AF664" s="950"/>
      <c r="AG664" s="953"/>
      <c r="AH664" s="953"/>
      <c r="AI664" s="939">
        <f t="shared" si="97"/>
        <v>0</v>
      </c>
      <c r="AJ664" s="939">
        <f t="shared" si="98"/>
        <v>0</v>
      </c>
    </row>
    <row r="665" spans="3:36" x14ac:dyDescent="0.2">
      <c r="C665" s="225" t="s">
        <v>123</v>
      </c>
      <c r="D665" s="426">
        <v>24</v>
      </c>
      <c r="E665" s="947"/>
      <c r="F665" s="947"/>
      <c r="G665" s="947"/>
      <c r="H665" s="981"/>
      <c r="I665" s="947"/>
      <c r="J665" s="947"/>
      <c r="K665" s="940">
        <f t="shared" si="96"/>
        <v>0</v>
      </c>
      <c r="L665" s="949"/>
      <c r="M665" s="949"/>
      <c r="N665" s="954"/>
      <c r="O665" s="927"/>
      <c r="P665" s="955"/>
      <c r="Q665" s="950"/>
      <c r="R665" s="949"/>
      <c r="S665" s="949"/>
      <c r="T665" s="907"/>
      <c r="U665" s="947"/>
      <c r="V665" s="947"/>
      <c r="W665" s="951"/>
      <c r="X665" s="949"/>
      <c r="Y665" s="948"/>
      <c r="Z665" s="909"/>
      <c r="AA665" s="947"/>
      <c r="AB665" s="950"/>
      <c r="AC665" s="927"/>
      <c r="AD665" s="952"/>
      <c r="AE665" s="1095"/>
      <c r="AF665" s="950"/>
      <c r="AG665" s="953"/>
      <c r="AH665" s="953"/>
      <c r="AI665" s="939">
        <f t="shared" si="97"/>
        <v>0</v>
      </c>
      <c r="AJ665" s="939">
        <f t="shared" si="98"/>
        <v>0</v>
      </c>
    </row>
    <row r="666" spans="3:36" x14ac:dyDescent="0.2">
      <c r="C666" s="225" t="s">
        <v>124</v>
      </c>
      <c r="D666" s="426">
        <v>25</v>
      </c>
      <c r="E666" s="947"/>
      <c r="F666" s="947"/>
      <c r="G666" s="947"/>
      <c r="H666" s="981"/>
      <c r="I666" s="947"/>
      <c r="J666" s="947"/>
      <c r="K666" s="940">
        <f t="shared" si="96"/>
        <v>0</v>
      </c>
      <c r="L666" s="949"/>
      <c r="M666" s="949"/>
      <c r="N666" s="954"/>
      <c r="O666" s="927"/>
      <c r="P666" s="955"/>
      <c r="Q666" s="950"/>
      <c r="R666" s="949"/>
      <c r="S666" s="949"/>
      <c r="T666" s="907"/>
      <c r="U666" s="947"/>
      <c r="V666" s="947"/>
      <c r="W666" s="951"/>
      <c r="X666" s="949"/>
      <c r="Y666" s="948"/>
      <c r="Z666" s="909"/>
      <c r="AA666" s="947"/>
      <c r="AB666" s="950"/>
      <c r="AC666" s="927"/>
      <c r="AD666" s="952"/>
      <c r="AE666" s="1095"/>
      <c r="AF666" s="950"/>
      <c r="AG666" s="953"/>
      <c r="AH666" s="953"/>
      <c r="AI666" s="939">
        <f t="shared" si="97"/>
        <v>0</v>
      </c>
      <c r="AJ666" s="939">
        <f t="shared" si="98"/>
        <v>0</v>
      </c>
    </row>
    <row r="667" spans="3:36" x14ac:dyDescent="0.2">
      <c r="C667" s="225" t="s">
        <v>97</v>
      </c>
      <c r="D667" s="426">
        <v>26</v>
      </c>
      <c r="E667" s="947"/>
      <c r="F667" s="947"/>
      <c r="G667" s="947"/>
      <c r="H667" s="981"/>
      <c r="I667" s="947"/>
      <c r="J667" s="947"/>
      <c r="K667" s="940">
        <f t="shared" si="96"/>
        <v>0</v>
      </c>
      <c r="L667" s="949"/>
      <c r="M667" s="949"/>
      <c r="N667" s="954"/>
      <c r="O667" s="927"/>
      <c r="P667" s="955"/>
      <c r="Q667" s="950"/>
      <c r="R667" s="949"/>
      <c r="S667" s="949"/>
      <c r="T667" s="907"/>
      <c r="U667" s="947"/>
      <c r="V667" s="947"/>
      <c r="W667" s="951"/>
      <c r="X667" s="949"/>
      <c r="Y667" s="948"/>
      <c r="Z667" s="909"/>
      <c r="AA667" s="947"/>
      <c r="AB667" s="950"/>
      <c r="AC667" s="927"/>
      <c r="AD667" s="952"/>
      <c r="AE667" s="1095"/>
      <c r="AF667" s="950"/>
      <c r="AG667" s="953"/>
      <c r="AH667" s="953"/>
      <c r="AI667" s="939">
        <f t="shared" si="97"/>
        <v>0</v>
      </c>
      <c r="AJ667" s="939">
        <f t="shared" si="98"/>
        <v>0</v>
      </c>
    </row>
    <row r="668" spans="3:36" x14ac:dyDescent="0.2">
      <c r="C668" s="225" t="s">
        <v>125</v>
      </c>
      <c r="D668" s="426">
        <v>27</v>
      </c>
      <c r="E668" s="947"/>
      <c r="F668" s="947"/>
      <c r="G668" s="947"/>
      <c r="H668" s="981"/>
      <c r="I668" s="947"/>
      <c r="J668" s="947"/>
      <c r="K668" s="940">
        <f t="shared" si="96"/>
        <v>0</v>
      </c>
      <c r="L668" s="949"/>
      <c r="M668" s="949"/>
      <c r="N668" s="954"/>
      <c r="O668" s="927"/>
      <c r="P668" s="955"/>
      <c r="Q668" s="950"/>
      <c r="R668" s="949"/>
      <c r="S668" s="949"/>
      <c r="T668" s="907"/>
      <c r="U668" s="947"/>
      <c r="V668" s="947"/>
      <c r="W668" s="951"/>
      <c r="X668" s="949"/>
      <c r="Y668" s="948"/>
      <c r="Z668" s="909"/>
      <c r="AA668" s="947"/>
      <c r="AB668" s="950"/>
      <c r="AC668" s="927"/>
      <c r="AD668" s="952"/>
      <c r="AE668" s="1095"/>
      <c r="AF668" s="950"/>
      <c r="AG668" s="953"/>
      <c r="AH668" s="953"/>
      <c r="AI668" s="939">
        <f t="shared" si="97"/>
        <v>0</v>
      </c>
      <c r="AJ668" s="939">
        <f t="shared" si="98"/>
        <v>0</v>
      </c>
    </row>
    <row r="669" spans="3:36" x14ac:dyDescent="0.2">
      <c r="C669" s="225" t="s">
        <v>126</v>
      </c>
      <c r="D669" s="426">
        <v>28</v>
      </c>
      <c r="E669" s="947"/>
      <c r="F669" s="947"/>
      <c r="G669" s="947"/>
      <c r="H669" s="981"/>
      <c r="I669" s="947"/>
      <c r="J669" s="947"/>
      <c r="K669" s="940">
        <f t="shared" si="96"/>
        <v>0</v>
      </c>
      <c r="L669" s="949"/>
      <c r="M669" s="949"/>
      <c r="N669" s="954"/>
      <c r="O669" s="927"/>
      <c r="P669" s="955"/>
      <c r="Q669" s="950"/>
      <c r="R669" s="949"/>
      <c r="S669" s="949"/>
      <c r="T669" s="907"/>
      <c r="U669" s="947"/>
      <c r="V669" s="947"/>
      <c r="W669" s="951"/>
      <c r="X669" s="949"/>
      <c r="Y669" s="948"/>
      <c r="Z669" s="909"/>
      <c r="AA669" s="947"/>
      <c r="AB669" s="950"/>
      <c r="AC669" s="927"/>
      <c r="AD669" s="952"/>
      <c r="AE669" s="1095"/>
      <c r="AF669" s="950"/>
      <c r="AG669" s="953"/>
      <c r="AH669" s="953"/>
      <c r="AI669" s="939">
        <f t="shared" si="97"/>
        <v>0</v>
      </c>
      <c r="AJ669" s="939">
        <f t="shared" si="98"/>
        <v>0</v>
      </c>
    </row>
    <row r="670" spans="3:36" x14ac:dyDescent="0.2">
      <c r="C670" s="225" t="s">
        <v>127</v>
      </c>
      <c r="D670" s="426">
        <v>29</v>
      </c>
      <c r="E670" s="947"/>
      <c r="F670" s="947"/>
      <c r="G670" s="947"/>
      <c r="H670" s="981"/>
      <c r="I670" s="947"/>
      <c r="J670" s="947"/>
      <c r="K670" s="940">
        <f t="shared" si="96"/>
        <v>0</v>
      </c>
      <c r="L670" s="949"/>
      <c r="M670" s="949"/>
      <c r="N670" s="954"/>
      <c r="O670" s="927"/>
      <c r="P670" s="955"/>
      <c r="Q670" s="950"/>
      <c r="R670" s="949"/>
      <c r="S670" s="949"/>
      <c r="T670" s="907"/>
      <c r="U670" s="947"/>
      <c r="V670" s="947"/>
      <c r="W670" s="951"/>
      <c r="X670" s="949"/>
      <c r="Y670" s="948"/>
      <c r="Z670" s="909"/>
      <c r="AA670" s="947"/>
      <c r="AB670" s="950"/>
      <c r="AC670" s="927"/>
      <c r="AD670" s="952"/>
      <c r="AE670" s="1095"/>
      <c r="AF670" s="950"/>
      <c r="AG670" s="953"/>
      <c r="AH670" s="953"/>
      <c r="AI670" s="939">
        <f t="shared" si="97"/>
        <v>0</v>
      </c>
      <c r="AJ670" s="939">
        <f t="shared" si="98"/>
        <v>0</v>
      </c>
    </row>
    <row r="671" spans="3:36" x14ac:dyDescent="0.2">
      <c r="C671" s="225" t="s">
        <v>936</v>
      </c>
      <c r="D671" s="426">
        <v>30</v>
      </c>
      <c r="E671" s="947"/>
      <c r="F671" s="947"/>
      <c r="G671" s="947"/>
      <c r="H671" s="981"/>
      <c r="I671" s="947"/>
      <c r="J671" s="947"/>
      <c r="K671" s="940">
        <f t="shared" si="96"/>
        <v>0</v>
      </c>
      <c r="L671" s="949"/>
      <c r="M671" s="949"/>
      <c r="N671" s="954"/>
      <c r="O671" s="927"/>
      <c r="P671" s="955"/>
      <c r="Q671" s="950"/>
      <c r="R671" s="949"/>
      <c r="S671" s="949"/>
      <c r="T671" s="907"/>
      <c r="U671" s="947"/>
      <c r="V671" s="947"/>
      <c r="W671" s="951"/>
      <c r="X671" s="949"/>
      <c r="Y671" s="948"/>
      <c r="Z671" s="909"/>
      <c r="AA671" s="947"/>
      <c r="AB671" s="950"/>
      <c r="AC671" s="927"/>
      <c r="AD671" s="952"/>
      <c r="AE671" s="1095"/>
      <c r="AF671" s="950"/>
      <c r="AG671" s="953"/>
      <c r="AH671" s="953"/>
      <c r="AI671" s="939">
        <f t="shared" si="97"/>
        <v>0</v>
      </c>
      <c r="AJ671" s="939">
        <f t="shared" si="98"/>
        <v>0</v>
      </c>
    </row>
    <row r="672" spans="3:36" x14ac:dyDescent="0.2">
      <c r="C672" s="225" t="s">
        <v>561</v>
      </c>
      <c r="D672" s="426">
        <v>31</v>
      </c>
      <c r="E672" s="947"/>
      <c r="F672" s="947"/>
      <c r="G672" s="947"/>
      <c r="H672" s="981"/>
      <c r="I672" s="947"/>
      <c r="J672" s="947"/>
      <c r="K672" s="940">
        <f t="shared" si="96"/>
        <v>0</v>
      </c>
      <c r="L672" s="949"/>
      <c r="M672" s="949"/>
      <c r="N672" s="954"/>
      <c r="O672" s="927"/>
      <c r="P672" s="955"/>
      <c r="Q672" s="950"/>
      <c r="R672" s="949"/>
      <c r="S672" s="949"/>
      <c r="T672" s="907"/>
      <c r="U672" s="947"/>
      <c r="V672" s="947"/>
      <c r="W672" s="951"/>
      <c r="X672" s="949"/>
      <c r="Y672" s="948"/>
      <c r="Z672" s="909"/>
      <c r="AA672" s="947"/>
      <c r="AB672" s="950"/>
      <c r="AC672" s="927"/>
      <c r="AD672" s="952"/>
      <c r="AE672" s="1095"/>
      <c r="AF672" s="950"/>
      <c r="AG672" s="953"/>
      <c r="AH672" s="953"/>
      <c r="AI672" s="939">
        <f t="shared" si="97"/>
        <v>0</v>
      </c>
      <c r="AJ672" s="939">
        <f t="shared" si="98"/>
        <v>0</v>
      </c>
    </row>
    <row r="673" spans="3:36" x14ac:dyDescent="0.2">
      <c r="C673" s="225" t="s">
        <v>562</v>
      </c>
      <c r="D673" s="426">
        <v>32</v>
      </c>
      <c r="E673" s="947"/>
      <c r="F673" s="947"/>
      <c r="G673" s="947"/>
      <c r="H673" s="981"/>
      <c r="I673" s="947"/>
      <c r="J673" s="947"/>
      <c r="K673" s="940">
        <f t="shared" si="96"/>
        <v>0</v>
      </c>
      <c r="L673" s="949"/>
      <c r="M673" s="949"/>
      <c r="N673" s="954"/>
      <c r="O673" s="927"/>
      <c r="P673" s="955"/>
      <c r="Q673" s="950"/>
      <c r="R673" s="949"/>
      <c r="S673" s="949"/>
      <c r="T673" s="907"/>
      <c r="U673" s="947"/>
      <c r="V673" s="947"/>
      <c r="W673" s="951"/>
      <c r="X673" s="949"/>
      <c r="Y673" s="948"/>
      <c r="Z673" s="909"/>
      <c r="AA673" s="947"/>
      <c r="AB673" s="950"/>
      <c r="AC673" s="927"/>
      <c r="AD673" s="952"/>
      <c r="AE673" s="1095"/>
      <c r="AF673" s="950"/>
      <c r="AG673" s="953"/>
      <c r="AH673" s="953"/>
      <c r="AI673" s="939">
        <f t="shared" si="97"/>
        <v>0</v>
      </c>
      <c r="AJ673" s="939">
        <f t="shared" si="98"/>
        <v>0</v>
      </c>
    </row>
    <row r="674" spans="3:36" x14ac:dyDescent="0.2">
      <c r="C674" s="225" t="s">
        <v>128</v>
      </c>
      <c r="D674" s="426">
        <v>33</v>
      </c>
      <c r="E674" s="947"/>
      <c r="F674" s="947"/>
      <c r="G674" s="947"/>
      <c r="H674" s="981"/>
      <c r="I674" s="947"/>
      <c r="J674" s="947"/>
      <c r="K674" s="940">
        <f t="shared" si="96"/>
        <v>0</v>
      </c>
      <c r="L674" s="949"/>
      <c r="M674" s="949"/>
      <c r="N674" s="947"/>
      <c r="O674" s="927"/>
      <c r="P674" s="949"/>
      <c r="Q674" s="950"/>
      <c r="R674" s="949"/>
      <c r="S674" s="949"/>
      <c r="T674" s="907"/>
      <c r="U674" s="947"/>
      <c r="V674" s="947"/>
      <c r="W674" s="951"/>
      <c r="X674" s="949"/>
      <c r="Y674" s="948"/>
      <c r="Z674" s="909"/>
      <c r="AA674" s="947"/>
      <c r="AB674" s="950"/>
      <c r="AC674" s="927"/>
      <c r="AD674" s="952"/>
      <c r="AE674" s="1095"/>
      <c r="AF674" s="950"/>
      <c r="AG674" s="953"/>
      <c r="AH674" s="953"/>
      <c r="AI674" s="939">
        <f t="shared" ref="AI674:AI698" si="99">ROUND(SUM(L674:O674,R674:T674,W674,Z674,AC674,AG674:AH674),3)</f>
        <v>0</v>
      </c>
      <c r="AJ674" s="939">
        <f t="shared" ref="AJ674:AJ698" si="100">ROUND(SUM(K674,AI674),3)</f>
        <v>0</v>
      </c>
    </row>
    <row r="675" spans="3:36" x14ac:dyDescent="0.2">
      <c r="C675" s="225" t="s">
        <v>151</v>
      </c>
      <c r="D675" s="426">
        <v>34</v>
      </c>
      <c r="E675" s="947"/>
      <c r="F675" s="947"/>
      <c r="G675" s="947"/>
      <c r="H675" s="981"/>
      <c r="I675" s="947"/>
      <c r="J675" s="947"/>
      <c r="K675" s="940">
        <f t="shared" si="96"/>
        <v>0</v>
      </c>
      <c r="L675" s="949"/>
      <c r="M675" s="949"/>
      <c r="N675" s="947"/>
      <c r="O675" s="927"/>
      <c r="P675" s="949"/>
      <c r="Q675" s="950"/>
      <c r="R675" s="949"/>
      <c r="S675" s="949"/>
      <c r="T675" s="907"/>
      <c r="U675" s="947"/>
      <c r="V675" s="947"/>
      <c r="W675" s="951"/>
      <c r="X675" s="949"/>
      <c r="Y675" s="948"/>
      <c r="Z675" s="909"/>
      <c r="AA675" s="947"/>
      <c r="AB675" s="950"/>
      <c r="AC675" s="927"/>
      <c r="AD675" s="952"/>
      <c r="AE675" s="1095"/>
      <c r="AF675" s="950"/>
      <c r="AG675" s="953"/>
      <c r="AH675" s="953"/>
      <c r="AI675" s="939">
        <f t="shared" si="99"/>
        <v>0</v>
      </c>
      <c r="AJ675" s="939">
        <f t="shared" si="100"/>
        <v>0</v>
      </c>
    </row>
    <row r="676" spans="3:36" x14ac:dyDescent="0.2">
      <c r="C676" s="74" t="s">
        <v>129</v>
      </c>
      <c r="D676" s="426">
        <v>35</v>
      </c>
      <c r="E676" s="947"/>
      <c r="F676" s="947"/>
      <c r="G676" s="947"/>
      <c r="H676" s="981"/>
      <c r="I676" s="947"/>
      <c r="J676" s="947"/>
      <c r="K676" s="940">
        <f t="shared" si="96"/>
        <v>0</v>
      </c>
      <c r="L676" s="949"/>
      <c r="M676" s="949"/>
      <c r="N676" s="947"/>
      <c r="O676" s="927"/>
      <c r="P676" s="949"/>
      <c r="Q676" s="950"/>
      <c r="R676" s="949"/>
      <c r="S676" s="949"/>
      <c r="T676" s="907"/>
      <c r="U676" s="947"/>
      <c r="V676" s="947"/>
      <c r="W676" s="951"/>
      <c r="X676" s="949"/>
      <c r="Y676" s="948"/>
      <c r="Z676" s="909"/>
      <c r="AA676" s="947"/>
      <c r="AB676" s="950"/>
      <c r="AC676" s="927"/>
      <c r="AD676" s="952"/>
      <c r="AE676" s="1095"/>
      <c r="AF676" s="950"/>
      <c r="AG676" s="953"/>
      <c r="AH676" s="953"/>
      <c r="AI676" s="939">
        <f t="shared" si="99"/>
        <v>0</v>
      </c>
      <c r="AJ676" s="939">
        <f t="shared" si="100"/>
        <v>0</v>
      </c>
    </row>
    <row r="677" spans="3:36" x14ac:dyDescent="0.2">
      <c r="C677" s="225" t="s">
        <v>939</v>
      </c>
      <c r="D677" s="426">
        <v>36</v>
      </c>
      <c r="E677" s="947"/>
      <c r="F677" s="947"/>
      <c r="G677" s="947"/>
      <c r="H677" s="981"/>
      <c r="I677" s="947"/>
      <c r="J677" s="947"/>
      <c r="K677" s="940">
        <f t="shared" si="96"/>
        <v>0</v>
      </c>
      <c r="L677" s="949"/>
      <c r="M677" s="949"/>
      <c r="N677" s="947"/>
      <c r="O677" s="927"/>
      <c r="P677" s="949"/>
      <c r="Q677" s="950"/>
      <c r="R677" s="949"/>
      <c r="S677" s="949"/>
      <c r="T677" s="907"/>
      <c r="U677" s="947"/>
      <c r="V677" s="947"/>
      <c r="W677" s="951"/>
      <c r="X677" s="949"/>
      <c r="Y677" s="948"/>
      <c r="Z677" s="909"/>
      <c r="AA677" s="947"/>
      <c r="AB677" s="950"/>
      <c r="AC677" s="927"/>
      <c r="AD677" s="952"/>
      <c r="AE677" s="1095"/>
      <c r="AF677" s="950"/>
      <c r="AG677" s="953"/>
      <c r="AH677" s="953"/>
      <c r="AI677" s="939">
        <f t="shared" si="99"/>
        <v>0</v>
      </c>
      <c r="AJ677" s="939">
        <f t="shared" si="100"/>
        <v>0</v>
      </c>
    </row>
    <row r="678" spans="3:36" x14ac:dyDescent="0.2">
      <c r="C678" s="225" t="s">
        <v>568</v>
      </c>
      <c r="D678" s="426">
        <v>37</v>
      </c>
      <c r="E678" s="947"/>
      <c r="F678" s="947"/>
      <c r="G678" s="947"/>
      <c r="H678" s="981"/>
      <c r="I678" s="947"/>
      <c r="J678" s="947"/>
      <c r="K678" s="940">
        <f t="shared" ref="K678:K698" si="101">ROUND(SUM(E678:H678,J678),3)</f>
        <v>0</v>
      </c>
      <c r="L678" s="949"/>
      <c r="M678" s="949"/>
      <c r="N678" s="954"/>
      <c r="O678" s="927"/>
      <c r="P678" s="955"/>
      <c r="Q678" s="950"/>
      <c r="R678" s="949"/>
      <c r="S678" s="949"/>
      <c r="T678" s="907"/>
      <c r="U678" s="947"/>
      <c r="V678" s="947"/>
      <c r="W678" s="951"/>
      <c r="X678" s="949"/>
      <c r="Y678" s="948"/>
      <c r="Z678" s="909"/>
      <c r="AA678" s="947"/>
      <c r="AB678" s="950"/>
      <c r="AC678" s="927"/>
      <c r="AD678" s="952"/>
      <c r="AE678" s="1095"/>
      <c r="AF678" s="950"/>
      <c r="AG678" s="953"/>
      <c r="AH678" s="953"/>
      <c r="AI678" s="939">
        <f t="shared" si="99"/>
        <v>0</v>
      </c>
      <c r="AJ678" s="939">
        <f t="shared" si="100"/>
        <v>0</v>
      </c>
    </row>
    <row r="679" spans="3:36" x14ac:dyDescent="0.2">
      <c r="C679" s="225" t="s">
        <v>130</v>
      </c>
      <c r="D679" s="426">
        <v>38</v>
      </c>
      <c r="E679" s="947"/>
      <c r="F679" s="947"/>
      <c r="G679" s="947"/>
      <c r="H679" s="981"/>
      <c r="I679" s="947"/>
      <c r="J679" s="947"/>
      <c r="K679" s="940">
        <f t="shared" si="101"/>
        <v>0</v>
      </c>
      <c r="L679" s="949"/>
      <c r="M679" s="949"/>
      <c r="N679" s="954"/>
      <c r="O679" s="927"/>
      <c r="P679" s="955"/>
      <c r="Q679" s="950"/>
      <c r="R679" s="949"/>
      <c r="S679" s="949"/>
      <c r="T679" s="907"/>
      <c r="U679" s="947"/>
      <c r="V679" s="947"/>
      <c r="W679" s="951"/>
      <c r="X679" s="949"/>
      <c r="Y679" s="948"/>
      <c r="Z679" s="909"/>
      <c r="AA679" s="947"/>
      <c r="AB679" s="950"/>
      <c r="AC679" s="927"/>
      <c r="AD679" s="952"/>
      <c r="AE679" s="1095"/>
      <c r="AF679" s="950"/>
      <c r="AG679" s="953"/>
      <c r="AH679" s="953"/>
      <c r="AI679" s="939">
        <f t="shared" si="99"/>
        <v>0</v>
      </c>
      <c r="AJ679" s="939">
        <f t="shared" si="100"/>
        <v>0</v>
      </c>
    </row>
    <row r="680" spans="3:36" x14ac:dyDescent="0.2">
      <c r="C680" s="225" t="s">
        <v>131</v>
      </c>
      <c r="D680" s="426">
        <v>39</v>
      </c>
      <c r="E680" s="947"/>
      <c r="F680" s="947"/>
      <c r="G680" s="947"/>
      <c r="H680" s="981"/>
      <c r="I680" s="947"/>
      <c r="J680" s="947"/>
      <c r="K680" s="940">
        <f t="shared" si="101"/>
        <v>0</v>
      </c>
      <c r="L680" s="949"/>
      <c r="M680" s="949"/>
      <c r="N680" s="954"/>
      <c r="O680" s="927"/>
      <c r="P680" s="955"/>
      <c r="Q680" s="950"/>
      <c r="R680" s="949"/>
      <c r="S680" s="949"/>
      <c r="T680" s="907"/>
      <c r="U680" s="947"/>
      <c r="V680" s="947"/>
      <c r="W680" s="951"/>
      <c r="X680" s="949"/>
      <c r="Y680" s="948"/>
      <c r="Z680" s="909"/>
      <c r="AA680" s="947"/>
      <c r="AB680" s="950"/>
      <c r="AC680" s="927"/>
      <c r="AD680" s="952"/>
      <c r="AE680" s="1095"/>
      <c r="AF680" s="950"/>
      <c r="AG680" s="953"/>
      <c r="AH680" s="953"/>
      <c r="AI680" s="939">
        <f t="shared" si="99"/>
        <v>0</v>
      </c>
      <c r="AJ680" s="939">
        <f t="shared" si="100"/>
        <v>0</v>
      </c>
    </row>
    <row r="681" spans="3:36" x14ac:dyDescent="0.2">
      <c r="C681" s="74" t="s">
        <v>1365</v>
      </c>
      <c r="D681" s="426">
        <v>40</v>
      </c>
      <c r="E681" s="947"/>
      <c r="F681" s="947"/>
      <c r="G681" s="947"/>
      <c r="H681" s="981"/>
      <c r="I681" s="947"/>
      <c r="J681" s="947"/>
      <c r="K681" s="940">
        <f t="shared" si="101"/>
        <v>0</v>
      </c>
      <c r="L681" s="949"/>
      <c r="M681" s="949"/>
      <c r="N681" s="954"/>
      <c r="O681" s="927"/>
      <c r="P681" s="955"/>
      <c r="Q681" s="950"/>
      <c r="R681" s="949"/>
      <c r="S681" s="949"/>
      <c r="T681" s="907"/>
      <c r="U681" s="947"/>
      <c r="V681" s="947"/>
      <c r="W681" s="951"/>
      <c r="X681" s="949"/>
      <c r="Y681" s="948"/>
      <c r="Z681" s="909"/>
      <c r="AA681" s="947"/>
      <c r="AB681" s="950"/>
      <c r="AC681" s="927"/>
      <c r="AD681" s="952"/>
      <c r="AE681" s="1095"/>
      <c r="AF681" s="950"/>
      <c r="AG681" s="953"/>
      <c r="AH681" s="953"/>
      <c r="AI681" s="939">
        <f t="shared" si="99"/>
        <v>0</v>
      </c>
      <c r="AJ681" s="939">
        <f t="shared" si="100"/>
        <v>0</v>
      </c>
    </row>
    <row r="682" spans="3:36" x14ac:dyDescent="0.2">
      <c r="C682" s="427" t="s">
        <v>132</v>
      </c>
      <c r="D682" s="426">
        <v>41</v>
      </c>
      <c r="E682" s="947"/>
      <c r="F682" s="947"/>
      <c r="G682" s="947"/>
      <c r="H682" s="981"/>
      <c r="I682" s="947"/>
      <c r="J682" s="947"/>
      <c r="K682" s="940">
        <f t="shared" si="101"/>
        <v>0</v>
      </c>
      <c r="L682" s="949"/>
      <c r="M682" s="949"/>
      <c r="N682" s="954"/>
      <c r="O682" s="927"/>
      <c r="P682" s="955"/>
      <c r="Q682" s="950"/>
      <c r="R682" s="949"/>
      <c r="S682" s="949"/>
      <c r="T682" s="907"/>
      <c r="U682" s="947"/>
      <c r="V682" s="947"/>
      <c r="W682" s="951"/>
      <c r="X682" s="949"/>
      <c r="Y682" s="948"/>
      <c r="Z682" s="909"/>
      <c r="AA682" s="947"/>
      <c r="AB682" s="950"/>
      <c r="AC682" s="927"/>
      <c r="AD682" s="952"/>
      <c r="AE682" s="1095"/>
      <c r="AF682" s="950"/>
      <c r="AG682" s="953"/>
      <c r="AH682" s="953"/>
      <c r="AI682" s="939">
        <f t="shared" si="99"/>
        <v>0</v>
      </c>
      <c r="AJ682" s="939">
        <f t="shared" si="100"/>
        <v>0</v>
      </c>
    </row>
    <row r="683" spans="3:36" x14ac:dyDescent="0.2">
      <c r="C683" s="427" t="s">
        <v>133</v>
      </c>
      <c r="D683" s="426">
        <v>42</v>
      </c>
      <c r="E683" s="947"/>
      <c r="F683" s="947"/>
      <c r="G683" s="947"/>
      <c r="H683" s="981"/>
      <c r="I683" s="947"/>
      <c r="J683" s="947"/>
      <c r="K683" s="940">
        <f t="shared" si="101"/>
        <v>0</v>
      </c>
      <c r="L683" s="949"/>
      <c r="M683" s="949"/>
      <c r="N683" s="947"/>
      <c r="O683" s="927"/>
      <c r="P683" s="949"/>
      <c r="Q683" s="950"/>
      <c r="R683" s="949"/>
      <c r="S683" s="949"/>
      <c r="T683" s="907"/>
      <c r="U683" s="947"/>
      <c r="V683" s="947"/>
      <c r="W683" s="951"/>
      <c r="X683" s="949"/>
      <c r="Y683" s="948"/>
      <c r="Z683" s="909"/>
      <c r="AA683" s="947"/>
      <c r="AB683" s="950"/>
      <c r="AC683" s="927"/>
      <c r="AD683" s="952"/>
      <c r="AE683" s="1095"/>
      <c r="AF683" s="950"/>
      <c r="AG683" s="953"/>
      <c r="AH683" s="953"/>
      <c r="AI683" s="939">
        <f t="shared" si="99"/>
        <v>0</v>
      </c>
      <c r="AJ683" s="939">
        <f t="shared" si="100"/>
        <v>0</v>
      </c>
    </row>
    <row r="684" spans="3:36" x14ac:dyDescent="0.2">
      <c r="C684" s="427" t="s">
        <v>134</v>
      </c>
      <c r="D684" s="426">
        <v>43</v>
      </c>
      <c r="E684" s="947"/>
      <c r="F684" s="947"/>
      <c r="G684" s="947"/>
      <c r="H684" s="981"/>
      <c r="I684" s="947"/>
      <c r="J684" s="947"/>
      <c r="K684" s="940">
        <f t="shared" si="101"/>
        <v>0</v>
      </c>
      <c r="L684" s="949"/>
      <c r="M684" s="949"/>
      <c r="N684" s="947"/>
      <c r="O684" s="927"/>
      <c r="P684" s="949"/>
      <c r="Q684" s="950"/>
      <c r="R684" s="949"/>
      <c r="S684" s="949"/>
      <c r="T684" s="907"/>
      <c r="U684" s="947"/>
      <c r="V684" s="947"/>
      <c r="W684" s="951"/>
      <c r="X684" s="949"/>
      <c r="Y684" s="948"/>
      <c r="Z684" s="909"/>
      <c r="AA684" s="947"/>
      <c r="AB684" s="950"/>
      <c r="AC684" s="927"/>
      <c r="AD684" s="952"/>
      <c r="AE684" s="1095"/>
      <c r="AF684" s="950"/>
      <c r="AG684" s="953"/>
      <c r="AH684" s="953"/>
      <c r="AI684" s="939">
        <f t="shared" si="99"/>
        <v>0</v>
      </c>
      <c r="AJ684" s="939">
        <f t="shared" si="100"/>
        <v>0</v>
      </c>
    </row>
    <row r="685" spans="3:36" x14ac:dyDescent="0.2">
      <c r="C685" s="427" t="s">
        <v>59</v>
      </c>
      <c r="D685" s="426">
        <v>44</v>
      </c>
      <c r="E685" s="947"/>
      <c r="F685" s="947"/>
      <c r="G685" s="947"/>
      <c r="H685" s="981"/>
      <c r="I685" s="947"/>
      <c r="J685" s="947"/>
      <c r="K685" s="940">
        <f t="shared" si="101"/>
        <v>0</v>
      </c>
      <c r="L685" s="949"/>
      <c r="M685" s="949"/>
      <c r="N685" s="947"/>
      <c r="O685" s="927"/>
      <c r="P685" s="949"/>
      <c r="Q685" s="950"/>
      <c r="R685" s="949"/>
      <c r="S685" s="949"/>
      <c r="T685" s="907"/>
      <c r="U685" s="947"/>
      <c r="V685" s="947"/>
      <c r="W685" s="951"/>
      <c r="X685" s="949"/>
      <c r="Y685" s="948"/>
      <c r="Z685" s="909"/>
      <c r="AA685" s="947"/>
      <c r="AB685" s="950"/>
      <c r="AC685" s="927"/>
      <c r="AD685" s="952"/>
      <c r="AE685" s="1095"/>
      <c r="AF685" s="950"/>
      <c r="AG685" s="953"/>
      <c r="AH685" s="953"/>
      <c r="AI685" s="939">
        <f t="shared" si="99"/>
        <v>0</v>
      </c>
      <c r="AJ685" s="939">
        <f t="shared" si="100"/>
        <v>0</v>
      </c>
    </row>
    <row r="686" spans="3:36" x14ac:dyDescent="0.2">
      <c r="C686" s="427" t="s">
        <v>621</v>
      </c>
      <c r="D686" s="426">
        <v>45</v>
      </c>
      <c r="E686" s="947"/>
      <c r="F686" s="947"/>
      <c r="G686" s="947"/>
      <c r="H686" s="981"/>
      <c r="I686" s="947"/>
      <c r="J686" s="947"/>
      <c r="K686" s="940">
        <f t="shared" si="101"/>
        <v>0</v>
      </c>
      <c r="L686" s="949"/>
      <c r="M686" s="949"/>
      <c r="N686" s="947"/>
      <c r="O686" s="927"/>
      <c r="P686" s="949"/>
      <c r="Q686" s="950"/>
      <c r="R686" s="949"/>
      <c r="S686" s="949"/>
      <c r="T686" s="907"/>
      <c r="U686" s="947"/>
      <c r="V686" s="947"/>
      <c r="W686" s="951"/>
      <c r="X686" s="949"/>
      <c r="Y686" s="948"/>
      <c r="Z686" s="909"/>
      <c r="AA686" s="947"/>
      <c r="AB686" s="950"/>
      <c r="AC686" s="927"/>
      <c r="AD686" s="952"/>
      <c r="AE686" s="1095"/>
      <c r="AF686" s="950"/>
      <c r="AG686" s="953"/>
      <c r="AH686" s="953"/>
      <c r="AI686" s="939">
        <f t="shared" si="99"/>
        <v>0</v>
      </c>
      <c r="AJ686" s="939">
        <f t="shared" si="100"/>
        <v>0</v>
      </c>
    </row>
    <row r="687" spans="3:36" x14ac:dyDescent="0.2">
      <c r="C687" s="427" t="s">
        <v>569</v>
      </c>
      <c r="D687" s="426">
        <v>46</v>
      </c>
      <c r="E687" s="947"/>
      <c r="F687" s="947"/>
      <c r="G687" s="947"/>
      <c r="H687" s="981"/>
      <c r="I687" s="947"/>
      <c r="J687" s="947"/>
      <c r="K687" s="940">
        <f t="shared" si="101"/>
        <v>0</v>
      </c>
      <c r="L687" s="949"/>
      <c r="M687" s="949"/>
      <c r="N687" s="954"/>
      <c r="O687" s="927"/>
      <c r="P687" s="955"/>
      <c r="Q687" s="950"/>
      <c r="R687" s="949"/>
      <c r="S687" s="949"/>
      <c r="T687" s="907"/>
      <c r="U687" s="947"/>
      <c r="V687" s="947"/>
      <c r="W687" s="951"/>
      <c r="X687" s="949"/>
      <c r="Y687" s="948"/>
      <c r="Z687" s="909"/>
      <c r="AA687" s="947"/>
      <c r="AB687" s="950"/>
      <c r="AC687" s="927"/>
      <c r="AD687" s="952"/>
      <c r="AE687" s="1095"/>
      <c r="AF687" s="950"/>
      <c r="AG687" s="953"/>
      <c r="AH687" s="953"/>
      <c r="AI687" s="939">
        <f t="shared" si="99"/>
        <v>0</v>
      </c>
      <c r="AJ687" s="939">
        <f t="shared" si="100"/>
        <v>0</v>
      </c>
    </row>
    <row r="688" spans="3:36" x14ac:dyDescent="0.2">
      <c r="C688" s="427" t="s">
        <v>99</v>
      </c>
      <c r="D688" s="426">
        <v>47</v>
      </c>
      <c r="E688" s="947"/>
      <c r="F688" s="947"/>
      <c r="G688" s="947"/>
      <c r="H688" s="981"/>
      <c r="I688" s="947"/>
      <c r="J688" s="947"/>
      <c r="K688" s="940">
        <f t="shared" si="101"/>
        <v>0</v>
      </c>
      <c r="L688" s="949"/>
      <c r="M688" s="949"/>
      <c r="N688" s="947"/>
      <c r="O688" s="927"/>
      <c r="P688" s="949"/>
      <c r="Q688" s="950"/>
      <c r="R688" s="949"/>
      <c r="S688" s="949"/>
      <c r="T688" s="907"/>
      <c r="U688" s="947"/>
      <c r="V688" s="947"/>
      <c r="W688" s="951"/>
      <c r="X688" s="949"/>
      <c r="Y688" s="948"/>
      <c r="Z688" s="909"/>
      <c r="AA688" s="947"/>
      <c r="AB688" s="950"/>
      <c r="AC688" s="927"/>
      <c r="AD688" s="952"/>
      <c r="AE688" s="1095"/>
      <c r="AF688" s="950"/>
      <c r="AG688" s="953"/>
      <c r="AH688" s="953"/>
      <c r="AI688" s="939">
        <f t="shared" si="99"/>
        <v>0</v>
      </c>
      <c r="AJ688" s="939">
        <f t="shared" si="100"/>
        <v>0</v>
      </c>
    </row>
    <row r="689" spans="3:36" x14ac:dyDescent="0.2">
      <c r="C689" s="427" t="s">
        <v>570</v>
      </c>
      <c r="D689" s="426">
        <v>48</v>
      </c>
      <c r="E689" s="947"/>
      <c r="F689" s="947"/>
      <c r="G689" s="947"/>
      <c r="H689" s="981"/>
      <c r="I689" s="947"/>
      <c r="J689" s="947"/>
      <c r="K689" s="940">
        <f t="shared" si="101"/>
        <v>0</v>
      </c>
      <c r="L689" s="949"/>
      <c r="M689" s="949"/>
      <c r="N689" s="947"/>
      <c r="O689" s="927"/>
      <c r="P689" s="949"/>
      <c r="Q689" s="950"/>
      <c r="R689" s="949"/>
      <c r="S689" s="949"/>
      <c r="T689" s="907"/>
      <c r="U689" s="947"/>
      <c r="V689" s="947"/>
      <c r="W689" s="951"/>
      <c r="X689" s="949"/>
      <c r="Y689" s="948"/>
      <c r="Z689" s="909"/>
      <c r="AA689" s="947"/>
      <c r="AB689" s="950"/>
      <c r="AC689" s="927"/>
      <c r="AD689" s="952"/>
      <c r="AE689" s="1095"/>
      <c r="AF689" s="950"/>
      <c r="AG689" s="953"/>
      <c r="AH689" s="953"/>
      <c r="AI689" s="939">
        <f t="shared" si="99"/>
        <v>0</v>
      </c>
      <c r="AJ689" s="939">
        <f t="shared" si="100"/>
        <v>0</v>
      </c>
    </row>
    <row r="690" spans="3:36" x14ac:dyDescent="0.2">
      <c r="C690" s="427" t="s">
        <v>135</v>
      </c>
      <c r="D690" s="426">
        <v>49</v>
      </c>
      <c r="E690" s="947"/>
      <c r="F690" s="947"/>
      <c r="G690" s="947"/>
      <c r="H690" s="981"/>
      <c r="I690" s="947"/>
      <c r="J690" s="947"/>
      <c r="K690" s="940">
        <f t="shared" si="101"/>
        <v>0</v>
      </c>
      <c r="L690" s="949"/>
      <c r="M690" s="949"/>
      <c r="N690" s="947"/>
      <c r="O690" s="927"/>
      <c r="P690" s="949"/>
      <c r="Q690" s="950"/>
      <c r="R690" s="949"/>
      <c r="S690" s="949"/>
      <c r="T690" s="907"/>
      <c r="U690" s="947"/>
      <c r="V690" s="947"/>
      <c r="W690" s="951"/>
      <c r="X690" s="949"/>
      <c r="Y690" s="948"/>
      <c r="Z690" s="909"/>
      <c r="AA690" s="947"/>
      <c r="AB690" s="950"/>
      <c r="AC690" s="927"/>
      <c r="AD690" s="952"/>
      <c r="AE690" s="1095"/>
      <c r="AF690" s="950"/>
      <c r="AG690" s="953"/>
      <c r="AH690" s="953"/>
      <c r="AI690" s="939">
        <f t="shared" si="99"/>
        <v>0</v>
      </c>
      <c r="AJ690" s="939">
        <f t="shared" si="100"/>
        <v>0</v>
      </c>
    </row>
    <row r="691" spans="3:36" x14ac:dyDescent="0.2">
      <c r="C691" s="427" t="s">
        <v>136</v>
      </c>
      <c r="D691" s="426">
        <v>50</v>
      </c>
      <c r="E691" s="947"/>
      <c r="F691" s="947"/>
      <c r="G691" s="947"/>
      <c r="H691" s="981"/>
      <c r="I691" s="947"/>
      <c r="J691" s="947"/>
      <c r="K691" s="940">
        <f t="shared" si="101"/>
        <v>0</v>
      </c>
      <c r="L691" s="949"/>
      <c r="M691" s="949"/>
      <c r="N691" s="947"/>
      <c r="O691" s="927"/>
      <c r="P691" s="949"/>
      <c r="Q691" s="950"/>
      <c r="R691" s="949"/>
      <c r="S691" s="949"/>
      <c r="T691" s="907"/>
      <c r="U691" s="947"/>
      <c r="V691" s="947"/>
      <c r="W691" s="951"/>
      <c r="X691" s="949"/>
      <c r="Y691" s="948"/>
      <c r="Z691" s="909"/>
      <c r="AA691" s="947"/>
      <c r="AB691" s="950"/>
      <c r="AC691" s="927"/>
      <c r="AD691" s="952"/>
      <c r="AE691" s="1095"/>
      <c r="AF691" s="950"/>
      <c r="AG691" s="953"/>
      <c r="AH691" s="953"/>
      <c r="AI691" s="939">
        <f t="shared" si="99"/>
        <v>0</v>
      </c>
      <c r="AJ691" s="939">
        <f t="shared" si="100"/>
        <v>0</v>
      </c>
    </row>
    <row r="692" spans="3:36" x14ac:dyDescent="0.2">
      <c r="C692" s="427" t="s">
        <v>137</v>
      </c>
      <c r="D692" s="426">
        <v>51</v>
      </c>
      <c r="E692" s="947"/>
      <c r="F692" s="947"/>
      <c r="G692" s="947"/>
      <c r="H692" s="981"/>
      <c r="I692" s="947"/>
      <c r="J692" s="947"/>
      <c r="K692" s="940">
        <f t="shared" si="101"/>
        <v>0</v>
      </c>
      <c r="L692" s="949"/>
      <c r="M692" s="949"/>
      <c r="N692" s="947"/>
      <c r="O692" s="927"/>
      <c r="P692" s="949"/>
      <c r="Q692" s="950"/>
      <c r="R692" s="949"/>
      <c r="S692" s="949"/>
      <c r="T692" s="907"/>
      <c r="U692" s="947"/>
      <c r="V692" s="947"/>
      <c r="W692" s="951"/>
      <c r="X692" s="949"/>
      <c r="Y692" s="948"/>
      <c r="Z692" s="909"/>
      <c r="AA692" s="947"/>
      <c r="AB692" s="950"/>
      <c r="AC692" s="927"/>
      <c r="AD692" s="952"/>
      <c r="AE692" s="1095"/>
      <c r="AF692" s="950"/>
      <c r="AG692" s="953"/>
      <c r="AH692" s="953"/>
      <c r="AI692" s="939">
        <f t="shared" si="99"/>
        <v>0</v>
      </c>
      <c r="AJ692" s="939">
        <f t="shared" si="100"/>
        <v>0</v>
      </c>
    </row>
    <row r="693" spans="3:36" x14ac:dyDescent="0.2">
      <c r="C693" s="427" t="s">
        <v>138</v>
      </c>
      <c r="D693" s="426">
        <v>52</v>
      </c>
      <c r="E693" s="947"/>
      <c r="F693" s="947"/>
      <c r="G693" s="947"/>
      <c r="H693" s="981"/>
      <c r="I693" s="947"/>
      <c r="J693" s="947"/>
      <c r="K693" s="940">
        <f t="shared" si="101"/>
        <v>0</v>
      </c>
      <c r="L693" s="949"/>
      <c r="M693" s="949"/>
      <c r="N693" s="947"/>
      <c r="O693" s="927"/>
      <c r="P693" s="949"/>
      <c r="Q693" s="950"/>
      <c r="R693" s="949"/>
      <c r="S693" s="949"/>
      <c r="T693" s="907"/>
      <c r="U693" s="947"/>
      <c r="V693" s="947"/>
      <c r="W693" s="951"/>
      <c r="X693" s="949"/>
      <c r="Y693" s="948"/>
      <c r="Z693" s="909"/>
      <c r="AA693" s="947"/>
      <c r="AB693" s="950"/>
      <c r="AC693" s="927"/>
      <c r="AD693" s="952"/>
      <c r="AE693" s="1095"/>
      <c r="AF693" s="950"/>
      <c r="AG693" s="953"/>
      <c r="AH693" s="953"/>
      <c r="AI693" s="939">
        <f t="shared" si="99"/>
        <v>0</v>
      </c>
      <c r="AJ693" s="939">
        <f t="shared" si="100"/>
        <v>0</v>
      </c>
    </row>
    <row r="694" spans="3:36" x14ac:dyDescent="0.2">
      <c r="C694" s="427" t="s">
        <v>565</v>
      </c>
      <c r="D694" s="426">
        <v>53</v>
      </c>
      <c r="E694" s="947"/>
      <c r="F694" s="947"/>
      <c r="G694" s="947"/>
      <c r="H694" s="981"/>
      <c r="I694" s="947"/>
      <c r="J694" s="947"/>
      <c r="K694" s="940">
        <f t="shared" si="101"/>
        <v>0</v>
      </c>
      <c r="L694" s="949"/>
      <c r="M694" s="949"/>
      <c r="N694" s="954"/>
      <c r="O694" s="927"/>
      <c r="P694" s="955"/>
      <c r="Q694" s="950"/>
      <c r="R694" s="949"/>
      <c r="S694" s="949"/>
      <c r="T694" s="907"/>
      <c r="U694" s="947"/>
      <c r="V694" s="947"/>
      <c r="W694" s="951"/>
      <c r="X694" s="949"/>
      <c r="Y694" s="948"/>
      <c r="Z694" s="909"/>
      <c r="AA694" s="947"/>
      <c r="AB694" s="950"/>
      <c r="AC694" s="927"/>
      <c r="AD694" s="952"/>
      <c r="AE694" s="1095"/>
      <c r="AF694" s="950"/>
      <c r="AG694" s="953"/>
      <c r="AH694" s="953"/>
      <c r="AI694" s="939">
        <f t="shared" si="99"/>
        <v>0</v>
      </c>
      <c r="AJ694" s="939">
        <f t="shared" si="100"/>
        <v>0</v>
      </c>
    </row>
    <row r="695" spans="3:36" x14ac:dyDescent="0.2">
      <c r="C695" s="427" t="s">
        <v>67</v>
      </c>
      <c r="D695" s="426">
        <v>54</v>
      </c>
      <c r="E695" s="947"/>
      <c r="F695" s="947"/>
      <c r="G695" s="947"/>
      <c r="H695" s="981"/>
      <c r="I695" s="947"/>
      <c r="J695" s="947"/>
      <c r="K695" s="940">
        <f t="shared" si="101"/>
        <v>0</v>
      </c>
      <c r="L695" s="949"/>
      <c r="M695" s="949"/>
      <c r="N695" s="954"/>
      <c r="O695" s="927"/>
      <c r="P695" s="955"/>
      <c r="Q695" s="950"/>
      <c r="R695" s="949"/>
      <c r="S695" s="949"/>
      <c r="T695" s="907"/>
      <c r="U695" s="947"/>
      <c r="V695" s="947"/>
      <c r="W695" s="951"/>
      <c r="X695" s="949"/>
      <c r="Y695" s="948"/>
      <c r="Z695" s="909"/>
      <c r="AA695" s="947"/>
      <c r="AB695" s="950"/>
      <c r="AC695" s="927"/>
      <c r="AD695" s="952"/>
      <c r="AE695" s="1095"/>
      <c r="AF695" s="950"/>
      <c r="AG695" s="953"/>
      <c r="AH695" s="953"/>
      <c r="AI695" s="939">
        <f t="shared" si="99"/>
        <v>0</v>
      </c>
      <c r="AJ695" s="939">
        <f t="shared" si="100"/>
        <v>0</v>
      </c>
    </row>
    <row r="696" spans="3:36" x14ac:dyDescent="0.2">
      <c r="C696" s="427" t="s">
        <v>139</v>
      </c>
      <c r="D696" s="426">
        <v>55</v>
      </c>
      <c r="E696" s="947"/>
      <c r="F696" s="947"/>
      <c r="G696" s="947"/>
      <c r="H696" s="981"/>
      <c r="I696" s="947"/>
      <c r="J696" s="947"/>
      <c r="K696" s="940">
        <f t="shared" si="101"/>
        <v>0</v>
      </c>
      <c r="L696" s="949"/>
      <c r="M696" s="949"/>
      <c r="N696" s="954"/>
      <c r="O696" s="927"/>
      <c r="P696" s="955"/>
      <c r="Q696" s="950"/>
      <c r="R696" s="949"/>
      <c r="S696" s="949"/>
      <c r="T696" s="907"/>
      <c r="U696" s="947"/>
      <c r="V696" s="947"/>
      <c r="W696" s="951"/>
      <c r="X696" s="949"/>
      <c r="Y696" s="948"/>
      <c r="Z696" s="909"/>
      <c r="AA696" s="947"/>
      <c r="AB696" s="950"/>
      <c r="AC696" s="927"/>
      <c r="AD696" s="952"/>
      <c r="AE696" s="1095"/>
      <c r="AF696" s="950"/>
      <c r="AG696" s="953"/>
      <c r="AH696" s="953"/>
      <c r="AI696" s="939">
        <f t="shared" si="99"/>
        <v>0</v>
      </c>
      <c r="AJ696" s="939">
        <f t="shared" si="100"/>
        <v>0</v>
      </c>
    </row>
    <row r="697" spans="3:36" ht="13.5" thickBot="1" x14ac:dyDescent="0.25">
      <c r="C697" s="207" t="s">
        <v>95</v>
      </c>
      <c r="D697" s="426">
        <v>56</v>
      </c>
      <c r="E697" s="947"/>
      <c r="F697" s="947"/>
      <c r="G697" s="947"/>
      <c r="H697" s="981"/>
      <c r="I697" s="947"/>
      <c r="J697" s="947"/>
      <c r="K697" s="940">
        <f t="shared" si="101"/>
        <v>0</v>
      </c>
      <c r="L697" s="949"/>
      <c r="M697" s="949"/>
      <c r="N697" s="954"/>
      <c r="O697" s="982"/>
      <c r="P697" s="955"/>
      <c r="Q697" s="950"/>
      <c r="R697" s="949"/>
      <c r="S697" s="949"/>
      <c r="T697" s="934"/>
      <c r="U697" s="947"/>
      <c r="V697" s="947"/>
      <c r="W697" s="951"/>
      <c r="X697" s="949"/>
      <c r="Y697" s="948"/>
      <c r="Z697" s="983"/>
      <c r="AA697" s="947"/>
      <c r="AB697" s="950"/>
      <c r="AC697" s="982"/>
      <c r="AD697" s="952"/>
      <c r="AE697" s="1095"/>
      <c r="AF697" s="950"/>
      <c r="AG697" s="953"/>
      <c r="AH697" s="953"/>
      <c r="AI697" s="939">
        <f t="shared" si="99"/>
        <v>0</v>
      </c>
      <c r="AJ697" s="939">
        <f t="shared" si="100"/>
        <v>0</v>
      </c>
    </row>
    <row r="698" spans="3:36" ht="13.5" thickBot="1" x14ac:dyDescent="0.25">
      <c r="C698" s="73" t="s">
        <v>899</v>
      </c>
      <c r="D698" s="158">
        <v>57</v>
      </c>
      <c r="E698" s="935">
        <f t="shared" ref="E698:J698" si="102">ROUND(SUM(E642:E697),3)</f>
        <v>0</v>
      </c>
      <c r="F698" s="935">
        <f t="shared" si="102"/>
        <v>0</v>
      </c>
      <c r="G698" s="935">
        <f t="shared" si="102"/>
        <v>0</v>
      </c>
      <c r="H698" s="935">
        <f t="shared" si="102"/>
        <v>0</v>
      </c>
      <c r="I698" s="935">
        <f t="shared" si="102"/>
        <v>0</v>
      </c>
      <c r="J698" s="935">
        <f t="shared" si="102"/>
        <v>0</v>
      </c>
      <c r="K698" s="984">
        <f t="shared" si="101"/>
        <v>0</v>
      </c>
      <c r="L698" s="985">
        <f t="shared" ref="L698:AH698" si="103">ROUND(SUM(L642:L697),3)</f>
        <v>0</v>
      </c>
      <c r="M698" s="935">
        <f t="shared" si="103"/>
        <v>0</v>
      </c>
      <c r="N698" s="984">
        <f t="shared" si="103"/>
        <v>0</v>
      </c>
      <c r="O698" s="986">
        <f t="shared" si="103"/>
        <v>0</v>
      </c>
      <c r="P698" s="935">
        <f t="shared" si="103"/>
        <v>0</v>
      </c>
      <c r="Q698" s="984">
        <f t="shared" si="103"/>
        <v>0</v>
      </c>
      <c r="R698" s="936">
        <f t="shared" si="103"/>
        <v>0</v>
      </c>
      <c r="S698" s="935">
        <f t="shared" si="103"/>
        <v>0</v>
      </c>
      <c r="T698" s="987">
        <f t="shared" si="103"/>
        <v>0</v>
      </c>
      <c r="U698" s="935">
        <f t="shared" si="103"/>
        <v>0</v>
      </c>
      <c r="V698" s="935">
        <f t="shared" si="103"/>
        <v>0</v>
      </c>
      <c r="W698" s="984">
        <f t="shared" si="103"/>
        <v>0</v>
      </c>
      <c r="X698" s="936">
        <f t="shared" si="103"/>
        <v>0</v>
      </c>
      <c r="Y698" s="935">
        <f t="shared" si="103"/>
        <v>0</v>
      </c>
      <c r="Z698" s="988">
        <f t="shared" si="103"/>
        <v>0</v>
      </c>
      <c r="AA698" s="935">
        <f t="shared" si="103"/>
        <v>0</v>
      </c>
      <c r="AB698" s="984">
        <f t="shared" si="103"/>
        <v>0</v>
      </c>
      <c r="AC698" s="986">
        <f t="shared" si="103"/>
        <v>0</v>
      </c>
      <c r="AD698" s="935">
        <f t="shared" si="103"/>
        <v>0</v>
      </c>
      <c r="AE698" s="935">
        <f t="shared" si="103"/>
        <v>0</v>
      </c>
      <c r="AF698" s="984">
        <f t="shared" si="103"/>
        <v>0</v>
      </c>
      <c r="AG698" s="935">
        <f t="shared" si="103"/>
        <v>0</v>
      </c>
      <c r="AH698" s="936">
        <f t="shared" si="103"/>
        <v>0</v>
      </c>
      <c r="AI698" s="935">
        <f t="shared" si="99"/>
        <v>0</v>
      </c>
      <c r="AJ698" s="938">
        <f t="shared" si="100"/>
        <v>0</v>
      </c>
    </row>
    <row r="699" spans="3:36" ht="13.5" thickBot="1" x14ac:dyDescent="0.25">
      <c r="C699" s="205"/>
      <c r="D699" s="204"/>
      <c r="E699" s="989"/>
      <c r="F699" s="989"/>
      <c r="G699" s="989"/>
      <c r="H699" s="989"/>
      <c r="I699" s="989"/>
      <c r="J699" s="989"/>
      <c r="K699" s="989"/>
      <c r="L699" s="989"/>
      <c r="M699" s="989"/>
      <c r="N699" s="989"/>
      <c r="O699" s="989"/>
      <c r="P699" s="989"/>
      <c r="Q699" s="989"/>
      <c r="R699" s="989"/>
      <c r="S699" s="989"/>
      <c r="T699" s="989"/>
      <c r="U699" s="989"/>
      <c r="V699" s="989"/>
      <c r="W699" s="989"/>
      <c r="X699" s="989"/>
      <c r="Y699" s="989"/>
      <c r="Z699" s="989"/>
      <c r="AA699" s="989"/>
      <c r="AB699" s="989"/>
      <c r="AC699" s="989"/>
      <c r="AD699" s="989"/>
      <c r="AE699" s="989"/>
      <c r="AF699" s="989"/>
      <c r="AG699" s="989"/>
      <c r="AH699" s="989"/>
      <c r="AI699" s="989"/>
      <c r="AJ699" s="989"/>
    </row>
    <row r="700" spans="3:36" ht="13.5" thickBot="1" x14ac:dyDescent="0.25">
      <c r="C700" s="206" t="str">
        <f>IF(EnCMember=1,"Total EnC Contracting Parties","Total EU MS")</f>
        <v>Total EU MS</v>
      </c>
      <c r="D700" s="208">
        <v>58</v>
      </c>
      <c r="E700" s="811">
        <f>ROUND(IF('Table 1'!$G$3&gt;1,IF(EnCMember=1,E642+E648+E681+E661+E671+E677+E678+E687+E694+E645+E647+E649+E654+E655+E656+E657+E658+E659+E660+E662+E663+E664+E666+E668+E672+E673+E674+E675+E679+E683+E684+E685+E688+E689+E690+E691+E695,E645+E647+E649+E654+E655+E656+E657+E658+E659+E660+E662+E663+E664+E666+E668+E672+E673+E674+E675+E679+E683+E684+E685+E688+E689+E690+E691+E695),IF(EnCMember=1,E642+E648+E681+E661+E671+E677+E678+E687+E694+E645+E647+E649+E654+E655+E656+E657+E658+E659+E660+E662+E663+E664+E666+E668+E672+E673+E674+E675+E679+E683+E684+E685+E688+E689+E690+E691,E645+E647+E649+E654+E655+E656+E657+E658+E659+E660+E662+E663+E664+E666+E668+E672+E673+E674+E675+E679+E683+E684+E685+E688+E689+E690+E691)),3)</f>
        <v>0</v>
      </c>
      <c r="F700" s="811">
        <f>ROUND(IF('Table 1'!$G$3&gt;1,IF(EnCMember=1,F642+F648+F681+F661+F671+F677+F678+F687+F694+F645+F647+F649+F654+F655+F656+F657+F658+F659+F660+F662+F663+F664+F666+F668+F672+F673+F674+F675+F679+F683+F684+F685+F688+F689+F690+F691+F695,F645+F647+F649+F654+F655+F656+F657+F658+F659+F660+F662+F663+F664+F666+F668+F672+F673+F674+F675+F679+F683+F684+F685+F688+F689+F690+F691+F695),IF(EnCMember=1,F642+F648+F681+F661+F671+F677+F678+F687+F694+F645+F647+F649+F654+F655+F656+F657+F658+F659+F660+F662+F663+F664+F666+F668+F672+F673+F674+F675+F679+F683+F684+F685+F688+F689+F690+F691,F645+F647+F649+F654+F655+F656+F657+F658+F659+F660+F662+F663+F664+F666+F668+F672+F673+F674+F675+F679+F683+F684+F685+F688+F689+F690+F691)),3)</f>
        <v>0</v>
      </c>
      <c r="G700" s="811">
        <f>ROUND(IF('Table 1'!$G$3&gt;1,IF(EnCMember=1,G642+G648+G681+G661+G671+G677+G678+G687+G694+G645+G647+G649+G654+G655+G656+G657+G658+G659+G660+G662+G663+G664+G666+G668+G672+G673+G674+G675+G679+G683+G684+G685+G688+G689+G690+G691+G695,G645+G647+G649+G654+G655+G656+G657+G658+G659+G660+G662+G663+G664+G666+G668+G672+G673+G674+G675+G679+G683+G684+G685+G688+G689+G690+G691+G695),IF(EnCMember=1,G642+G648+G681+G661+G671+G677+G678+G687+G694+G645+G647+G649+G654+G655+G656+G657+G658+G659+G660+G662+G663+G664+G666+G668+G672+G673+G674+G675+G679+G683+G684+G685+G688+G689+G690+G691,G645+G647+G649+G654+G655+G656+G657+G658+G659+G660+G662+G663+G664+G666+G668+G672+G673+G674+G675+G679+G683+G684+G685+G688+G689+G690+G691)),3)</f>
        <v>0</v>
      </c>
      <c r="H700" s="811">
        <f>ROUND(IF('Table 1'!$G$3&gt;1,IF(EnCMember=1,H642+H648+H681+H661+H671+H677+H678+H687+H694+H645+H647+H649+H654+H655+H656+H657+H658+H659+H660+H662+H663+H664+H666+H668+H672+H673+H674+H675+H679+H683+H684+H685+H688+H689+H690+H691+H695,H645+H647+H649+H654+H655+H656+H657+H658+H659+H660+H662+H663+H664+H666+H668+H672+H673+H674+H675+H679+H683+H684+H685+H688+H689+H690+H691+H695),IF(EnCMember=1,H642+H648+H681+H661+H671+H677+H678+H687+H694+H645+H647+H649+H654+H655+H656+H657+H658+H659+H660+H662+H663+H664+H666+H668+H672+H673+H674+H675+H679+H683+H684+H685+H688+H689+H690+H691,H645+H647+H649+H654+H655+H656+H657+H658+H659+H660+H662+H663+H664+H666+H668+H672+H673+H674+H675+H679+H683+H684+H685+H688+H689+H690+H691)),3)</f>
        <v>0</v>
      </c>
      <c r="I700" s="811">
        <f>ROUND(IF('Table 1'!$G$3&gt;1,IF(EnCMember=1,I642+I648+I681+I661+I671+I677+I678+I687+I694+I645+I647+I649+I654+I655+I656+I657+I658+I659+I660+I662+I663+I664+I666+I668+I672+I673+I674+I675+I679+I683+I684+I685+I688+I689+I690+I691+I695,I645+I647+I649+I654+I655+I656+I657+I658+I659+I660+I662+I663+I664+I666+I668+I672+I673+I674+I675+I679+I683+I684+I685+I688+I689+I690+I691+I695),IF(EnCMember=1,I642+I648+I681+I661+I671+I677+I678+I687+I694+I645+I647+I649+I654+I655+I656+I657+I658+I659+I660+I662+I663+I664+I666+I668+I672+I673+I674+I675+I679+I683+I684+I685+I688+I689+I690+I691,I645+I647+I649+I654+I655+I656+I657+I658+I659+I660+I662+I663+I664+I666+I668+I672+I673+I674+I675+I679+I683+I684+I685+I688+I689+I690+I691)),3)</f>
        <v>0</v>
      </c>
      <c r="J700" s="811">
        <f>ROUND(IF('Table 1'!$G$3&gt;1,IF(EnCMember=1,J642+J648+J681+J661+J671+J677+J678+J687+J694+J645+J647+J649+J654+J655+J656+J657+J658+J659+J660+J662+J663+J664+J666+J668+J672+J673+J674+J675+J679+J683+J684+J685+J688+J689+J690+J691+J695,J645+J647+J649+J654+J655+J656+J657+J658+J659+J660+J662+J663+J664+J666+J668+J672+J673+J674+J675+J679+J683+J684+J685+J688+J689+J690+J691+J695),IF(EnCMember=1,J642+J648+J681+J661+J671+J677+J678+J687+J694+J645+J647+J649+J654+J655+J656+J657+J658+J659+J660+J662+J663+J664+J666+J668+J672+J673+J674+J675+J679+J683+J684+J685+J688+J689+J690+J691,J645+J647+J649+J654+J655+J656+J657+J658+J659+J660+J662+J663+J664+J666+J668+J672+J673+J674+J675+J679+J683+J684+J685+J688+J689+J690+J691)),3)</f>
        <v>0</v>
      </c>
      <c r="K700" s="812">
        <f>ROUND(IF('Table 1'!$G$3&gt;1,IF(EnCMember=1,K642+K648+K681+K661+K671+K677+K678+K687+K694+K645+K647+K649+K654+K655+K656+K657+K658+K659+K660+K662+K663+K664+K666+K668+K672+K673+K674+K675+K679+K683+K684+K685+K688+K689+K690+K691+K695,K645+K647+K649+K654+K655+K656+K657+K658+K659+K660+K662+K663+K664+K666+K668+K672+K673+K674+K675+K679+K683+K684+K685+K688+K689+K690+K691+K695),IF(EnCMember=1,K642+K648+K681+K661+K671+K677+K678+K687+K694+K645+K647+K649+K654+K655+K656+K657+K658+K659+K660+K662+K663+K664+K666+K668+K672+K673+K674+K675+K679+K683+K684+K685+K688+K689+K690+K691,K645+K647+K649+K654+K655+K656+K657+K658+K659+K660+K662+K663+K664+K666+K668+K672+K673+K674+K675+K679+K683+K684+K685+K688+K689+K690+K691)),3)</f>
        <v>0</v>
      </c>
      <c r="L700" s="813">
        <f>ROUND(IF('Table 1'!$G$3&gt;1,IF(EnCMember=1,L642+L648+L681+L661+L671+L677+L678+L687+L694+L645+L647+L649+L654+L655+L656+L657+L658+L659+L660+L662+L663+L664+L666+L668+L672+L673+L674+L675+L679+L683+L684+L685+L688+L689+L690+L691+L695,L645+L647+L649+L654+L655+L656+L657+L658+L659+L660+L662+L663+L664+L666+L668+L672+L673+L674+L675+L679+L683+L684+L685+L688+L689+L690+L691+L695),IF(EnCMember=1,L642+L648+L681+L661+L671+L677+L678+L687+L694+L645+L647+L649+L654+L655+L656+L657+L658+L659+L660+L662+L663+L664+L666+L668+L672+L673+L674+L675+L679+L683+L684+L685+L688+L689+L690+L691,L645+L647+L649+L654+L655+L656+L657+L658+L659+L660+L662+L663+L664+L666+L668+L672+L673+L674+L675+L679+L683+L684+L685+L688+L689+L690+L691)),3)</f>
        <v>0</v>
      </c>
      <c r="M700" s="811">
        <f>ROUND(IF('Table 1'!$G$3&gt;1,IF(EnCMember=1,M642+M648+M681+M661+M671+M677+M678+M687+M694+M645+M647+M649+M654+M655+M656+M657+M658+M659+M660+M662+M663+M664+M666+M668+M672+M673+M674+M675+M679+M683+M684+M685+M688+M689+M690+M691+M695,M645+M647+M649+M654+M655+M656+M657+M658+M659+M660+M662+M663+M664+M666+M668+M672+M673+M674+M675+M679+M683+M684+M685+M688+M689+M690+M691+M695),IF(EnCMember=1,M642+M648+M681+M661+M671+M677+M678+M687+M694+M645+M647+M649+M654+M655+M656+M657+M658+M659+M660+M662+M663+M664+M666+M668+M672+M673+M674+M675+M679+M683+M684+M685+M688+M689+M690+M691,M645+M647+M649+M654+M655+M656+M657+M658+M659+M660+M662+M663+M664+M666+M668+M672+M673+M674+M675+M679+M683+M684+M685+M688+M689+M690+M691)),3)</f>
        <v>0</v>
      </c>
      <c r="N700" s="812">
        <f>ROUND(IF('Table 1'!$G$3&gt;1,IF(EnCMember=1,N642+N648+N681+N661+N671+N677+N678+N687+N694+N645+N647+N649+N654+N655+N656+N657+N658+N659+N660+N662+N663+N664+N666+N668+N672+N673+N674+N675+N679+N683+N684+N685+N688+N689+N690+N691+N695,N645+N647+N649+N654+N655+N656+N657+N658+N659+N660+N662+N663+N664+N666+N668+N672+N673+N674+N675+N679+N683+N684+N685+N688+N689+N690+N691+N695),IF(EnCMember=1,N642+N648+N681+N661+N671+N677+N678+N687+N694+N645+N647+N649+N654+N655+N656+N657+N658+N659+N660+N662+N663+N664+N666+N668+N672+N673+N674+N675+N679+N683+N684+N685+N688+N689+N690+N691,N645+N647+N649+N654+N655+N656+N657+N658+N659+N660+N662+N663+N664+N666+N668+N672+N673+N674+N675+N679+N683+N684+N685+N688+N689+N690+N691)),3)</f>
        <v>0</v>
      </c>
      <c r="O700" s="813">
        <f>ROUND(IF('Table 1'!$G$3&gt;1,IF(EnCMember=1,O642+O648+O681+O661+O671+O677+O678+O687+O694+O645+O647+O649+O654+O655+O656+O657+O658+O659+O660+O662+O663+O664+O666+O668+O672+O673+O674+O675+O679+O683+O684+O685+O688+O689+O690+O691+O695,O645+O647+O649+O654+O655+O656+O657+O658+O659+O660+O662+O663+O664+O666+O668+O672+O673+O674+O675+O679+O683+O684+O685+O688+O689+O690+O691+O695),IF(EnCMember=1,O642+O648+O681+O661+O671+O677+O678+O687+O694+O645+O647+O649+O654+O655+O656+O657+O658+O659+O660+O662+O663+O664+O666+O668+O672+O673+O674+O675+O679+O683+O684+O685+O688+O689+O690+O691,O645+O647+O649+O654+O655+O656+O657+O658+O659+O660+O662+O663+O664+O666+O668+O672+O673+O674+O675+O679+O683+O684+O685+O688+O689+O690+O691)),3)</f>
        <v>0</v>
      </c>
      <c r="P700" s="811">
        <f>ROUND(IF('Table 1'!$G$3&gt;1,IF(EnCMember=1,P642+P648+P681+P661+P671+P677+P678+P687+P694+P645+P647+P649+P654+P655+P656+P657+P658+P659+P660+P662+P663+P664+P666+P668+P672+P673+P674+P675+P679+P683+P684+P685+P688+P689+P690+P691+P695,P645+P647+P649+P654+P655+P656+P657+P658+P659+P660+P662+P663+P664+P666+P668+P672+P673+P674+P675+P679+P683+P684+P685+P688+P689+P690+P691+P695),IF(EnCMember=1,P642+P648+P681+P661+P671+P677+P678+P687+P694+P645+P647+P649+P654+P655+P656+P657+P658+P659+P660+P662+P663+P664+P666+P668+P672+P673+P674+P675+P679+P683+P684+P685+P688+P689+P690+P691,P645+P647+P649+P654+P655+P656+P657+P658+P659+P660+P662+P663+P664+P666+P668+P672+P673+P674+P675+P679+P683+P684+P685+P688+P689+P690+P691)),3)</f>
        <v>0</v>
      </c>
      <c r="Q700" s="812">
        <f>ROUND(IF('Table 1'!$G$3&gt;1,IF(EnCMember=1,Q642+Q648+Q681+Q661+Q671+Q677+Q678+Q687+Q694+Q645+Q647+Q649+Q654+Q655+Q656+Q657+Q658+Q659+Q660+Q662+Q663+Q664+Q666+Q668+Q672+Q673+Q674+Q675+Q679+Q683+Q684+Q685+Q688+Q689+Q690+Q691+Q695,Q645+Q647+Q649+Q654+Q655+Q656+Q657+Q658+Q659+Q660+Q662+Q663+Q664+Q666+Q668+Q672+Q673+Q674+Q675+Q679+Q683+Q684+Q685+Q688+Q689+Q690+Q691+Q695),IF(EnCMember=1,Q642+Q648+Q681+Q661+Q671+Q677+Q678+Q687+Q694+Q645+Q647+Q649+Q654+Q655+Q656+Q657+Q658+Q659+Q660+Q662+Q663+Q664+Q666+Q668+Q672+Q673+Q674+Q675+Q679+Q683+Q684+Q685+Q688+Q689+Q690+Q691,Q645+Q647+Q649+Q654+Q655+Q656+Q657+Q658+Q659+Q660+Q662+Q663+Q664+Q666+Q668+Q672+Q673+Q674+Q675+Q679+Q683+Q684+Q685+Q688+Q689+Q690+Q691)),3)</f>
        <v>0</v>
      </c>
      <c r="R700" s="813">
        <f>ROUND(IF('Table 1'!$G$3&gt;1,IF(EnCMember=1,R642+R648+R681+R661+R671+R677+R678+R687+R694+R645+R647+R649+R654+R655+R656+R657+R658+R659+R660+R662+R663+R664+R666+R668+R672+R673+R674+R675+R679+R683+R684+R685+R688+R689+R690+R691+R695,R645+R647+R649+R654+R655+R656+R657+R658+R659+R660+R662+R663+R664+R666+R668+R672+R673+R674+R675+R679+R683+R684+R685+R688+R689+R690+R691+R695),IF(EnCMember=1,R642+R648+R681+R661+R671+R677+R678+R687+R694+R645+R647+R649+R654+R655+R656+R657+R658+R659+R660+R662+R663+R664+R666+R668+R672+R673+R674+R675+R679+R683+R684+R685+R688+R689+R690+R691,R645+R647+R649+R654+R655+R656+R657+R658+R659+R660+R662+R663+R664+R666+R668+R672+R673+R674+R675+R679+R683+R684+R685+R688+R689+R690+R691)),3)</f>
        <v>0</v>
      </c>
      <c r="S700" s="811">
        <f>ROUND(IF('Table 1'!$G$3&gt;1,IF(EnCMember=1,S642+S648+S681+S661+S671+S677+S678+S687+S694+S645+S647+S649+S654+S655+S656+S657+S658+S659+S660+S662+S663+S664+S666+S668+S672+S673+S674+S675+S679+S683+S684+S685+S688+S689+S690+S691+S695,S645+S647+S649+S654+S655+S656+S657+S658+S659+S660+S662+S663+S664+S666+S668+S672+S673+S674+S675+S679+S683+S684+S685+S688+S689+S690+S691+S695),IF(EnCMember=1,S642+S648+S681+S661+S671+S677+S678+S687+S694+S645+S647+S649+S654+S655+S656+S657+S658+S659+S660+S662+S663+S664+S666+S668+S672+S673+S674+S675+S679+S683+S684+S685+S688+S689+S690+S691,S645+S647+S649+S654+S655+S656+S657+S658+S659+S660+S662+S663+S664+S666+S668+S672+S673+S674+S675+S679+S683+S684+S685+S688+S689+S690+S691)),3)</f>
        <v>0</v>
      </c>
      <c r="T700" s="811">
        <f>ROUND(IF('Table 1'!$G$3&gt;1,IF(EnCMember=1,T642+T648+T681+T661+T671+T677+T678+T687+T694+T645+T647+T649+T654+T655+T656+T657+T658+T659+T660+T662+T663+T664+T666+T668+T672+T673+T674+T675+T679+T683+T684+T685+T688+T689+T690+T691+T695,T645+T647+T649+T654+T655+T656+T657+T658+T659+T660+T662+T663+T664+T666+T668+T672+T673+T674+T675+T679+T683+T684+T685+T688+T689+T690+T691+T695),IF(EnCMember=1,T642+T648+T681+T661+T671+T677+T678+T687+T694+T645+T647+T649+T654+T655+T656+T657+T658+T659+T660+T662+T663+T664+T666+T668+T672+T673+T674+T675+T679+T683+T684+T685+T688+T689+T690+T691,T645+T647+T649+T654+T655+T656+T657+T658+T659+T660+T662+T663+T664+T666+T668+T672+T673+T674+T675+T679+T683+T684+T685+T688+T689+T690+T691)),3)</f>
        <v>0</v>
      </c>
      <c r="U700" s="811">
        <f>ROUND(IF('Table 1'!$G$3&gt;1,IF(EnCMember=1,U642+U648+U681+U661+U671+U677+U678+U687+U694+U645+U647+U649+U654+U655+U656+U657+U658+U659+U660+U662+U663+U664+U666+U668+U672+U673+U674+U675+U679+U683+U684+U685+U688+U689+U690+U691+U695,U645+U647+U649+U654+U655+U656+U657+U658+U659+U660+U662+U663+U664+U666+U668+U672+U673+U674+U675+U679+U683+U684+U685+U688+U689+U690+U691+U695),IF(EnCMember=1,U642+U648+U681+U661+U671+U677+U678+U687+U694+U645+U647+U649+U654+U655+U656+U657+U658+U659+U660+U662+U663+U664+U666+U668+U672+U673+U674+U675+U679+U683+U684+U685+U688+U689+U690+U691,U645+U647+U649+U654+U655+U656+U657+U658+U659+U660+U662+U663+U664+U666+U668+U672+U673+U674+U675+U679+U683+U684+U685+U688+U689+U690+U691)),3)</f>
        <v>0</v>
      </c>
      <c r="V700" s="811">
        <f>ROUND(IF('Table 1'!$G$3&gt;1,IF(EnCMember=1,V642+V648+V681+V661+V671+V677+V678+V687+V694+V645+V647+V649+V654+V655+V656+V657+V658+V659+V660+V662+V663+V664+V666+V668+V672+V673+V674+V675+V679+V683+V684+V685+V688+V689+V690+V691+V695,V645+V647+V649+V654+V655+V656+V657+V658+V659+V660+V662+V663+V664+V666+V668+V672+V673+V674+V675+V679+V683+V684+V685+V688+V689+V690+V691+V695),IF(EnCMember=1,V642+V648+V681+V661+V671+V677+V678+V687+V694+V645+V647+V649+V654+V655+V656+V657+V658+V659+V660+V662+V663+V664+V666+V668+V672+V673+V674+V675+V679+V683+V684+V685+V688+V689+V690+V691,V645+V647+V649+V654+V655+V656+V657+V658+V659+V660+V662+V663+V664+V666+V668+V672+V673+V674+V675+V679+V683+V684+V685+V688+V689+V690+V691)),3)</f>
        <v>0</v>
      </c>
      <c r="W700" s="812">
        <f>ROUND(IF('Table 1'!$G$3&gt;1,IF(EnCMember=1,W642+W648+W681+W661+W671+W677+W678+W687+W694+W645+W647+W649+W654+W655+W656+W657+W658+W659+W660+W662+W663+W664+W666+W668+W672+W673+W674+W675+W679+W683+W684+W685+W688+W689+W690+W691+W695,W645+W647+W649+W654+W655+W656+W657+W658+W659+W660+W662+W663+W664+W666+W668+W672+W673+W674+W675+W679+W683+W684+W685+W688+W689+W690+W691+W695),IF(EnCMember=1,W642+W648+W681+W661+W671+W677+W678+W687+W694+W645+W647+W649+W654+W655+W656+W657+W658+W659+W660+W662+W663+W664+W666+W668+W672+W673+W674+W675+W679+W683+W684+W685+W688+W689+W690+W691,W645+W647+W649+W654+W655+W656+W657+W658+W659+W660+W662+W663+W664+W666+W668+W672+W673+W674+W675+W679+W683+W684+W685+W688+W689+W690+W691)),3)</f>
        <v>0</v>
      </c>
      <c r="X700" s="813">
        <f>ROUND(IF('Table 1'!$G$3&gt;1,IF(EnCMember=1,X642+X648+X681+X661+X671+X677+X678+X687+X694+X645+X647+X649+X654+X655+X656+X657+X658+X659+X660+X662+X663+X664+X666+X668+X672+X673+X674+X675+X679+X683+X684+X685+X688+X689+X690+X691+X695,X645+X647+X649+X654+X655+X656+X657+X658+X659+X660+X662+X663+X664+X666+X668+X672+X673+X674+X675+X679+X683+X684+X685+X688+X689+X690+X691+X695),IF(EnCMember=1,X642+X648+X681+X661+X671+X677+X678+X687+X694+X645+X647+X649+X654+X655+X656+X657+X658+X659+X660+X662+X663+X664+X666+X668+X672+X673+X674+X675+X679+X683+X684+X685+X688+X689+X690+X691,X645+X647+X649+X654+X655+X656+X657+X658+X659+X660+X662+X663+X664+X666+X668+X672+X673+X674+X675+X679+X683+X684+X685+X688+X689+X690+X691)),3)</f>
        <v>0</v>
      </c>
      <c r="Y700" s="811">
        <f>ROUND(IF('Table 1'!$G$3&gt;1,IF(EnCMember=1,Y642+Y648+Y681+Y661+Y671+Y677+Y678+Y687+Y694+Y645+Y647+Y649+Y654+Y655+Y656+Y657+Y658+Y659+Y660+Y662+Y663+Y664+Y666+Y668+Y672+Y673+Y674+Y675+Y679+Y683+Y684+Y685+Y688+Y689+Y690+Y691+Y695,Y645+Y647+Y649+Y654+Y655+Y656+Y657+Y658+Y659+Y660+Y662+Y663+Y664+Y666+Y668+Y672+Y673+Y674+Y675+Y679+Y683+Y684+Y685+Y688+Y689+Y690+Y691+Y695),IF(EnCMember=1,Y642+Y648+Y681+Y661+Y671+Y677+Y678+Y687+Y694+Y645+Y647+Y649+Y654+Y655+Y656+Y657+Y658+Y659+Y660+Y662+Y663+Y664+Y666+Y668+Y672+Y673+Y674+Y675+Y679+Y683+Y684+Y685+Y688+Y689+Y690+Y691,Y645+Y647+Y649+Y654+Y655+Y656+Y657+Y658+Y659+Y660+Y662+Y663+Y664+Y666+Y668+Y672+Y673+Y674+Y675+Y679+Y683+Y684+Y685+Y688+Y689+Y690+Y691)),3)</f>
        <v>0</v>
      </c>
      <c r="Z700" s="811">
        <f>ROUND(IF('Table 1'!$G$3&gt;1,IF(EnCMember=1,Z642+Z648+Z681+Z661+Z671+Z677+Z678+Z687+Z694+Z645+Z647+Z649+Z654+Z655+Z656+Z657+Z658+Z659+Z660+Z662+Z663+Z664+Z666+Z668+Z672+Z673+Z674+Z675+Z679+Z683+Z684+Z685+Z688+Z689+Z690+Z691+Z695,Z645+Z647+Z649+Z654+Z655+Z656+Z657+Z658+Z659+Z660+Z662+Z663+Z664+Z666+Z668+Z672+Z673+Z674+Z675+Z679+Z683+Z684+Z685+Z688+Z689+Z690+Z691+Z695),IF(EnCMember=1,Z642+Z648+Z681+Z661+Z671+Z677+Z678+Z687+Z694+Z645+Z647+Z649+Z654+Z655+Z656+Z657+Z658+Z659+Z660+Z662+Z663+Z664+Z666+Z668+Z672+Z673+Z674+Z675+Z679+Z683+Z684+Z685+Z688+Z689+Z690+Z691,Z645+Z647+Z649+Z654+Z655+Z656+Z657+Z658+Z659+Z660+Z662+Z663+Z664+Z666+Z668+Z672+Z673+Z674+Z675+Z679+Z683+Z684+Z685+Z688+Z689+Z690+Z691)),3)</f>
        <v>0</v>
      </c>
      <c r="AA700" s="811">
        <f>ROUND(IF('Table 1'!$G$3&gt;1,IF(EnCMember=1,AA642+AA648+AA681+AA661+AA671+AA677+AA678+AA687+AA694+AA645+AA647+AA649+AA654+AA655+AA656+AA657+AA658+AA659+AA660+AA662+AA663+AA664+AA666+AA668+AA672+AA673+AA674+AA675+AA679+AA683+AA684+AA685+AA688+AA689+AA690+AA691+AA695,AA645+AA647+AA649+AA654+AA655+AA656+AA657+AA658+AA659+AA660+AA662+AA663+AA664+AA666+AA668+AA672+AA673+AA674+AA675+AA679+AA683+AA684+AA685+AA688+AA689+AA690+AA691+AA695),IF(EnCMember=1,AA642+AA648+AA681+AA661+AA671+AA677+AA678+AA687+AA694+AA645+AA647+AA649+AA654+AA655+AA656+AA657+AA658+AA659+AA660+AA662+AA663+AA664+AA666+AA668+AA672+AA673+AA674+AA675+AA679+AA683+AA684+AA685+AA688+AA689+AA690+AA691,AA645+AA647+AA649+AA654+AA655+AA656+AA657+AA658+AA659+AA660+AA662+AA663+AA664+AA666+AA668+AA672+AA673+AA674+AA675+AA679+AA683+AA684+AA685+AA688+AA689+AA690+AA691)),3)</f>
        <v>0</v>
      </c>
      <c r="AB700" s="812">
        <f>ROUND(IF('Table 1'!$G$3&gt;1,IF(EnCMember=1,AB642+AB648+AB681+AB661+AB671+AB677+AB678+AB687+AB694+AB645+AB647+AB649+AB654+AB655+AB656+AB657+AB658+AB659+AB660+AB662+AB663+AB664+AB666+AB668+AB672+AB673+AB674+AB675+AB679+AB683+AB684+AB685+AB688+AB689+AB690+AB691+AB695,AB645+AB647+AB649+AB654+AB655+AB656+AB657+AB658+AB659+AB660+AB662+AB663+AB664+AB666+AB668+AB672+AB673+AB674+AB675+AB679+AB683+AB684+AB685+AB688+AB689+AB690+AB691+AB695),IF(EnCMember=1,AB642+AB648+AB681+AB661+AB671+AB677+AB678+AB687+AB694+AB645+AB647+AB649+AB654+AB655+AB656+AB657+AB658+AB659+AB660+AB662+AB663+AB664+AB666+AB668+AB672+AB673+AB674+AB675+AB679+AB683+AB684+AB685+AB688+AB689+AB690+AB691,AB645+AB647+AB649+AB654+AB655+AB656+AB657+AB658+AB659+AB660+AB662+AB663+AB664+AB666+AB668+AB672+AB673+AB674+AB675+AB679+AB683+AB684+AB685+AB688+AB689+AB690+AB691)),3)</f>
        <v>0</v>
      </c>
      <c r="AC700" s="813">
        <f>ROUND(IF('Table 1'!$G$3&gt;1,IF(EnCMember=1,AC642+AC648+AC681+AC661+AC671+AC677+AC678+AC687+AC694+AC645+AC647+AC649+AC654+AC655+AC656+AC657+AC658+AC659+AC660+AC662+AC663+AC664+AC666+AC668+AC672+AC673+AC674+AC675+AC679+AC683+AC684+AC685+AC688+AC689+AC690+AC691+AC695,AC645+AC647+AC649+AC654+AC655+AC656+AC657+AC658+AC659+AC660+AC662+AC663+AC664+AC666+AC668+AC672+AC673+AC674+AC675+AC679+AC683+AC684+AC685+AC688+AC689+AC690+AC691+AC695),IF(EnCMember=1,AC642+AC648+AC681+AC661+AC671+AC677+AC678+AC687+AC694+AC645+AC647+AC649+AC654+AC655+AC656+AC657+AC658+AC659+AC660+AC662+AC663+AC664+AC666+AC668+AC672+AC673+AC674+AC675+AC679+AC683+AC684+AC685+AC688+AC689+AC690+AC691,AC645+AC647+AC649+AC654+AC655+AC656+AC657+AC658+AC659+AC660+AC662+AC663+AC664+AC666+AC668+AC672+AC673+AC674+AC675+AC679+AC683+AC684+AC685+AC688+AC689+AC690+AC691)),3)</f>
        <v>0</v>
      </c>
      <c r="AD700" s="811">
        <f>ROUND(IF('Table 1'!$G$3&gt;1,IF(EnCMember=1,AD642+AD648+AD681+AD661+AD671+AD677+AD678+AD687+AD694+AD645+AD647+AD649+AD654+AD655+AD656+AD657+AD658+AD659+AD660+AD662+AD663+AD664+AD666+AD668+AD672+AD673+AD674+AD675+AD679+AD683+AD684+AD685+AD688+AD689+AD690+AD691+AD695,AD645+AD647+AD649+AD654+AD655+AD656+AD657+AD658+AD659+AD660+AD662+AD663+AD664+AD666+AD668+AD672+AD673+AD674+AD675+AD679+AD683+AD684+AD685+AD688+AD689+AD690+AD691+AD695),IF(EnCMember=1,AD642+AD648+AD681+AD661+AD671+AD677+AD678+AD687+AD694+AD645+AD647+AD649+AD654+AD655+AD656+AD657+AD658+AD659+AD660+AD662+AD663+AD664+AD666+AD668+AD672+AD673+AD674+AD675+AD679+AD683+AD684+AD685+AD688+AD689+AD690+AD691,AD645+AD647+AD649+AD654+AD655+AD656+AD657+AD658+AD659+AD660+AD662+AD663+AD664+AD666+AD668+AD672+AD673+AD674+AD675+AD679+AD683+AD684+AD685+AD688+AD689+AD690+AD691)),3)</f>
        <v>0</v>
      </c>
      <c r="AE700" s="811">
        <f>ROUND(IF('Table 1'!$G$3&gt;1,IF(EnCMember=1,AE642+AE648+AE681+AE661+AE671+AE677+AE678+AE687+AE694+AE645+AE647+AE649+AE654+AE655+AE656+AE657+AE658+AE659+AE660+AE662+AE663+AE664+AE666+AE668+AE672+AE673+AE674+AE675+AE679+AE683+AE684+AE685+AE688+AE689+AE690+AE691+AE695,AE645+AE647+AE649+AE654+AE655+AE656+AE657+AE658+AE659+AE660+AE662+AE663+AE664+AE666+AE668+AE672+AE673+AE674+AE675+AE679+AE683+AE684+AE685+AE688+AE689+AE690+AE691+AE695),IF(EnCMember=1,AE642+AE648+AE681+AE661+AE671+AE677+AE678+AE687+AE694+AE645+AE647+AE649+AE654+AE655+AE656+AE657+AE658+AE659+AE660+AE662+AE663+AE664+AE666+AE668+AE672+AE673+AE674+AE675+AE679+AE683+AE684+AE685+AE688+AE689+AE690+AE691,AE645+AE647+AE649+AE654+AE655+AE656+AE657+AE658+AE659+AE660+AE662+AE663+AE664+AE666+AE668+AE672+AE673+AE674+AE675+AE679+AE683+AE684+AE685+AE688+AE689+AE690+AE691)),3)</f>
        <v>0</v>
      </c>
      <c r="AF700" s="812">
        <f>ROUND(IF('Table 1'!$G$3&gt;1,IF(EnCMember=1,AF642+AF648+AF681+AF661+AF671+AF677+AF678+AF687+AF694+AF645+AF647+AF649+AF654+AF655+AF656+AF657+AF658+AF659+AF660+AF662+AF663+AF664+AF666+AF668+AF672+AF673+AF674+AF675+AF679+AF683+AF684+AF685+AF688+AF689+AF690+AF691+AF695,AF645+AF647+AF649+AF654+AF655+AF656+AF657+AF658+AF659+AF660+AF662+AF663+AF664+AF666+AF668+AF672+AF673+AF674+AF675+AF679+AF683+AF684+AF685+AF688+AF689+AF690+AF691+AF695),IF(EnCMember=1,AF642+AF648+AF681+AF661+AF671+AF677+AF678+AF687+AF694+AF645+AF647+AF649+AF654+AF655+AF656+AF657+AF658+AF659+AF660+AF662+AF663+AF664+AF666+AF668+AF672+AF673+AF674+AF675+AF679+AF683+AF684+AF685+AF688+AF689+AF690+AF691,AF645+AF647+AF649+AF654+AF655+AF656+AF657+AF658+AF659+AF660+AF662+AF663+AF664+AF666+AF668+AF672+AF673+AF674+AF675+AF679+AF683+AF684+AF685+AF688+AF689+AF690+AF691)),3)</f>
        <v>0</v>
      </c>
      <c r="AG700" s="813">
        <f>ROUND(IF('Table 1'!$G$3&gt;1,IF(EnCMember=1,AG642+AG648+AG681+AG661+AG671+AG677+AG678+AG687+AG694+AG645+AG647+AG649+AG654+AG655+AG656+AG657+AG658+AG659+AG660+AG662+AG663+AG664+AG666+AG668+AG672+AG673+AG674+AG675+AG679+AG683+AG684+AG685+AG688+AG689+AG690+AG691+AG695,AG645+AG647+AG649+AG654+AG655+AG656+AG657+AG658+AG659+AG660+AG662+AG663+AG664+AG666+AG668+AG672+AG673+AG674+AG675+AG679+AG683+AG684+AG685+AG688+AG689+AG690+AG691+AG695),IF(EnCMember=1,AG642+AG648+AG681+AG661+AG671+AG677+AG678+AG687+AG694+AG645+AG647+AG649+AG654+AG655+AG656+AG657+AG658+AG659+AG660+AG662+AG663+AG664+AG666+AG668+AG672+AG673+AG674+AG675+AG679+AG683+AG684+AG685+AG688+AG689+AG690+AG691,AG645+AG647+AG649+AG654+AG655+AG656+AG657+AG658+AG659+AG660+AG662+AG663+AG664+AG666+AG668+AG672+AG673+AG674+AG675+AG679+AG683+AG684+AG685+AG688+AG689+AG690+AG691)),3)</f>
        <v>0</v>
      </c>
      <c r="AH700" s="811">
        <f>ROUND(IF('Table 1'!$G$3&gt;1,IF(EnCMember=1,AH642+AH648+AH681+AH661+AH671+AH677+AH678+AH687+AH694+AH645+AH647+AH649+AH654+AH655+AH656+AH657+AH658+AH659+AH660+AH662+AH663+AH664+AH666+AH668+AH672+AH673+AH674+AH675+AH679+AH683+AH684+AH685+AH688+AH689+AH690+AH691+AH695,AH645+AH647+AH649+AH654+AH655+AH656+AH657+AH658+AH659+AH660+AH662+AH663+AH664+AH666+AH668+AH672+AH673+AH674+AH675+AH679+AH683+AH684+AH685+AH688+AH689+AH690+AH691+AH695),IF(EnCMember=1,AH642+AH648+AH681+AH661+AH671+AH677+AH678+AH687+AH694+AH645+AH647+AH649+AH654+AH655+AH656+AH657+AH658+AH659+AH660+AH662+AH663+AH664+AH666+AH668+AH672+AH673+AH674+AH675+AH679+AH683+AH684+AH685+AH688+AH689+AH690+AH691,AH645+AH647+AH649+AH654+AH655+AH656+AH657+AH658+AH659+AH660+AH662+AH663+AH664+AH666+AH668+AH672+AH673+AH674+AH675+AH679+AH683+AH684+AH685+AH688+AH689+AH690+AH691)),3)</f>
        <v>0</v>
      </c>
      <c r="AI700" s="811">
        <f>ROUND(IF('Table 1'!$G$3&gt;1,IF(EnCMember=1,AI642+AI648+AI681+AI661+AI671+AI677+AI678+AI687+AI694+AI645+AI647+AI649+AI654+AI655+AI656+AI657+AI658+AI659+AI660+AI662+AI663+AI664+AI666+AI668+AI672+AI673+AI674+AI675+AI679+AI683+AI684+AI685+AI688+AI689+AI690+AI691+AI695,AI645+AI647+AI649+AI654+AI655+AI656+AI657+AI658+AI659+AI660+AI662+AI663+AI664+AI666+AI668+AI672+AI673+AI674+AI675+AI679+AI683+AI684+AI685+AI688+AI689+AI690+AI691+AI695),IF(EnCMember=1,AI642+AI648+AI681+AI661+AI671+AI677+AI678+AI687+AI694+AI645+AI647+AI649+AI654+AI655+AI656+AI657+AI658+AI659+AI660+AI662+AI663+AI664+AI666+AI668+AI672+AI673+AI674+AI675+AI679+AI683+AI684+AI685+AI688+AI689+AI690+AI691,AI645+AI647+AI649+AI654+AI655+AI656+AI657+AI658+AI659+AI660+AI662+AI663+AI664+AI666+AI668+AI672+AI673+AI674+AI675+AI679+AI683+AI684+AI685+AI688+AI689+AI690+AI691)),3)</f>
        <v>0</v>
      </c>
      <c r="AJ700" s="816">
        <f>ROUND(IF('Table 1'!$G$3&gt;1,IF(EnCMember=1,AJ642+AJ648+AJ681+AJ661+AJ671+AJ677+AJ678+AJ687+AJ694+AJ645+AJ647+AJ649+AJ654+AJ655+AJ656+AJ657+AJ658+AJ659+AJ660+AJ662+AJ663+AJ664+AJ666+AJ668+AJ672+AJ673+AJ674+AJ675+AJ679+AJ683+AJ684+AJ685+AJ688+AJ689+AJ690+AJ691+AJ695,AJ645+AJ647+AJ649+AJ654+AJ655+AJ656+AJ657+AJ658+AJ659+AJ660+AJ662+AJ663+AJ664+AJ666+AJ668+AJ672+AJ673+AJ674+AJ675+AJ679+AJ683+AJ684+AJ685+AJ688+AJ689+AJ690+AJ691+AJ695),IF(EnCMember=1,AJ642+AJ648+AJ681+AJ661+AJ671+AJ677+AJ678+AJ687+AJ694+AJ645+AJ647+AJ649+AJ654+AJ655+AJ656+AJ657+AJ658+AJ659+AJ660+AJ662+AJ663+AJ664+AJ666+AJ668+AJ672+AJ673+AJ674+AJ675+AJ679+AJ683+AJ684+AJ685+AJ688+AJ689+AJ690+AJ691,AJ645+AJ647+AJ649+AJ654+AJ655+AJ656+AJ657+AJ658+AJ659+AJ660+AJ662+AJ663+AJ664+AJ666+AJ668+AJ672+AJ673+AJ674+AJ675+AJ679+AJ683+AJ684+AJ685+AJ688+AJ689+AJ690+AJ691)),3)</f>
        <v>0</v>
      </c>
    </row>
    <row r="704" spans="3:36" x14ac:dyDescent="0.2">
      <c r="C704" s="5" t="s">
        <v>684</v>
      </c>
      <c r="D704" s="24"/>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2"/>
      <c r="AJ704" s="25" t="s">
        <v>108</v>
      </c>
    </row>
    <row r="705" spans="3:36" ht="12.75" customHeight="1" x14ac:dyDescent="0.2">
      <c r="C705" s="242"/>
      <c r="D705" s="203"/>
      <c r="E705" s="1106" t="s">
        <v>656</v>
      </c>
      <c r="F705" s="1106" t="s">
        <v>657</v>
      </c>
      <c r="G705" s="1106" t="s">
        <v>647</v>
      </c>
      <c r="H705" s="1158" t="s">
        <v>666</v>
      </c>
      <c r="I705" s="281"/>
      <c r="J705" s="1150" t="s">
        <v>885</v>
      </c>
      <c r="K705" s="1110" t="s">
        <v>645</v>
      </c>
      <c r="L705" s="1122" t="s">
        <v>8</v>
      </c>
      <c r="M705" s="1124" t="s">
        <v>9</v>
      </c>
      <c r="N705" s="1126" t="s">
        <v>10</v>
      </c>
      <c r="O705" s="1114" t="s">
        <v>659</v>
      </c>
      <c r="P705" s="329"/>
      <c r="Q705" s="190"/>
      <c r="R705" s="1122" t="s">
        <v>660</v>
      </c>
      <c r="S705" s="1124" t="s">
        <v>661</v>
      </c>
      <c r="T705" s="1116" t="s">
        <v>668</v>
      </c>
      <c r="U705" s="191"/>
      <c r="V705" s="192"/>
      <c r="W705" s="1126" t="s">
        <v>664</v>
      </c>
      <c r="X705" s="193"/>
      <c r="Y705" s="190"/>
      <c r="Z705" s="1118" t="s">
        <v>670</v>
      </c>
      <c r="AA705" s="190"/>
      <c r="AB705" s="190"/>
      <c r="AC705" s="1114" t="s">
        <v>628</v>
      </c>
      <c r="AD705" s="190"/>
      <c r="AE705" s="190"/>
      <c r="AF705" s="190"/>
      <c r="AG705" s="1122" t="s">
        <v>629</v>
      </c>
      <c r="AH705" s="1150" t="s">
        <v>630</v>
      </c>
      <c r="AI705" s="1120" t="s">
        <v>631</v>
      </c>
      <c r="AJ705" s="1120" t="s">
        <v>679</v>
      </c>
    </row>
    <row r="706" spans="3:36" ht="56.25" x14ac:dyDescent="0.2">
      <c r="C706" s="201"/>
      <c r="D706" s="202"/>
      <c r="E706" s="1107"/>
      <c r="F706" s="1107"/>
      <c r="G706" s="1107"/>
      <c r="H706" s="1159"/>
      <c r="I706" s="99" t="s">
        <v>667</v>
      </c>
      <c r="J706" s="1138"/>
      <c r="K706" s="1111"/>
      <c r="L706" s="1123"/>
      <c r="M706" s="1125"/>
      <c r="N706" s="1127"/>
      <c r="O706" s="1115"/>
      <c r="P706" s="184" t="s">
        <v>623</v>
      </c>
      <c r="Q706" s="185" t="s">
        <v>626</v>
      </c>
      <c r="R706" s="1123"/>
      <c r="S706" s="1125"/>
      <c r="T706" s="1117"/>
      <c r="U706" s="186" t="s">
        <v>662</v>
      </c>
      <c r="V706" s="187" t="s">
        <v>663</v>
      </c>
      <c r="W706" s="1127"/>
      <c r="X706" s="188" t="s">
        <v>627</v>
      </c>
      <c r="Y706" s="189" t="s">
        <v>669</v>
      </c>
      <c r="Z706" s="1119"/>
      <c r="AA706" s="184" t="s">
        <v>624</v>
      </c>
      <c r="AB706" s="186" t="s">
        <v>671</v>
      </c>
      <c r="AC706" s="1115"/>
      <c r="AD706" s="187" t="s">
        <v>674</v>
      </c>
      <c r="AE706" s="186" t="s">
        <v>1411</v>
      </c>
      <c r="AF706" s="196" t="s">
        <v>872</v>
      </c>
      <c r="AG706" s="1123"/>
      <c r="AH706" s="1138"/>
      <c r="AI706" s="1121"/>
      <c r="AJ706" s="1121"/>
    </row>
    <row r="707" spans="3:36" x14ac:dyDescent="0.2">
      <c r="C707" s="97"/>
      <c r="D707" s="98"/>
      <c r="E707" s="87" t="s">
        <v>152</v>
      </c>
      <c r="F707" s="86" t="s">
        <v>153</v>
      </c>
      <c r="G707" s="86" t="s">
        <v>154</v>
      </c>
      <c r="H707" s="180" t="s">
        <v>155</v>
      </c>
      <c r="I707" s="198" t="s">
        <v>156</v>
      </c>
      <c r="J707" s="198" t="s">
        <v>157</v>
      </c>
      <c r="K707" s="199" t="s">
        <v>158</v>
      </c>
      <c r="L707" s="87" t="s">
        <v>159</v>
      </c>
      <c r="M707" s="87" t="s">
        <v>160</v>
      </c>
      <c r="N707" s="96" t="s">
        <v>161</v>
      </c>
      <c r="O707" s="179" t="s">
        <v>162</v>
      </c>
      <c r="P707" s="198" t="s">
        <v>163</v>
      </c>
      <c r="Q707" s="89" t="s">
        <v>164</v>
      </c>
      <c r="R707" s="95" t="s">
        <v>165</v>
      </c>
      <c r="S707" s="177" t="s">
        <v>166</v>
      </c>
      <c r="T707" s="180" t="s">
        <v>167</v>
      </c>
      <c r="U707" s="198" t="s">
        <v>168</v>
      </c>
      <c r="V707" s="86" t="s">
        <v>169</v>
      </c>
      <c r="W707" s="94" t="s">
        <v>170</v>
      </c>
      <c r="X707" s="87" t="s">
        <v>171</v>
      </c>
      <c r="Y707" s="101" t="s">
        <v>172</v>
      </c>
      <c r="Z707" s="176" t="s">
        <v>173</v>
      </c>
      <c r="AA707" s="200" t="s">
        <v>174</v>
      </c>
      <c r="AB707" s="89" t="s">
        <v>175</v>
      </c>
      <c r="AC707" s="179" t="s">
        <v>176</v>
      </c>
      <c r="AD707" s="200" t="s">
        <v>177</v>
      </c>
      <c r="AE707" s="200" t="s">
        <v>181</v>
      </c>
      <c r="AF707" s="89" t="s">
        <v>417</v>
      </c>
      <c r="AG707" s="178" t="s">
        <v>672</v>
      </c>
      <c r="AH707" s="89" t="s">
        <v>678</v>
      </c>
      <c r="AI707" s="90" t="s">
        <v>499</v>
      </c>
      <c r="AJ707" s="90" t="s">
        <v>680</v>
      </c>
    </row>
    <row r="708" spans="3:36" x14ac:dyDescent="0.2">
      <c r="C708" s="225" t="s">
        <v>930</v>
      </c>
      <c r="D708" s="426">
        <v>1</v>
      </c>
      <c r="E708" s="947"/>
      <c r="F708" s="947"/>
      <c r="G708" s="947"/>
      <c r="H708" s="981"/>
      <c r="I708" s="947"/>
      <c r="J708" s="947"/>
      <c r="K708" s="940">
        <f t="shared" ref="K708:K743" si="104">ROUND(SUM(E708:H708,J708),3)</f>
        <v>0</v>
      </c>
      <c r="L708" s="949"/>
      <c r="M708" s="949"/>
      <c r="N708" s="947"/>
      <c r="O708" s="927"/>
      <c r="P708" s="949"/>
      <c r="Q708" s="950"/>
      <c r="R708" s="949"/>
      <c r="S708" s="949"/>
      <c r="T708" s="907"/>
      <c r="U708" s="947"/>
      <c r="V708" s="947"/>
      <c r="W708" s="951"/>
      <c r="X708" s="949"/>
      <c r="Y708" s="948"/>
      <c r="Z708" s="909"/>
      <c r="AA708" s="947"/>
      <c r="AB708" s="950"/>
      <c r="AC708" s="927"/>
      <c r="AD708" s="952"/>
      <c r="AE708" s="1095"/>
      <c r="AF708" s="950"/>
      <c r="AG708" s="953"/>
      <c r="AH708" s="953"/>
      <c r="AI708" s="939">
        <f t="shared" ref="AI708:AI739" si="105">ROUND(SUM(L708:O708,R708:T708,W708,Z708,AC708,AG708:AH708),3)</f>
        <v>0</v>
      </c>
      <c r="AJ708" s="939">
        <f t="shared" ref="AJ708:AJ739" si="106">ROUND(SUM(K708,AI708),3)</f>
        <v>0</v>
      </c>
    </row>
    <row r="709" spans="3:36" x14ac:dyDescent="0.2">
      <c r="C709" s="225" t="s">
        <v>554</v>
      </c>
      <c r="D709" s="426">
        <v>2</v>
      </c>
      <c r="E709" s="947"/>
      <c r="F709" s="947"/>
      <c r="G709" s="947"/>
      <c r="H709" s="981"/>
      <c r="I709" s="947"/>
      <c r="J709" s="947"/>
      <c r="K709" s="940">
        <f t="shared" si="104"/>
        <v>0</v>
      </c>
      <c r="L709" s="949"/>
      <c r="M709" s="949"/>
      <c r="N709" s="947"/>
      <c r="O709" s="927"/>
      <c r="P709" s="949"/>
      <c r="Q709" s="950"/>
      <c r="R709" s="949"/>
      <c r="S709" s="949"/>
      <c r="T709" s="907"/>
      <c r="U709" s="947"/>
      <c r="V709" s="947"/>
      <c r="W709" s="951"/>
      <c r="X709" s="949"/>
      <c r="Y709" s="948"/>
      <c r="Z709" s="909"/>
      <c r="AA709" s="947"/>
      <c r="AB709" s="950"/>
      <c r="AC709" s="927"/>
      <c r="AD709" s="952"/>
      <c r="AE709" s="1095"/>
      <c r="AF709" s="950"/>
      <c r="AG709" s="953"/>
      <c r="AH709" s="953"/>
      <c r="AI709" s="939">
        <f t="shared" si="105"/>
        <v>0</v>
      </c>
      <c r="AJ709" s="939">
        <f t="shared" si="106"/>
        <v>0</v>
      </c>
    </row>
    <row r="710" spans="3:36" x14ac:dyDescent="0.2">
      <c r="C710" s="225" t="s">
        <v>115</v>
      </c>
      <c r="D710" s="426">
        <v>3</v>
      </c>
      <c r="E710" s="947"/>
      <c r="F710" s="947"/>
      <c r="G710" s="947"/>
      <c r="H710" s="981"/>
      <c r="I710" s="947"/>
      <c r="J710" s="947"/>
      <c r="K710" s="940">
        <f t="shared" si="104"/>
        <v>0</v>
      </c>
      <c r="L710" s="949"/>
      <c r="M710" s="949"/>
      <c r="N710" s="947"/>
      <c r="O710" s="927"/>
      <c r="P710" s="949"/>
      <c r="Q710" s="950"/>
      <c r="R710" s="949"/>
      <c r="S710" s="949"/>
      <c r="T710" s="907"/>
      <c r="U710" s="947"/>
      <c r="V710" s="947"/>
      <c r="W710" s="951"/>
      <c r="X710" s="949"/>
      <c r="Y710" s="948"/>
      <c r="Z710" s="909"/>
      <c r="AA710" s="947"/>
      <c r="AB710" s="950"/>
      <c r="AC710" s="927"/>
      <c r="AD710" s="952"/>
      <c r="AE710" s="1095"/>
      <c r="AF710" s="950"/>
      <c r="AG710" s="953"/>
      <c r="AH710" s="953"/>
      <c r="AI710" s="939">
        <f t="shared" si="105"/>
        <v>0</v>
      </c>
      <c r="AJ710" s="939">
        <f t="shared" si="106"/>
        <v>0</v>
      </c>
    </row>
    <row r="711" spans="3:36" x14ac:dyDescent="0.2">
      <c r="C711" s="225" t="s">
        <v>15</v>
      </c>
      <c r="D711" s="426">
        <v>4</v>
      </c>
      <c r="E711" s="947"/>
      <c r="F711" s="947"/>
      <c r="G711" s="947"/>
      <c r="H711" s="981"/>
      <c r="I711" s="947"/>
      <c r="J711" s="947"/>
      <c r="K711" s="940">
        <f t="shared" si="104"/>
        <v>0</v>
      </c>
      <c r="L711" s="949"/>
      <c r="M711" s="949"/>
      <c r="N711" s="947"/>
      <c r="O711" s="927"/>
      <c r="P711" s="949"/>
      <c r="Q711" s="950"/>
      <c r="R711" s="949"/>
      <c r="S711" s="949"/>
      <c r="T711" s="907"/>
      <c r="U711" s="947"/>
      <c r="V711" s="947"/>
      <c r="W711" s="951"/>
      <c r="X711" s="949"/>
      <c r="Y711" s="948"/>
      <c r="Z711" s="909"/>
      <c r="AA711" s="947"/>
      <c r="AB711" s="950"/>
      <c r="AC711" s="927"/>
      <c r="AD711" s="952"/>
      <c r="AE711" s="1095"/>
      <c r="AF711" s="950"/>
      <c r="AG711" s="953"/>
      <c r="AH711" s="953"/>
      <c r="AI711" s="939">
        <f t="shared" si="105"/>
        <v>0</v>
      </c>
      <c r="AJ711" s="939">
        <f t="shared" si="106"/>
        <v>0</v>
      </c>
    </row>
    <row r="712" spans="3:36" x14ac:dyDescent="0.2">
      <c r="C712" s="225" t="s">
        <v>556</v>
      </c>
      <c r="D712" s="426">
        <v>5</v>
      </c>
      <c r="E712" s="947"/>
      <c r="F712" s="947"/>
      <c r="G712" s="947"/>
      <c r="H712" s="981"/>
      <c r="I712" s="947"/>
      <c r="J712" s="947"/>
      <c r="K712" s="940">
        <f t="shared" si="104"/>
        <v>0</v>
      </c>
      <c r="L712" s="949"/>
      <c r="M712" s="949"/>
      <c r="N712" s="947"/>
      <c r="O712" s="927"/>
      <c r="P712" s="949"/>
      <c r="Q712" s="950"/>
      <c r="R712" s="949"/>
      <c r="S712" s="949"/>
      <c r="T712" s="907"/>
      <c r="U712" s="947"/>
      <c r="V712" s="947"/>
      <c r="W712" s="951"/>
      <c r="X712" s="949"/>
      <c r="Y712" s="948"/>
      <c r="Z712" s="909"/>
      <c r="AA712" s="947"/>
      <c r="AB712" s="950"/>
      <c r="AC712" s="927"/>
      <c r="AD712" s="952"/>
      <c r="AE712" s="1095"/>
      <c r="AF712" s="950"/>
      <c r="AG712" s="953"/>
      <c r="AH712" s="953"/>
      <c r="AI712" s="939">
        <f t="shared" si="105"/>
        <v>0</v>
      </c>
      <c r="AJ712" s="939">
        <f t="shared" si="106"/>
        <v>0</v>
      </c>
    </row>
    <row r="713" spans="3:36" x14ac:dyDescent="0.2">
      <c r="C713" s="225" t="s">
        <v>116</v>
      </c>
      <c r="D713" s="426">
        <v>6</v>
      </c>
      <c r="E713" s="947"/>
      <c r="F713" s="947"/>
      <c r="G713" s="947"/>
      <c r="H713" s="981"/>
      <c r="I713" s="947"/>
      <c r="J713" s="947"/>
      <c r="K713" s="940">
        <f t="shared" si="104"/>
        <v>0</v>
      </c>
      <c r="L713" s="949"/>
      <c r="M713" s="949"/>
      <c r="N713" s="947"/>
      <c r="O713" s="927"/>
      <c r="P713" s="949"/>
      <c r="Q713" s="950"/>
      <c r="R713" s="949"/>
      <c r="S713" s="949"/>
      <c r="T713" s="907"/>
      <c r="U713" s="947"/>
      <c r="V713" s="947"/>
      <c r="W713" s="951"/>
      <c r="X713" s="949"/>
      <c r="Y713" s="948"/>
      <c r="Z713" s="909"/>
      <c r="AA713" s="947"/>
      <c r="AB713" s="950"/>
      <c r="AC713" s="927"/>
      <c r="AD713" s="952"/>
      <c r="AE713" s="1095"/>
      <c r="AF713" s="950"/>
      <c r="AG713" s="953"/>
      <c r="AH713" s="953"/>
      <c r="AI713" s="939">
        <f t="shared" si="105"/>
        <v>0</v>
      </c>
      <c r="AJ713" s="939">
        <f t="shared" si="106"/>
        <v>0</v>
      </c>
    </row>
    <row r="714" spans="3:36" x14ac:dyDescent="0.2">
      <c r="C714" s="225" t="s">
        <v>595</v>
      </c>
      <c r="D714" s="426">
        <v>7</v>
      </c>
      <c r="E714" s="947"/>
      <c r="F714" s="947"/>
      <c r="G714" s="947"/>
      <c r="H714" s="981"/>
      <c r="I714" s="947"/>
      <c r="J714" s="947"/>
      <c r="K714" s="940">
        <f t="shared" si="104"/>
        <v>0</v>
      </c>
      <c r="L714" s="949"/>
      <c r="M714" s="949"/>
      <c r="N714" s="954"/>
      <c r="O714" s="927"/>
      <c r="P714" s="955"/>
      <c r="Q714" s="950"/>
      <c r="R714" s="949"/>
      <c r="S714" s="949"/>
      <c r="T714" s="907"/>
      <c r="U714" s="947"/>
      <c r="V714" s="947"/>
      <c r="W714" s="951"/>
      <c r="X714" s="949"/>
      <c r="Y714" s="948"/>
      <c r="Z714" s="909"/>
      <c r="AA714" s="947"/>
      <c r="AB714" s="950"/>
      <c r="AC714" s="927"/>
      <c r="AD714" s="952"/>
      <c r="AE714" s="1095"/>
      <c r="AF714" s="950"/>
      <c r="AG714" s="953"/>
      <c r="AH714" s="953"/>
      <c r="AI714" s="939">
        <f t="shared" si="105"/>
        <v>0</v>
      </c>
      <c r="AJ714" s="939">
        <f t="shared" si="106"/>
        <v>0</v>
      </c>
    </row>
    <row r="715" spans="3:36" x14ac:dyDescent="0.2">
      <c r="C715" s="225" t="s">
        <v>20</v>
      </c>
      <c r="D715" s="426">
        <v>8</v>
      </c>
      <c r="E715" s="947"/>
      <c r="F715" s="947"/>
      <c r="G715" s="947"/>
      <c r="H715" s="981"/>
      <c r="I715" s="947"/>
      <c r="J715" s="947"/>
      <c r="K715" s="940">
        <f t="shared" si="104"/>
        <v>0</v>
      </c>
      <c r="L715" s="949"/>
      <c r="M715" s="949"/>
      <c r="N715" s="954"/>
      <c r="O715" s="927"/>
      <c r="P715" s="955"/>
      <c r="Q715" s="950"/>
      <c r="R715" s="949"/>
      <c r="S715" s="949"/>
      <c r="T715" s="907"/>
      <c r="U715" s="947"/>
      <c r="V715" s="947"/>
      <c r="W715" s="951"/>
      <c r="X715" s="949"/>
      <c r="Y715" s="948"/>
      <c r="Z715" s="909"/>
      <c r="AA715" s="947"/>
      <c r="AB715" s="950"/>
      <c r="AC715" s="927"/>
      <c r="AD715" s="952"/>
      <c r="AE715" s="1095"/>
      <c r="AF715" s="950"/>
      <c r="AG715" s="953"/>
      <c r="AH715" s="953"/>
      <c r="AI715" s="939">
        <f t="shared" si="105"/>
        <v>0</v>
      </c>
      <c r="AJ715" s="939">
        <f t="shared" si="106"/>
        <v>0</v>
      </c>
    </row>
    <row r="716" spans="3:36" x14ac:dyDescent="0.2">
      <c r="C716" s="225" t="s">
        <v>117</v>
      </c>
      <c r="D716" s="426">
        <v>9</v>
      </c>
      <c r="E716" s="947"/>
      <c r="F716" s="947"/>
      <c r="G716" s="947"/>
      <c r="H716" s="981"/>
      <c r="I716" s="947"/>
      <c r="J716" s="947"/>
      <c r="K716" s="940">
        <f t="shared" si="104"/>
        <v>0</v>
      </c>
      <c r="L716" s="949"/>
      <c r="M716" s="949"/>
      <c r="N716" s="954"/>
      <c r="O716" s="927"/>
      <c r="P716" s="955"/>
      <c r="Q716" s="950"/>
      <c r="R716" s="949"/>
      <c r="S716" s="949"/>
      <c r="T716" s="907"/>
      <c r="U716" s="947"/>
      <c r="V716" s="947"/>
      <c r="W716" s="951"/>
      <c r="X716" s="949"/>
      <c r="Y716" s="948"/>
      <c r="Z716" s="909"/>
      <c r="AA716" s="947"/>
      <c r="AB716" s="950"/>
      <c r="AC716" s="927"/>
      <c r="AD716" s="952"/>
      <c r="AE716" s="1095"/>
      <c r="AF716" s="950"/>
      <c r="AG716" s="953"/>
      <c r="AH716" s="953"/>
      <c r="AI716" s="939">
        <f t="shared" si="105"/>
        <v>0</v>
      </c>
      <c r="AJ716" s="939">
        <f t="shared" si="106"/>
        <v>0</v>
      </c>
    </row>
    <row r="717" spans="3:36" x14ac:dyDescent="0.2">
      <c r="C717" s="225" t="s">
        <v>613</v>
      </c>
      <c r="D717" s="426">
        <v>10</v>
      </c>
      <c r="E717" s="947"/>
      <c r="F717" s="947"/>
      <c r="G717" s="947"/>
      <c r="H717" s="981"/>
      <c r="I717" s="947"/>
      <c r="J717" s="947"/>
      <c r="K717" s="940">
        <f t="shared" si="104"/>
        <v>0</v>
      </c>
      <c r="L717" s="949"/>
      <c r="M717" s="949"/>
      <c r="N717" s="954"/>
      <c r="O717" s="927"/>
      <c r="P717" s="955"/>
      <c r="Q717" s="950"/>
      <c r="R717" s="949"/>
      <c r="S717" s="949"/>
      <c r="T717" s="907"/>
      <c r="U717" s="947"/>
      <c r="V717" s="947"/>
      <c r="W717" s="951"/>
      <c r="X717" s="949"/>
      <c r="Y717" s="948"/>
      <c r="Z717" s="909"/>
      <c r="AA717" s="947"/>
      <c r="AB717" s="950"/>
      <c r="AC717" s="927"/>
      <c r="AD717" s="952"/>
      <c r="AE717" s="1095"/>
      <c r="AF717" s="950"/>
      <c r="AG717" s="953"/>
      <c r="AH717" s="953"/>
      <c r="AI717" s="939">
        <f t="shared" si="105"/>
        <v>0</v>
      </c>
      <c r="AJ717" s="939">
        <f t="shared" si="106"/>
        <v>0</v>
      </c>
    </row>
    <row r="718" spans="3:36" x14ac:dyDescent="0.2">
      <c r="C718" s="225" t="s">
        <v>23</v>
      </c>
      <c r="D718" s="426">
        <v>11</v>
      </c>
      <c r="E718" s="947"/>
      <c r="F718" s="947"/>
      <c r="G718" s="947"/>
      <c r="H718" s="981"/>
      <c r="I718" s="947"/>
      <c r="J718" s="947"/>
      <c r="K718" s="940">
        <f t="shared" si="104"/>
        <v>0</v>
      </c>
      <c r="L718" s="949"/>
      <c r="M718" s="949"/>
      <c r="N718" s="954"/>
      <c r="O718" s="927"/>
      <c r="P718" s="955"/>
      <c r="Q718" s="950"/>
      <c r="R718" s="949"/>
      <c r="S718" s="949"/>
      <c r="T718" s="907"/>
      <c r="U718" s="947"/>
      <c r="V718" s="947"/>
      <c r="W718" s="951"/>
      <c r="X718" s="949"/>
      <c r="Y718" s="948"/>
      <c r="Z718" s="909"/>
      <c r="AA718" s="947"/>
      <c r="AB718" s="950"/>
      <c r="AC718" s="927"/>
      <c r="AD718" s="952"/>
      <c r="AE718" s="1095"/>
      <c r="AF718" s="950"/>
      <c r="AG718" s="953"/>
      <c r="AH718" s="953"/>
      <c r="AI718" s="939">
        <f t="shared" si="105"/>
        <v>0</v>
      </c>
      <c r="AJ718" s="939">
        <f t="shared" si="106"/>
        <v>0</v>
      </c>
    </row>
    <row r="719" spans="3:36" x14ac:dyDescent="0.2">
      <c r="C719" s="225" t="s">
        <v>964</v>
      </c>
      <c r="D719" s="426">
        <v>12</v>
      </c>
      <c r="E719" s="947"/>
      <c r="F719" s="947"/>
      <c r="G719" s="947"/>
      <c r="H719" s="981"/>
      <c r="I719" s="947"/>
      <c r="J719" s="947"/>
      <c r="K719" s="940">
        <f t="shared" si="104"/>
        <v>0</v>
      </c>
      <c r="L719" s="949"/>
      <c r="M719" s="949"/>
      <c r="N719" s="954"/>
      <c r="O719" s="927"/>
      <c r="P719" s="955"/>
      <c r="Q719" s="950"/>
      <c r="R719" s="949"/>
      <c r="S719" s="949"/>
      <c r="T719" s="907"/>
      <c r="U719" s="947"/>
      <c r="V719" s="947"/>
      <c r="W719" s="951"/>
      <c r="X719" s="949"/>
      <c r="Y719" s="948"/>
      <c r="Z719" s="909"/>
      <c r="AA719" s="947"/>
      <c r="AB719" s="950"/>
      <c r="AC719" s="927"/>
      <c r="AD719" s="952"/>
      <c r="AE719" s="1095"/>
      <c r="AF719" s="950"/>
      <c r="AG719" s="953"/>
      <c r="AH719" s="953"/>
      <c r="AI719" s="939">
        <f t="shared" si="105"/>
        <v>0</v>
      </c>
      <c r="AJ719" s="939">
        <f t="shared" si="106"/>
        <v>0</v>
      </c>
    </row>
    <row r="720" spans="3:36" x14ac:dyDescent="0.2">
      <c r="C720" s="225" t="s">
        <v>567</v>
      </c>
      <c r="D720" s="426">
        <v>13</v>
      </c>
      <c r="E720" s="947"/>
      <c r="F720" s="947"/>
      <c r="G720" s="947"/>
      <c r="H720" s="981"/>
      <c r="I720" s="947"/>
      <c r="J720" s="947"/>
      <c r="K720" s="940">
        <f t="shared" si="104"/>
        <v>0</v>
      </c>
      <c r="L720" s="949"/>
      <c r="M720" s="949"/>
      <c r="N720" s="954"/>
      <c r="O720" s="927"/>
      <c r="P720" s="955"/>
      <c r="Q720" s="950"/>
      <c r="R720" s="949"/>
      <c r="S720" s="949"/>
      <c r="T720" s="907"/>
      <c r="U720" s="947"/>
      <c r="V720" s="947"/>
      <c r="W720" s="951"/>
      <c r="X720" s="949"/>
      <c r="Y720" s="948"/>
      <c r="Z720" s="909"/>
      <c r="AA720" s="947"/>
      <c r="AB720" s="950"/>
      <c r="AC720" s="927"/>
      <c r="AD720" s="952"/>
      <c r="AE720" s="1095"/>
      <c r="AF720" s="950"/>
      <c r="AG720" s="953"/>
      <c r="AH720" s="953"/>
      <c r="AI720" s="939">
        <f t="shared" si="105"/>
        <v>0</v>
      </c>
      <c r="AJ720" s="939">
        <f t="shared" si="106"/>
        <v>0</v>
      </c>
    </row>
    <row r="721" spans="3:36" x14ac:dyDescent="0.2">
      <c r="C721" s="225" t="s">
        <v>150</v>
      </c>
      <c r="D721" s="426">
        <v>14</v>
      </c>
      <c r="E721" s="947"/>
      <c r="F721" s="947"/>
      <c r="G721" s="947"/>
      <c r="H721" s="981"/>
      <c r="I721" s="947"/>
      <c r="J721" s="947"/>
      <c r="K721" s="940">
        <f t="shared" si="104"/>
        <v>0</v>
      </c>
      <c r="L721" s="949"/>
      <c r="M721" s="949"/>
      <c r="N721" s="954"/>
      <c r="O721" s="927"/>
      <c r="P721" s="955"/>
      <c r="Q721" s="950"/>
      <c r="R721" s="949"/>
      <c r="S721" s="949"/>
      <c r="T721" s="907"/>
      <c r="U721" s="947"/>
      <c r="V721" s="947"/>
      <c r="W721" s="951"/>
      <c r="X721" s="949"/>
      <c r="Y721" s="948"/>
      <c r="Z721" s="909"/>
      <c r="AA721" s="947"/>
      <c r="AB721" s="950"/>
      <c r="AC721" s="927"/>
      <c r="AD721" s="952"/>
      <c r="AE721" s="1095"/>
      <c r="AF721" s="950"/>
      <c r="AG721" s="953"/>
      <c r="AH721" s="953"/>
      <c r="AI721" s="939">
        <f t="shared" si="105"/>
        <v>0</v>
      </c>
      <c r="AJ721" s="939">
        <f t="shared" si="106"/>
        <v>0</v>
      </c>
    </row>
    <row r="722" spans="3:36" x14ac:dyDescent="0.2">
      <c r="C722" s="225" t="s">
        <v>25</v>
      </c>
      <c r="D722" s="426">
        <v>15</v>
      </c>
      <c r="E722" s="947"/>
      <c r="F722" s="947"/>
      <c r="G722" s="947"/>
      <c r="H722" s="981"/>
      <c r="I722" s="947"/>
      <c r="J722" s="947"/>
      <c r="K722" s="940">
        <f t="shared" si="104"/>
        <v>0</v>
      </c>
      <c r="L722" s="949"/>
      <c r="M722" s="949"/>
      <c r="N722" s="954"/>
      <c r="O722" s="927"/>
      <c r="P722" s="955"/>
      <c r="Q722" s="950"/>
      <c r="R722" s="949"/>
      <c r="S722" s="949"/>
      <c r="T722" s="907"/>
      <c r="U722" s="947"/>
      <c r="V722" s="947"/>
      <c r="W722" s="951"/>
      <c r="X722" s="949"/>
      <c r="Y722" s="948"/>
      <c r="Z722" s="909"/>
      <c r="AA722" s="947"/>
      <c r="AB722" s="950"/>
      <c r="AC722" s="927"/>
      <c r="AD722" s="952"/>
      <c r="AE722" s="1095"/>
      <c r="AF722" s="950"/>
      <c r="AG722" s="953"/>
      <c r="AH722" s="953"/>
      <c r="AI722" s="939">
        <f t="shared" si="105"/>
        <v>0</v>
      </c>
      <c r="AJ722" s="939">
        <f t="shared" si="106"/>
        <v>0</v>
      </c>
    </row>
    <row r="723" spans="3:36" x14ac:dyDescent="0.2">
      <c r="C723" s="225" t="s">
        <v>118</v>
      </c>
      <c r="D723" s="426">
        <v>16</v>
      </c>
      <c r="E723" s="947"/>
      <c r="F723" s="947"/>
      <c r="G723" s="947"/>
      <c r="H723" s="981"/>
      <c r="I723" s="947"/>
      <c r="J723" s="947"/>
      <c r="K723" s="940">
        <f t="shared" si="104"/>
        <v>0</v>
      </c>
      <c r="L723" s="949"/>
      <c r="M723" s="949"/>
      <c r="N723" s="954"/>
      <c r="O723" s="927"/>
      <c r="P723" s="955"/>
      <c r="Q723" s="950"/>
      <c r="R723" s="949"/>
      <c r="S723" s="949"/>
      <c r="T723" s="907"/>
      <c r="U723" s="947"/>
      <c r="V723" s="947"/>
      <c r="W723" s="951"/>
      <c r="X723" s="949"/>
      <c r="Y723" s="948"/>
      <c r="Z723" s="909"/>
      <c r="AA723" s="947"/>
      <c r="AB723" s="950"/>
      <c r="AC723" s="927"/>
      <c r="AD723" s="952"/>
      <c r="AE723" s="1095"/>
      <c r="AF723" s="950"/>
      <c r="AG723" s="953"/>
      <c r="AH723" s="953"/>
      <c r="AI723" s="939">
        <f t="shared" si="105"/>
        <v>0</v>
      </c>
      <c r="AJ723" s="939">
        <f t="shared" si="106"/>
        <v>0</v>
      </c>
    </row>
    <row r="724" spans="3:36" x14ac:dyDescent="0.2">
      <c r="C724" s="225" t="s">
        <v>557</v>
      </c>
      <c r="D724" s="426">
        <v>17</v>
      </c>
      <c r="E724" s="947"/>
      <c r="F724" s="947"/>
      <c r="G724" s="947"/>
      <c r="H724" s="981"/>
      <c r="I724" s="947"/>
      <c r="J724" s="947"/>
      <c r="K724" s="940">
        <f t="shared" si="104"/>
        <v>0</v>
      </c>
      <c r="L724" s="949"/>
      <c r="M724" s="949"/>
      <c r="N724" s="954"/>
      <c r="O724" s="927"/>
      <c r="P724" s="955"/>
      <c r="Q724" s="950"/>
      <c r="R724" s="949"/>
      <c r="S724" s="949"/>
      <c r="T724" s="907"/>
      <c r="U724" s="947"/>
      <c r="V724" s="947"/>
      <c r="W724" s="951"/>
      <c r="X724" s="949"/>
      <c r="Y724" s="948"/>
      <c r="Z724" s="909"/>
      <c r="AA724" s="947"/>
      <c r="AB724" s="950"/>
      <c r="AC724" s="927"/>
      <c r="AD724" s="952"/>
      <c r="AE724" s="1095"/>
      <c r="AF724" s="950"/>
      <c r="AG724" s="953"/>
      <c r="AH724" s="953"/>
      <c r="AI724" s="939">
        <f t="shared" si="105"/>
        <v>0</v>
      </c>
      <c r="AJ724" s="939">
        <f t="shared" si="106"/>
        <v>0</v>
      </c>
    </row>
    <row r="725" spans="3:36" x14ac:dyDescent="0.2">
      <c r="C725" s="225" t="s">
        <v>119</v>
      </c>
      <c r="D725" s="426">
        <v>18</v>
      </c>
      <c r="E725" s="947"/>
      <c r="F725" s="947"/>
      <c r="G725" s="947"/>
      <c r="H725" s="981"/>
      <c r="I725" s="947"/>
      <c r="J725" s="947"/>
      <c r="K725" s="940">
        <f t="shared" si="104"/>
        <v>0</v>
      </c>
      <c r="L725" s="949"/>
      <c r="M725" s="949"/>
      <c r="N725" s="954"/>
      <c r="O725" s="927"/>
      <c r="P725" s="955"/>
      <c r="Q725" s="950"/>
      <c r="R725" s="949"/>
      <c r="S725" s="949"/>
      <c r="T725" s="907"/>
      <c r="U725" s="947"/>
      <c r="V725" s="947"/>
      <c r="W725" s="951"/>
      <c r="X725" s="949"/>
      <c r="Y725" s="948"/>
      <c r="Z725" s="909"/>
      <c r="AA725" s="947"/>
      <c r="AB725" s="950"/>
      <c r="AC725" s="927"/>
      <c r="AD725" s="952"/>
      <c r="AE725" s="1095"/>
      <c r="AF725" s="950"/>
      <c r="AG725" s="953"/>
      <c r="AH725" s="953"/>
      <c r="AI725" s="939">
        <f t="shared" si="105"/>
        <v>0</v>
      </c>
      <c r="AJ725" s="939">
        <f t="shared" si="106"/>
        <v>0</v>
      </c>
    </row>
    <row r="726" spans="3:36" x14ac:dyDescent="0.2">
      <c r="C726" s="225" t="s">
        <v>30</v>
      </c>
      <c r="D726" s="426">
        <v>19</v>
      </c>
      <c r="E726" s="947"/>
      <c r="F726" s="947"/>
      <c r="G726" s="947"/>
      <c r="H726" s="981"/>
      <c r="I726" s="947"/>
      <c r="J726" s="947"/>
      <c r="K726" s="940">
        <f t="shared" si="104"/>
        <v>0</v>
      </c>
      <c r="L726" s="949"/>
      <c r="M726" s="949"/>
      <c r="N726" s="954"/>
      <c r="O726" s="927"/>
      <c r="P726" s="955"/>
      <c r="Q726" s="950"/>
      <c r="R726" s="949"/>
      <c r="S726" s="949"/>
      <c r="T726" s="907"/>
      <c r="U726" s="947"/>
      <c r="V726" s="947"/>
      <c r="W726" s="951"/>
      <c r="X726" s="949"/>
      <c r="Y726" s="948"/>
      <c r="Z726" s="909"/>
      <c r="AA726" s="947"/>
      <c r="AB726" s="950"/>
      <c r="AC726" s="927"/>
      <c r="AD726" s="952"/>
      <c r="AE726" s="1095"/>
      <c r="AF726" s="950"/>
      <c r="AG726" s="953"/>
      <c r="AH726" s="953"/>
      <c r="AI726" s="939">
        <f t="shared" si="105"/>
        <v>0</v>
      </c>
      <c r="AJ726" s="939">
        <f t="shared" si="106"/>
        <v>0</v>
      </c>
    </row>
    <row r="727" spans="3:36" x14ac:dyDescent="0.2">
      <c r="C727" s="225" t="s">
        <v>558</v>
      </c>
      <c r="D727" s="426">
        <v>20</v>
      </c>
      <c r="E727" s="947"/>
      <c r="F727" s="947"/>
      <c r="G727" s="947"/>
      <c r="H727" s="981"/>
      <c r="I727" s="947"/>
      <c r="J727" s="947"/>
      <c r="K727" s="940">
        <f t="shared" si="104"/>
        <v>0</v>
      </c>
      <c r="L727" s="949"/>
      <c r="M727" s="949"/>
      <c r="N727" s="954"/>
      <c r="O727" s="927"/>
      <c r="P727" s="955"/>
      <c r="Q727" s="950"/>
      <c r="R727" s="949"/>
      <c r="S727" s="949"/>
      <c r="T727" s="907"/>
      <c r="U727" s="947"/>
      <c r="V727" s="947"/>
      <c r="W727" s="951"/>
      <c r="X727" s="949"/>
      <c r="Y727" s="948"/>
      <c r="Z727" s="909"/>
      <c r="AA727" s="947"/>
      <c r="AB727" s="950"/>
      <c r="AC727" s="927"/>
      <c r="AD727" s="952"/>
      <c r="AE727" s="1095"/>
      <c r="AF727" s="950"/>
      <c r="AG727" s="953"/>
      <c r="AH727" s="953"/>
      <c r="AI727" s="939">
        <f t="shared" si="105"/>
        <v>0</v>
      </c>
      <c r="AJ727" s="939">
        <f t="shared" si="106"/>
        <v>0</v>
      </c>
    </row>
    <row r="728" spans="3:36" x14ac:dyDescent="0.2">
      <c r="C728" s="225" t="s">
        <v>120</v>
      </c>
      <c r="D728" s="426">
        <v>21</v>
      </c>
      <c r="E728" s="947"/>
      <c r="F728" s="947"/>
      <c r="G728" s="947"/>
      <c r="H728" s="981"/>
      <c r="I728" s="947"/>
      <c r="J728" s="947"/>
      <c r="K728" s="940">
        <f t="shared" si="104"/>
        <v>0</v>
      </c>
      <c r="L728" s="949"/>
      <c r="M728" s="949"/>
      <c r="N728" s="954"/>
      <c r="O728" s="927"/>
      <c r="P728" s="955"/>
      <c r="Q728" s="950"/>
      <c r="R728" s="949"/>
      <c r="S728" s="949"/>
      <c r="T728" s="907"/>
      <c r="U728" s="947"/>
      <c r="V728" s="947"/>
      <c r="W728" s="951"/>
      <c r="X728" s="949"/>
      <c r="Y728" s="948"/>
      <c r="Z728" s="909"/>
      <c r="AA728" s="947"/>
      <c r="AB728" s="950"/>
      <c r="AC728" s="927"/>
      <c r="AD728" s="952"/>
      <c r="AE728" s="1095"/>
      <c r="AF728" s="950"/>
      <c r="AG728" s="953"/>
      <c r="AH728" s="953"/>
      <c r="AI728" s="939">
        <f t="shared" si="105"/>
        <v>0</v>
      </c>
      <c r="AJ728" s="939">
        <f t="shared" si="106"/>
        <v>0</v>
      </c>
    </row>
    <row r="729" spans="3:36" x14ac:dyDescent="0.2">
      <c r="C729" s="225" t="s">
        <v>121</v>
      </c>
      <c r="D729" s="426">
        <v>22</v>
      </c>
      <c r="E729" s="947"/>
      <c r="F729" s="947"/>
      <c r="G729" s="947"/>
      <c r="H729" s="981"/>
      <c r="I729" s="947"/>
      <c r="J729" s="947"/>
      <c r="K729" s="940">
        <f t="shared" si="104"/>
        <v>0</v>
      </c>
      <c r="L729" s="949"/>
      <c r="M729" s="949"/>
      <c r="N729" s="954"/>
      <c r="O729" s="927"/>
      <c r="P729" s="955"/>
      <c r="Q729" s="950"/>
      <c r="R729" s="949"/>
      <c r="S729" s="949"/>
      <c r="T729" s="907"/>
      <c r="U729" s="947"/>
      <c r="V729" s="947"/>
      <c r="W729" s="951"/>
      <c r="X729" s="949"/>
      <c r="Y729" s="948"/>
      <c r="Z729" s="909"/>
      <c r="AA729" s="947"/>
      <c r="AB729" s="950"/>
      <c r="AC729" s="927"/>
      <c r="AD729" s="952"/>
      <c r="AE729" s="1095"/>
      <c r="AF729" s="950"/>
      <c r="AG729" s="953"/>
      <c r="AH729" s="953"/>
      <c r="AI729" s="939">
        <f t="shared" si="105"/>
        <v>0</v>
      </c>
      <c r="AJ729" s="939">
        <f t="shared" si="106"/>
        <v>0</v>
      </c>
    </row>
    <row r="730" spans="3:36" x14ac:dyDescent="0.2">
      <c r="C730" s="225" t="s">
        <v>122</v>
      </c>
      <c r="D730" s="426">
        <v>23</v>
      </c>
      <c r="E730" s="947"/>
      <c r="F730" s="947"/>
      <c r="G730" s="947"/>
      <c r="H730" s="981"/>
      <c r="I730" s="947"/>
      <c r="J730" s="947"/>
      <c r="K730" s="940">
        <f t="shared" si="104"/>
        <v>0</v>
      </c>
      <c r="L730" s="949"/>
      <c r="M730" s="949"/>
      <c r="N730" s="954"/>
      <c r="O730" s="927"/>
      <c r="P730" s="955"/>
      <c r="Q730" s="950"/>
      <c r="R730" s="949"/>
      <c r="S730" s="949"/>
      <c r="T730" s="907"/>
      <c r="U730" s="947"/>
      <c r="V730" s="947"/>
      <c r="W730" s="951"/>
      <c r="X730" s="949"/>
      <c r="Y730" s="948"/>
      <c r="Z730" s="909"/>
      <c r="AA730" s="947"/>
      <c r="AB730" s="950"/>
      <c r="AC730" s="927"/>
      <c r="AD730" s="952"/>
      <c r="AE730" s="1095"/>
      <c r="AF730" s="950"/>
      <c r="AG730" s="953"/>
      <c r="AH730" s="953"/>
      <c r="AI730" s="939">
        <f t="shared" si="105"/>
        <v>0</v>
      </c>
      <c r="AJ730" s="939">
        <f t="shared" si="106"/>
        <v>0</v>
      </c>
    </row>
    <row r="731" spans="3:36" x14ac:dyDescent="0.2">
      <c r="C731" s="225" t="s">
        <v>123</v>
      </c>
      <c r="D731" s="426">
        <v>24</v>
      </c>
      <c r="E731" s="947"/>
      <c r="F731" s="947"/>
      <c r="G731" s="947"/>
      <c r="H731" s="981"/>
      <c r="I731" s="947"/>
      <c r="J731" s="947"/>
      <c r="K731" s="940">
        <f t="shared" si="104"/>
        <v>0</v>
      </c>
      <c r="L731" s="949"/>
      <c r="M731" s="949"/>
      <c r="N731" s="954"/>
      <c r="O731" s="927"/>
      <c r="P731" s="955"/>
      <c r="Q731" s="950"/>
      <c r="R731" s="949"/>
      <c r="S731" s="949"/>
      <c r="T731" s="907"/>
      <c r="U731" s="947"/>
      <c r="V731" s="947"/>
      <c r="W731" s="951"/>
      <c r="X731" s="949"/>
      <c r="Y731" s="948"/>
      <c r="Z731" s="909"/>
      <c r="AA731" s="947"/>
      <c r="AB731" s="950"/>
      <c r="AC731" s="927"/>
      <c r="AD731" s="952"/>
      <c r="AE731" s="1095"/>
      <c r="AF731" s="950"/>
      <c r="AG731" s="953"/>
      <c r="AH731" s="953"/>
      <c r="AI731" s="939">
        <f t="shared" si="105"/>
        <v>0</v>
      </c>
      <c r="AJ731" s="939">
        <f t="shared" si="106"/>
        <v>0</v>
      </c>
    </row>
    <row r="732" spans="3:36" x14ac:dyDescent="0.2">
      <c r="C732" s="225" t="s">
        <v>124</v>
      </c>
      <c r="D732" s="426">
        <v>25</v>
      </c>
      <c r="E732" s="947"/>
      <c r="F732" s="947"/>
      <c r="G732" s="947"/>
      <c r="H732" s="981"/>
      <c r="I732" s="947"/>
      <c r="J732" s="947"/>
      <c r="K732" s="940">
        <f t="shared" si="104"/>
        <v>0</v>
      </c>
      <c r="L732" s="949"/>
      <c r="M732" s="949"/>
      <c r="N732" s="954"/>
      <c r="O732" s="927"/>
      <c r="P732" s="955"/>
      <c r="Q732" s="950"/>
      <c r="R732" s="949"/>
      <c r="S732" s="949"/>
      <c r="T732" s="907"/>
      <c r="U732" s="947"/>
      <c r="V732" s="947"/>
      <c r="W732" s="951"/>
      <c r="X732" s="949"/>
      <c r="Y732" s="948"/>
      <c r="Z732" s="909"/>
      <c r="AA732" s="947"/>
      <c r="AB732" s="950"/>
      <c r="AC732" s="927"/>
      <c r="AD732" s="952"/>
      <c r="AE732" s="1095"/>
      <c r="AF732" s="950"/>
      <c r="AG732" s="953"/>
      <c r="AH732" s="953"/>
      <c r="AI732" s="939">
        <f t="shared" si="105"/>
        <v>0</v>
      </c>
      <c r="AJ732" s="939">
        <f t="shared" si="106"/>
        <v>0</v>
      </c>
    </row>
    <row r="733" spans="3:36" x14ac:dyDescent="0.2">
      <c r="C733" s="225" t="s">
        <v>97</v>
      </c>
      <c r="D733" s="426">
        <v>26</v>
      </c>
      <c r="E733" s="947"/>
      <c r="F733" s="947"/>
      <c r="G733" s="947"/>
      <c r="H733" s="981"/>
      <c r="I733" s="947"/>
      <c r="J733" s="947"/>
      <c r="K733" s="940">
        <f t="shared" si="104"/>
        <v>0</v>
      </c>
      <c r="L733" s="949"/>
      <c r="M733" s="949"/>
      <c r="N733" s="954"/>
      <c r="O733" s="927"/>
      <c r="P733" s="955"/>
      <c r="Q733" s="950"/>
      <c r="R733" s="949"/>
      <c r="S733" s="949"/>
      <c r="T733" s="907"/>
      <c r="U733" s="947"/>
      <c r="V733" s="947"/>
      <c r="W733" s="951"/>
      <c r="X733" s="949"/>
      <c r="Y733" s="948"/>
      <c r="Z733" s="909"/>
      <c r="AA733" s="947"/>
      <c r="AB733" s="950"/>
      <c r="AC733" s="927"/>
      <c r="AD733" s="952"/>
      <c r="AE733" s="1095"/>
      <c r="AF733" s="950"/>
      <c r="AG733" s="953"/>
      <c r="AH733" s="953"/>
      <c r="AI733" s="939">
        <f t="shared" si="105"/>
        <v>0</v>
      </c>
      <c r="AJ733" s="939">
        <f t="shared" si="106"/>
        <v>0</v>
      </c>
    </row>
    <row r="734" spans="3:36" x14ac:dyDescent="0.2">
      <c r="C734" s="225" t="s">
        <v>125</v>
      </c>
      <c r="D734" s="426">
        <v>27</v>
      </c>
      <c r="E734" s="947"/>
      <c r="F734" s="947"/>
      <c r="G734" s="947"/>
      <c r="H734" s="981"/>
      <c r="I734" s="947"/>
      <c r="J734" s="947"/>
      <c r="K734" s="940">
        <f t="shared" si="104"/>
        <v>0</v>
      </c>
      <c r="L734" s="949"/>
      <c r="M734" s="949"/>
      <c r="N734" s="947"/>
      <c r="O734" s="927"/>
      <c r="P734" s="949"/>
      <c r="Q734" s="950"/>
      <c r="R734" s="949"/>
      <c r="S734" s="949"/>
      <c r="T734" s="907"/>
      <c r="U734" s="947"/>
      <c r="V734" s="947"/>
      <c r="W734" s="951"/>
      <c r="X734" s="949"/>
      <c r="Y734" s="948"/>
      <c r="Z734" s="909"/>
      <c r="AA734" s="947"/>
      <c r="AB734" s="950"/>
      <c r="AC734" s="927"/>
      <c r="AD734" s="952"/>
      <c r="AE734" s="1095"/>
      <c r="AF734" s="950"/>
      <c r="AG734" s="953"/>
      <c r="AH734" s="953"/>
      <c r="AI734" s="939">
        <f t="shared" si="105"/>
        <v>0</v>
      </c>
      <c r="AJ734" s="939">
        <f t="shared" si="106"/>
        <v>0</v>
      </c>
    </row>
    <row r="735" spans="3:36" x14ac:dyDescent="0.2">
      <c r="C735" s="225" t="s">
        <v>126</v>
      </c>
      <c r="D735" s="426">
        <v>28</v>
      </c>
      <c r="E735" s="947"/>
      <c r="F735" s="947"/>
      <c r="G735" s="947"/>
      <c r="H735" s="981"/>
      <c r="I735" s="947"/>
      <c r="J735" s="947"/>
      <c r="K735" s="940">
        <f t="shared" si="104"/>
        <v>0</v>
      </c>
      <c r="L735" s="949"/>
      <c r="M735" s="949"/>
      <c r="N735" s="947"/>
      <c r="O735" s="927"/>
      <c r="P735" s="949"/>
      <c r="Q735" s="950"/>
      <c r="R735" s="949"/>
      <c r="S735" s="949"/>
      <c r="T735" s="907"/>
      <c r="U735" s="947"/>
      <c r="V735" s="947"/>
      <c r="W735" s="951"/>
      <c r="X735" s="949"/>
      <c r="Y735" s="948"/>
      <c r="Z735" s="909"/>
      <c r="AA735" s="947"/>
      <c r="AB735" s="950"/>
      <c r="AC735" s="927"/>
      <c r="AD735" s="952"/>
      <c r="AE735" s="1095"/>
      <c r="AF735" s="950"/>
      <c r="AG735" s="953"/>
      <c r="AH735" s="953"/>
      <c r="AI735" s="939">
        <f t="shared" si="105"/>
        <v>0</v>
      </c>
      <c r="AJ735" s="939">
        <f t="shared" si="106"/>
        <v>0</v>
      </c>
    </row>
    <row r="736" spans="3:36" x14ac:dyDescent="0.2">
      <c r="C736" s="225" t="s">
        <v>127</v>
      </c>
      <c r="D736" s="426">
        <v>29</v>
      </c>
      <c r="E736" s="947"/>
      <c r="F736" s="947"/>
      <c r="G736" s="947"/>
      <c r="H736" s="981"/>
      <c r="I736" s="947"/>
      <c r="J736" s="947"/>
      <c r="K736" s="940">
        <f t="shared" si="104"/>
        <v>0</v>
      </c>
      <c r="L736" s="949"/>
      <c r="M736" s="949"/>
      <c r="N736" s="947"/>
      <c r="O736" s="927"/>
      <c r="P736" s="949"/>
      <c r="Q736" s="950"/>
      <c r="R736" s="949"/>
      <c r="S736" s="949"/>
      <c r="T736" s="907"/>
      <c r="U736" s="947"/>
      <c r="V736" s="947"/>
      <c r="W736" s="951"/>
      <c r="X736" s="949"/>
      <c r="Y736" s="948"/>
      <c r="Z736" s="909"/>
      <c r="AA736" s="947"/>
      <c r="AB736" s="950"/>
      <c r="AC736" s="927"/>
      <c r="AD736" s="952"/>
      <c r="AE736" s="1095"/>
      <c r="AF736" s="950"/>
      <c r="AG736" s="953"/>
      <c r="AH736" s="953"/>
      <c r="AI736" s="939">
        <f t="shared" si="105"/>
        <v>0</v>
      </c>
      <c r="AJ736" s="939">
        <f t="shared" si="106"/>
        <v>0</v>
      </c>
    </row>
    <row r="737" spans="3:36" x14ac:dyDescent="0.2">
      <c r="C737" s="225" t="s">
        <v>936</v>
      </c>
      <c r="D737" s="426">
        <v>30</v>
      </c>
      <c r="E737" s="947"/>
      <c r="F737" s="947"/>
      <c r="G737" s="947"/>
      <c r="H737" s="981"/>
      <c r="I737" s="947"/>
      <c r="J737" s="947"/>
      <c r="K737" s="940">
        <f t="shared" si="104"/>
        <v>0</v>
      </c>
      <c r="L737" s="949"/>
      <c r="M737" s="949"/>
      <c r="N737" s="947"/>
      <c r="O737" s="927"/>
      <c r="P737" s="949"/>
      <c r="Q737" s="950"/>
      <c r="R737" s="949"/>
      <c r="S737" s="949"/>
      <c r="T737" s="907"/>
      <c r="U737" s="947"/>
      <c r="V737" s="947"/>
      <c r="W737" s="951"/>
      <c r="X737" s="949"/>
      <c r="Y737" s="948"/>
      <c r="Z737" s="909"/>
      <c r="AA737" s="947"/>
      <c r="AB737" s="950"/>
      <c r="AC737" s="927"/>
      <c r="AD737" s="952"/>
      <c r="AE737" s="1095"/>
      <c r="AF737" s="950"/>
      <c r="AG737" s="953"/>
      <c r="AH737" s="953"/>
      <c r="AI737" s="939">
        <f t="shared" si="105"/>
        <v>0</v>
      </c>
      <c r="AJ737" s="939">
        <f t="shared" si="106"/>
        <v>0</v>
      </c>
    </row>
    <row r="738" spans="3:36" x14ac:dyDescent="0.2">
      <c r="C738" s="225" t="s">
        <v>561</v>
      </c>
      <c r="D738" s="426">
        <v>31</v>
      </c>
      <c r="E738" s="947"/>
      <c r="F738" s="947"/>
      <c r="G738" s="947"/>
      <c r="H738" s="981"/>
      <c r="I738" s="947"/>
      <c r="J738" s="947"/>
      <c r="K738" s="940">
        <f t="shared" si="104"/>
        <v>0</v>
      </c>
      <c r="L738" s="949"/>
      <c r="M738" s="949"/>
      <c r="N738" s="947"/>
      <c r="O738" s="927"/>
      <c r="P738" s="949"/>
      <c r="Q738" s="950"/>
      <c r="R738" s="949"/>
      <c r="S738" s="949"/>
      <c r="T738" s="907"/>
      <c r="U738" s="947"/>
      <c r="V738" s="947"/>
      <c r="W738" s="951"/>
      <c r="X738" s="949"/>
      <c r="Y738" s="948"/>
      <c r="Z738" s="909"/>
      <c r="AA738" s="947"/>
      <c r="AB738" s="950"/>
      <c r="AC738" s="927"/>
      <c r="AD738" s="952"/>
      <c r="AE738" s="1095"/>
      <c r="AF738" s="950"/>
      <c r="AG738" s="953"/>
      <c r="AH738" s="953"/>
      <c r="AI738" s="939">
        <f t="shared" si="105"/>
        <v>0</v>
      </c>
      <c r="AJ738" s="939">
        <f t="shared" si="106"/>
        <v>0</v>
      </c>
    </row>
    <row r="739" spans="3:36" x14ac:dyDescent="0.2">
      <c r="C739" s="225" t="s">
        <v>562</v>
      </c>
      <c r="D739" s="426">
        <v>32</v>
      </c>
      <c r="E739" s="947"/>
      <c r="F739" s="947"/>
      <c r="G739" s="947"/>
      <c r="H739" s="981"/>
      <c r="I739" s="947"/>
      <c r="J739" s="947"/>
      <c r="K739" s="940">
        <f t="shared" si="104"/>
        <v>0</v>
      </c>
      <c r="L739" s="949"/>
      <c r="M739" s="949"/>
      <c r="N739" s="947"/>
      <c r="O739" s="927"/>
      <c r="P739" s="949"/>
      <c r="Q739" s="950"/>
      <c r="R739" s="949"/>
      <c r="S739" s="949"/>
      <c r="T739" s="907"/>
      <c r="U739" s="947"/>
      <c r="V739" s="947"/>
      <c r="W739" s="951"/>
      <c r="X739" s="949"/>
      <c r="Y739" s="948"/>
      <c r="Z739" s="909"/>
      <c r="AA739" s="947"/>
      <c r="AB739" s="950"/>
      <c r="AC739" s="927"/>
      <c r="AD739" s="952"/>
      <c r="AE739" s="1095"/>
      <c r="AF739" s="950"/>
      <c r="AG739" s="953"/>
      <c r="AH739" s="953"/>
      <c r="AI739" s="939">
        <f t="shared" si="105"/>
        <v>0</v>
      </c>
      <c r="AJ739" s="939">
        <f t="shared" si="106"/>
        <v>0</v>
      </c>
    </row>
    <row r="740" spans="3:36" x14ac:dyDescent="0.2">
      <c r="C740" s="225" t="s">
        <v>128</v>
      </c>
      <c r="D740" s="426">
        <v>33</v>
      </c>
      <c r="E740" s="947"/>
      <c r="F740" s="947"/>
      <c r="G740" s="947"/>
      <c r="H740" s="981"/>
      <c r="I740" s="947"/>
      <c r="J740" s="947"/>
      <c r="K740" s="940">
        <f t="shared" si="104"/>
        <v>0</v>
      </c>
      <c r="L740" s="949"/>
      <c r="M740" s="949"/>
      <c r="N740" s="947"/>
      <c r="O740" s="927"/>
      <c r="P740" s="949"/>
      <c r="Q740" s="950"/>
      <c r="R740" s="949"/>
      <c r="S740" s="949"/>
      <c r="T740" s="907"/>
      <c r="U740" s="947"/>
      <c r="V740" s="947"/>
      <c r="W740" s="951"/>
      <c r="X740" s="949"/>
      <c r="Y740" s="948"/>
      <c r="Z740" s="909"/>
      <c r="AA740" s="947"/>
      <c r="AB740" s="950"/>
      <c r="AC740" s="927"/>
      <c r="AD740" s="952"/>
      <c r="AE740" s="1095"/>
      <c r="AF740" s="950"/>
      <c r="AG740" s="953"/>
      <c r="AH740" s="953"/>
      <c r="AI740" s="939">
        <f t="shared" ref="AI740:AI764" si="107">ROUND(SUM(L740:O740,R740:T740,W740,Z740,AC740,AG740:AH740),3)</f>
        <v>0</v>
      </c>
      <c r="AJ740" s="939">
        <f t="shared" ref="AJ740:AJ764" si="108">ROUND(SUM(K740,AI740),3)</f>
        <v>0</v>
      </c>
    </row>
    <row r="741" spans="3:36" x14ac:dyDescent="0.2">
      <c r="C741" s="225" t="s">
        <v>151</v>
      </c>
      <c r="D741" s="426">
        <v>34</v>
      </c>
      <c r="E741" s="947"/>
      <c r="F741" s="947"/>
      <c r="G741" s="947"/>
      <c r="H741" s="981"/>
      <c r="I741" s="947"/>
      <c r="J741" s="947"/>
      <c r="K741" s="940">
        <f t="shared" si="104"/>
        <v>0</v>
      </c>
      <c r="L741" s="949"/>
      <c r="M741" s="949"/>
      <c r="N741" s="947"/>
      <c r="O741" s="927"/>
      <c r="P741" s="949"/>
      <c r="Q741" s="950"/>
      <c r="R741" s="949"/>
      <c r="S741" s="949"/>
      <c r="T741" s="907"/>
      <c r="U741" s="947"/>
      <c r="V741" s="947"/>
      <c r="W741" s="951"/>
      <c r="X741" s="949"/>
      <c r="Y741" s="948"/>
      <c r="Z741" s="909"/>
      <c r="AA741" s="947"/>
      <c r="AB741" s="950"/>
      <c r="AC741" s="927"/>
      <c r="AD741" s="952"/>
      <c r="AE741" s="1095"/>
      <c r="AF741" s="950"/>
      <c r="AG741" s="953"/>
      <c r="AH741" s="953"/>
      <c r="AI741" s="939">
        <f t="shared" si="107"/>
        <v>0</v>
      </c>
      <c r="AJ741" s="939">
        <f t="shared" si="108"/>
        <v>0</v>
      </c>
    </row>
    <row r="742" spans="3:36" x14ac:dyDescent="0.2">
      <c r="C742" s="74" t="s">
        <v>129</v>
      </c>
      <c r="D742" s="426">
        <v>35</v>
      </c>
      <c r="E742" s="947"/>
      <c r="F742" s="947"/>
      <c r="G742" s="947"/>
      <c r="H742" s="981"/>
      <c r="I742" s="947"/>
      <c r="J742" s="947"/>
      <c r="K742" s="940">
        <f t="shared" si="104"/>
        <v>0</v>
      </c>
      <c r="L742" s="949"/>
      <c r="M742" s="949"/>
      <c r="N742" s="947"/>
      <c r="O742" s="927"/>
      <c r="P742" s="949"/>
      <c r="Q742" s="950"/>
      <c r="R742" s="949"/>
      <c r="S742" s="949"/>
      <c r="T742" s="907"/>
      <c r="U742" s="947"/>
      <c r="V742" s="947"/>
      <c r="W742" s="951"/>
      <c r="X742" s="949"/>
      <c r="Y742" s="948"/>
      <c r="Z742" s="909"/>
      <c r="AA742" s="947"/>
      <c r="AB742" s="950"/>
      <c r="AC742" s="927"/>
      <c r="AD742" s="952"/>
      <c r="AE742" s="1095"/>
      <c r="AF742" s="950"/>
      <c r="AG742" s="953"/>
      <c r="AH742" s="953"/>
      <c r="AI742" s="939">
        <f t="shared" si="107"/>
        <v>0</v>
      </c>
      <c r="AJ742" s="939">
        <f t="shared" si="108"/>
        <v>0</v>
      </c>
    </row>
    <row r="743" spans="3:36" x14ac:dyDescent="0.2">
      <c r="C743" s="225" t="s">
        <v>939</v>
      </c>
      <c r="D743" s="426">
        <v>36</v>
      </c>
      <c r="E743" s="947"/>
      <c r="F743" s="947"/>
      <c r="G743" s="947"/>
      <c r="H743" s="981"/>
      <c r="I743" s="947"/>
      <c r="J743" s="947"/>
      <c r="K743" s="940">
        <f t="shared" si="104"/>
        <v>0</v>
      </c>
      <c r="L743" s="949"/>
      <c r="M743" s="949"/>
      <c r="N743" s="947"/>
      <c r="O743" s="927"/>
      <c r="P743" s="949"/>
      <c r="Q743" s="950"/>
      <c r="R743" s="949"/>
      <c r="S743" s="949"/>
      <c r="T743" s="907"/>
      <c r="U743" s="947"/>
      <c r="V743" s="947"/>
      <c r="W743" s="951"/>
      <c r="X743" s="949"/>
      <c r="Y743" s="948"/>
      <c r="Z743" s="909"/>
      <c r="AA743" s="947"/>
      <c r="AB743" s="950"/>
      <c r="AC743" s="927"/>
      <c r="AD743" s="952"/>
      <c r="AE743" s="1095"/>
      <c r="AF743" s="950"/>
      <c r="AG743" s="953"/>
      <c r="AH743" s="953"/>
      <c r="AI743" s="939">
        <f t="shared" si="107"/>
        <v>0</v>
      </c>
      <c r="AJ743" s="939">
        <f t="shared" si="108"/>
        <v>0</v>
      </c>
    </row>
    <row r="744" spans="3:36" x14ac:dyDescent="0.2">
      <c r="C744" s="225" t="s">
        <v>568</v>
      </c>
      <c r="D744" s="426">
        <v>37</v>
      </c>
      <c r="E744" s="947"/>
      <c r="F744" s="947"/>
      <c r="G744" s="947"/>
      <c r="H744" s="981"/>
      <c r="I744" s="947"/>
      <c r="J744" s="947"/>
      <c r="K744" s="940">
        <f t="shared" ref="K744:K764" si="109">ROUND(SUM(E744:H744,J744),3)</f>
        <v>0</v>
      </c>
      <c r="L744" s="949"/>
      <c r="M744" s="949"/>
      <c r="N744" s="954"/>
      <c r="O744" s="927"/>
      <c r="P744" s="955"/>
      <c r="Q744" s="950"/>
      <c r="R744" s="949"/>
      <c r="S744" s="949"/>
      <c r="T744" s="907"/>
      <c r="U744" s="947"/>
      <c r="V744" s="947"/>
      <c r="W744" s="951"/>
      <c r="X744" s="949"/>
      <c r="Y744" s="948"/>
      <c r="Z744" s="909"/>
      <c r="AA744" s="947"/>
      <c r="AB744" s="950"/>
      <c r="AC744" s="927"/>
      <c r="AD744" s="952"/>
      <c r="AE744" s="1095"/>
      <c r="AF744" s="950"/>
      <c r="AG744" s="953"/>
      <c r="AH744" s="953"/>
      <c r="AI744" s="939">
        <f t="shared" si="107"/>
        <v>0</v>
      </c>
      <c r="AJ744" s="939">
        <f t="shared" si="108"/>
        <v>0</v>
      </c>
    </row>
    <row r="745" spans="3:36" x14ac:dyDescent="0.2">
      <c r="C745" s="225" t="s">
        <v>130</v>
      </c>
      <c r="D745" s="426">
        <v>38</v>
      </c>
      <c r="E745" s="947"/>
      <c r="F745" s="947"/>
      <c r="G745" s="947"/>
      <c r="H745" s="981"/>
      <c r="I745" s="947"/>
      <c r="J745" s="947"/>
      <c r="K745" s="940">
        <f t="shared" si="109"/>
        <v>0</v>
      </c>
      <c r="L745" s="949"/>
      <c r="M745" s="949"/>
      <c r="N745" s="954"/>
      <c r="O745" s="927"/>
      <c r="P745" s="955"/>
      <c r="Q745" s="950"/>
      <c r="R745" s="949"/>
      <c r="S745" s="949"/>
      <c r="T745" s="907"/>
      <c r="U745" s="947"/>
      <c r="V745" s="947"/>
      <c r="W745" s="951"/>
      <c r="X745" s="949"/>
      <c r="Y745" s="948"/>
      <c r="Z745" s="909"/>
      <c r="AA745" s="947"/>
      <c r="AB745" s="950"/>
      <c r="AC745" s="927"/>
      <c r="AD745" s="952"/>
      <c r="AE745" s="1095"/>
      <c r="AF745" s="950"/>
      <c r="AG745" s="953"/>
      <c r="AH745" s="953"/>
      <c r="AI745" s="939">
        <f t="shared" si="107"/>
        <v>0</v>
      </c>
      <c r="AJ745" s="939">
        <f t="shared" si="108"/>
        <v>0</v>
      </c>
    </row>
    <row r="746" spans="3:36" x14ac:dyDescent="0.2">
      <c r="C746" s="225" t="s">
        <v>131</v>
      </c>
      <c r="D746" s="426">
        <v>39</v>
      </c>
      <c r="E746" s="947"/>
      <c r="F746" s="947"/>
      <c r="G746" s="947"/>
      <c r="H746" s="981"/>
      <c r="I746" s="947"/>
      <c r="J746" s="947"/>
      <c r="K746" s="940">
        <f t="shared" si="109"/>
        <v>0</v>
      </c>
      <c r="L746" s="949"/>
      <c r="M746" s="949"/>
      <c r="N746" s="954"/>
      <c r="O746" s="927"/>
      <c r="P746" s="955"/>
      <c r="Q746" s="950"/>
      <c r="R746" s="949"/>
      <c r="S746" s="949"/>
      <c r="T746" s="907"/>
      <c r="U746" s="947"/>
      <c r="V746" s="947"/>
      <c r="W746" s="951"/>
      <c r="X746" s="949"/>
      <c r="Y746" s="948"/>
      <c r="Z746" s="909"/>
      <c r="AA746" s="947"/>
      <c r="AB746" s="950"/>
      <c r="AC746" s="927"/>
      <c r="AD746" s="952"/>
      <c r="AE746" s="1095"/>
      <c r="AF746" s="950"/>
      <c r="AG746" s="953"/>
      <c r="AH746" s="953"/>
      <c r="AI746" s="939">
        <f t="shared" si="107"/>
        <v>0</v>
      </c>
      <c r="AJ746" s="939">
        <f t="shared" si="108"/>
        <v>0</v>
      </c>
    </row>
    <row r="747" spans="3:36" x14ac:dyDescent="0.2">
      <c r="C747" s="74" t="s">
        <v>1365</v>
      </c>
      <c r="D747" s="426">
        <v>40</v>
      </c>
      <c r="E747" s="947"/>
      <c r="F747" s="947"/>
      <c r="G747" s="947"/>
      <c r="H747" s="981"/>
      <c r="I747" s="947"/>
      <c r="J747" s="947"/>
      <c r="K747" s="940">
        <f t="shared" si="109"/>
        <v>0</v>
      </c>
      <c r="L747" s="949"/>
      <c r="M747" s="949"/>
      <c r="N747" s="954"/>
      <c r="O747" s="927"/>
      <c r="P747" s="955"/>
      <c r="Q747" s="950"/>
      <c r="R747" s="949"/>
      <c r="S747" s="949"/>
      <c r="T747" s="907"/>
      <c r="U747" s="947"/>
      <c r="V747" s="947"/>
      <c r="W747" s="951"/>
      <c r="X747" s="949"/>
      <c r="Y747" s="948"/>
      <c r="Z747" s="909"/>
      <c r="AA747" s="947"/>
      <c r="AB747" s="950"/>
      <c r="AC747" s="927"/>
      <c r="AD747" s="952"/>
      <c r="AE747" s="1095"/>
      <c r="AF747" s="950"/>
      <c r="AG747" s="953"/>
      <c r="AH747" s="953"/>
      <c r="AI747" s="939">
        <f t="shared" si="107"/>
        <v>0</v>
      </c>
      <c r="AJ747" s="939">
        <f t="shared" si="108"/>
        <v>0</v>
      </c>
    </row>
    <row r="748" spans="3:36" x14ac:dyDescent="0.2">
      <c r="C748" s="427" t="s">
        <v>132</v>
      </c>
      <c r="D748" s="426">
        <v>41</v>
      </c>
      <c r="E748" s="947"/>
      <c r="F748" s="947"/>
      <c r="G748" s="947"/>
      <c r="H748" s="981"/>
      <c r="I748" s="947"/>
      <c r="J748" s="947"/>
      <c r="K748" s="940">
        <f t="shared" si="109"/>
        <v>0</v>
      </c>
      <c r="L748" s="949"/>
      <c r="M748" s="949"/>
      <c r="N748" s="954"/>
      <c r="O748" s="927"/>
      <c r="P748" s="955"/>
      <c r="Q748" s="950"/>
      <c r="R748" s="949"/>
      <c r="S748" s="949"/>
      <c r="T748" s="907"/>
      <c r="U748" s="947"/>
      <c r="V748" s="947"/>
      <c r="W748" s="951"/>
      <c r="X748" s="949"/>
      <c r="Y748" s="948"/>
      <c r="Z748" s="909"/>
      <c r="AA748" s="947"/>
      <c r="AB748" s="950"/>
      <c r="AC748" s="927"/>
      <c r="AD748" s="952"/>
      <c r="AE748" s="1095"/>
      <c r="AF748" s="950"/>
      <c r="AG748" s="953"/>
      <c r="AH748" s="953"/>
      <c r="AI748" s="939">
        <f t="shared" si="107"/>
        <v>0</v>
      </c>
      <c r="AJ748" s="939">
        <f t="shared" si="108"/>
        <v>0</v>
      </c>
    </row>
    <row r="749" spans="3:36" x14ac:dyDescent="0.2">
      <c r="C749" s="427" t="s">
        <v>133</v>
      </c>
      <c r="D749" s="426">
        <v>42</v>
      </c>
      <c r="E749" s="947"/>
      <c r="F749" s="947"/>
      <c r="G749" s="947"/>
      <c r="H749" s="981"/>
      <c r="I749" s="947"/>
      <c r="J749" s="947"/>
      <c r="K749" s="940">
        <f t="shared" si="109"/>
        <v>0</v>
      </c>
      <c r="L749" s="949"/>
      <c r="M749" s="949"/>
      <c r="N749" s="947"/>
      <c r="O749" s="927"/>
      <c r="P749" s="949"/>
      <c r="Q749" s="950"/>
      <c r="R749" s="949"/>
      <c r="S749" s="949"/>
      <c r="T749" s="907"/>
      <c r="U749" s="947"/>
      <c r="V749" s="947"/>
      <c r="W749" s="951"/>
      <c r="X749" s="949"/>
      <c r="Y749" s="948"/>
      <c r="Z749" s="909"/>
      <c r="AA749" s="947"/>
      <c r="AB749" s="950"/>
      <c r="AC749" s="927"/>
      <c r="AD749" s="952"/>
      <c r="AE749" s="1095"/>
      <c r="AF749" s="950"/>
      <c r="AG749" s="953"/>
      <c r="AH749" s="953"/>
      <c r="AI749" s="939">
        <f t="shared" si="107"/>
        <v>0</v>
      </c>
      <c r="AJ749" s="939">
        <f t="shared" si="108"/>
        <v>0</v>
      </c>
    </row>
    <row r="750" spans="3:36" x14ac:dyDescent="0.2">
      <c r="C750" s="427" t="s">
        <v>134</v>
      </c>
      <c r="D750" s="426">
        <v>43</v>
      </c>
      <c r="E750" s="947"/>
      <c r="F750" s="947"/>
      <c r="G750" s="947"/>
      <c r="H750" s="981"/>
      <c r="I750" s="947"/>
      <c r="J750" s="947"/>
      <c r="K750" s="940">
        <f t="shared" si="109"/>
        <v>0</v>
      </c>
      <c r="L750" s="949"/>
      <c r="M750" s="949"/>
      <c r="N750" s="947"/>
      <c r="O750" s="927"/>
      <c r="P750" s="949"/>
      <c r="Q750" s="950"/>
      <c r="R750" s="949"/>
      <c r="S750" s="949"/>
      <c r="T750" s="907"/>
      <c r="U750" s="947"/>
      <c r="V750" s="947"/>
      <c r="W750" s="951"/>
      <c r="X750" s="949"/>
      <c r="Y750" s="948"/>
      <c r="Z750" s="909"/>
      <c r="AA750" s="947"/>
      <c r="AB750" s="950"/>
      <c r="AC750" s="927"/>
      <c r="AD750" s="952"/>
      <c r="AE750" s="1095"/>
      <c r="AF750" s="950"/>
      <c r="AG750" s="953"/>
      <c r="AH750" s="953"/>
      <c r="AI750" s="939">
        <f t="shared" si="107"/>
        <v>0</v>
      </c>
      <c r="AJ750" s="939">
        <f t="shared" si="108"/>
        <v>0</v>
      </c>
    </row>
    <row r="751" spans="3:36" x14ac:dyDescent="0.2">
      <c r="C751" s="427" t="s">
        <v>59</v>
      </c>
      <c r="D751" s="426">
        <v>44</v>
      </c>
      <c r="E751" s="947"/>
      <c r="F751" s="947"/>
      <c r="G751" s="947"/>
      <c r="H751" s="981"/>
      <c r="I751" s="947"/>
      <c r="J751" s="947"/>
      <c r="K751" s="940">
        <f t="shared" si="109"/>
        <v>0</v>
      </c>
      <c r="L751" s="949"/>
      <c r="M751" s="949"/>
      <c r="N751" s="947"/>
      <c r="O751" s="927"/>
      <c r="P751" s="949"/>
      <c r="Q751" s="950"/>
      <c r="R751" s="949"/>
      <c r="S751" s="949"/>
      <c r="T751" s="907"/>
      <c r="U751" s="947"/>
      <c r="V751" s="947"/>
      <c r="W751" s="951"/>
      <c r="X751" s="949"/>
      <c r="Y751" s="948"/>
      <c r="Z751" s="909"/>
      <c r="AA751" s="947"/>
      <c r="AB751" s="950"/>
      <c r="AC751" s="927"/>
      <c r="AD751" s="952"/>
      <c r="AE751" s="1095"/>
      <c r="AF751" s="950"/>
      <c r="AG751" s="953"/>
      <c r="AH751" s="953"/>
      <c r="AI751" s="939">
        <f t="shared" si="107"/>
        <v>0</v>
      </c>
      <c r="AJ751" s="939">
        <f t="shared" si="108"/>
        <v>0</v>
      </c>
    </row>
    <row r="752" spans="3:36" x14ac:dyDescent="0.2">
      <c r="C752" s="427" t="s">
        <v>621</v>
      </c>
      <c r="D752" s="426">
        <v>45</v>
      </c>
      <c r="E752" s="947"/>
      <c r="F752" s="947"/>
      <c r="G752" s="947"/>
      <c r="H752" s="981"/>
      <c r="I752" s="947"/>
      <c r="J752" s="947"/>
      <c r="K752" s="940">
        <f t="shared" si="109"/>
        <v>0</v>
      </c>
      <c r="L752" s="949"/>
      <c r="M752" s="949"/>
      <c r="N752" s="947"/>
      <c r="O752" s="927"/>
      <c r="P752" s="949"/>
      <c r="Q752" s="950"/>
      <c r="R752" s="949"/>
      <c r="S752" s="949"/>
      <c r="T752" s="907"/>
      <c r="U752" s="947"/>
      <c r="V752" s="947"/>
      <c r="W752" s="951"/>
      <c r="X752" s="949"/>
      <c r="Y752" s="948"/>
      <c r="Z752" s="909"/>
      <c r="AA752" s="947"/>
      <c r="AB752" s="950"/>
      <c r="AC752" s="927"/>
      <c r="AD752" s="952"/>
      <c r="AE752" s="1095"/>
      <c r="AF752" s="950"/>
      <c r="AG752" s="953"/>
      <c r="AH752" s="953"/>
      <c r="AI752" s="939">
        <f t="shared" si="107"/>
        <v>0</v>
      </c>
      <c r="AJ752" s="939">
        <f t="shared" si="108"/>
        <v>0</v>
      </c>
    </row>
    <row r="753" spans="3:36" x14ac:dyDescent="0.2">
      <c r="C753" s="427" t="s">
        <v>569</v>
      </c>
      <c r="D753" s="426">
        <v>46</v>
      </c>
      <c r="E753" s="947"/>
      <c r="F753" s="947"/>
      <c r="G753" s="947"/>
      <c r="H753" s="981"/>
      <c r="I753" s="947"/>
      <c r="J753" s="947"/>
      <c r="K753" s="940">
        <f t="shared" si="109"/>
        <v>0</v>
      </c>
      <c r="L753" s="949"/>
      <c r="M753" s="949"/>
      <c r="N753" s="954"/>
      <c r="O753" s="927"/>
      <c r="P753" s="955"/>
      <c r="Q753" s="950"/>
      <c r="R753" s="949"/>
      <c r="S753" s="949"/>
      <c r="T753" s="907"/>
      <c r="U753" s="947"/>
      <c r="V753" s="947"/>
      <c r="W753" s="951"/>
      <c r="X753" s="949"/>
      <c r="Y753" s="948"/>
      <c r="Z753" s="909"/>
      <c r="AA753" s="947"/>
      <c r="AB753" s="950"/>
      <c r="AC753" s="927"/>
      <c r="AD753" s="952"/>
      <c r="AE753" s="1095"/>
      <c r="AF753" s="950"/>
      <c r="AG753" s="953"/>
      <c r="AH753" s="953"/>
      <c r="AI753" s="939">
        <f t="shared" si="107"/>
        <v>0</v>
      </c>
      <c r="AJ753" s="939">
        <f t="shared" si="108"/>
        <v>0</v>
      </c>
    </row>
    <row r="754" spans="3:36" x14ac:dyDescent="0.2">
      <c r="C754" s="427" t="s">
        <v>99</v>
      </c>
      <c r="D754" s="426">
        <v>47</v>
      </c>
      <c r="E754" s="947"/>
      <c r="F754" s="947"/>
      <c r="G754" s="947"/>
      <c r="H754" s="981"/>
      <c r="I754" s="947"/>
      <c r="J754" s="947"/>
      <c r="K754" s="940">
        <f t="shared" si="109"/>
        <v>0</v>
      </c>
      <c r="L754" s="949"/>
      <c r="M754" s="949"/>
      <c r="N754" s="947"/>
      <c r="O754" s="927"/>
      <c r="P754" s="949"/>
      <c r="Q754" s="950"/>
      <c r="R754" s="949"/>
      <c r="S754" s="949"/>
      <c r="T754" s="907"/>
      <c r="U754" s="947"/>
      <c r="V754" s="947"/>
      <c r="W754" s="951"/>
      <c r="X754" s="949"/>
      <c r="Y754" s="948"/>
      <c r="Z754" s="909"/>
      <c r="AA754" s="947"/>
      <c r="AB754" s="950"/>
      <c r="AC754" s="927"/>
      <c r="AD754" s="952"/>
      <c r="AE754" s="1095"/>
      <c r="AF754" s="950"/>
      <c r="AG754" s="953"/>
      <c r="AH754" s="953"/>
      <c r="AI754" s="939">
        <f t="shared" si="107"/>
        <v>0</v>
      </c>
      <c r="AJ754" s="939">
        <f t="shared" si="108"/>
        <v>0</v>
      </c>
    </row>
    <row r="755" spans="3:36" x14ac:dyDescent="0.2">
      <c r="C755" s="427" t="s">
        <v>570</v>
      </c>
      <c r="D755" s="426">
        <v>48</v>
      </c>
      <c r="E755" s="947"/>
      <c r="F755" s="947"/>
      <c r="G755" s="947"/>
      <c r="H755" s="981"/>
      <c r="I755" s="947"/>
      <c r="J755" s="947"/>
      <c r="K755" s="940">
        <f t="shared" si="109"/>
        <v>0</v>
      </c>
      <c r="L755" s="949"/>
      <c r="M755" s="949"/>
      <c r="N755" s="947"/>
      <c r="O755" s="927"/>
      <c r="P755" s="949"/>
      <c r="Q755" s="950"/>
      <c r="R755" s="949"/>
      <c r="S755" s="949"/>
      <c r="T755" s="907"/>
      <c r="U755" s="947"/>
      <c r="V755" s="947"/>
      <c r="W755" s="951"/>
      <c r="X755" s="949"/>
      <c r="Y755" s="948"/>
      <c r="Z755" s="909"/>
      <c r="AA755" s="947"/>
      <c r="AB755" s="950"/>
      <c r="AC755" s="927"/>
      <c r="AD755" s="952"/>
      <c r="AE755" s="1095"/>
      <c r="AF755" s="950"/>
      <c r="AG755" s="953"/>
      <c r="AH755" s="953"/>
      <c r="AI755" s="939">
        <f t="shared" si="107"/>
        <v>0</v>
      </c>
      <c r="AJ755" s="939">
        <f t="shared" si="108"/>
        <v>0</v>
      </c>
    </row>
    <row r="756" spans="3:36" x14ac:dyDescent="0.2">
      <c r="C756" s="427" t="s">
        <v>135</v>
      </c>
      <c r="D756" s="426">
        <v>49</v>
      </c>
      <c r="E756" s="947"/>
      <c r="F756" s="947"/>
      <c r="G756" s="947"/>
      <c r="H756" s="981"/>
      <c r="I756" s="947"/>
      <c r="J756" s="947"/>
      <c r="K756" s="940">
        <f t="shared" si="109"/>
        <v>0</v>
      </c>
      <c r="L756" s="949"/>
      <c r="M756" s="949"/>
      <c r="N756" s="947"/>
      <c r="O756" s="927"/>
      <c r="P756" s="949"/>
      <c r="Q756" s="950"/>
      <c r="R756" s="949"/>
      <c r="S756" s="949"/>
      <c r="T756" s="907"/>
      <c r="U756" s="947"/>
      <c r="V756" s="947"/>
      <c r="W756" s="951"/>
      <c r="X756" s="949"/>
      <c r="Y756" s="948"/>
      <c r="Z756" s="909"/>
      <c r="AA756" s="947"/>
      <c r="AB756" s="950"/>
      <c r="AC756" s="927"/>
      <c r="AD756" s="952"/>
      <c r="AE756" s="1095"/>
      <c r="AF756" s="950"/>
      <c r="AG756" s="953"/>
      <c r="AH756" s="953"/>
      <c r="AI756" s="939">
        <f t="shared" si="107"/>
        <v>0</v>
      </c>
      <c r="AJ756" s="939">
        <f t="shared" si="108"/>
        <v>0</v>
      </c>
    </row>
    <row r="757" spans="3:36" x14ac:dyDescent="0.2">
      <c r="C757" s="427" t="s">
        <v>136</v>
      </c>
      <c r="D757" s="426">
        <v>50</v>
      </c>
      <c r="E757" s="947"/>
      <c r="F757" s="947"/>
      <c r="G757" s="947"/>
      <c r="H757" s="981"/>
      <c r="I757" s="947"/>
      <c r="J757" s="947"/>
      <c r="K757" s="940">
        <f t="shared" si="109"/>
        <v>0</v>
      </c>
      <c r="L757" s="949"/>
      <c r="M757" s="949"/>
      <c r="N757" s="947"/>
      <c r="O757" s="927"/>
      <c r="P757" s="949"/>
      <c r="Q757" s="950"/>
      <c r="R757" s="949"/>
      <c r="S757" s="949"/>
      <c r="T757" s="907"/>
      <c r="U757" s="947"/>
      <c r="V757" s="947"/>
      <c r="W757" s="951"/>
      <c r="X757" s="949"/>
      <c r="Y757" s="948"/>
      <c r="Z757" s="909"/>
      <c r="AA757" s="947"/>
      <c r="AB757" s="950"/>
      <c r="AC757" s="927"/>
      <c r="AD757" s="952"/>
      <c r="AE757" s="1095"/>
      <c r="AF757" s="950"/>
      <c r="AG757" s="953"/>
      <c r="AH757" s="953"/>
      <c r="AI757" s="939">
        <f t="shared" si="107"/>
        <v>0</v>
      </c>
      <c r="AJ757" s="939">
        <f t="shared" si="108"/>
        <v>0</v>
      </c>
    </row>
    <row r="758" spans="3:36" x14ac:dyDescent="0.2">
      <c r="C758" s="427" t="s">
        <v>137</v>
      </c>
      <c r="D758" s="426">
        <v>51</v>
      </c>
      <c r="E758" s="947"/>
      <c r="F758" s="947"/>
      <c r="G758" s="947"/>
      <c r="H758" s="981"/>
      <c r="I758" s="947"/>
      <c r="J758" s="947"/>
      <c r="K758" s="940">
        <f t="shared" si="109"/>
        <v>0</v>
      </c>
      <c r="L758" s="949"/>
      <c r="M758" s="949"/>
      <c r="N758" s="947"/>
      <c r="O758" s="927"/>
      <c r="P758" s="949"/>
      <c r="Q758" s="950"/>
      <c r="R758" s="949"/>
      <c r="S758" s="949"/>
      <c r="T758" s="907"/>
      <c r="U758" s="947"/>
      <c r="V758" s="947"/>
      <c r="W758" s="951"/>
      <c r="X758" s="949"/>
      <c r="Y758" s="948"/>
      <c r="Z758" s="909"/>
      <c r="AA758" s="947"/>
      <c r="AB758" s="950"/>
      <c r="AC758" s="927"/>
      <c r="AD758" s="952"/>
      <c r="AE758" s="1095"/>
      <c r="AF758" s="950"/>
      <c r="AG758" s="953"/>
      <c r="AH758" s="953"/>
      <c r="AI758" s="939">
        <f t="shared" si="107"/>
        <v>0</v>
      </c>
      <c r="AJ758" s="939">
        <f t="shared" si="108"/>
        <v>0</v>
      </c>
    </row>
    <row r="759" spans="3:36" x14ac:dyDescent="0.2">
      <c r="C759" s="427" t="s">
        <v>138</v>
      </c>
      <c r="D759" s="426">
        <v>52</v>
      </c>
      <c r="E759" s="947"/>
      <c r="F759" s="947"/>
      <c r="G759" s="947"/>
      <c r="H759" s="981"/>
      <c r="I759" s="947"/>
      <c r="J759" s="947"/>
      <c r="K759" s="940">
        <f t="shared" si="109"/>
        <v>0</v>
      </c>
      <c r="L759" s="949"/>
      <c r="M759" s="949"/>
      <c r="N759" s="947"/>
      <c r="O759" s="927"/>
      <c r="P759" s="949"/>
      <c r="Q759" s="950"/>
      <c r="R759" s="949"/>
      <c r="S759" s="949"/>
      <c r="T759" s="907"/>
      <c r="U759" s="947"/>
      <c r="V759" s="947"/>
      <c r="W759" s="951"/>
      <c r="X759" s="949"/>
      <c r="Y759" s="948"/>
      <c r="Z759" s="909"/>
      <c r="AA759" s="947"/>
      <c r="AB759" s="950"/>
      <c r="AC759" s="927"/>
      <c r="AD759" s="952"/>
      <c r="AE759" s="1095"/>
      <c r="AF759" s="950"/>
      <c r="AG759" s="953"/>
      <c r="AH759" s="953"/>
      <c r="AI759" s="939">
        <f t="shared" si="107"/>
        <v>0</v>
      </c>
      <c r="AJ759" s="939">
        <f t="shared" si="108"/>
        <v>0</v>
      </c>
    </row>
    <row r="760" spans="3:36" x14ac:dyDescent="0.2">
      <c r="C760" s="427" t="s">
        <v>565</v>
      </c>
      <c r="D760" s="426">
        <v>53</v>
      </c>
      <c r="E760" s="947"/>
      <c r="F760" s="947"/>
      <c r="G760" s="947"/>
      <c r="H760" s="981"/>
      <c r="I760" s="947"/>
      <c r="J760" s="947"/>
      <c r="K760" s="940">
        <f t="shared" si="109"/>
        <v>0</v>
      </c>
      <c r="L760" s="949"/>
      <c r="M760" s="949"/>
      <c r="N760" s="954"/>
      <c r="O760" s="927"/>
      <c r="P760" s="955"/>
      <c r="Q760" s="950"/>
      <c r="R760" s="949"/>
      <c r="S760" s="949"/>
      <c r="T760" s="907"/>
      <c r="U760" s="947"/>
      <c r="V760" s="947"/>
      <c r="W760" s="951"/>
      <c r="X760" s="949"/>
      <c r="Y760" s="948"/>
      <c r="Z760" s="909"/>
      <c r="AA760" s="947"/>
      <c r="AB760" s="950"/>
      <c r="AC760" s="927"/>
      <c r="AD760" s="952"/>
      <c r="AE760" s="1095"/>
      <c r="AF760" s="950"/>
      <c r="AG760" s="953"/>
      <c r="AH760" s="953"/>
      <c r="AI760" s="939">
        <f t="shared" si="107"/>
        <v>0</v>
      </c>
      <c r="AJ760" s="939">
        <f t="shared" si="108"/>
        <v>0</v>
      </c>
    </row>
    <row r="761" spans="3:36" x14ac:dyDescent="0.2">
      <c r="C761" s="427" t="s">
        <v>67</v>
      </c>
      <c r="D761" s="426">
        <v>54</v>
      </c>
      <c r="E761" s="947"/>
      <c r="F761" s="947"/>
      <c r="G761" s="947"/>
      <c r="H761" s="981"/>
      <c r="I761" s="947"/>
      <c r="J761" s="947"/>
      <c r="K761" s="940">
        <f t="shared" si="109"/>
        <v>0</v>
      </c>
      <c r="L761" s="949"/>
      <c r="M761" s="949"/>
      <c r="N761" s="954"/>
      <c r="O761" s="927"/>
      <c r="P761" s="955"/>
      <c r="Q761" s="950"/>
      <c r="R761" s="949"/>
      <c r="S761" s="949"/>
      <c r="T761" s="907"/>
      <c r="U761" s="947"/>
      <c r="V761" s="947"/>
      <c r="W761" s="951"/>
      <c r="X761" s="949"/>
      <c r="Y761" s="948"/>
      <c r="Z761" s="909"/>
      <c r="AA761" s="947"/>
      <c r="AB761" s="950"/>
      <c r="AC761" s="927"/>
      <c r="AD761" s="952"/>
      <c r="AE761" s="1095"/>
      <c r="AF761" s="950"/>
      <c r="AG761" s="953"/>
      <c r="AH761" s="953"/>
      <c r="AI761" s="939">
        <f t="shared" si="107"/>
        <v>0</v>
      </c>
      <c r="AJ761" s="939">
        <f t="shared" si="108"/>
        <v>0</v>
      </c>
    </row>
    <row r="762" spans="3:36" x14ac:dyDescent="0.2">
      <c r="C762" s="427" t="s">
        <v>139</v>
      </c>
      <c r="D762" s="426">
        <v>55</v>
      </c>
      <c r="E762" s="947"/>
      <c r="F762" s="947"/>
      <c r="G762" s="947"/>
      <c r="H762" s="981"/>
      <c r="I762" s="947"/>
      <c r="J762" s="947"/>
      <c r="K762" s="940">
        <f t="shared" si="109"/>
        <v>0</v>
      </c>
      <c r="L762" s="949"/>
      <c r="M762" s="949"/>
      <c r="N762" s="954"/>
      <c r="O762" s="927"/>
      <c r="P762" s="955"/>
      <c r="Q762" s="950"/>
      <c r="R762" s="949"/>
      <c r="S762" s="949"/>
      <c r="T762" s="907"/>
      <c r="U762" s="947"/>
      <c r="V762" s="947"/>
      <c r="W762" s="951"/>
      <c r="X762" s="949"/>
      <c r="Y762" s="948"/>
      <c r="Z762" s="909"/>
      <c r="AA762" s="947"/>
      <c r="AB762" s="950"/>
      <c r="AC762" s="927"/>
      <c r="AD762" s="952"/>
      <c r="AE762" s="1095"/>
      <c r="AF762" s="950"/>
      <c r="AG762" s="953"/>
      <c r="AH762" s="953"/>
      <c r="AI762" s="939">
        <f t="shared" si="107"/>
        <v>0</v>
      </c>
      <c r="AJ762" s="939">
        <f t="shared" si="108"/>
        <v>0</v>
      </c>
    </row>
    <row r="763" spans="3:36" ht="13.5" thickBot="1" x14ac:dyDescent="0.25">
      <c r="C763" s="207" t="s">
        <v>95</v>
      </c>
      <c r="D763" s="426">
        <v>56</v>
      </c>
      <c r="E763" s="947"/>
      <c r="F763" s="947"/>
      <c r="G763" s="947"/>
      <c r="H763" s="981"/>
      <c r="I763" s="947"/>
      <c r="J763" s="947"/>
      <c r="K763" s="940">
        <f t="shared" si="109"/>
        <v>0</v>
      </c>
      <c r="L763" s="949"/>
      <c r="M763" s="949"/>
      <c r="N763" s="954"/>
      <c r="O763" s="982"/>
      <c r="P763" s="955"/>
      <c r="Q763" s="950"/>
      <c r="R763" s="949"/>
      <c r="S763" s="949"/>
      <c r="T763" s="934"/>
      <c r="U763" s="947"/>
      <c r="V763" s="947"/>
      <c r="W763" s="951"/>
      <c r="X763" s="949"/>
      <c r="Y763" s="948"/>
      <c r="Z763" s="983"/>
      <c r="AA763" s="947"/>
      <c r="AB763" s="950"/>
      <c r="AC763" s="982"/>
      <c r="AD763" s="952"/>
      <c r="AE763" s="1095"/>
      <c r="AF763" s="950"/>
      <c r="AG763" s="953"/>
      <c r="AH763" s="953"/>
      <c r="AI763" s="939">
        <f t="shared" si="107"/>
        <v>0</v>
      </c>
      <c r="AJ763" s="939">
        <f t="shared" si="108"/>
        <v>0</v>
      </c>
    </row>
    <row r="764" spans="3:36" ht="13.5" thickBot="1" x14ac:dyDescent="0.25">
      <c r="C764" s="73" t="s">
        <v>899</v>
      </c>
      <c r="D764" s="158">
        <v>57</v>
      </c>
      <c r="E764" s="935">
        <f t="shared" ref="E764:J764" si="110">ROUND(SUM(E708:E763),3)</f>
        <v>0</v>
      </c>
      <c r="F764" s="935">
        <f t="shared" si="110"/>
        <v>0</v>
      </c>
      <c r="G764" s="935">
        <f t="shared" si="110"/>
        <v>0</v>
      </c>
      <c r="H764" s="935">
        <f t="shared" si="110"/>
        <v>0</v>
      </c>
      <c r="I764" s="935">
        <f t="shared" si="110"/>
        <v>0</v>
      </c>
      <c r="J764" s="935">
        <f t="shared" si="110"/>
        <v>0</v>
      </c>
      <c r="K764" s="984">
        <f t="shared" si="109"/>
        <v>0</v>
      </c>
      <c r="L764" s="985">
        <f t="shared" ref="L764:AH764" si="111">ROUND(SUM(L708:L763),3)</f>
        <v>0</v>
      </c>
      <c r="M764" s="935">
        <f t="shared" si="111"/>
        <v>0</v>
      </c>
      <c r="N764" s="984">
        <f t="shared" si="111"/>
        <v>0</v>
      </c>
      <c r="O764" s="986">
        <f t="shared" si="111"/>
        <v>0</v>
      </c>
      <c r="P764" s="935">
        <f t="shared" si="111"/>
        <v>0</v>
      </c>
      <c r="Q764" s="984">
        <f t="shared" si="111"/>
        <v>0</v>
      </c>
      <c r="R764" s="936">
        <f t="shared" si="111"/>
        <v>0</v>
      </c>
      <c r="S764" s="935">
        <f t="shared" si="111"/>
        <v>0</v>
      </c>
      <c r="T764" s="987">
        <f t="shared" si="111"/>
        <v>0</v>
      </c>
      <c r="U764" s="935">
        <f t="shared" si="111"/>
        <v>0</v>
      </c>
      <c r="V764" s="935">
        <f t="shared" si="111"/>
        <v>0</v>
      </c>
      <c r="W764" s="984">
        <f t="shared" si="111"/>
        <v>0</v>
      </c>
      <c r="X764" s="936">
        <f t="shared" si="111"/>
        <v>0</v>
      </c>
      <c r="Y764" s="935">
        <f t="shared" si="111"/>
        <v>0</v>
      </c>
      <c r="Z764" s="988">
        <f t="shared" si="111"/>
        <v>0</v>
      </c>
      <c r="AA764" s="935">
        <f t="shared" si="111"/>
        <v>0</v>
      </c>
      <c r="AB764" s="984">
        <f t="shared" si="111"/>
        <v>0</v>
      </c>
      <c r="AC764" s="986">
        <f t="shared" si="111"/>
        <v>0</v>
      </c>
      <c r="AD764" s="935">
        <f t="shared" si="111"/>
        <v>0</v>
      </c>
      <c r="AE764" s="935">
        <f t="shared" si="111"/>
        <v>0</v>
      </c>
      <c r="AF764" s="984">
        <f t="shared" si="111"/>
        <v>0</v>
      </c>
      <c r="AG764" s="935">
        <f t="shared" si="111"/>
        <v>0</v>
      </c>
      <c r="AH764" s="936">
        <f t="shared" si="111"/>
        <v>0</v>
      </c>
      <c r="AI764" s="935">
        <f t="shared" si="107"/>
        <v>0</v>
      </c>
      <c r="AJ764" s="938">
        <f t="shared" si="108"/>
        <v>0</v>
      </c>
    </row>
    <row r="765" spans="3:36" ht="13.5" thickBot="1" x14ac:dyDescent="0.25">
      <c r="C765" s="205"/>
      <c r="D765" s="204"/>
      <c r="E765" s="989"/>
      <c r="F765" s="989"/>
      <c r="G765" s="989"/>
      <c r="H765" s="989"/>
      <c r="I765" s="989"/>
      <c r="J765" s="989"/>
      <c r="K765" s="989"/>
      <c r="L765" s="989"/>
      <c r="M765" s="989"/>
      <c r="N765" s="989"/>
      <c r="O765" s="989"/>
      <c r="P765" s="989"/>
      <c r="Q765" s="989"/>
      <c r="R765" s="989"/>
      <c r="S765" s="989"/>
      <c r="T765" s="989"/>
      <c r="U765" s="989"/>
      <c r="V765" s="989"/>
      <c r="W765" s="989"/>
      <c r="X765" s="989"/>
      <c r="Y765" s="989"/>
      <c r="Z765" s="989"/>
      <c r="AA765" s="989"/>
      <c r="AB765" s="989"/>
      <c r="AC765" s="989"/>
      <c r="AD765" s="989"/>
      <c r="AE765" s="989"/>
      <c r="AF765" s="989"/>
      <c r="AG765" s="989"/>
      <c r="AH765" s="989"/>
      <c r="AI765" s="989"/>
      <c r="AJ765" s="989"/>
    </row>
    <row r="766" spans="3:36" ht="13.5" thickBot="1" x14ac:dyDescent="0.25">
      <c r="C766" s="206" t="str">
        <f>IF(EnCMember=1,"Total EnC Contracting Parties","Total EU MS")</f>
        <v>Total EU MS</v>
      </c>
      <c r="D766" s="208">
        <v>58</v>
      </c>
      <c r="E766" s="811">
        <f>ROUND(IF('Table 1'!$G$3&gt;1,IF(EnCMember=1,E708+E714+E747+E727+E737+E743+E744+E753+E760+E711+E713+E715+E720+E721+E722+E723+E724+E725+E726+E728+E729+E730+E732+E734+E738+E739+E740+E741+E745+E749+E750+E751+E754+E755+E756+E757+E761,E711+E713+E715+E720+E721+E722+E723+E724+E725+E726+E728+E729+E730+E732+E734+E738+E739+E740+E741+E745+E749+E750+E751+E754+E755+E756+E757+E761),IF(EnCMember=1,E708+E714+E747+E727+E737+E743+E744+E753+E760+E711+E713+E715+E720+E721+E722+E723+E724+E725+E726+E728+E729+E730+E732+E734+E738+E739+E740+E741+E745+E749+E750+E751+E754+E755+E756+E757,E711+E713+E715+E720+E721+E722+E723+E724+E725+E726+E728+E729+E730+E732+E734+E738+E739+E740+E741+E745+E749+E750+E751+E754+E755+E756+E757)),3)</f>
        <v>0</v>
      </c>
      <c r="F766" s="811">
        <f>ROUND(IF('Table 1'!$G$3&gt;1,IF(EnCMember=1,F708+F714+F747+F727+F737+F743+F744+F753+F760+F711+F713+F715+F720+F721+F722+F723+F724+F725+F726+F728+F729+F730+F732+F734+F738+F739+F740+F741+F745+F749+F750+F751+F754+F755+F756+F757+F761,F711+F713+F715+F720+F721+F722+F723+F724+F725+F726+F728+F729+F730+F732+F734+F738+F739+F740+F741+F745+F749+F750+F751+F754+F755+F756+F757+F761),IF(EnCMember=1,F708+F714+F747+F727+F737+F743+F744+F753+F760+F711+F713+F715+F720+F721+F722+F723+F724+F725+F726+F728+F729+F730+F732+F734+F738+F739+F740+F741+F745+F749+F750+F751+F754+F755+F756+F757,F711+F713+F715+F720+F721+F722+F723+F724+F725+F726+F728+F729+F730+F732+F734+F738+F739+F740+F741+F745+F749+F750+F751+F754+F755+F756+F757)),3)</f>
        <v>0</v>
      </c>
      <c r="G766" s="811">
        <f>ROUND(IF('Table 1'!$G$3&gt;1,IF(EnCMember=1,G708+G714+G747+G727+G737+G743+G744+G753+G760+G711+G713+G715+G720+G721+G722+G723+G724+G725+G726+G728+G729+G730+G732+G734+G738+G739+G740+G741+G745+G749+G750+G751+G754+G755+G756+G757+G761,G711+G713+G715+G720+G721+G722+G723+G724+G725+G726+G728+G729+G730+G732+G734+G738+G739+G740+G741+G745+G749+G750+G751+G754+G755+G756+G757+G761),IF(EnCMember=1,G708+G714+G747+G727+G737+G743+G744+G753+G760+G711+G713+G715+G720+G721+G722+G723+G724+G725+G726+G728+G729+G730+G732+G734+G738+G739+G740+G741+G745+G749+G750+G751+G754+G755+G756+G757,G711+G713+G715+G720+G721+G722+G723+G724+G725+G726+G728+G729+G730+G732+G734+G738+G739+G740+G741+G745+G749+G750+G751+G754+G755+G756+G757)),3)</f>
        <v>0</v>
      </c>
      <c r="H766" s="811">
        <f>ROUND(IF('Table 1'!$G$3&gt;1,IF(EnCMember=1,H708+H714+H747+H727+H737+H743+H744+H753+H760+H711+H713+H715+H720+H721+H722+H723+H724+H725+H726+H728+H729+H730+H732+H734+H738+H739+H740+H741+H745+H749+H750+H751+H754+H755+H756+H757+H761,H711+H713+H715+H720+H721+H722+H723+H724+H725+H726+H728+H729+H730+H732+H734+H738+H739+H740+H741+H745+H749+H750+H751+H754+H755+H756+H757+H761),IF(EnCMember=1,H708+H714+H747+H727+H737+H743+H744+H753+H760+H711+H713+H715+H720+H721+H722+H723+H724+H725+H726+H728+H729+H730+H732+H734+H738+H739+H740+H741+H745+H749+H750+H751+H754+H755+H756+H757,H711+H713+H715+H720+H721+H722+H723+H724+H725+H726+H728+H729+H730+H732+H734+H738+H739+H740+H741+H745+H749+H750+H751+H754+H755+H756+H757)),3)</f>
        <v>0</v>
      </c>
      <c r="I766" s="811">
        <f>ROUND(IF('Table 1'!$G$3&gt;1,IF(EnCMember=1,I708+I714+I747+I727+I737+I743+I744+I753+I760+I711+I713+I715+I720+I721+I722+I723+I724+I725+I726+I728+I729+I730+I732+I734+I738+I739+I740+I741+I745+I749+I750+I751+I754+I755+I756+I757+I761,I711+I713+I715+I720+I721+I722+I723+I724+I725+I726+I728+I729+I730+I732+I734+I738+I739+I740+I741+I745+I749+I750+I751+I754+I755+I756+I757+I761),IF(EnCMember=1,I708+I714+I747+I727+I737+I743+I744+I753+I760+I711+I713+I715+I720+I721+I722+I723+I724+I725+I726+I728+I729+I730+I732+I734+I738+I739+I740+I741+I745+I749+I750+I751+I754+I755+I756+I757,I711+I713+I715+I720+I721+I722+I723+I724+I725+I726+I728+I729+I730+I732+I734+I738+I739+I740+I741+I745+I749+I750+I751+I754+I755+I756+I757)),3)</f>
        <v>0</v>
      </c>
      <c r="J766" s="811">
        <f>ROUND(IF('Table 1'!$G$3&gt;1,IF(EnCMember=1,J708+J714+J747+J727+J737+J743+J744+J753+J760+J711+J713+J715+J720+J721+J722+J723+J724+J725+J726+J728+J729+J730+J732+J734+J738+J739+J740+J741+J745+J749+J750+J751+J754+J755+J756+J757+J761,J711+J713+J715+J720+J721+J722+J723+J724+J725+J726+J728+J729+J730+J732+J734+J738+J739+J740+J741+J745+J749+J750+J751+J754+J755+J756+J757+J761),IF(EnCMember=1,J708+J714+J747+J727+J737+J743+J744+J753+J760+J711+J713+J715+J720+J721+J722+J723+J724+J725+J726+J728+J729+J730+J732+J734+J738+J739+J740+J741+J745+J749+J750+J751+J754+J755+J756+J757,J711+J713+J715+J720+J721+J722+J723+J724+J725+J726+J728+J729+J730+J732+J734+J738+J739+J740+J741+J745+J749+J750+J751+J754+J755+J756+J757)),3)</f>
        <v>0</v>
      </c>
      <c r="K766" s="812">
        <f>ROUND(IF('Table 1'!$G$3&gt;1,IF(EnCMember=1,K708+K714+K747+K727+K737+K743+K744+K753+K760+K711+K713+K715+K720+K721+K722+K723+K724+K725+K726+K728+K729+K730+K732+K734+K738+K739+K740+K741+K745+K749+K750+K751+K754+K755+K756+K757+K761,K711+K713+K715+K720+K721+K722+K723+K724+K725+K726+K728+K729+K730+K732+K734+K738+K739+K740+K741+K745+K749+K750+K751+K754+K755+K756+K757+K761),IF(EnCMember=1,K708+K714+K747+K727+K737+K743+K744+K753+K760+K711+K713+K715+K720+K721+K722+K723+K724+K725+K726+K728+K729+K730+K732+K734+K738+K739+K740+K741+K745+K749+K750+K751+K754+K755+K756+K757,K711+K713+K715+K720+K721+K722+K723+K724+K725+K726+K728+K729+K730+K732+K734+K738+K739+K740+K741+K745+K749+K750+K751+K754+K755+K756+K757)),3)</f>
        <v>0</v>
      </c>
      <c r="L766" s="813">
        <f>ROUND(IF('Table 1'!$G$3&gt;1,IF(EnCMember=1,L708+L714+L747+L727+L737+L743+L744+L753+L760+L711+L713+L715+L720+L721+L722+L723+L724+L725+L726+L728+L729+L730+L732+L734+L738+L739+L740+L741+L745+L749+L750+L751+L754+L755+L756+L757+L761,L711+L713+L715+L720+L721+L722+L723+L724+L725+L726+L728+L729+L730+L732+L734+L738+L739+L740+L741+L745+L749+L750+L751+L754+L755+L756+L757+L761),IF(EnCMember=1,L708+L714+L747+L727+L737+L743+L744+L753+L760+L711+L713+L715+L720+L721+L722+L723+L724+L725+L726+L728+L729+L730+L732+L734+L738+L739+L740+L741+L745+L749+L750+L751+L754+L755+L756+L757,L711+L713+L715+L720+L721+L722+L723+L724+L725+L726+L728+L729+L730+L732+L734+L738+L739+L740+L741+L745+L749+L750+L751+L754+L755+L756+L757)),3)</f>
        <v>0</v>
      </c>
      <c r="M766" s="811">
        <f>ROUND(IF('Table 1'!$G$3&gt;1,IF(EnCMember=1,M708+M714+M747+M727+M737+M743+M744+M753+M760+M711+M713+M715+M720+M721+M722+M723+M724+M725+M726+M728+M729+M730+M732+M734+M738+M739+M740+M741+M745+M749+M750+M751+M754+M755+M756+M757+M761,M711+M713+M715+M720+M721+M722+M723+M724+M725+M726+M728+M729+M730+M732+M734+M738+M739+M740+M741+M745+M749+M750+M751+M754+M755+M756+M757+M761),IF(EnCMember=1,M708+M714+M747+M727+M737+M743+M744+M753+M760+M711+M713+M715+M720+M721+M722+M723+M724+M725+M726+M728+M729+M730+M732+M734+M738+M739+M740+M741+M745+M749+M750+M751+M754+M755+M756+M757,M711+M713+M715+M720+M721+M722+M723+M724+M725+M726+M728+M729+M730+M732+M734+M738+M739+M740+M741+M745+M749+M750+M751+M754+M755+M756+M757)),3)</f>
        <v>0</v>
      </c>
      <c r="N766" s="812">
        <f>ROUND(IF('Table 1'!$G$3&gt;1,IF(EnCMember=1,N708+N714+N747+N727+N737+N743+N744+N753+N760+N711+N713+N715+N720+N721+N722+N723+N724+N725+N726+N728+N729+N730+N732+N734+N738+N739+N740+N741+N745+N749+N750+N751+N754+N755+N756+N757+N761,N711+N713+N715+N720+N721+N722+N723+N724+N725+N726+N728+N729+N730+N732+N734+N738+N739+N740+N741+N745+N749+N750+N751+N754+N755+N756+N757+N761),IF(EnCMember=1,N708+N714+N747+N727+N737+N743+N744+N753+N760+N711+N713+N715+N720+N721+N722+N723+N724+N725+N726+N728+N729+N730+N732+N734+N738+N739+N740+N741+N745+N749+N750+N751+N754+N755+N756+N757,N711+N713+N715+N720+N721+N722+N723+N724+N725+N726+N728+N729+N730+N732+N734+N738+N739+N740+N741+N745+N749+N750+N751+N754+N755+N756+N757)),3)</f>
        <v>0</v>
      </c>
      <c r="O766" s="813">
        <f>ROUND(IF('Table 1'!$G$3&gt;1,IF(EnCMember=1,O708+O714+O747+O727+O737+O743+O744+O753+O760+O711+O713+O715+O720+O721+O722+O723+O724+O725+O726+O728+O729+O730+O732+O734+O738+O739+O740+O741+O745+O749+O750+O751+O754+O755+O756+O757+O761,O711+O713+O715+O720+O721+O722+O723+O724+O725+O726+O728+O729+O730+O732+O734+O738+O739+O740+O741+O745+O749+O750+O751+O754+O755+O756+O757+O761),IF(EnCMember=1,O708+O714+O747+O727+O737+O743+O744+O753+O760+O711+O713+O715+O720+O721+O722+O723+O724+O725+O726+O728+O729+O730+O732+O734+O738+O739+O740+O741+O745+O749+O750+O751+O754+O755+O756+O757,O711+O713+O715+O720+O721+O722+O723+O724+O725+O726+O728+O729+O730+O732+O734+O738+O739+O740+O741+O745+O749+O750+O751+O754+O755+O756+O757)),3)</f>
        <v>0</v>
      </c>
      <c r="P766" s="811">
        <f>ROUND(IF('Table 1'!$G$3&gt;1,IF(EnCMember=1,P708+P714+P747+P727+P737+P743+P744+P753+P760+P711+P713+P715+P720+P721+P722+P723+P724+P725+P726+P728+P729+P730+P732+P734+P738+P739+P740+P741+P745+P749+P750+P751+P754+P755+P756+P757+P761,P711+P713+P715+P720+P721+P722+P723+P724+P725+P726+P728+P729+P730+P732+P734+P738+P739+P740+P741+P745+P749+P750+P751+P754+P755+P756+P757+P761),IF(EnCMember=1,P708+P714+P747+P727+P737+P743+P744+P753+P760+P711+P713+P715+P720+P721+P722+P723+P724+P725+P726+P728+P729+P730+P732+P734+P738+P739+P740+P741+P745+P749+P750+P751+P754+P755+P756+P757,P711+P713+P715+P720+P721+P722+P723+P724+P725+P726+P728+P729+P730+P732+P734+P738+P739+P740+P741+P745+P749+P750+P751+P754+P755+P756+P757)),3)</f>
        <v>0</v>
      </c>
      <c r="Q766" s="812">
        <f>ROUND(IF('Table 1'!$G$3&gt;1,IF(EnCMember=1,Q708+Q714+Q747+Q727+Q737+Q743+Q744+Q753+Q760+Q711+Q713+Q715+Q720+Q721+Q722+Q723+Q724+Q725+Q726+Q728+Q729+Q730+Q732+Q734+Q738+Q739+Q740+Q741+Q745+Q749+Q750+Q751+Q754+Q755+Q756+Q757+Q761,Q711+Q713+Q715+Q720+Q721+Q722+Q723+Q724+Q725+Q726+Q728+Q729+Q730+Q732+Q734+Q738+Q739+Q740+Q741+Q745+Q749+Q750+Q751+Q754+Q755+Q756+Q757+Q761),IF(EnCMember=1,Q708+Q714+Q747+Q727+Q737+Q743+Q744+Q753+Q760+Q711+Q713+Q715+Q720+Q721+Q722+Q723+Q724+Q725+Q726+Q728+Q729+Q730+Q732+Q734+Q738+Q739+Q740+Q741+Q745+Q749+Q750+Q751+Q754+Q755+Q756+Q757,Q711+Q713+Q715+Q720+Q721+Q722+Q723+Q724+Q725+Q726+Q728+Q729+Q730+Q732+Q734+Q738+Q739+Q740+Q741+Q745+Q749+Q750+Q751+Q754+Q755+Q756+Q757)),3)</f>
        <v>0</v>
      </c>
      <c r="R766" s="813">
        <f>ROUND(IF('Table 1'!$G$3&gt;1,IF(EnCMember=1,R708+R714+R747+R727+R737+R743+R744+R753+R760+R711+R713+R715+R720+R721+R722+R723+R724+R725+R726+R728+R729+R730+R732+R734+R738+R739+R740+R741+R745+R749+R750+R751+R754+R755+R756+R757+R761,R711+R713+R715+R720+R721+R722+R723+R724+R725+R726+R728+R729+R730+R732+R734+R738+R739+R740+R741+R745+R749+R750+R751+R754+R755+R756+R757+R761),IF(EnCMember=1,R708+R714+R747+R727+R737+R743+R744+R753+R760+R711+R713+R715+R720+R721+R722+R723+R724+R725+R726+R728+R729+R730+R732+R734+R738+R739+R740+R741+R745+R749+R750+R751+R754+R755+R756+R757,R711+R713+R715+R720+R721+R722+R723+R724+R725+R726+R728+R729+R730+R732+R734+R738+R739+R740+R741+R745+R749+R750+R751+R754+R755+R756+R757)),3)</f>
        <v>0</v>
      </c>
      <c r="S766" s="811">
        <f>ROUND(IF('Table 1'!$G$3&gt;1,IF(EnCMember=1,S708+S714+S747+S727+S737+S743+S744+S753+S760+S711+S713+S715+S720+S721+S722+S723+S724+S725+S726+S728+S729+S730+S732+S734+S738+S739+S740+S741+S745+S749+S750+S751+S754+S755+S756+S757+S761,S711+S713+S715+S720+S721+S722+S723+S724+S725+S726+S728+S729+S730+S732+S734+S738+S739+S740+S741+S745+S749+S750+S751+S754+S755+S756+S757+S761),IF(EnCMember=1,S708+S714+S747+S727+S737+S743+S744+S753+S760+S711+S713+S715+S720+S721+S722+S723+S724+S725+S726+S728+S729+S730+S732+S734+S738+S739+S740+S741+S745+S749+S750+S751+S754+S755+S756+S757,S711+S713+S715+S720+S721+S722+S723+S724+S725+S726+S728+S729+S730+S732+S734+S738+S739+S740+S741+S745+S749+S750+S751+S754+S755+S756+S757)),3)</f>
        <v>0</v>
      </c>
      <c r="T766" s="811">
        <f>ROUND(IF('Table 1'!$G$3&gt;1,IF(EnCMember=1,T708+T714+T747+T727+T737+T743+T744+T753+T760+T711+T713+T715+T720+T721+T722+T723+T724+T725+T726+T728+T729+T730+T732+T734+T738+T739+T740+T741+T745+T749+T750+T751+T754+T755+T756+T757+T761,T711+T713+T715+T720+T721+T722+T723+T724+T725+T726+T728+T729+T730+T732+T734+T738+T739+T740+T741+T745+T749+T750+T751+T754+T755+T756+T757+T761),IF(EnCMember=1,T708+T714+T747+T727+T737+T743+T744+T753+T760+T711+T713+T715+T720+T721+T722+T723+T724+T725+T726+T728+T729+T730+T732+T734+T738+T739+T740+T741+T745+T749+T750+T751+T754+T755+T756+T757,T711+T713+T715+T720+T721+T722+T723+T724+T725+T726+T728+T729+T730+T732+T734+T738+T739+T740+T741+T745+T749+T750+T751+T754+T755+T756+T757)),3)</f>
        <v>0</v>
      </c>
      <c r="U766" s="811">
        <f>ROUND(IF('Table 1'!$G$3&gt;1,IF(EnCMember=1,U708+U714+U747+U727+U737+U743+U744+U753+U760+U711+U713+U715+U720+U721+U722+U723+U724+U725+U726+U728+U729+U730+U732+U734+U738+U739+U740+U741+U745+U749+U750+U751+U754+U755+U756+U757+U761,U711+U713+U715+U720+U721+U722+U723+U724+U725+U726+U728+U729+U730+U732+U734+U738+U739+U740+U741+U745+U749+U750+U751+U754+U755+U756+U757+U761),IF(EnCMember=1,U708+U714+U747+U727+U737+U743+U744+U753+U760+U711+U713+U715+U720+U721+U722+U723+U724+U725+U726+U728+U729+U730+U732+U734+U738+U739+U740+U741+U745+U749+U750+U751+U754+U755+U756+U757,U711+U713+U715+U720+U721+U722+U723+U724+U725+U726+U728+U729+U730+U732+U734+U738+U739+U740+U741+U745+U749+U750+U751+U754+U755+U756+U757)),3)</f>
        <v>0</v>
      </c>
      <c r="V766" s="811">
        <f>ROUND(IF('Table 1'!$G$3&gt;1,IF(EnCMember=1,V708+V714+V747+V727+V737+V743+V744+V753+V760+V711+V713+V715+V720+V721+V722+V723+V724+V725+V726+V728+V729+V730+V732+V734+V738+V739+V740+V741+V745+V749+V750+V751+V754+V755+V756+V757+V761,V711+V713+V715+V720+V721+V722+V723+V724+V725+V726+V728+V729+V730+V732+V734+V738+V739+V740+V741+V745+V749+V750+V751+V754+V755+V756+V757+V761),IF(EnCMember=1,V708+V714+V747+V727+V737+V743+V744+V753+V760+V711+V713+V715+V720+V721+V722+V723+V724+V725+V726+V728+V729+V730+V732+V734+V738+V739+V740+V741+V745+V749+V750+V751+V754+V755+V756+V757,V711+V713+V715+V720+V721+V722+V723+V724+V725+V726+V728+V729+V730+V732+V734+V738+V739+V740+V741+V745+V749+V750+V751+V754+V755+V756+V757)),3)</f>
        <v>0</v>
      </c>
      <c r="W766" s="812">
        <f>ROUND(IF('Table 1'!$G$3&gt;1,IF(EnCMember=1,W708+W714+W747+W727+W737+W743+W744+W753+W760+W711+W713+W715+W720+W721+W722+W723+W724+W725+W726+W728+W729+W730+W732+W734+W738+W739+W740+W741+W745+W749+W750+W751+W754+W755+W756+W757+W761,W711+W713+W715+W720+W721+W722+W723+W724+W725+W726+W728+W729+W730+W732+W734+W738+W739+W740+W741+W745+W749+W750+W751+W754+W755+W756+W757+W761),IF(EnCMember=1,W708+W714+W747+W727+W737+W743+W744+W753+W760+W711+W713+W715+W720+W721+W722+W723+W724+W725+W726+W728+W729+W730+W732+W734+W738+W739+W740+W741+W745+W749+W750+W751+W754+W755+W756+W757,W711+W713+W715+W720+W721+W722+W723+W724+W725+W726+W728+W729+W730+W732+W734+W738+W739+W740+W741+W745+W749+W750+W751+W754+W755+W756+W757)),3)</f>
        <v>0</v>
      </c>
      <c r="X766" s="813">
        <f>ROUND(IF('Table 1'!$G$3&gt;1,IF(EnCMember=1,X708+X714+X747+X727+X737+X743+X744+X753+X760+X711+X713+X715+X720+X721+X722+X723+X724+X725+X726+X728+X729+X730+X732+X734+X738+X739+X740+X741+X745+X749+X750+X751+X754+X755+X756+X757+X761,X711+X713+X715+X720+X721+X722+X723+X724+X725+X726+X728+X729+X730+X732+X734+X738+X739+X740+X741+X745+X749+X750+X751+X754+X755+X756+X757+X761),IF(EnCMember=1,X708+X714+X747+X727+X737+X743+X744+X753+X760+X711+X713+X715+X720+X721+X722+X723+X724+X725+X726+X728+X729+X730+X732+X734+X738+X739+X740+X741+X745+X749+X750+X751+X754+X755+X756+X757,X711+X713+X715+X720+X721+X722+X723+X724+X725+X726+X728+X729+X730+X732+X734+X738+X739+X740+X741+X745+X749+X750+X751+X754+X755+X756+X757)),3)</f>
        <v>0</v>
      </c>
      <c r="Y766" s="811">
        <f>ROUND(IF('Table 1'!$G$3&gt;1,IF(EnCMember=1,Y708+Y714+Y747+Y727+Y737+Y743+Y744+Y753+Y760+Y711+Y713+Y715+Y720+Y721+Y722+Y723+Y724+Y725+Y726+Y728+Y729+Y730+Y732+Y734+Y738+Y739+Y740+Y741+Y745+Y749+Y750+Y751+Y754+Y755+Y756+Y757+Y761,Y711+Y713+Y715+Y720+Y721+Y722+Y723+Y724+Y725+Y726+Y728+Y729+Y730+Y732+Y734+Y738+Y739+Y740+Y741+Y745+Y749+Y750+Y751+Y754+Y755+Y756+Y757+Y761),IF(EnCMember=1,Y708+Y714+Y747+Y727+Y737+Y743+Y744+Y753+Y760+Y711+Y713+Y715+Y720+Y721+Y722+Y723+Y724+Y725+Y726+Y728+Y729+Y730+Y732+Y734+Y738+Y739+Y740+Y741+Y745+Y749+Y750+Y751+Y754+Y755+Y756+Y757,Y711+Y713+Y715+Y720+Y721+Y722+Y723+Y724+Y725+Y726+Y728+Y729+Y730+Y732+Y734+Y738+Y739+Y740+Y741+Y745+Y749+Y750+Y751+Y754+Y755+Y756+Y757)),3)</f>
        <v>0</v>
      </c>
      <c r="Z766" s="811">
        <f>ROUND(IF('Table 1'!$G$3&gt;1,IF(EnCMember=1,Z708+Z714+Z747+Z727+Z737+Z743+Z744+Z753+Z760+Z711+Z713+Z715+Z720+Z721+Z722+Z723+Z724+Z725+Z726+Z728+Z729+Z730+Z732+Z734+Z738+Z739+Z740+Z741+Z745+Z749+Z750+Z751+Z754+Z755+Z756+Z757+Z761,Z711+Z713+Z715+Z720+Z721+Z722+Z723+Z724+Z725+Z726+Z728+Z729+Z730+Z732+Z734+Z738+Z739+Z740+Z741+Z745+Z749+Z750+Z751+Z754+Z755+Z756+Z757+Z761),IF(EnCMember=1,Z708+Z714+Z747+Z727+Z737+Z743+Z744+Z753+Z760+Z711+Z713+Z715+Z720+Z721+Z722+Z723+Z724+Z725+Z726+Z728+Z729+Z730+Z732+Z734+Z738+Z739+Z740+Z741+Z745+Z749+Z750+Z751+Z754+Z755+Z756+Z757,Z711+Z713+Z715+Z720+Z721+Z722+Z723+Z724+Z725+Z726+Z728+Z729+Z730+Z732+Z734+Z738+Z739+Z740+Z741+Z745+Z749+Z750+Z751+Z754+Z755+Z756+Z757)),3)</f>
        <v>0</v>
      </c>
      <c r="AA766" s="811">
        <f>ROUND(IF('Table 1'!$G$3&gt;1,IF(EnCMember=1,AA708+AA714+AA747+AA727+AA737+AA743+AA744+AA753+AA760+AA711+AA713+AA715+AA720+AA721+AA722+AA723+AA724+AA725+AA726+AA728+AA729+AA730+AA732+AA734+AA738+AA739+AA740+AA741+AA745+AA749+AA750+AA751+AA754+AA755+AA756+AA757+AA761,AA711+AA713+AA715+AA720+AA721+AA722+AA723+AA724+AA725+AA726+AA728+AA729+AA730+AA732+AA734+AA738+AA739+AA740+AA741+AA745+AA749+AA750+AA751+AA754+AA755+AA756+AA757+AA761),IF(EnCMember=1,AA708+AA714+AA747+AA727+AA737+AA743+AA744+AA753+AA760+AA711+AA713+AA715+AA720+AA721+AA722+AA723+AA724+AA725+AA726+AA728+AA729+AA730+AA732+AA734+AA738+AA739+AA740+AA741+AA745+AA749+AA750+AA751+AA754+AA755+AA756+AA757,AA711+AA713+AA715+AA720+AA721+AA722+AA723+AA724+AA725+AA726+AA728+AA729+AA730+AA732+AA734+AA738+AA739+AA740+AA741+AA745+AA749+AA750+AA751+AA754+AA755+AA756+AA757)),3)</f>
        <v>0</v>
      </c>
      <c r="AB766" s="812">
        <f>ROUND(IF('Table 1'!$G$3&gt;1,IF(EnCMember=1,AB708+AB714+AB747+AB727+AB737+AB743+AB744+AB753+AB760+AB711+AB713+AB715+AB720+AB721+AB722+AB723+AB724+AB725+AB726+AB728+AB729+AB730+AB732+AB734+AB738+AB739+AB740+AB741+AB745+AB749+AB750+AB751+AB754+AB755+AB756+AB757+AB761,AB711+AB713+AB715+AB720+AB721+AB722+AB723+AB724+AB725+AB726+AB728+AB729+AB730+AB732+AB734+AB738+AB739+AB740+AB741+AB745+AB749+AB750+AB751+AB754+AB755+AB756+AB757+AB761),IF(EnCMember=1,AB708+AB714+AB747+AB727+AB737+AB743+AB744+AB753+AB760+AB711+AB713+AB715+AB720+AB721+AB722+AB723+AB724+AB725+AB726+AB728+AB729+AB730+AB732+AB734+AB738+AB739+AB740+AB741+AB745+AB749+AB750+AB751+AB754+AB755+AB756+AB757,AB711+AB713+AB715+AB720+AB721+AB722+AB723+AB724+AB725+AB726+AB728+AB729+AB730+AB732+AB734+AB738+AB739+AB740+AB741+AB745+AB749+AB750+AB751+AB754+AB755+AB756+AB757)),3)</f>
        <v>0</v>
      </c>
      <c r="AC766" s="813">
        <f>ROUND(IF('Table 1'!$G$3&gt;1,IF(EnCMember=1,AC708+AC714+AC747+AC727+AC737+AC743+AC744+AC753+AC760+AC711+AC713+AC715+AC720+AC721+AC722+AC723+AC724+AC725+AC726+AC728+AC729+AC730+AC732+AC734+AC738+AC739+AC740+AC741+AC745+AC749+AC750+AC751+AC754+AC755+AC756+AC757+AC761,AC711+AC713+AC715+AC720+AC721+AC722+AC723+AC724+AC725+AC726+AC728+AC729+AC730+AC732+AC734+AC738+AC739+AC740+AC741+AC745+AC749+AC750+AC751+AC754+AC755+AC756+AC757+AC761),IF(EnCMember=1,AC708+AC714+AC747+AC727+AC737+AC743+AC744+AC753+AC760+AC711+AC713+AC715+AC720+AC721+AC722+AC723+AC724+AC725+AC726+AC728+AC729+AC730+AC732+AC734+AC738+AC739+AC740+AC741+AC745+AC749+AC750+AC751+AC754+AC755+AC756+AC757,AC711+AC713+AC715+AC720+AC721+AC722+AC723+AC724+AC725+AC726+AC728+AC729+AC730+AC732+AC734+AC738+AC739+AC740+AC741+AC745+AC749+AC750+AC751+AC754+AC755+AC756+AC757)),3)</f>
        <v>0</v>
      </c>
      <c r="AD766" s="811">
        <f>ROUND(IF('Table 1'!$G$3&gt;1,IF(EnCMember=1,AD708+AD714+AD747+AD727+AD737+AD743+AD744+AD753+AD760+AD711+AD713+AD715+AD720+AD721+AD722+AD723+AD724+AD725+AD726+AD728+AD729+AD730+AD732+AD734+AD738+AD739+AD740+AD741+AD745+AD749+AD750+AD751+AD754+AD755+AD756+AD757+AD761,AD711+AD713+AD715+AD720+AD721+AD722+AD723+AD724+AD725+AD726+AD728+AD729+AD730+AD732+AD734+AD738+AD739+AD740+AD741+AD745+AD749+AD750+AD751+AD754+AD755+AD756+AD757+AD761),IF(EnCMember=1,AD708+AD714+AD747+AD727+AD737+AD743+AD744+AD753+AD760+AD711+AD713+AD715+AD720+AD721+AD722+AD723+AD724+AD725+AD726+AD728+AD729+AD730+AD732+AD734+AD738+AD739+AD740+AD741+AD745+AD749+AD750+AD751+AD754+AD755+AD756+AD757,AD711+AD713+AD715+AD720+AD721+AD722+AD723+AD724+AD725+AD726+AD728+AD729+AD730+AD732+AD734+AD738+AD739+AD740+AD741+AD745+AD749+AD750+AD751+AD754+AD755+AD756+AD757)),3)</f>
        <v>0</v>
      </c>
      <c r="AE766" s="811">
        <f>ROUND(IF('Table 1'!$G$3&gt;1,IF(EnCMember=1,AE708+AE714+AE747+AE727+AE737+AE743+AE744+AE753+AE760+AE711+AE713+AE715+AE720+AE721+AE722+AE723+AE724+AE725+AE726+AE728+AE729+AE730+AE732+AE734+AE738+AE739+AE740+AE741+AE745+AE749+AE750+AE751+AE754+AE755+AE756+AE757+AE761,AE711+AE713+AE715+AE720+AE721+AE722+AE723+AE724+AE725+AE726+AE728+AE729+AE730+AE732+AE734+AE738+AE739+AE740+AE741+AE745+AE749+AE750+AE751+AE754+AE755+AE756+AE757+AE761),IF(EnCMember=1,AE708+AE714+AE747+AE727+AE737+AE743+AE744+AE753+AE760+AE711+AE713+AE715+AE720+AE721+AE722+AE723+AE724+AE725+AE726+AE728+AE729+AE730+AE732+AE734+AE738+AE739+AE740+AE741+AE745+AE749+AE750+AE751+AE754+AE755+AE756+AE757,AE711+AE713+AE715+AE720+AE721+AE722+AE723+AE724+AE725+AE726+AE728+AE729+AE730+AE732+AE734+AE738+AE739+AE740+AE741+AE745+AE749+AE750+AE751+AE754+AE755+AE756+AE757)),3)</f>
        <v>0</v>
      </c>
      <c r="AF766" s="812">
        <f>ROUND(IF('Table 1'!$G$3&gt;1,IF(EnCMember=1,AF708+AF714+AF747+AF727+AF737+AF743+AF744+AF753+AF760+AF711+AF713+AF715+AF720+AF721+AF722+AF723+AF724+AF725+AF726+AF728+AF729+AF730+AF732+AF734+AF738+AF739+AF740+AF741+AF745+AF749+AF750+AF751+AF754+AF755+AF756+AF757+AF761,AF711+AF713+AF715+AF720+AF721+AF722+AF723+AF724+AF725+AF726+AF728+AF729+AF730+AF732+AF734+AF738+AF739+AF740+AF741+AF745+AF749+AF750+AF751+AF754+AF755+AF756+AF757+AF761),IF(EnCMember=1,AF708+AF714+AF747+AF727+AF737+AF743+AF744+AF753+AF760+AF711+AF713+AF715+AF720+AF721+AF722+AF723+AF724+AF725+AF726+AF728+AF729+AF730+AF732+AF734+AF738+AF739+AF740+AF741+AF745+AF749+AF750+AF751+AF754+AF755+AF756+AF757,AF711+AF713+AF715+AF720+AF721+AF722+AF723+AF724+AF725+AF726+AF728+AF729+AF730+AF732+AF734+AF738+AF739+AF740+AF741+AF745+AF749+AF750+AF751+AF754+AF755+AF756+AF757)),3)</f>
        <v>0</v>
      </c>
      <c r="AG766" s="813">
        <f>ROUND(IF('Table 1'!$G$3&gt;1,IF(EnCMember=1,AG708+AG714+AG747+AG727+AG737+AG743+AG744+AG753+AG760+AG711+AG713+AG715+AG720+AG721+AG722+AG723+AG724+AG725+AG726+AG728+AG729+AG730+AG732+AG734+AG738+AG739+AG740+AG741+AG745+AG749+AG750+AG751+AG754+AG755+AG756+AG757+AG761,AG711+AG713+AG715+AG720+AG721+AG722+AG723+AG724+AG725+AG726+AG728+AG729+AG730+AG732+AG734+AG738+AG739+AG740+AG741+AG745+AG749+AG750+AG751+AG754+AG755+AG756+AG757+AG761),IF(EnCMember=1,AG708+AG714+AG747+AG727+AG737+AG743+AG744+AG753+AG760+AG711+AG713+AG715+AG720+AG721+AG722+AG723+AG724+AG725+AG726+AG728+AG729+AG730+AG732+AG734+AG738+AG739+AG740+AG741+AG745+AG749+AG750+AG751+AG754+AG755+AG756+AG757,AG711+AG713+AG715+AG720+AG721+AG722+AG723+AG724+AG725+AG726+AG728+AG729+AG730+AG732+AG734+AG738+AG739+AG740+AG741+AG745+AG749+AG750+AG751+AG754+AG755+AG756+AG757)),3)</f>
        <v>0</v>
      </c>
      <c r="AH766" s="811">
        <f>ROUND(IF('Table 1'!$G$3&gt;1,IF(EnCMember=1,AH708+AH714+AH747+AH727+AH737+AH743+AH744+AH753+AH760+AH711+AH713+AH715+AH720+AH721+AH722+AH723+AH724+AH725+AH726+AH728+AH729+AH730+AH732+AH734+AH738+AH739+AH740+AH741+AH745+AH749+AH750+AH751+AH754+AH755+AH756+AH757+AH761,AH711+AH713+AH715+AH720+AH721+AH722+AH723+AH724+AH725+AH726+AH728+AH729+AH730+AH732+AH734+AH738+AH739+AH740+AH741+AH745+AH749+AH750+AH751+AH754+AH755+AH756+AH757+AH761),IF(EnCMember=1,AH708+AH714+AH747+AH727+AH737+AH743+AH744+AH753+AH760+AH711+AH713+AH715+AH720+AH721+AH722+AH723+AH724+AH725+AH726+AH728+AH729+AH730+AH732+AH734+AH738+AH739+AH740+AH741+AH745+AH749+AH750+AH751+AH754+AH755+AH756+AH757,AH711+AH713+AH715+AH720+AH721+AH722+AH723+AH724+AH725+AH726+AH728+AH729+AH730+AH732+AH734+AH738+AH739+AH740+AH741+AH745+AH749+AH750+AH751+AH754+AH755+AH756+AH757)),3)</f>
        <v>0</v>
      </c>
      <c r="AI766" s="811">
        <f>ROUND(IF('Table 1'!$G$3&gt;1,IF(EnCMember=1,AI708+AI714+AI747+AI727+AI737+AI743+AI744+AI753+AI760+AI711+AI713+AI715+AI720+AI721+AI722+AI723+AI724+AI725+AI726+AI728+AI729+AI730+AI732+AI734+AI738+AI739+AI740+AI741+AI745+AI749+AI750+AI751+AI754+AI755+AI756+AI757+AI761,AI711+AI713+AI715+AI720+AI721+AI722+AI723+AI724+AI725+AI726+AI728+AI729+AI730+AI732+AI734+AI738+AI739+AI740+AI741+AI745+AI749+AI750+AI751+AI754+AI755+AI756+AI757+AI761),IF(EnCMember=1,AI708+AI714+AI747+AI727+AI737+AI743+AI744+AI753+AI760+AI711+AI713+AI715+AI720+AI721+AI722+AI723+AI724+AI725+AI726+AI728+AI729+AI730+AI732+AI734+AI738+AI739+AI740+AI741+AI745+AI749+AI750+AI751+AI754+AI755+AI756+AI757,AI711+AI713+AI715+AI720+AI721+AI722+AI723+AI724+AI725+AI726+AI728+AI729+AI730+AI732+AI734+AI738+AI739+AI740+AI741+AI745+AI749+AI750+AI751+AI754+AI755+AI756+AI757)),3)</f>
        <v>0</v>
      </c>
      <c r="AJ766" s="816">
        <f>ROUND(IF('Table 1'!$G$3&gt;1,IF(EnCMember=1,AJ708+AJ714+AJ747+AJ727+AJ737+AJ743+AJ744+AJ753+AJ760+AJ711+AJ713+AJ715+AJ720+AJ721+AJ722+AJ723+AJ724+AJ725+AJ726+AJ728+AJ729+AJ730+AJ732+AJ734+AJ738+AJ739+AJ740+AJ741+AJ745+AJ749+AJ750+AJ751+AJ754+AJ755+AJ756+AJ757+AJ761,AJ711+AJ713+AJ715+AJ720+AJ721+AJ722+AJ723+AJ724+AJ725+AJ726+AJ728+AJ729+AJ730+AJ732+AJ734+AJ738+AJ739+AJ740+AJ741+AJ745+AJ749+AJ750+AJ751+AJ754+AJ755+AJ756+AJ757+AJ761),IF(EnCMember=1,AJ708+AJ714+AJ747+AJ727+AJ737+AJ743+AJ744+AJ753+AJ760+AJ711+AJ713+AJ715+AJ720+AJ721+AJ722+AJ723+AJ724+AJ725+AJ726+AJ728+AJ729+AJ730+AJ732+AJ734+AJ738+AJ739+AJ740+AJ741+AJ745+AJ749+AJ750+AJ751+AJ754+AJ755+AJ756+AJ757,AJ711+AJ713+AJ715+AJ720+AJ721+AJ722+AJ723+AJ724+AJ725+AJ726+AJ728+AJ729+AJ730+AJ732+AJ734+AJ738+AJ739+AJ740+AJ741+AJ745+AJ749+AJ750+AJ751+AJ754+AJ755+AJ756+AJ757)),3)</f>
        <v>0</v>
      </c>
    </row>
    <row r="770" spans="3:36" x14ac:dyDescent="0.2">
      <c r="C770" s="5" t="s">
        <v>685</v>
      </c>
      <c r="D770" s="24"/>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2"/>
      <c r="AJ770" s="25" t="s">
        <v>108</v>
      </c>
    </row>
    <row r="771" spans="3:36" ht="12.75" customHeight="1" x14ac:dyDescent="0.2">
      <c r="C771" s="242"/>
      <c r="D771" s="203"/>
      <c r="E771" s="1106" t="s">
        <v>656</v>
      </c>
      <c r="F771" s="1106" t="s">
        <v>657</v>
      </c>
      <c r="G771" s="1106" t="s">
        <v>647</v>
      </c>
      <c r="H771" s="1158" t="s">
        <v>666</v>
      </c>
      <c r="I771" s="281"/>
      <c r="J771" s="1150" t="s">
        <v>885</v>
      </c>
      <c r="K771" s="1110" t="s">
        <v>645</v>
      </c>
      <c r="L771" s="1122" t="s">
        <v>8</v>
      </c>
      <c r="M771" s="1124" t="s">
        <v>9</v>
      </c>
      <c r="N771" s="1126" t="s">
        <v>10</v>
      </c>
      <c r="O771" s="1114" t="s">
        <v>659</v>
      </c>
      <c r="P771" s="329"/>
      <c r="Q771" s="190"/>
      <c r="R771" s="1122" t="s">
        <v>660</v>
      </c>
      <c r="S771" s="1124" t="s">
        <v>661</v>
      </c>
      <c r="T771" s="1116" t="s">
        <v>668</v>
      </c>
      <c r="U771" s="191"/>
      <c r="V771" s="192"/>
      <c r="W771" s="1126" t="s">
        <v>664</v>
      </c>
      <c r="X771" s="193"/>
      <c r="Y771" s="190"/>
      <c r="Z771" s="1118" t="s">
        <v>670</v>
      </c>
      <c r="AA771" s="190"/>
      <c r="AB771" s="190"/>
      <c r="AC771" s="1114" t="s">
        <v>628</v>
      </c>
      <c r="AD771" s="190"/>
      <c r="AE771" s="190"/>
      <c r="AF771" s="190"/>
      <c r="AG771" s="1122" t="s">
        <v>629</v>
      </c>
      <c r="AH771" s="1150" t="s">
        <v>630</v>
      </c>
      <c r="AI771" s="1120" t="s">
        <v>631</v>
      </c>
      <c r="AJ771" s="1120" t="s">
        <v>679</v>
      </c>
    </row>
    <row r="772" spans="3:36" ht="56.25" x14ac:dyDescent="0.2">
      <c r="C772" s="201"/>
      <c r="D772" s="202"/>
      <c r="E772" s="1107"/>
      <c r="F772" s="1107"/>
      <c r="G772" s="1107"/>
      <c r="H772" s="1159"/>
      <c r="I772" s="99" t="s">
        <v>667</v>
      </c>
      <c r="J772" s="1138"/>
      <c r="K772" s="1111"/>
      <c r="L772" s="1123"/>
      <c r="M772" s="1125"/>
      <c r="N772" s="1127"/>
      <c r="O772" s="1115"/>
      <c r="P772" s="184" t="s">
        <v>623</v>
      </c>
      <c r="Q772" s="185" t="s">
        <v>626</v>
      </c>
      <c r="R772" s="1123"/>
      <c r="S772" s="1125"/>
      <c r="T772" s="1117"/>
      <c r="U772" s="186" t="s">
        <v>662</v>
      </c>
      <c r="V772" s="187" t="s">
        <v>663</v>
      </c>
      <c r="W772" s="1127"/>
      <c r="X772" s="188" t="s">
        <v>627</v>
      </c>
      <c r="Y772" s="189" t="s">
        <v>669</v>
      </c>
      <c r="Z772" s="1119"/>
      <c r="AA772" s="184" t="s">
        <v>624</v>
      </c>
      <c r="AB772" s="186" t="s">
        <v>671</v>
      </c>
      <c r="AC772" s="1115"/>
      <c r="AD772" s="187" t="s">
        <v>674</v>
      </c>
      <c r="AE772" s="186" t="s">
        <v>1411</v>
      </c>
      <c r="AF772" s="196" t="s">
        <v>872</v>
      </c>
      <c r="AG772" s="1123"/>
      <c r="AH772" s="1138"/>
      <c r="AI772" s="1121"/>
      <c r="AJ772" s="1121"/>
    </row>
    <row r="773" spans="3:36" x14ac:dyDescent="0.2">
      <c r="C773" s="97"/>
      <c r="D773" s="98"/>
      <c r="E773" s="87" t="s">
        <v>152</v>
      </c>
      <c r="F773" s="86" t="s">
        <v>153</v>
      </c>
      <c r="G773" s="86" t="s">
        <v>154</v>
      </c>
      <c r="H773" s="180" t="s">
        <v>155</v>
      </c>
      <c r="I773" s="198" t="s">
        <v>156</v>
      </c>
      <c r="J773" s="198" t="s">
        <v>157</v>
      </c>
      <c r="K773" s="199" t="s">
        <v>158</v>
      </c>
      <c r="L773" s="87" t="s">
        <v>159</v>
      </c>
      <c r="M773" s="87" t="s">
        <v>160</v>
      </c>
      <c r="N773" s="96" t="s">
        <v>161</v>
      </c>
      <c r="O773" s="179" t="s">
        <v>162</v>
      </c>
      <c r="P773" s="198" t="s">
        <v>163</v>
      </c>
      <c r="Q773" s="89" t="s">
        <v>164</v>
      </c>
      <c r="R773" s="95" t="s">
        <v>165</v>
      </c>
      <c r="S773" s="177" t="s">
        <v>166</v>
      </c>
      <c r="T773" s="180" t="s">
        <v>167</v>
      </c>
      <c r="U773" s="198" t="s">
        <v>168</v>
      </c>
      <c r="V773" s="86" t="s">
        <v>169</v>
      </c>
      <c r="W773" s="94" t="s">
        <v>170</v>
      </c>
      <c r="X773" s="87" t="s">
        <v>171</v>
      </c>
      <c r="Y773" s="101" t="s">
        <v>172</v>
      </c>
      <c r="Z773" s="176" t="s">
        <v>173</v>
      </c>
      <c r="AA773" s="200" t="s">
        <v>174</v>
      </c>
      <c r="AB773" s="89" t="s">
        <v>175</v>
      </c>
      <c r="AC773" s="179" t="s">
        <v>176</v>
      </c>
      <c r="AD773" s="200" t="s">
        <v>177</v>
      </c>
      <c r="AE773" s="200" t="s">
        <v>181</v>
      </c>
      <c r="AF773" s="89" t="s">
        <v>417</v>
      </c>
      <c r="AG773" s="178" t="s">
        <v>672</v>
      </c>
      <c r="AH773" s="89" t="s">
        <v>678</v>
      </c>
      <c r="AI773" s="90" t="s">
        <v>499</v>
      </c>
      <c r="AJ773" s="90" t="s">
        <v>680</v>
      </c>
    </row>
    <row r="774" spans="3:36" x14ac:dyDescent="0.2">
      <c r="C774" s="225" t="s">
        <v>930</v>
      </c>
      <c r="D774" s="426">
        <v>1</v>
      </c>
      <c r="E774" s="947"/>
      <c r="F774" s="947"/>
      <c r="G774" s="947"/>
      <c r="H774" s="981"/>
      <c r="I774" s="947"/>
      <c r="J774" s="947"/>
      <c r="K774" s="940">
        <f t="shared" ref="K774:K809" si="112">ROUND(SUM(E774:H774,J774),3)</f>
        <v>0</v>
      </c>
      <c r="L774" s="949"/>
      <c r="M774" s="949"/>
      <c r="N774" s="947"/>
      <c r="O774" s="927"/>
      <c r="P774" s="949"/>
      <c r="Q774" s="950"/>
      <c r="R774" s="949"/>
      <c r="S774" s="949"/>
      <c r="T774" s="907"/>
      <c r="U774" s="947"/>
      <c r="V774" s="947"/>
      <c r="W774" s="951"/>
      <c r="X774" s="949"/>
      <c r="Y774" s="948"/>
      <c r="Z774" s="909"/>
      <c r="AA774" s="947"/>
      <c r="AB774" s="950"/>
      <c r="AC774" s="927"/>
      <c r="AD774" s="952"/>
      <c r="AE774" s="1095"/>
      <c r="AF774" s="950"/>
      <c r="AG774" s="953"/>
      <c r="AH774" s="953"/>
      <c r="AI774" s="939">
        <f t="shared" ref="AI774:AI805" si="113">ROUND(SUM(L774:O774,R774:T774,W774,Z774,AC774,AG774:AH774),3)</f>
        <v>0</v>
      </c>
      <c r="AJ774" s="939">
        <f t="shared" ref="AJ774:AJ805" si="114">ROUND(SUM(K774,AI774),3)</f>
        <v>0</v>
      </c>
    </row>
    <row r="775" spans="3:36" x14ac:dyDescent="0.2">
      <c r="C775" s="225" t="s">
        <v>554</v>
      </c>
      <c r="D775" s="426">
        <v>2</v>
      </c>
      <c r="E775" s="947"/>
      <c r="F775" s="947"/>
      <c r="G775" s="947"/>
      <c r="H775" s="981"/>
      <c r="I775" s="947"/>
      <c r="J775" s="947"/>
      <c r="K775" s="940">
        <f t="shared" si="112"/>
        <v>0</v>
      </c>
      <c r="L775" s="949"/>
      <c r="M775" s="949"/>
      <c r="N775" s="947"/>
      <c r="O775" s="927"/>
      <c r="P775" s="949"/>
      <c r="Q775" s="950"/>
      <c r="R775" s="949"/>
      <c r="S775" s="949"/>
      <c r="T775" s="907"/>
      <c r="U775" s="947"/>
      <c r="V775" s="947"/>
      <c r="W775" s="951"/>
      <c r="X775" s="949"/>
      <c r="Y775" s="948"/>
      <c r="Z775" s="909"/>
      <c r="AA775" s="947"/>
      <c r="AB775" s="950"/>
      <c r="AC775" s="927"/>
      <c r="AD775" s="952"/>
      <c r="AE775" s="1095"/>
      <c r="AF775" s="950"/>
      <c r="AG775" s="953"/>
      <c r="AH775" s="953"/>
      <c r="AI775" s="939">
        <f t="shared" si="113"/>
        <v>0</v>
      </c>
      <c r="AJ775" s="939">
        <f t="shared" si="114"/>
        <v>0</v>
      </c>
    </row>
    <row r="776" spans="3:36" x14ac:dyDescent="0.2">
      <c r="C776" s="225" t="s">
        <v>115</v>
      </c>
      <c r="D776" s="426">
        <v>3</v>
      </c>
      <c r="E776" s="947"/>
      <c r="F776" s="947"/>
      <c r="G776" s="947"/>
      <c r="H776" s="981"/>
      <c r="I776" s="947"/>
      <c r="J776" s="947"/>
      <c r="K776" s="940">
        <f t="shared" si="112"/>
        <v>0</v>
      </c>
      <c r="L776" s="949"/>
      <c r="M776" s="949"/>
      <c r="N776" s="947"/>
      <c r="O776" s="927"/>
      <c r="P776" s="949"/>
      <c r="Q776" s="950"/>
      <c r="R776" s="949"/>
      <c r="S776" s="949"/>
      <c r="T776" s="907"/>
      <c r="U776" s="947"/>
      <c r="V776" s="947"/>
      <c r="W776" s="951"/>
      <c r="X776" s="949"/>
      <c r="Y776" s="948"/>
      <c r="Z776" s="909"/>
      <c r="AA776" s="947"/>
      <c r="AB776" s="950"/>
      <c r="AC776" s="927"/>
      <c r="AD776" s="952"/>
      <c r="AE776" s="1095"/>
      <c r="AF776" s="950"/>
      <c r="AG776" s="953"/>
      <c r="AH776" s="953"/>
      <c r="AI776" s="939">
        <f t="shared" si="113"/>
        <v>0</v>
      </c>
      <c r="AJ776" s="939">
        <f t="shared" si="114"/>
        <v>0</v>
      </c>
    </row>
    <row r="777" spans="3:36" x14ac:dyDescent="0.2">
      <c r="C777" s="225" t="s">
        <v>15</v>
      </c>
      <c r="D777" s="426">
        <v>4</v>
      </c>
      <c r="E777" s="947"/>
      <c r="F777" s="947"/>
      <c r="G777" s="947"/>
      <c r="H777" s="981"/>
      <c r="I777" s="947"/>
      <c r="J777" s="947"/>
      <c r="K777" s="940">
        <f t="shared" si="112"/>
        <v>0</v>
      </c>
      <c r="L777" s="949"/>
      <c r="M777" s="949"/>
      <c r="N777" s="947"/>
      <c r="O777" s="927"/>
      <c r="P777" s="949"/>
      <c r="Q777" s="950"/>
      <c r="R777" s="949"/>
      <c r="S777" s="949"/>
      <c r="T777" s="907"/>
      <c r="U777" s="947"/>
      <c r="V777" s="947"/>
      <c r="W777" s="951"/>
      <c r="X777" s="949"/>
      <c r="Y777" s="948"/>
      <c r="Z777" s="909"/>
      <c r="AA777" s="947"/>
      <c r="AB777" s="950"/>
      <c r="AC777" s="927"/>
      <c r="AD777" s="952"/>
      <c r="AE777" s="1095"/>
      <c r="AF777" s="950"/>
      <c r="AG777" s="953"/>
      <c r="AH777" s="953"/>
      <c r="AI777" s="939">
        <f t="shared" si="113"/>
        <v>0</v>
      </c>
      <c r="AJ777" s="939">
        <f t="shared" si="114"/>
        <v>0</v>
      </c>
    </row>
    <row r="778" spans="3:36" x14ac:dyDescent="0.2">
      <c r="C778" s="225" t="s">
        <v>556</v>
      </c>
      <c r="D778" s="426">
        <v>5</v>
      </c>
      <c r="E778" s="947"/>
      <c r="F778" s="947"/>
      <c r="G778" s="947"/>
      <c r="H778" s="981"/>
      <c r="I778" s="947"/>
      <c r="J778" s="947"/>
      <c r="K778" s="940">
        <f t="shared" si="112"/>
        <v>0</v>
      </c>
      <c r="L778" s="949"/>
      <c r="M778" s="949"/>
      <c r="N778" s="947"/>
      <c r="O778" s="927"/>
      <c r="P778" s="949"/>
      <c r="Q778" s="950"/>
      <c r="R778" s="949"/>
      <c r="S778" s="949"/>
      <c r="T778" s="907"/>
      <c r="U778" s="947"/>
      <c r="V778" s="947"/>
      <c r="W778" s="951"/>
      <c r="X778" s="949"/>
      <c r="Y778" s="948"/>
      <c r="Z778" s="909"/>
      <c r="AA778" s="947"/>
      <c r="AB778" s="950"/>
      <c r="AC778" s="927"/>
      <c r="AD778" s="952"/>
      <c r="AE778" s="1095"/>
      <c r="AF778" s="950"/>
      <c r="AG778" s="953"/>
      <c r="AH778" s="953"/>
      <c r="AI778" s="939">
        <f t="shared" si="113"/>
        <v>0</v>
      </c>
      <c r="AJ778" s="939">
        <f t="shared" si="114"/>
        <v>0</v>
      </c>
    </row>
    <row r="779" spans="3:36" x14ac:dyDescent="0.2">
      <c r="C779" s="225" t="s">
        <v>116</v>
      </c>
      <c r="D779" s="426">
        <v>6</v>
      </c>
      <c r="E779" s="947"/>
      <c r="F779" s="947"/>
      <c r="G779" s="947"/>
      <c r="H779" s="981"/>
      <c r="I779" s="947"/>
      <c r="J779" s="947"/>
      <c r="K779" s="940">
        <f t="shared" si="112"/>
        <v>0</v>
      </c>
      <c r="L779" s="949"/>
      <c r="M779" s="949"/>
      <c r="N779" s="947"/>
      <c r="O779" s="927"/>
      <c r="P779" s="949"/>
      <c r="Q779" s="950"/>
      <c r="R779" s="949"/>
      <c r="S779" s="949"/>
      <c r="T779" s="907"/>
      <c r="U779" s="947"/>
      <c r="V779" s="947"/>
      <c r="W779" s="951"/>
      <c r="X779" s="949"/>
      <c r="Y779" s="948"/>
      <c r="Z779" s="909"/>
      <c r="AA779" s="947"/>
      <c r="AB779" s="950"/>
      <c r="AC779" s="927"/>
      <c r="AD779" s="952"/>
      <c r="AE779" s="1095"/>
      <c r="AF779" s="950"/>
      <c r="AG779" s="953"/>
      <c r="AH779" s="953"/>
      <c r="AI779" s="939">
        <f t="shared" si="113"/>
        <v>0</v>
      </c>
      <c r="AJ779" s="939">
        <f t="shared" si="114"/>
        <v>0</v>
      </c>
    </row>
    <row r="780" spans="3:36" x14ac:dyDescent="0.2">
      <c r="C780" s="225" t="s">
        <v>595</v>
      </c>
      <c r="D780" s="426">
        <v>7</v>
      </c>
      <c r="E780" s="947"/>
      <c r="F780" s="947"/>
      <c r="G780" s="947"/>
      <c r="H780" s="981"/>
      <c r="I780" s="947"/>
      <c r="J780" s="947"/>
      <c r="K780" s="940">
        <f t="shared" si="112"/>
        <v>0</v>
      </c>
      <c r="L780" s="949"/>
      <c r="M780" s="949"/>
      <c r="N780" s="954"/>
      <c r="O780" s="927"/>
      <c r="P780" s="955"/>
      <c r="Q780" s="950"/>
      <c r="R780" s="949"/>
      <c r="S780" s="949"/>
      <c r="T780" s="907"/>
      <c r="U780" s="947"/>
      <c r="V780" s="947"/>
      <c r="W780" s="951"/>
      <c r="X780" s="949"/>
      <c r="Y780" s="948"/>
      <c r="Z780" s="909"/>
      <c r="AA780" s="947"/>
      <c r="AB780" s="950"/>
      <c r="AC780" s="927"/>
      <c r="AD780" s="952"/>
      <c r="AE780" s="1095"/>
      <c r="AF780" s="950"/>
      <c r="AG780" s="953"/>
      <c r="AH780" s="953"/>
      <c r="AI780" s="939">
        <f t="shared" si="113"/>
        <v>0</v>
      </c>
      <c r="AJ780" s="939">
        <f t="shared" si="114"/>
        <v>0</v>
      </c>
    </row>
    <row r="781" spans="3:36" x14ac:dyDescent="0.2">
      <c r="C781" s="225" t="s">
        <v>20</v>
      </c>
      <c r="D781" s="426">
        <v>8</v>
      </c>
      <c r="E781" s="947"/>
      <c r="F781" s="947"/>
      <c r="G781" s="947"/>
      <c r="H781" s="981"/>
      <c r="I781" s="947"/>
      <c r="J781" s="947"/>
      <c r="K781" s="940">
        <f t="shared" si="112"/>
        <v>0</v>
      </c>
      <c r="L781" s="949"/>
      <c r="M781" s="949"/>
      <c r="N781" s="954"/>
      <c r="O781" s="927"/>
      <c r="P781" s="955"/>
      <c r="Q781" s="950"/>
      <c r="R781" s="949"/>
      <c r="S781" s="949"/>
      <c r="T781" s="907"/>
      <c r="U781" s="947"/>
      <c r="V781" s="947"/>
      <c r="W781" s="951"/>
      <c r="X781" s="949"/>
      <c r="Y781" s="948"/>
      <c r="Z781" s="909"/>
      <c r="AA781" s="947"/>
      <c r="AB781" s="950"/>
      <c r="AC781" s="927"/>
      <c r="AD781" s="952"/>
      <c r="AE781" s="1095"/>
      <c r="AF781" s="950"/>
      <c r="AG781" s="953"/>
      <c r="AH781" s="953"/>
      <c r="AI781" s="939">
        <f t="shared" si="113"/>
        <v>0</v>
      </c>
      <c r="AJ781" s="939">
        <f t="shared" si="114"/>
        <v>0</v>
      </c>
    </row>
    <row r="782" spans="3:36" x14ac:dyDescent="0.2">
      <c r="C782" s="225" t="s">
        <v>117</v>
      </c>
      <c r="D782" s="426">
        <v>9</v>
      </c>
      <c r="E782" s="947"/>
      <c r="F782" s="947"/>
      <c r="G782" s="947"/>
      <c r="H782" s="981"/>
      <c r="I782" s="947"/>
      <c r="J782" s="947"/>
      <c r="K782" s="940">
        <f t="shared" si="112"/>
        <v>0</v>
      </c>
      <c r="L782" s="949"/>
      <c r="M782" s="949"/>
      <c r="N782" s="954"/>
      <c r="O782" s="927"/>
      <c r="P782" s="955"/>
      <c r="Q782" s="950"/>
      <c r="R782" s="949"/>
      <c r="S782" s="949"/>
      <c r="T782" s="907"/>
      <c r="U782" s="947"/>
      <c r="V782" s="947"/>
      <c r="W782" s="951"/>
      <c r="X782" s="949"/>
      <c r="Y782" s="948"/>
      <c r="Z782" s="909"/>
      <c r="AA782" s="947"/>
      <c r="AB782" s="950"/>
      <c r="AC782" s="927"/>
      <c r="AD782" s="952"/>
      <c r="AE782" s="1095"/>
      <c r="AF782" s="950"/>
      <c r="AG782" s="953"/>
      <c r="AH782" s="953"/>
      <c r="AI782" s="939">
        <f t="shared" si="113"/>
        <v>0</v>
      </c>
      <c r="AJ782" s="939">
        <f t="shared" si="114"/>
        <v>0</v>
      </c>
    </row>
    <row r="783" spans="3:36" x14ac:dyDescent="0.2">
      <c r="C783" s="225" t="s">
        <v>613</v>
      </c>
      <c r="D783" s="426">
        <v>10</v>
      </c>
      <c r="E783" s="947"/>
      <c r="F783" s="947"/>
      <c r="G783" s="947"/>
      <c r="H783" s="981"/>
      <c r="I783" s="947"/>
      <c r="J783" s="947"/>
      <c r="K783" s="940">
        <f t="shared" si="112"/>
        <v>0</v>
      </c>
      <c r="L783" s="949"/>
      <c r="M783" s="949"/>
      <c r="N783" s="954"/>
      <c r="O783" s="927"/>
      <c r="P783" s="955"/>
      <c r="Q783" s="950"/>
      <c r="R783" s="949"/>
      <c r="S783" s="949"/>
      <c r="T783" s="907"/>
      <c r="U783" s="947"/>
      <c r="V783" s="947"/>
      <c r="W783" s="951"/>
      <c r="X783" s="949"/>
      <c r="Y783" s="948"/>
      <c r="Z783" s="909"/>
      <c r="AA783" s="947"/>
      <c r="AB783" s="950"/>
      <c r="AC783" s="927"/>
      <c r="AD783" s="952"/>
      <c r="AE783" s="1095"/>
      <c r="AF783" s="950"/>
      <c r="AG783" s="953"/>
      <c r="AH783" s="953"/>
      <c r="AI783" s="939">
        <f t="shared" si="113"/>
        <v>0</v>
      </c>
      <c r="AJ783" s="939">
        <f t="shared" si="114"/>
        <v>0</v>
      </c>
    </row>
    <row r="784" spans="3:36" x14ac:dyDescent="0.2">
      <c r="C784" s="225" t="s">
        <v>23</v>
      </c>
      <c r="D784" s="426">
        <v>11</v>
      </c>
      <c r="E784" s="947"/>
      <c r="F784" s="947"/>
      <c r="G784" s="947"/>
      <c r="H784" s="981"/>
      <c r="I784" s="947"/>
      <c r="J784" s="947"/>
      <c r="K784" s="940">
        <f t="shared" si="112"/>
        <v>0</v>
      </c>
      <c r="L784" s="949"/>
      <c r="M784" s="949"/>
      <c r="N784" s="954"/>
      <c r="O784" s="927"/>
      <c r="P784" s="955"/>
      <c r="Q784" s="950"/>
      <c r="R784" s="949"/>
      <c r="S784" s="949"/>
      <c r="T784" s="907"/>
      <c r="U784" s="947"/>
      <c r="V784" s="947"/>
      <c r="W784" s="951"/>
      <c r="X784" s="949"/>
      <c r="Y784" s="948"/>
      <c r="Z784" s="909"/>
      <c r="AA784" s="947"/>
      <c r="AB784" s="950"/>
      <c r="AC784" s="927"/>
      <c r="AD784" s="952"/>
      <c r="AE784" s="1095"/>
      <c r="AF784" s="950"/>
      <c r="AG784" s="953"/>
      <c r="AH784" s="953"/>
      <c r="AI784" s="939">
        <f t="shared" si="113"/>
        <v>0</v>
      </c>
      <c r="AJ784" s="939">
        <f t="shared" si="114"/>
        <v>0</v>
      </c>
    </row>
    <row r="785" spans="3:36" x14ac:dyDescent="0.2">
      <c r="C785" s="225" t="s">
        <v>964</v>
      </c>
      <c r="D785" s="426">
        <v>12</v>
      </c>
      <c r="E785" s="947"/>
      <c r="F785" s="947"/>
      <c r="G785" s="947"/>
      <c r="H785" s="981"/>
      <c r="I785" s="947"/>
      <c r="J785" s="947"/>
      <c r="K785" s="940">
        <f t="shared" si="112"/>
        <v>0</v>
      </c>
      <c r="L785" s="949"/>
      <c r="M785" s="949"/>
      <c r="N785" s="954"/>
      <c r="O785" s="927"/>
      <c r="P785" s="955"/>
      <c r="Q785" s="950"/>
      <c r="R785" s="949"/>
      <c r="S785" s="949"/>
      <c r="T785" s="907"/>
      <c r="U785" s="947"/>
      <c r="V785" s="947"/>
      <c r="W785" s="951"/>
      <c r="X785" s="949"/>
      <c r="Y785" s="948"/>
      <c r="Z785" s="909"/>
      <c r="AA785" s="947"/>
      <c r="AB785" s="950"/>
      <c r="AC785" s="927"/>
      <c r="AD785" s="952"/>
      <c r="AE785" s="1095"/>
      <c r="AF785" s="950"/>
      <c r="AG785" s="953"/>
      <c r="AH785" s="953"/>
      <c r="AI785" s="939">
        <f t="shared" si="113"/>
        <v>0</v>
      </c>
      <c r="AJ785" s="939">
        <f t="shared" si="114"/>
        <v>0</v>
      </c>
    </row>
    <row r="786" spans="3:36" x14ac:dyDescent="0.2">
      <c r="C786" s="225" t="s">
        <v>567</v>
      </c>
      <c r="D786" s="426">
        <v>13</v>
      </c>
      <c r="E786" s="947"/>
      <c r="F786" s="947"/>
      <c r="G786" s="947"/>
      <c r="H786" s="981"/>
      <c r="I786" s="947"/>
      <c r="J786" s="947"/>
      <c r="K786" s="940">
        <f t="shared" si="112"/>
        <v>0</v>
      </c>
      <c r="L786" s="949"/>
      <c r="M786" s="949"/>
      <c r="N786" s="954"/>
      <c r="O786" s="927"/>
      <c r="P786" s="955"/>
      <c r="Q786" s="950"/>
      <c r="R786" s="949"/>
      <c r="S786" s="949"/>
      <c r="T786" s="907"/>
      <c r="U786" s="947"/>
      <c r="V786" s="947"/>
      <c r="W786" s="951"/>
      <c r="X786" s="949"/>
      <c r="Y786" s="948"/>
      <c r="Z786" s="909"/>
      <c r="AA786" s="947"/>
      <c r="AB786" s="950"/>
      <c r="AC786" s="927"/>
      <c r="AD786" s="952"/>
      <c r="AE786" s="1095"/>
      <c r="AF786" s="950"/>
      <c r="AG786" s="953"/>
      <c r="AH786" s="953"/>
      <c r="AI786" s="939">
        <f t="shared" si="113"/>
        <v>0</v>
      </c>
      <c r="AJ786" s="939">
        <f t="shared" si="114"/>
        <v>0</v>
      </c>
    </row>
    <row r="787" spans="3:36" x14ac:dyDescent="0.2">
      <c r="C787" s="225" t="s">
        <v>150</v>
      </c>
      <c r="D787" s="426">
        <v>14</v>
      </c>
      <c r="E787" s="947"/>
      <c r="F787" s="947"/>
      <c r="G787" s="947"/>
      <c r="H787" s="981"/>
      <c r="I787" s="947"/>
      <c r="J787" s="947"/>
      <c r="K787" s="940">
        <f t="shared" si="112"/>
        <v>0</v>
      </c>
      <c r="L787" s="949"/>
      <c r="M787" s="949"/>
      <c r="N787" s="954"/>
      <c r="O787" s="927"/>
      <c r="P787" s="955"/>
      <c r="Q787" s="950"/>
      <c r="R787" s="949"/>
      <c r="S787" s="949"/>
      <c r="T787" s="907"/>
      <c r="U787" s="947"/>
      <c r="V787" s="947"/>
      <c r="W787" s="951"/>
      <c r="X787" s="949"/>
      <c r="Y787" s="948"/>
      <c r="Z787" s="909"/>
      <c r="AA787" s="947"/>
      <c r="AB787" s="950"/>
      <c r="AC787" s="927"/>
      <c r="AD787" s="952"/>
      <c r="AE787" s="1095"/>
      <c r="AF787" s="950"/>
      <c r="AG787" s="953"/>
      <c r="AH787" s="953"/>
      <c r="AI787" s="939">
        <f t="shared" si="113"/>
        <v>0</v>
      </c>
      <c r="AJ787" s="939">
        <f t="shared" si="114"/>
        <v>0</v>
      </c>
    </row>
    <row r="788" spans="3:36" x14ac:dyDescent="0.2">
      <c r="C788" s="225" t="s">
        <v>25</v>
      </c>
      <c r="D788" s="426">
        <v>15</v>
      </c>
      <c r="E788" s="947"/>
      <c r="F788" s="947"/>
      <c r="G788" s="947"/>
      <c r="H788" s="981"/>
      <c r="I788" s="947"/>
      <c r="J788" s="947"/>
      <c r="K788" s="940">
        <f t="shared" si="112"/>
        <v>0</v>
      </c>
      <c r="L788" s="949"/>
      <c r="M788" s="949"/>
      <c r="N788" s="954"/>
      <c r="O788" s="927"/>
      <c r="P788" s="955"/>
      <c r="Q788" s="950"/>
      <c r="R788" s="949"/>
      <c r="S788" s="949"/>
      <c r="T788" s="907"/>
      <c r="U788" s="947"/>
      <c r="V788" s="947"/>
      <c r="W788" s="951"/>
      <c r="X788" s="949"/>
      <c r="Y788" s="948"/>
      <c r="Z788" s="909"/>
      <c r="AA788" s="947"/>
      <c r="AB788" s="950"/>
      <c r="AC788" s="927"/>
      <c r="AD788" s="952"/>
      <c r="AE788" s="1095"/>
      <c r="AF788" s="950"/>
      <c r="AG788" s="953"/>
      <c r="AH788" s="953"/>
      <c r="AI788" s="939">
        <f t="shared" si="113"/>
        <v>0</v>
      </c>
      <c r="AJ788" s="939">
        <f t="shared" si="114"/>
        <v>0</v>
      </c>
    </row>
    <row r="789" spans="3:36" x14ac:dyDescent="0.2">
      <c r="C789" s="225" t="s">
        <v>118</v>
      </c>
      <c r="D789" s="426">
        <v>16</v>
      </c>
      <c r="E789" s="947"/>
      <c r="F789" s="947"/>
      <c r="G789" s="947"/>
      <c r="H789" s="981"/>
      <c r="I789" s="947"/>
      <c r="J789" s="947"/>
      <c r="K789" s="940">
        <f t="shared" si="112"/>
        <v>0</v>
      </c>
      <c r="L789" s="949"/>
      <c r="M789" s="949"/>
      <c r="N789" s="954"/>
      <c r="O789" s="927"/>
      <c r="P789" s="955"/>
      <c r="Q789" s="950"/>
      <c r="R789" s="949"/>
      <c r="S789" s="949"/>
      <c r="T789" s="907"/>
      <c r="U789" s="947"/>
      <c r="V789" s="947"/>
      <c r="W789" s="951"/>
      <c r="X789" s="949"/>
      <c r="Y789" s="948"/>
      <c r="Z789" s="909"/>
      <c r="AA789" s="947"/>
      <c r="AB789" s="950"/>
      <c r="AC789" s="927"/>
      <c r="AD789" s="952"/>
      <c r="AE789" s="1095"/>
      <c r="AF789" s="950"/>
      <c r="AG789" s="953"/>
      <c r="AH789" s="953"/>
      <c r="AI789" s="939">
        <f t="shared" si="113"/>
        <v>0</v>
      </c>
      <c r="AJ789" s="939">
        <f t="shared" si="114"/>
        <v>0</v>
      </c>
    </row>
    <row r="790" spans="3:36" x14ac:dyDescent="0.2">
      <c r="C790" s="225" t="s">
        <v>557</v>
      </c>
      <c r="D790" s="426">
        <v>17</v>
      </c>
      <c r="E790" s="947"/>
      <c r="F790" s="947"/>
      <c r="G790" s="947"/>
      <c r="H790" s="981"/>
      <c r="I790" s="947"/>
      <c r="J790" s="947"/>
      <c r="K790" s="940">
        <f t="shared" si="112"/>
        <v>0</v>
      </c>
      <c r="L790" s="949"/>
      <c r="M790" s="949"/>
      <c r="N790" s="954"/>
      <c r="O790" s="927"/>
      <c r="P790" s="955"/>
      <c r="Q790" s="950"/>
      <c r="R790" s="949"/>
      <c r="S790" s="949"/>
      <c r="T790" s="907"/>
      <c r="U790" s="947"/>
      <c r="V790" s="947"/>
      <c r="W790" s="951"/>
      <c r="X790" s="949"/>
      <c r="Y790" s="948"/>
      <c r="Z790" s="909"/>
      <c r="AA790" s="947"/>
      <c r="AB790" s="950"/>
      <c r="AC790" s="927"/>
      <c r="AD790" s="952"/>
      <c r="AE790" s="1095"/>
      <c r="AF790" s="950"/>
      <c r="AG790" s="953"/>
      <c r="AH790" s="953"/>
      <c r="AI790" s="939">
        <f t="shared" si="113"/>
        <v>0</v>
      </c>
      <c r="AJ790" s="939">
        <f t="shared" si="114"/>
        <v>0</v>
      </c>
    </row>
    <row r="791" spans="3:36" x14ac:dyDescent="0.2">
      <c r="C791" s="225" t="s">
        <v>119</v>
      </c>
      <c r="D791" s="426">
        <v>18</v>
      </c>
      <c r="E791" s="947"/>
      <c r="F791" s="947"/>
      <c r="G791" s="947"/>
      <c r="H791" s="981"/>
      <c r="I791" s="947"/>
      <c r="J791" s="947"/>
      <c r="K791" s="940">
        <f t="shared" si="112"/>
        <v>0</v>
      </c>
      <c r="L791" s="949"/>
      <c r="M791" s="949"/>
      <c r="N791" s="954"/>
      <c r="O791" s="927"/>
      <c r="P791" s="955"/>
      <c r="Q791" s="950"/>
      <c r="R791" s="949"/>
      <c r="S791" s="949"/>
      <c r="T791" s="907"/>
      <c r="U791" s="947"/>
      <c r="V791" s="947"/>
      <c r="W791" s="951"/>
      <c r="X791" s="949"/>
      <c r="Y791" s="948"/>
      <c r="Z791" s="909"/>
      <c r="AA791" s="947"/>
      <c r="AB791" s="950"/>
      <c r="AC791" s="927"/>
      <c r="AD791" s="952"/>
      <c r="AE791" s="1095"/>
      <c r="AF791" s="950"/>
      <c r="AG791" s="953"/>
      <c r="AH791" s="953"/>
      <c r="AI791" s="939">
        <f t="shared" si="113"/>
        <v>0</v>
      </c>
      <c r="AJ791" s="939">
        <f t="shared" si="114"/>
        <v>0</v>
      </c>
    </row>
    <row r="792" spans="3:36" x14ac:dyDescent="0.2">
      <c r="C792" s="225" t="s">
        <v>30</v>
      </c>
      <c r="D792" s="426">
        <v>19</v>
      </c>
      <c r="E792" s="947"/>
      <c r="F792" s="947"/>
      <c r="G792" s="947"/>
      <c r="H792" s="981"/>
      <c r="I792" s="947"/>
      <c r="J792" s="947"/>
      <c r="K792" s="940">
        <f t="shared" si="112"/>
        <v>0</v>
      </c>
      <c r="L792" s="949"/>
      <c r="M792" s="949"/>
      <c r="N792" s="954"/>
      <c r="O792" s="927"/>
      <c r="P792" s="955"/>
      <c r="Q792" s="950"/>
      <c r="R792" s="949"/>
      <c r="S792" s="949"/>
      <c r="T792" s="907"/>
      <c r="U792" s="947"/>
      <c r="V792" s="947"/>
      <c r="W792" s="951"/>
      <c r="X792" s="949"/>
      <c r="Y792" s="948"/>
      <c r="Z792" s="909"/>
      <c r="AA792" s="947"/>
      <c r="AB792" s="950"/>
      <c r="AC792" s="927"/>
      <c r="AD792" s="952"/>
      <c r="AE792" s="1095"/>
      <c r="AF792" s="950"/>
      <c r="AG792" s="953"/>
      <c r="AH792" s="953"/>
      <c r="AI792" s="939">
        <f t="shared" si="113"/>
        <v>0</v>
      </c>
      <c r="AJ792" s="939">
        <f t="shared" si="114"/>
        <v>0</v>
      </c>
    </row>
    <row r="793" spans="3:36" x14ac:dyDescent="0.2">
      <c r="C793" s="225" t="s">
        <v>558</v>
      </c>
      <c r="D793" s="426">
        <v>20</v>
      </c>
      <c r="E793" s="947"/>
      <c r="F793" s="947"/>
      <c r="G793" s="947"/>
      <c r="H793" s="981"/>
      <c r="I793" s="947"/>
      <c r="J793" s="947"/>
      <c r="K793" s="940">
        <f t="shared" si="112"/>
        <v>0</v>
      </c>
      <c r="L793" s="949"/>
      <c r="M793" s="949"/>
      <c r="N793" s="954"/>
      <c r="O793" s="927"/>
      <c r="P793" s="955"/>
      <c r="Q793" s="950"/>
      <c r="R793" s="949"/>
      <c r="S793" s="949"/>
      <c r="T793" s="907"/>
      <c r="U793" s="947"/>
      <c r="V793" s="947"/>
      <c r="W793" s="951"/>
      <c r="X793" s="949"/>
      <c r="Y793" s="948"/>
      <c r="Z793" s="909"/>
      <c r="AA793" s="947"/>
      <c r="AB793" s="950"/>
      <c r="AC793" s="927"/>
      <c r="AD793" s="952"/>
      <c r="AE793" s="1095"/>
      <c r="AF793" s="950"/>
      <c r="AG793" s="953"/>
      <c r="AH793" s="953"/>
      <c r="AI793" s="939">
        <f t="shared" si="113"/>
        <v>0</v>
      </c>
      <c r="AJ793" s="939">
        <f t="shared" si="114"/>
        <v>0</v>
      </c>
    </row>
    <row r="794" spans="3:36" x14ac:dyDescent="0.2">
      <c r="C794" s="225" t="s">
        <v>120</v>
      </c>
      <c r="D794" s="426">
        <v>21</v>
      </c>
      <c r="E794" s="947"/>
      <c r="F794" s="947"/>
      <c r="G794" s="947"/>
      <c r="H794" s="981"/>
      <c r="I794" s="947"/>
      <c r="J794" s="947"/>
      <c r="K794" s="940">
        <f t="shared" si="112"/>
        <v>0</v>
      </c>
      <c r="L794" s="949"/>
      <c r="M794" s="949"/>
      <c r="N794" s="954"/>
      <c r="O794" s="927"/>
      <c r="P794" s="955"/>
      <c r="Q794" s="950"/>
      <c r="R794" s="949"/>
      <c r="S794" s="949"/>
      <c r="T794" s="907"/>
      <c r="U794" s="947"/>
      <c r="V794" s="947"/>
      <c r="W794" s="951"/>
      <c r="X794" s="949"/>
      <c r="Y794" s="948"/>
      <c r="Z794" s="909"/>
      <c r="AA794" s="947"/>
      <c r="AB794" s="950"/>
      <c r="AC794" s="927"/>
      <c r="AD794" s="952"/>
      <c r="AE794" s="1095"/>
      <c r="AF794" s="950"/>
      <c r="AG794" s="953"/>
      <c r="AH794" s="953"/>
      <c r="AI794" s="939">
        <f t="shared" si="113"/>
        <v>0</v>
      </c>
      <c r="AJ794" s="939">
        <f t="shared" si="114"/>
        <v>0</v>
      </c>
    </row>
    <row r="795" spans="3:36" x14ac:dyDescent="0.2">
      <c r="C795" s="225" t="s">
        <v>121</v>
      </c>
      <c r="D795" s="426">
        <v>22</v>
      </c>
      <c r="E795" s="947"/>
      <c r="F795" s="947"/>
      <c r="G795" s="947"/>
      <c r="H795" s="981"/>
      <c r="I795" s="947"/>
      <c r="J795" s="947"/>
      <c r="K795" s="940">
        <f t="shared" si="112"/>
        <v>0</v>
      </c>
      <c r="L795" s="949"/>
      <c r="M795" s="949"/>
      <c r="N795" s="954"/>
      <c r="O795" s="927"/>
      <c r="P795" s="955"/>
      <c r="Q795" s="950"/>
      <c r="R795" s="949"/>
      <c r="S795" s="949"/>
      <c r="T795" s="907"/>
      <c r="U795" s="947"/>
      <c r="V795" s="947"/>
      <c r="W795" s="951"/>
      <c r="X795" s="949"/>
      <c r="Y795" s="948"/>
      <c r="Z795" s="909"/>
      <c r="AA795" s="947"/>
      <c r="AB795" s="950"/>
      <c r="AC795" s="927"/>
      <c r="AD795" s="952"/>
      <c r="AE795" s="1095"/>
      <c r="AF795" s="950"/>
      <c r="AG795" s="953"/>
      <c r="AH795" s="953"/>
      <c r="AI795" s="939">
        <f t="shared" si="113"/>
        <v>0</v>
      </c>
      <c r="AJ795" s="939">
        <f t="shared" si="114"/>
        <v>0</v>
      </c>
    </row>
    <row r="796" spans="3:36" x14ac:dyDescent="0.2">
      <c r="C796" s="225" t="s">
        <v>122</v>
      </c>
      <c r="D796" s="426">
        <v>23</v>
      </c>
      <c r="E796" s="947"/>
      <c r="F796" s="947"/>
      <c r="G796" s="947"/>
      <c r="H796" s="981"/>
      <c r="I796" s="947"/>
      <c r="J796" s="947"/>
      <c r="K796" s="940">
        <f t="shared" si="112"/>
        <v>0</v>
      </c>
      <c r="L796" s="949"/>
      <c r="M796" s="949"/>
      <c r="N796" s="954"/>
      <c r="O796" s="927"/>
      <c r="P796" s="955"/>
      <c r="Q796" s="950"/>
      <c r="R796" s="949"/>
      <c r="S796" s="949"/>
      <c r="T796" s="907"/>
      <c r="U796" s="947"/>
      <c r="V796" s="947"/>
      <c r="W796" s="951"/>
      <c r="X796" s="949"/>
      <c r="Y796" s="948"/>
      <c r="Z796" s="909"/>
      <c r="AA796" s="947"/>
      <c r="AB796" s="950"/>
      <c r="AC796" s="927"/>
      <c r="AD796" s="952"/>
      <c r="AE796" s="1095"/>
      <c r="AF796" s="950"/>
      <c r="AG796" s="953"/>
      <c r="AH796" s="953"/>
      <c r="AI796" s="939">
        <f t="shared" si="113"/>
        <v>0</v>
      </c>
      <c r="AJ796" s="939">
        <f t="shared" si="114"/>
        <v>0</v>
      </c>
    </row>
    <row r="797" spans="3:36" x14ac:dyDescent="0.2">
      <c r="C797" s="225" t="s">
        <v>123</v>
      </c>
      <c r="D797" s="426">
        <v>24</v>
      </c>
      <c r="E797" s="947"/>
      <c r="F797" s="947"/>
      <c r="G797" s="947"/>
      <c r="H797" s="981"/>
      <c r="I797" s="947"/>
      <c r="J797" s="947"/>
      <c r="K797" s="940">
        <f t="shared" si="112"/>
        <v>0</v>
      </c>
      <c r="L797" s="949"/>
      <c r="M797" s="949"/>
      <c r="N797" s="954"/>
      <c r="O797" s="927"/>
      <c r="P797" s="955"/>
      <c r="Q797" s="950"/>
      <c r="R797" s="949"/>
      <c r="S797" s="949"/>
      <c r="T797" s="907"/>
      <c r="U797" s="947"/>
      <c r="V797" s="947"/>
      <c r="W797" s="951"/>
      <c r="X797" s="949"/>
      <c r="Y797" s="948"/>
      <c r="Z797" s="909"/>
      <c r="AA797" s="947"/>
      <c r="AB797" s="950"/>
      <c r="AC797" s="927"/>
      <c r="AD797" s="952"/>
      <c r="AE797" s="1095"/>
      <c r="AF797" s="950"/>
      <c r="AG797" s="953"/>
      <c r="AH797" s="953"/>
      <c r="AI797" s="939">
        <f t="shared" si="113"/>
        <v>0</v>
      </c>
      <c r="AJ797" s="939">
        <f t="shared" si="114"/>
        <v>0</v>
      </c>
    </row>
    <row r="798" spans="3:36" x14ac:dyDescent="0.2">
      <c r="C798" s="225" t="s">
        <v>124</v>
      </c>
      <c r="D798" s="426">
        <v>25</v>
      </c>
      <c r="E798" s="947"/>
      <c r="F798" s="947"/>
      <c r="G798" s="947"/>
      <c r="H798" s="981"/>
      <c r="I798" s="947"/>
      <c r="J798" s="947"/>
      <c r="K798" s="940">
        <f t="shared" si="112"/>
        <v>0</v>
      </c>
      <c r="L798" s="949"/>
      <c r="M798" s="949"/>
      <c r="N798" s="954"/>
      <c r="O798" s="927"/>
      <c r="P798" s="955"/>
      <c r="Q798" s="950"/>
      <c r="R798" s="949"/>
      <c r="S798" s="949"/>
      <c r="T798" s="907"/>
      <c r="U798" s="947"/>
      <c r="V798" s="947"/>
      <c r="W798" s="951"/>
      <c r="X798" s="949"/>
      <c r="Y798" s="948"/>
      <c r="Z798" s="909"/>
      <c r="AA798" s="947"/>
      <c r="AB798" s="950"/>
      <c r="AC798" s="927"/>
      <c r="AD798" s="952"/>
      <c r="AE798" s="1095"/>
      <c r="AF798" s="950"/>
      <c r="AG798" s="953"/>
      <c r="AH798" s="953"/>
      <c r="AI798" s="939">
        <f t="shared" si="113"/>
        <v>0</v>
      </c>
      <c r="AJ798" s="939">
        <f t="shared" si="114"/>
        <v>0</v>
      </c>
    </row>
    <row r="799" spans="3:36" x14ac:dyDescent="0.2">
      <c r="C799" s="225" t="s">
        <v>97</v>
      </c>
      <c r="D799" s="426">
        <v>26</v>
      </c>
      <c r="E799" s="947"/>
      <c r="F799" s="947"/>
      <c r="G799" s="947"/>
      <c r="H799" s="981"/>
      <c r="I799" s="947"/>
      <c r="J799" s="947"/>
      <c r="K799" s="940">
        <f t="shared" si="112"/>
        <v>0</v>
      </c>
      <c r="L799" s="949"/>
      <c r="M799" s="949"/>
      <c r="N799" s="954"/>
      <c r="O799" s="927"/>
      <c r="P799" s="955"/>
      <c r="Q799" s="950"/>
      <c r="R799" s="949"/>
      <c r="S799" s="949"/>
      <c r="T799" s="907"/>
      <c r="U799" s="947"/>
      <c r="V799" s="947"/>
      <c r="W799" s="951"/>
      <c r="X799" s="949"/>
      <c r="Y799" s="948"/>
      <c r="Z799" s="909"/>
      <c r="AA799" s="947"/>
      <c r="AB799" s="950"/>
      <c r="AC799" s="927"/>
      <c r="AD799" s="952"/>
      <c r="AE799" s="1095"/>
      <c r="AF799" s="950"/>
      <c r="AG799" s="953"/>
      <c r="AH799" s="953"/>
      <c r="AI799" s="939">
        <f t="shared" si="113"/>
        <v>0</v>
      </c>
      <c r="AJ799" s="939">
        <f t="shared" si="114"/>
        <v>0</v>
      </c>
    </row>
    <row r="800" spans="3:36" x14ac:dyDescent="0.2">
      <c r="C800" s="225" t="s">
        <v>125</v>
      </c>
      <c r="D800" s="426">
        <v>27</v>
      </c>
      <c r="E800" s="947"/>
      <c r="F800" s="947"/>
      <c r="G800" s="947"/>
      <c r="H800" s="981"/>
      <c r="I800" s="947"/>
      <c r="J800" s="947"/>
      <c r="K800" s="940">
        <f t="shared" si="112"/>
        <v>0</v>
      </c>
      <c r="L800" s="949"/>
      <c r="M800" s="949"/>
      <c r="N800" s="954"/>
      <c r="O800" s="927"/>
      <c r="P800" s="955"/>
      <c r="Q800" s="950"/>
      <c r="R800" s="949"/>
      <c r="S800" s="949"/>
      <c r="T800" s="907"/>
      <c r="U800" s="947"/>
      <c r="V800" s="947"/>
      <c r="W800" s="951"/>
      <c r="X800" s="949"/>
      <c r="Y800" s="948"/>
      <c r="Z800" s="909"/>
      <c r="AA800" s="947"/>
      <c r="AB800" s="950"/>
      <c r="AC800" s="927"/>
      <c r="AD800" s="952"/>
      <c r="AE800" s="1095"/>
      <c r="AF800" s="950"/>
      <c r="AG800" s="953"/>
      <c r="AH800" s="953"/>
      <c r="AI800" s="939">
        <f t="shared" si="113"/>
        <v>0</v>
      </c>
      <c r="AJ800" s="939">
        <f t="shared" si="114"/>
        <v>0</v>
      </c>
    </row>
    <row r="801" spans="3:36" x14ac:dyDescent="0.2">
      <c r="C801" s="225" t="s">
        <v>126</v>
      </c>
      <c r="D801" s="426">
        <v>28</v>
      </c>
      <c r="E801" s="947"/>
      <c r="F801" s="947"/>
      <c r="G801" s="947"/>
      <c r="H801" s="981"/>
      <c r="I801" s="947"/>
      <c r="J801" s="947"/>
      <c r="K801" s="940">
        <f t="shared" si="112"/>
        <v>0</v>
      </c>
      <c r="L801" s="949"/>
      <c r="M801" s="949"/>
      <c r="N801" s="954"/>
      <c r="O801" s="927"/>
      <c r="P801" s="955"/>
      <c r="Q801" s="950"/>
      <c r="R801" s="949"/>
      <c r="S801" s="949"/>
      <c r="T801" s="907"/>
      <c r="U801" s="947"/>
      <c r="V801" s="947"/>
      <c r="W801" s="951"/>
      <c r="X801" s="949"/>
      <c r="Y801" s="948"/>
      <c r="Z801" s="909"/>
      <c r="AA801" s="947"/>
      <c r="AB801" s="950"/>
      <c r="AC801" s="927"/>
      <c r="AD801" s="952"/>
      <c r="AE801" s="1095"/>
      <c r="AF801" s="950"/>
      <c r="AG801" s="953"/>
      <c r="AH801" s="953"/>
      <c r="AI801" s="939">
        <f t="shared" si="113"/>
        <v>0</v>
      </c>
      <c r="AJ801" s="939">
        <f t="shared" si="114"/>
        <v>0</v>
      </c>
    </row>
    <row r="802" spans="3:36" x14ac:dyDescent="0.2">
      <c r="C802" s="225" t="s">
        <v>127</v>
      </c>
      <c r="D802" s="426">
        <v>29</v>
      </c>
      <c r="E802" s="947"/>
      <c r="F802" s="947"/>
      <c r="G802" s="947"/>
      <c r="H802" s="981"/>
      <c r="I802" s="947"/>
      <c r="J802" s="947"/>
      <c r="K802" s="940">
        <f t="shared" si="112"/>
        <v>0</v>
      </c>
      <c r="L802" s="949"/>
      <c r="M802" s="949"/>
      <c r="N802" s="954"/>
      <c r="O802" s="927"/>
      <c r="P802" s="955"/>
      <c r="Q802" s="950"/>
      <c r="R802" s="949"/>
      <c r="S802" s="949"/>
      <c r="T802" s="907"/>
      <c r="U802" s="947"/>
      <c r="V802" s="947"/>
      <c r="W802" s="951"/>
      <c r="X802" s="949"/>
      <c r="Y802" s="948"/>
      <c r="Z802" s="909"/>
      <c r="AA802" s="947"/>
      <c r="AB802" s="950"/>
      <c r="AC802" s="927"/>
      <c r="AD802" s="952"/>
      <c r="AE802" s="1095"/>
      <c r="AF802" s="950"/>
      <c r="AG802" s="953"/>
      <c r="AH802" s="953"/>
      <c r="AI802" s="939">
        <f t="shared" si="113"/>
        <v>0</v>
      </c>
      <c r="AJ802" s="939">
        <f t="shared" si="114"/>
        <v>0</v>
      </c>
    </row>
    <row r="803" spans="3:36" x14ac:dyDescent="0.2">
      <c r="C803" s="225" t="s">
        <v>936</v>
      </c>
      <c r="D803" s="426">
        <v>30</v>
      </c>
      <c r="E803" s="947"/>
      <c r="F803" s="947"/>
      <c r="G803" s="947"/>
      <c r="H803" s="981"/>
      <c r="I803" s="947"/>
      <c r="J803" s="947"/>
      <c r="K803" s="940">
        <f t="shared" si="112"/>
        <v>0</v>
      </c>
      <c r="L803" s="949"/>
      <c r="M803" s="949"/>
      <c r="N803" s="954"/>
      <c r="O803" s="927"/>
      <c r="P803" s="955"/>
      <c r="Q803" s="950"/>
      <c r="R803" s="949"/>
      <c r="S803" s="949"/>
      <c r="T803" s="907"/>
      <c r="U803" s="947"/>
      <c r="V803" s="947"/>
      <c r="W803" s="951"/>
      <c r="X803" s="949"/>
      <c r="Y803" s="948"/>
      <c r="Z803" s="909"/>
      <c r="AA803" s="947"/>
      <c r="AB803" s="950"/>
      <c r="AC803" s="927"/>
      <c r="AD803" s="952"/>
      <c r="AE803" s="1095"/>
      <c r="AF803" s="950"/>
      <c r="AG803" s="953"/>
      <c r="AH803" s="953"/>
      <c r="AI803" s="939">
        <f t="shared" si="113"/>
        <v>0</v>
      </c>
      <c r="AJ803" s="939">
        <f t="shared" si="114"/>
        <v>0</v>
      </c>
    </row>
    <row r="804" spans="3:36" x14ac:dyDescent="0.2">
      <c r="C804" s="225" t="s">
        <v>561</v>
      </c>
      <c r="D804" s="426">
        <v>31</v>
      </c>
      <c r="E804" s="947"/>
      <c r="F804" s="947"/>
      <c r="G804" s="947"/>
      <c r="H804" s="981"/>
      <c r="I804" s="947"/>
      <c r="J804" s="947"/>
      <c r="K804" s="940">
        <f t="shared" si="112"/>
        <v>0</v>
      </c>
      <c r="L804" s="949"/>
      <c r="M804" s="949"/>
      <c r="N804" s="954"/>
      <c r="O804" s="927"/>
      <c r="P804" s="955"/>
      <c r="Q804" s="950"/>
      <c r="R804" s="949"/>
      <c r="S804" s="949"/>
      <c r="T804" s="907"/>
      <c r="U804" s="947"/>
      <c r="V804" s="947"/>
      <c r="W804" s="951"/>
      <c r="X804" s="949"/>
      <c r="Y804" s="948"/>
      <c r="Z804" s="909"/>
      <c r="AA804" s="947"/>
      <c r="AB804" s="950"/>
      <c r="AC804" s="927"/>
      <c r="AD804" s="952"/>
      <c r="AE804" s="1095"/>
      <c r="AF804" s="950"/>
      <c r="AG804" s="953"/>
      <c r="AH804" s="953"/>
      <c r="AI804" s="939">
        <f t="shared" si="113"/>
        <v>0</v>
      </c>
      <c r="AJ804" s="939">
        <f t="shared" si="114"/>
        <v>0</v>
      </c>
    </row>
    <row r="805" spans="3:36" x14ac:dyDescent="0.2">
      <c r="C805" s="225" t="s">
        <v>562</v>
      </c>
      <c r="D805" s="426">
        <v>32</v>
      </c>
      <c r="E805" s="947"/>
      <c r="F805" s="947"/>
      <c r="G805" s="947"/>
      <c r="H805" s="981"/>
      <c r="I805" s="947"/>
      <c r="J805" s="947"/>
      <c r="K805" s="940">
        <f t="shared" si="112"/>
        <v>0</v>
      </c>
      <c r="L805" s="949"/>
      <c r="M805" s="949"/>
      <c r="N805" s="954"/>
      <c r="O805" s="927"/>
      <c r="P805" s="955"/>
      <c r="Q805" s="950"/>
      <c r="R805" s="949"/>
      <c r="S805" s="949"/>
      <c r="T805" s="907"/>
      <c r="U805" s="947"/>
      <c r="V805" s="947"/>
      <c r="W805" s="951"/>
      <c r="X805" s="949"/>
      <c r="Y805" s="948"/>
      <c r="Z805" s="909"/>
      <c r="AA805" s="947"/>
      <c r="AB805" s="950"/>
      <c r="AC805" s="927"/>
      <c r="AD805" s="952"/>
      <c r="AE805" s="1095"/>
      <c r="AF805" s="950"/>
      <c r="AG805" s="953"/>
      <c r="AH805" s="953"/>
      <c r="AI805" s="939">
        <f t="shared" si="113"/>
        <v>0</v>
      </c>
      <c r="AJ805" s="939">
        <f t="shared" si="114"/>
        <v>0</v>
      </c>
    </row>
    <row r="806" spans="3:36" x14ac:dyDescent="0.2">
      <c r="C806" s="225" t="s">
        <v>128</v>
      </c>
      <c r="D806" s="426">
        <v>33</v>
      </c>
      <c r="E806" s="947"/>
      <c r="F806" s="947"/>
      <c r="G806" s="947"/>
      <c r="H806" s="981"/>
      <c r="I806" s="947"/>
      <c r="J806" s="947"/>
      <c r="K806" s="940">
        <f t="shared" si="112"/>
        <v>0</v>
      </c>
      <c r="L806" s="949"/>
      <c r="M806" s="949"/>
      <c r="N806" s="947"/>
      <c r="O806" s="927"/>
      <c r="P806" s="949"/>
      <c r="Q806" s="950"/>
      <c r="R806" s="949"/>
      <c r="S806" s="949"/>
      <c r="T806" s="907"/>
      <c r="U806" s="947"/>
      <c r="V806" s="947"/>
      <c r="W806" s="951"/>
      <c r="X806" s="949"/>
      <c r="Y806" s="948"/>
      <c r="Z806" s="909"/>
      <c r="AA806" s="947"/>
      <c r="AB806" s="950"/>
      <c r="AC806" s="927"/>
      <c r="AD806" s="952"/>
      <c r="AE806" s="1095"/>
      <c r="AF806" s="950"/>
      <c r="AG806" s="953"/>
      <c r="AH806" s="953"/>
      <c r="AI806" s="939">
        <f t="shared" ref="AI806:AI830" si="115">ROUND(SUM(L806:O806,R806:T806,W806,Z806,AC806,AG806:AH806),3)</f>
        <v>0</v>
      </c>
      <c r="AJ806" s="939">
        <f t="shared" ref="AJ806:AJ830" si="116">ROUND(SUM(K806,AI806),3)</f>
        <v>0</v>
      </c>
    </row>
    <row r="807" spans="3:36" x14ac:dyDescent="0.2">
      <c r="C807" s="225" t="s">
        <v>151</v>
      </c>
      <c r="D807" s="426">
        <v>34</v>
      </c>
      <c r="E807" s="947"/>
      <c r="F807" s="947"/>
      <c r="G807" s="947"/>
      <c r="H807" s="981"/>
      <c r="I807" s="947"/>
      <c r="J807" s="947"/>
      <c r="K807" s="940">
        <f t="shared" si="112"/>
        <v>0</v>
      </c>
      <c r="L807" s="949"/>
      <c r="M807" s="949"/>
      <c r="N807" s="947"/>
      <c r="O807" s="927"/>
      <c r="P807" s="949"/>
      <c r="Q807" s="950"/>
      <c r="R807" s="949"/>
      <c r="S807" s="949"/>
      <c r="T807" s="907"/>
      <c r="U807" s="947"/>
      <c r="V807" s="947"/>
      <c r="W807" s="951"/>
      <c r="X807" s="949"/>
      <c r="Y807" s="948"/>
      <c r="Z807" s="909"/>
      <c r="AA807" s="947"/>
      <c r="AB807" s="950"/>
      <c r="AC807" s="927"/>
      <c r="AD807" s="952"/>
      <c r="AE807" s="1095"/>
      <c r="AF807" s="950"/>
      <c r="AG807" s="953"/>
      <c r="AH807" s="953"/>
      <c r="AI807" s="939">
        <f t="shared" si="115"/>
        <v>0</v>
      </c>
      <c r="AJ807" s="939">
        <f t="shared" si="116"/>
        <v>0</v>
      </c>
    </row>
    <row r="808" spans="3:36" x14ac:dyDescent="0.2">
      <c r="C808" s="74" t="s">
        <v>129</v>
      </c>
      <c r="D808" s="426">
        <v>35</v>
      </c>
      <c r="E808" s="947"/>
      <c r="F808" s="947"/>
      <c r="G808" s="947"/>
      <c r="H808" s="981"/>
      <c r="I808" s="947"/>
      <c r="J808" s="947"/>
      <c r="K808" s="940">
        <f t="shared" si="112"/>
        <v>0</v>
      </c>
      <c r="L808" s="949"/>
      <c r="M808" s="949"/>
      <c r="N808" s="947"/>
      <c r="O808" s="927"/>
      <c r="P808" s="949"/>
      <c r="Q808" s="950"/>
      <c r="R808" s="949"/>
      <c r="S808" s="949"/>
      <c r="T808" s="907"/>
      <c r="U808" s="947"/>
      <c r="V808" s="947"/>
      <c r="W808" s="951"/>
      <c r="X808" s="949"/>
      <c r="Y808" s="948"/>
      <c r="Z808" s="909"/>
      <c r="AA808" s="947"/>
      <c r="AB808" s="950"/>
      <c r="AC808" s="927"/>
      <c r="AD808" s="952"/>
      <c r="AE808" s="1095"/>
      <c r="AF808" s="950"/>
      <c r="AG808" s="953"/>
      <c r="AH808" s="953"/>
      <c r="AI808" s="939">
        <f t="shared" si="115"/>
        <v>0</v>
      </c>
      <c r="AJ808" s="939">
        <f t="shared" si="116"/>
        <v>0</v>
      </c>
    </row>
    <row r="809" spans="3:36" x14ac:dyDescent="0.2">
      <c r="C809" s="225" t="s">
        <v>939</v>
      </c>
      <c r="D809" s="426">
        <v>36</v>
      </c>
      <c r="E809" s="947"/>
      <c r="F809" s="947"/>
      <c r="G809" s="947"/>
      <c r="H809" s="981"/>
      <c r="I809" s="947"/>
      <c r="J809" s="947"/>
      <c r="K809" s="940">
        <f t="shared" si="112"/>
        <v>0</v>
      </c>
      <c r="L809" s="949"/>
      <c r="M809" s="949"/>
      <c r="N809" s="947"/>
      <c r="O809" s="927"/>
      <c r="P809" s="949"/>
      <c r="Q809" s="950"/>
      <c r="R809" s="949"/>
      <c r="S809" s="949"/>
      <c r="T809" s="907"/>
      <c r="U809" s="947"/>
      <c r="V809" s="947"/>
      <c r="W809" s="951"/>
      <c r="X809" s="949"/>
      <c r="Y809" s="948"/>
      <c r="Z809" s="909"/>
      <c r="AA809" s="947"/>
      <c r="AB809" s="950"/>
      <c r="AC809" s="927"/>
      <c r="AD809" s="952"/>
      <c r="AE809" s="1095"/>
      <c r="AF809" s="950"/>
      <c r="AG809" s="953"/>
      <c r="AH809" s="953"/>
      <c r="AI809" s="939">
        <f t="shared" si="115"/>
        <v>0</v>
      </c>
      <c r="AJ809" s="939">
        <f t="shared" si="116"/>
        <v>0</v>
      </c>
    </row>
    <row r="810" spans="3:36" x14ac:dyDescent="0.2">
      <c r="C810" s="225" t="s">
        <v>568</v>
      </c>
      <c r="D810" s="426">
        <v>37</v>
      </c>
      <c r="E810" s="947"/>
      <c r="F810" s="947"/>
      <c r="G810" s="947"/>
      <c r="H810" s="981"/>
      <c r="I810" s="947"/>
      <c r="J810" s="947"/>
      <c r="K810" s="940">
        <f t="shared" ref="K810:K830" si="117">ROUND(SUM(E810:H810,J810),3)</f>
        <v>0</v>
      </c>
      <c r="L810" s="949"/>
      <c r="M810" s="949"/>
      <c r="N810" s="954"/>
      <c r="O810" s="927"/>
      <c r="P810" s="955"/>
      <c r="Q810" s="950"/>
      <c r="R810" s="949"/>
      <c r="S810" s="949"/>
      <c r="T810" s="907"/>
      <c r="U810" s="947"/>
      <c r="V810" s="947"/>
      <c r="W810" s="951"/>
      <c r="X810" s="949"/>
      <c r="Y810" s="948"/>
      <c r="Z810" s="909"/>
      <c r="AA810" s="947"/>
      <c r="AB810" s="950"/>
      <c r="AC810" s="927"/>
      <c r="AD810" s="952"/>
      <c r="AE810" s="1095"/>
      <c r="AF810" s="950"/>
      <c r="AG810" s="953"/>
      <c r="AH810" s="953"/>
      <c r="AI810" s="939">
        <f t="shared" si="115"/>
        <v>0</v>
      </c>
      <c r="AJ810" s="939">
        <f t="shared" si="116"/>
        <v>0</v>
      </c>
    </row>
    <row r="811" spans="3:36" x14ac:dyDescent="0.2">
      <c r="C811" s="225" t="s">
        <v>130</v>
      </c>
      <c r="D811" s="426">
        <v>38</v>
      </c>
      <c r="E811" s="947"/>
      <c r="F811" s="947"/>
      <c r="G811" s="947"/>
      <c r="H811" s="981"/>
      <c r="I811" s="947"/>
      <c r="J811" s="947"/>
      <c r="K811" s="940">
        <f t="shared" si="117"/>
        <v>0</v>
      </c>
      <c r="L811" s="949"/>
      <c r="M811" s="949"/>
      <c r="N811" s="954"/>
      <c r="O811" s="927"/>
      <c r="P811" s="955"/>
      <c r="Q811" s="950"/>
      <c r="R811" s="949"/>
      <c r="S811" s="949"/>
      <c r="T811" s="907"/>
      <c r="U811" s="947"/>
      <c r="V811" s="947"/>
      <c r="W811" s="951"/>
      <c r="X811" s="949"/>
      <c r="Y811" s="948"/>
      <c r="Z811" s="909"/>
      <c r="AA811" s="947"/>
      <c r="AB811" s="950"/>
      <c r="AC811" s="927"/>
      <c r="AD811" s="952"/>
      <c r="AE811" s="1095"/>
      <c r="AF811" s="950"/>
      <c r="AG811" s="953"/>
      <c r="AH811" s="953"/>
      <c r="AI811" s="939">
        <f t="shared" si="115"/>
        <v>0</v>
      </c>
      <c r="AJ811" s="939">
        <f t="shared" si="116"/>
        <v>0</v>
      </c>
    </row>
    <row r="812" spans="3:36" x14ac:dyDescent="0.2">
      <c r="C812" s="225" t="s">
        <v>131</v>
      </c>
      <c r="D812" s="426">
        <v>39</v>
      </c>
      <c r="E812" s="947"/>
      <c r="F812" s="947"/>
      <c r="G812" s="947"/>
      <c r="H812" s="981"/>
      <c r="I812" s="947"/>
      <c r="J812" s="947"/>
      <c r="K812" s="940">
        <f t="shared" si="117"/>
        <v>0</v>
      </c>
      <c r="L812" s="949"/>
      <c r="M812" s="949"/>
      <c r="N812" s="954"/>
      <c r="O812" s="927"/>
      <c r="P812" s="955"/>
      <c r="Q812" s="950"/>
      <c r="R812" s="949"/>
      <c r="S812" s="949"/>
      <c r="T812" s="907"/>
      <c r="U812" s="947"/>
      <c r="V812" s="947"/>
      <c r="W812" s="951"/>
      <c r="X812" s="949"/>
      <c r="Y812" s="948"/>
      <c r="Z812" s="909"/>
      <c r="AA812" s="947"/>
      <c r="AB812" s="950"/>
      <c r="AC812" s="927"/>
      <c r="AD812" s="952"/>
      <c r="AE812" s="1095"/>
      <c r="AF812" s="950"/>
      <c r="AG812" s="953"/>
      <c r="AH812" s="953"/>
      <c r="AI812" s="939">
        <f t="shared" si="115"/>
        <v>0</v>
      </c>
      <c r="AJ812" s="939">
        <f t="shared" si="116"/>
        <v>0</v>
      </c>
    </row>
    <row r="813" spans="3:36" x14ac:dyDescent="0.2">
      <c r="C813" s="74" t="s">
        <v>1365</v>
      </c>
      <c r="D813" s="426">
        <v>40</v>
      </c>
      <c r="E813" s="947"/>
      <c r="F813" s="947"/>
      <c r="G813" s="947"/>
      <c r="H813" s="981"/>
      <c r="I813" s="947"/>
      <c r="J813" s="947"/>
      <c r="K813" s="940">
        <f t="shared" si="117"/>
        <v>0</v>
      </c>
      <c r="L813" s="949"/>
      <c r="M813" s="949"/>
      <c r="N813" s="954"/>
      <c r="O813" s="927"/>
      <c r="P813" s="955"/>
      <c r="Q813" s="950"/>
      <c r="R813" s="949"/>
      <c r="S813" s="949"/>
      <c r="T813" s="907"/>
      <c r="U813" s="947"/>
      <c r="V813" s="947"/>
      <c r="W813" s="951"/>
      <c r="X813" s="949"/>
      <c r="Y813" s="948"/>
      <c r="Z813" s="909"/>
      <c r="AA813" s="947"/>
      <c r="AB813" s="950"/>
      <c r="AC813" s="927"/>
      <c r="AD813" s="952"/>
      <c r="AE813" s="1095"/>
      <c r="AF813" s="950"/>
      <c r="AG813" s="953"/>
      <c r="AH813" s="953"/>
      <c r="AI813" s="939">
        <f t="shared" si="115"/>
        <v>0</v>
      </c>
      <c r="AJ813" s="939">
        <f t="shared" si="116"/>
        <v>0</v>
      </c>
    </row>
    <row r="814" spans="3:36" x14ac:dyDescent="0.2">
      <c r="C814" s="427" t="s">
        <v>132</v>
      </c>
      <c r="D814" s="426">
        <v>41</v>
      </c>
      <c r="E814" s="947"/>
      <c r="F814" s="947"/>
      <c r="G814" s="947"/>
      <c r="H814" s="981"/>
      <c r="I814" s="947"/>
      <c r="J814" s="947"/>
      <c r="K814" s="940">
        <f t="shared" si="117"/>
        <v>0</v>
      </c>
      <c r="L814" s="949"/>
      <c r="M814" s="949"/>
      <c r="N814" s="954"/>
      <c r="O814" s="927"/>
      <c r="P814" s="955"/>
      <c r="Q814" s="950"/>
      <c r="R814" s="949"/>
      <c r="S814" s="949"/>
      <c r="T814" s="907"/>
      <c r="U814" s="947"/>
      <c r="V814" s="947"/>
      <c r="W814" s="951"/>
      <c r="X814" s="949"/>
      <c r="Y814" s="948"/>
      <c r="Z814" s="909"/>
      <c r="AA814" s="947"/>
      <c r="AB814" s="950"/>
      <c r="AC814" s="927"/>
      <c r="AD814" s="952"/>
      <c r="AE814" s="1095"/>
      <c r="AF814" s="950"/>
      <c r="AG814" s="953"/>
      <c r="AH814" s="953"/>
      <c r="AI814" s="939">
        <f t="shared" si="115"/>
        <v>0</v>
      </c>
      <c r="AJ814" s="939">
        <f t="shared" si="116"/>
        <v>0</v>
      </c>
    </row>
    <row r="815" spans="3:36" x14ac:dyDescent="0.2">
      <c r="C815" s="427" t="s">
        <v>133</v>
      </c>
      <c r="D815" s="426">
        <v>42</v>
      </c>
      <c r="E815" s="947"/>
      <c r="F815" s="947"/>
      <c r="G815" s="947"/>
      <c r="H815" s="981"/>
      <c r="I815" s="947"/>
      <c r="J815" s="947"/>
      <c r="K815" s="940">
        <f t="shared" si="117"/>
        <v>0</v>
      </c>
      <c r="L815" s="949"/>
      <c r="M815" s="949"/>
      <c r="N815" s="947"/>
      <c r="O815" s="927"/>
      <c r="P815" s="949"/>
      <c r="Q815" s="950"/>
      <c r="R815" s="949"/>
      <c r="S815" s="949"/>
      <c r="T815" s="907"/>
      <c r="U815" s="947"/>
      <c r="V815" s="947"/>
      <c r="W815" s="951"/>
      <c r="X815" s="949"/>
      <c r="Y815" s="948"/>
      <c r="Z815" s="909"/>
      <c r="AA815" s="947"/>
      <c r="AB815" s="950"/>
      <c r="AC815" s="927"/>
      <c r="AD815" s="952"/>
      <c r="AE815" s="1095"/>
      <c r="AF815" s="950"/>
      <c r="AG815" s="953"/>
      <c r="AH815" s="953"/>
      <c r="AI815" s="939">
        <f t="shared" si="115"/>
        <v>0</v>
      </c>
      <c r="AJ815" s="939">
        <f t="shared" si="116"/>
        <v>0</v>
      </c>
    </row>
    <row r="816" spans="3:36" x14ac:dyDescent="0.2">
      <c r="C816" s="427" t="s">
        <v>134</v>
      </c>
      <c r="D816" s="426">
        <v>43</v>
      </c>
      <c r="E816" s="947"/>
      <c r="F816" s="947"/>
      <c r="G816" s="947"/>
      <c r="H816" s="981"/>
      <c r="I816" s="947"/>
      <c r="J816" s="947"/>
      <c r="K816" s="940">
        <f t="shared" si="117"/>
        <v>0</v>
      </c>
      <c r="L816" s="949"/>
      <c r="M816" s="949"/>
      <c r="N816" s="947"/>
      <c r="O816" s="927"/>
      <c r="P816" s="949"/>
      <c r="Q816" s="950"/>
      <c r="R816" s="949"/>
      <c r="S816" s="949"/>
      <c r="T816" s="907"/>
      <c r="U816" s="947"/>
      <c r="V816" s="947"/>
      <c r="W816" s="951"/>
      <c r="X816" s="949"/>
      <c r="Y816" s="948"/>
      <c r="Z816" s="909"/>
      <c r="AA816" s="947"/>
      <c r="AB816" s="950"/>
      <c r="AC816" s="927"/>
      <c r="AD816" s="952"/>
      <c r="AE816" s="1095"/>
      <c r="AF816" s="950"/>
      <c r="AG816" s="953"/>
      <c r="AH816" s="953"/>
      <c r="AI816" s="939">
        <f t="shared" si="115"/>
        <v>0</v>
      </c>
      <c r="AJ816" s="939">
        <f t="shared" si="116"/>
        <v>0</v>
      </c>
    </row>
    <row r="817" spans="3:36" x14ac:dyDescent="0.2">
      <c r="C817" s="427" t="s">
        <v>59</v>
      </c>
      <c r="D817" s="426">
        <v>44</v>
      </c>
      <c r="E817" s="947"/>
      <c r="F817" s="947"/>
      <c r="G817" s="947"/>
      <c r="H817" s="981"/>
      <c r="I817" s="947"/>
      <c r="J817" s="947"/>
      <c r="K817" s="940">
        <f t="shared" si="117"/>
        <v>0</v>
      </c>
      <c r="L817" s="949"/>
      <c r="M817" s="949"/>
      <c r="N817" s="947"/>
      <c r="O817" s="927"/>
      <c r="P817" s="949"/>
      <c r="Q817" s="950"/>
      <c r="R817" s="949"/>
      <c r="S817" s="949"/>
      <c r="T817" s="907"/>
      <c r="U817" s="947"/>
      <c r="V817" s="947"/>
      <c r="W817" s="951"/>
      <c r="X817" s="949"/>
      <c r="Y817" s="948"/>
      <c r="Z817" s="909"/>
      <c r="AA817" s="947"/>
      <c r="AB817" s="950"/>
      <c r="AC817" s="927"/>
      <c r="AD817" s="952"/>
      <c r="AE817" s="1095"/>
      <c r="AF817" s="950"/>
      <c r="AG817" s="953"/>
      <c r="AH817" s="953"/>
      <c r="AI817" s="939">
        <f t="shared" si="115"/>
        <v>0</v>
      </c>
      <c r="AJ817" s="939">
        <f t="shared" si="116"/>
        <v>0</v>
      </c>
    </row>
    <row r="818" spans="3:36" x14ac:dyDescent="0.2">
      <c r="C818" s="427" t="s">
        <v>621</v>
      </c>
      <c r="D818" s="426">
        <v>45</v>
      </c>
      <c r="E818" s="947"/>
      <c r="F818" s="947"/>
      <c r="G818" s="947"/>
      <c r="H818" s="981"/>
      <c r="I818" s="947"/>
      <c r="J818" s="947"/>
      <c r="K818" s="940">
        <f t="shared" si="117"/>
        <v>0</v>
      </c>
      <c r="L818" s="949"/>
      <c r="M818" s="949"/>
      <c r="N818" s="947"/>
      <c r="O818" s="927"/>
      <c r="P818" s="949"/>
      <c r="Q818" s="950"/>
      <c r="R818" s="949"/>
      <c r="S818" s="949"/>
      <c r="T818" s="907"/>
      <c r="U818" s="947"/>
      <c r="V818" s="947"/>
      <c r="W818" s="951"/>
      <c r="X818" s="949"/>
      <c r="Y818" s="948"/>
      <c r="Z818" s="909"/>
      <c r="AA818" s="947"/>
      <c r="AB818" s="950"/>
      <c r="AC818" s="927"/>
      <c r="AD818" s="952"/>
      <c r="AE818" s="1095"/>
      <c r="AF818" s="950"/>
      <c r="AG818" s="953"/>
      <c r="AH818" s="953"/>
      <c r="AI818" s="939">
        <f t="shared" si="115"/>
        <v>0</v>
      </c>
      <c r="AJ818" s="939">
        <f t="shared" si="116"/>
        <v>0</v>
      </c>
    </row>
    <row r="819" spans="3:36" x14ac:dyDescent="0.2">
      <c r="C819" s="427" t="s">
        <v>569</v>
      </c>
      <c r="D819" s="426">
        <v>46</v>
      </c>
      <c r="E819" s="947"/>
      <c r="F819" s="947"/>
      <c r="G819" s="947"/>
      <c r="H819" s="981"/>
      <c r="I819" s="947"/>
      <c r="J819" s="947"/>
      <c r="K819" s="940">
        <f t="shared" si="117"/>
        <v>0</v>
      </c>
      <c r="L819" s="949"/>
      <c r="M819" s="949"/>
      <c r="N819" s="954"/>
      <c r="O819" s="927"/>
      <c r="P819" s="955"/>
      <c r="Q819" s="950"/>
      <c r="R819" s="949"/>
      <c r="S819" s="949"/>
      <c r="T819" s="907"/>
      <c r="U819" s="947"/>
      <c r="V819" s="947"/>
      <c r="W819" s="951"/>
      <c r="X819" s="949"/>
      <c r="Y819" s="948"/>
      <c r="Z819" s="909"/>
      <c r="AA819" s="947"/>
      <c r="AB819" s="950"/>
      <c r="AC819" s="927"/>
      <c r="AD819" s="952"/>
      <c r="AE819" s="1095"/>
      <c r="AF819" s="950"/>
      <c r="AG819" s="953"/>
      <c r="AH819" s="953"/>
      <c r="AI819" s="939">
        <f t="shared" si="115"/>
        <v>0</v>
      </c>
      <c r="AJ819" s="939">
        <f t="shared" si="116"/>
        <v>0</v>
      </c>
    </row>
    <row r="820" spans="3:36" x14ac:dyDescent="0.2">
      <c r="C820" s="427" t="s">
        <v>99</v>
      </c>
      <c r="D820" s="426">
        <v>47</v>
      </c>
      <c r="E820" s="947"/>
      <c r="F820" s="947"/>
      <c r="G820" s="947"/>
      <c r="H820" s="981"/>
      <c r="I820" s="947"/>
      <c r="J820" s="947"/>
      <c r="K820" s="940">
        <f t="shared" si="117"/>
        <v>0</v>
      </c>
      <c r="L820" s="949"/>
      <c r="M820" s="949"/>
      <c r="N820" s="947"/>
      <c r="O820" s="927"/>
      <c r="P820" s="949"/>
      <c r="Q820" s="950"/>
      <c r="R820" s="949"/>
      <c r="S820" s="949"/>
      <c r="T820" s="907"/>
      <c r="U820" s="947"/>
      <c r="V820" s="947"/>
      <c r="W820" s="951"/>
      <c r="X820" s="949"/>
      <c r="Y820" s="948"/>
      <c r="Z820" s="909"/>
      <c r="AA820" s="947"/>
      <c r="AB820" s="950"/>
      <c r="AC820" s="927"/>
      <c r="AD820" s="952"/>
      <c r="AE820" s="1095"/>
      <c r="AF820" s="950"/>
      <c r="AG820" s="953"/>
      <c r="AH820" s="953"/>
      <c r="AI820" s="939">
        <f t="shared" si="115"/>
        <v>0</v>
      </c>
      <c r="AJ820" s="939">
        <f t="shared" si="116"/>
        <v>0</v>
      </c>
    </row>
    <row r="821" spans="3:36" x14ac:dyDescent="0.2">
      <c r="C821" s="427" t="s">
        <v>570</v>
      </c>
      <c r="D821" s="426">
        <v>48</v>
      </c>
      <c r="E821" s="947"/>
      <c r="F821" s="947"/>
      <c r="G821" s="947"/>
      <c r="H821" s="981"/>
      <c r="I821" s="947"/>
      <c r="J821" s="947"/>
      <c r="K821" s="940">
        <f t="shared" si="117"/>
        <v>0</v>
      </c>
      <c r="L821" s="949"/>
      <c r="M821" s="949"/>
      <c r="N821" s="947"/>
      <c r="O821" s="927"/>
      <c r="P821" s="949"/>
      <c r="Q821" s="950"/>
      <c r="R821" s="949"/>
      <c r="S821" s="949"/>
      <c r="T821" s="907"/>
      <c r="U821" s="947"/>
      <c r="V821" s="947"/>
      <c r="W821" s="951"/>
      <c r="X821" s="949"/>
      <c r="Y821" s="948"/>
      <c r="Z821" s="909"/>
      <c r="AA821" s="947"/>
      <c r="AB821" s="950"/>
      <c r="AC821" s="927"/>
      <c r="AD821" s="952"/>
      <c r="AE821" s="1095"/>
      <c r="AF821" s="950"/>
      <c r="AG821" s="953"/>
      <c r="AH821" s="953"/>
      <c r="AI821" s="939">
        <f t="shared" si="115"/>
        <v>0</v>
      </c>
      <c r="AJ821" s="939">
        <f t="shared" si="116"/>
        <v>0</v>
      </c>
    </row>
    <row r="822" spans="3:36" x14ac:dyDescent="0.2">
      <c r="C822" s="427" t="s">
        <v>135</v>
      </c>
      <c r="D822" s="426">
        <v>49</v>
      </c>
      <c r="E822" s="947"/>
      <c r="F822" s="947"/>
      <c r="G822" s="947"/>
      <c r="H822" s="981"/>
      <c r="I822" s="947"/>
      <c r="J822" s="947"/>
      <c r="K822" s="940">
        <f t="shared" si="117"/>
        <v>0</v>
      </c>
      <c r="L822" s="949"/>
      <c r="M822" s="949"/>
      <c r="N822" s="947"/>
      <c r="O822" s="927"/>
      <c r="P822" s="949"/>
      <c r="Q822" s="950"/>
      <c r="R822" s="949"/>
      <c r="S822" s="949"/>
      <c r="T822" s="907"/>
      <c r="U822" s="947"/>
      <c r="V822" s="947"/>
      <c r="W822" s="951"/>
      <c r="X822" s="949"/>
      <c r="Y822" s="948"/>
      <c r="Z822" s="909"/>
      <c r="AA822" s="947"/>
      <c r="AB822" s="950"/>
      <c r="AC822" s="927"/>
      <c r="AD822" s="952"/>
      <c r="AE822" s="1095"/>
      <c r="AF822" s="950"/>
      <c r="AG822" s="953"/>
      <c r="AH822" s="953"/>
      <c r="AI822" s="939">
        <f t="shared" si="115"/>
        <v>0</v>
      </c>
      <c r="AJ822" s="939">
        <f t="shared" si="116"/>
        <v>0</v>
      </c>
    </row>
    <row r="823" spans="3:36" x14ac:dyDescent="0.2">
      <c r="C823" s="427" t="s">
        <v>136</v>
      </c>
      <c r="D823" s="426">
        <v>50</v>
      </c>
      <c r="E823" s="947"/>
      <c r="F823" s="947"/>
      <c r="G823" s="947"/>
      <c r="H823" s="981"/>
      <c r="I823" s="947"/>
      <c r="J823" s="947"/>
      <c r="K823" s="940">
        <f t="shared" si="117"/>
        <v>0</v>
      </c>
      <c r="L823" s="949"/>
      <c r="M823" s="949"/>
      <c r="N823" s="947"/>
      <c r="O823" s="927"/>
      <c r="P823" s="949"/>
      <c r="Q823" s="950"/>
      <c r="R823" s="949"/>
      <c r="S823" s="949"/>
      <c r="T823" s="907"/>
      <c r="U823" s="947"/>
      <c r="V823" s="947"/>
      <c r="W823" s="951"/>
      <c r="X823" s="949"/>
      <c r="Y823" s="948"/>
      <c r="Z823" s="909"/>
      <c r="AA823" s="947"/>
      <c r="AB823" s="950"/>
      <c r="AC823" s="927"/>
      <c r="AD823" s="952"/>
      <c r="AE823" s="1095"/>
      <c r="AF823" s="950"/>
      <c r="AG823" s="953"/>
      <c r="AH823" s="953"/>
      <c r="AI823" s="939">
        <f t="shared" si="115"/>
        <v>0</v>
      </c>
      <c r="AJ823" s="939">
        <f t="shared" si="116"/>
        <v>0</v>
      </c>
    </row>
    <row r="824" spans="3:36" x14ac:dyDescent="0.2">
      <c r="C824" s="427" t="s">
        <v>137</v>
      </c>
      <c r="D824" s="426">
        <v>51</v>
      </c>
      <c r="E824" s="947"/>
      <c r="F824" s="947"/>
      <c r="G824" s="947"/>
      <c r="H824" s="981"/>
      <c r="I824" s="947"/>
      <c r="J824" s="947"/>
      <c r="K824" s="940">
        <f t="shared" si="117"/>
        <v>0</v>
      </c>
      <c r="L824" s="949"/>
      <c r="M824" s="949"/>
      <c r="N824" s="947"/>
      <c r="O824" s="927"/>
      <c r="P824" s="949"/>
      <c r="Q824" s="950"/>
      <c r="R824" s="949"/>
      <c r="S824" s="949"/>
      <c r="T824" s="907"/>
      <c r="U824" s="947"/>
      <c r="V824" s="947"/>
      <c r="W824" s="951"/>
      <c r="X824" s="949"/>
      <c r="Y824" s="948"/>
      <c r="Z824" s="909"/>
      <c r="AA824" s="947"/>
      <c r="AB824" s="950"/>
      <c r="AC824" s="927"/>
      <c r="AD824" s="952"/>
      <c r="AE824" s="1095"/>
      <c r="AF824" s="950"/>
      <c r="AG824" s="953"/>
      <c r="AH824" s="953"/>
      <c r="AI824" s="939">
        <f t="shared" si="115"/>
        <v>0</v>
      </c>
      <c r="AJ824" s="939">
        <f t="shared" si="116"/>
        <v>0</v>
      </c>
    </row>
    <row r="825" spans="3:36" x14ac:dyDescent="0.2">
      <c r="C825" s="427" t="s">
        <v>138</v>
      </c>
      <c r="D825" s="426">
        <v>52</v>
      </c>
      <c r="E825" s="947"/>
      <c r="F825" s="947"/>
      <c r="G825" s="947"/>
      <c r="H825" s="981"/>
      <c r="I825" s="947"/>
      <c r="J825" s="947"/>
      <c r="K825" s="940">
        <f t="shared" si="117"/>
        <v>0</v>
      </c>
      <c r="L825" s="949"/>
      <c r="M825" s="949"/>
      <c r="N825" s="947"/>
      <c r="O825" s="927"/>
      <c r="P825" s="949"/>
      <c r="Q825" s="950"/>
      <c r="R825" s="949"/>
      <c r="S825" s="949"/>
      <c r="T825" s="907"/>
      <c r="U825" s="947"/>
      <c r="V825" s="947"/>
      <c r="W825" s="951"/>
      <c r="X825" s="949"/>
      <c r="Y825" s="948"/>
      <c r="Z825" s="909"/>
      <c r="AA825" s="947"/>
      <c r="AB825" s="950"/>
      <c r="AC825" s="927"/>
      <c r="AD825" s="952"/>
      <c r="AE825" s="1095"/>
      <c r="AF825" s="950"/>
      <c r="AG825" s="953"/>
      <c r="AH825" s="953"/>
      <c r="AI825" s="939">
        <f t="shared" si="115"/>
        <v>0</v>
      </c>
      <c r="AJ825" s="939">
        <f t="shared" si="116"/>
        <v>0</v>
      </c>
    </row>
    <row r="826" spans="3:36" x14ac:dyDescent="0.2">
      <c r="C826" s="427" t="s">
        <v>565</v>
      </c>
      <c r="D826" s="426">
        <v>53</v>
      </c>
      <c r="E826" s="947"/>
      <c r="F826" s="947"/>
      <c r="G826" s="947"/>
      <c r="H826" s="981"/>
      <c r="I826" s="947"/>
      <c r="J826" s="947"/>
      <c r="K826" s="940">
        <f t="shared" si="117"/>
        <v>0</v>
      </c>
      <c r="L826" s="949"/>
      <c r="M826" s="949"/>
      <c r="N826" s="954"/>
      <c r="O826" s="927"/>
      <c r="P826" s="955"/>
      <c r="Q826" s="950"/>
      <c r="R826" s="949"/>
      <c r="S826" s="949"/>
      <c r="T826" s="907"/>
      <c r="U826" s="947"/>
      <c r="V826" s="947"/>
      <c r="W826" s="951"/>
      <c r="X826" s="949"/>
      <c r="Y826" s="948"/>
      <c r="Z826" s="909"/>
      <c r="AA826" s="947"/>
      <c r="AB826" s="950"/>
      <c r="AC826" s="927"/>
      <c r="AD826" s="952"/>
      <c r="AE826" s="1095"/>
      <c r="AF826" s="950"/>
      <c r="AG826" s="953"/>
      <c r="AH826" s="953"/>
      <c r="AI826" s="939">
        <f t="shared" si="115"/>
        <v>0</v>
      </c>
      <c r="AJ826" s="939">
        <f t="shared" si="116"/>
        <v>0</v>
      </c>
    </row>
    <row r="827" spans="3:36" x14ac:dyDescent="0.2">
      <c r="C827" s="427" t="s">
        <v>67</v>
      </c>
      <c r="D827" s="426">
        <v>54</v>
      </c>
      <c r="E827" s="947"/>
      <c r="F827" s="947"/>
      <c r="G827" s="947"/>
      <c r="H827" s="981"/>
      <c r="I827" s="947"/>
      <c r="J827" s="947"/>
      <c r="K827" s="940">
        <f t="shared" si="117"/>
        <v>0</v>
      </c>
      <c r="L827" s="949"/>
      <c r="M827" s="949"/>
      <c r="N827" s="954"/>
      <c r="O827" s="927"/>
      <c r="P827" s="955"/>
      <c r="Q827" s="950"/>
      <c r="R827" s="949"/>
      <c r="S827" s="949"/>
      <c r="T827" s="907"/>
      <c r="U827" s="947"/>
      <c r="V827" s="947"/>
      <c r="W827" s="951"/>
      <c r="X827" s="949"/>
      <c r="Y827" s="948"/>
      <c r="Z827" s="909"/>
      <c r="AA827" s="947"/>
      <c r="AB827" s="950"/>
      <c r="AC827" s="927"/>
      <c r="AD827" s="952"/>
      <c r="AE827" s="1095"/>
      <c r="AF827" s="950"/>
      <c r="AG827" s="953"/>
      <c r="AH827" s="953"/>
      <c r="AI827" s="939">
        <f t="shared" si="115"/>
        <v>0</v>
      </c>
      <c r="AJ827" s="939">
        <f t="shared" si="116"/>
        <v>0</v>
      </c>
    </row>
    <row r="828" spans="3:36" x14ac:dyDescent="0.2">
      <c r="C828" s="427" t="s">
        <v>139</v>
      </c>
      <c r="D828" s="426">
        <v>55</v>
      </c>
      <c r="E828" s="947"/>
      <c r="F828" s="947"/>
      <c r="G828" s="947"/>
      <c r="H828" s="981"/>
      <c r="I828" s="947"/>
      <c r="J828" s="947"/>
      <c r="K828" s="940">
        <f t="shared" si="117"/>
        <v>0</v>
      </c>
      <c r="L828" s="949"/>
      <c r="M828" s="949"/>
      <c r="N828" s="954"/>
      <c r="O828" s="927"/>
      <c r="P828" s="955"/>
      <c r="Q828" s="950"/>
      <c r="R828" s="949"/>
      <c r="S828" s="949"/>
      <c r="T828" s="907"/>
      <c r="U828" s="947"/>
      <c r="V828" s="947"/>
      <c r="W828" s="951"/>
      <c r="X828" s="949"/>
      <c r="Y828" s="948"/>
      <c r="Z828" s="909"/>
      <c r="AA828" s="947"/>
      <c r="AB828" s="950"/>
      <c r="AC828" s="927"/>
      <c r="AD828" s="952"/>
      <c r="AE828" s="1095"/>
      <c r="AF828" s="950"/>
      <c r="AG828" s="953"/>
      <c r="AH828" s="953"/>
      <c r="AI828" s="939">
        <f t="shared" si="115"/>
        <v>0</v>
      </c>
      <c r="AJ828" s="939">
        <f t="shared" si="116"/>
        <v>0</v>
      </c>
    </row>
    <row r="829" spans="3:36" ht="13.5" thickBot="1" x14ac:dyDescent="0.25">
      <c r="C829" s="207" t="s">
        <v>95</v>
      </c>
      <c r="D829" s="426">
        <v>56</v>
      </c>
      <c r="E829" s="947"/>
      <c r="F829" s="947"/>
      <c r="G829" s="947"/>
      <c r="H829" s="981"/>
      <c r="I829" s="947"/>
      <c r="J829" s="947"/>
      <c r="K829" s="940">
        <f t="shared" si="117"/>
        <v>0</v>
      </c>
      <c r="L829" s="949"/>
      <c r="M829" s="949"/>
      <c r="N829" s="954"/>
      <c r="O829" s="982"/>
      <c r="P829" s="955"/>
      <c r="Q829" s="950"/>
      <c r="R829" s="949"/>
      <c r="S829" s="949"/>
      <c r="T829" s="934"/>
      <c r="U829" s="947"/>
      <c r="V829" s="947"/>
      <c r="W829" s="951"/>
      <c r="X829" s="949"/>
      <c r="Y829" s="948"/>
      <c r="Z829" s="983"/>
      <c r="AA829" s="947"/>
      <c r="AB829" s="950"/>
      <c r="AC829" s="982"/>
      <c r="AD829" s="952"/>
      <c r="AE829" s="1095"/>
      <c r="AF829" s="950"/>
      <c r="AG829" s="953"/>
      <c r="AH829" s="953"/>
      <c r="AI829" s="939">
        <f t="shared" si="115"/>
        <v>0</v>
      </c>
      <c r="AJ829" s="939">
        <f t="shared" si="116"/>
        <v>0</v>
      </c>
    </row>
    <row r="830" spans="3:36" ht="13.5" thickBot="1" x14ac:dyDescent="0.25">
      <c r="C830" s="73" t="s">
        <v>899</v>
      </c>
      <c r="D830" s="158">
        <v>57</v>
      </c>
      <c r="E830" s="935">
        <f t="shared" ref="E830:J830" si="118">ROUND(SUM(E774:E829),3)</f>
        <v>0</v>
      </c>
      <c r="F830" s="935">
        <f t="shared" si="118"/>
        <v>0</v>
      </c>
      <c r="G830" s="935">
        <f t="shared" si="118"/>
        <v>0</v>
      </c>
      <c r="H830" s="935">
        <f t="shared" si="118"/>
        <v>0</v>
      </c>
      <c r="I830" s="935">
        <f t="shared" si="118"/>
        <v>0</v>
      </c>
      <c r="J830" s="935">
        <f t="shared" si="118"/>
        <v>0</v>
      </c>
      <c r="K830" s="984">
        <f t="shared" si="117"/>
        <v>0</v>
      </c>
      <c r="L830" s="985">
        <f t="shared" ref="L830:AH830" si="119">ROUND(SUM(L774:L829),3)</f>
        <v>0</v>
      </c>
      <c r="M830" s="935">
        <f t="shared" si="119"/>
        <v>0</v>
      </c>
      <c r="N830" s="984">
        <f t="shared" si="119"/>
        <v>0</v>
      </c>
      <c r="O830" s="986">
        <f t="shared" si="119"/>
        <v>0</v>
      </c>
      <c r="P830" s="935">
        <f t="shared" si="119"/>
        <v>0</v>
      </c>
      <c r="Q830" s="984">
        <f t="shared" si="119"/>
        <v>0</v>
      </c>
      <c r="R830" s="936">
        <f t="shared" si="119"/>
        <v>0</v>
      </c>
      <c r="S830" s="935">
        <f t="shared" si="119"/>
        <v>0</v>
      </c>
      <c r="T830" s="987">
        <f t="shared" si="119"/>
        <v>0</v>
      </c>
      <c r="U830" s="935">
        <f t="shared" si="119"/>
        <v>0</v>
      </c>
      <c r="V830" s="935">
        <f t="shared" si="119"/>
        <v>0</v>
      </c>
      <c r="W830" s="984">
        <f t="shared" si="119"/>
        <v>0</v>
      </c>
      <c r="X830" s="936">
        <f t="shared" si="119"/>
        <v>0</v>
      </c>
      <c r="Y830" s="935">
        <f t="shared" si="119"/>
        <v>0</v>
      </c>
      <c r="Z830" s="988">
        <f t="shared" si="119"/>
        <v>0</v>
      </c>
      <c r="AA830" s="935">
        <f t="shared" si="119"/>
        <v>0</v>
      </c>
      <c r="AB830" s="984">
        <f t="shared" si="119"/>
        <v>0</v>
      </c>
      <c r="AC830" s="986">
        <f t="shared" si="119"/>
        <v>0</v>
      </c>
      <c r="AD830" s="935">
        <f t="shared" si="119"/>
        <v>0</v>
      </c>
      <c r="AE830" s="935">
        <f t="shared" si="119"/>
        <v>0</v>
      </c>
      <c r="AF830" s="984">
        <f t="shared" si="119"/>
        <v>0</v>
      </c>
      <c r="AG830" s="935">
        <f t="shared" si="119"/>
        <v>0</v>
      </c>
      <c r="AH830" s="936">
        <f t="shared" si="119"/>
        <v>0</v>
      </c>
      <c r="AI830" s="935">
        <f t="shared" si="115"/>
        <v>0</v>
      </c>
      <c r="AJ830" s="938">
        <f t="shared" si="116"/>
        <v>0</v>
      </c>
    </row>
    <row r="831" spans="3:36" ht="13.5" thickBot="1" x14ac:dyDescent="0.25">
      <c r="C831" s="205"/>
      <c r="D831" s="204"/>
      <c r="E831" s="989"/>
      <c r="F831" s="989"/>
      <c r="G831" s="989"/>
      <c r="H831" s="989"/>
      <c r="I831" s="989"/>
      <c r="J831" s="989"/>
      <c r="K831" s="989"/>
      <c r="L831" s="989"/>
      <c r="M831" s="989"/>
      <c r="N831" s="989"/>
      <c r="O831" s="989"/>
      <c r="P831" s="989"/>
      <c r="Q831" s="989"/>
      <c r="R831" s="989"/>
      <c r="S831" s="989"/>
      <c r="T831" s="989"/>
      <c r="U831" s="989"/>
      <c r="V831" s="989"/>
      <c r="W831" s="989"/>
      <c r="X831" s="989"/>
      <c r="Y831" s="989"/>
      <c r="Z831" s="989"/>
      <c r="AA831" s="989"/>
      <c r="AB831" s="989"/>
      <c r="AC831" s="989"/>
      <c r="AD831" s="989"/>
      <c r="AE831" s="989"/>
      <c r="AF831" s="989"/>
      <c r="AG831" s="989"/>
      <c r="AH831" s="989"/>
      <c r="AI831" s="989"/>
      <c r="AJ831" s="989"/>
    </row>
    <row r="832" spans="3:36" ht="13.5" thickBot="1" x14ac:dyDescent="0.25">
      <c r="C832" s="206" t="str">
        <f>IF(EnCMember=1,"Total EnC Contracting Parties","Total EU MS")</f>
        <v>Total EU MS</v>
      </c>
      <c r="D832" s="208">
        <v>58</v>
      </c>
      <c r="E832" s="811">
        <f>ROUND(IF('Table 1'!$G$3&gt;1,IF(EnCMember=1,E774+E780+E813+E793+E803+E809+E810+E819+E826+E777+E779+E781+E786+E787+E788+E789+E790+E791+E792+E794+E795+E796+E798+E800+E804+E805+E806+E807+E811+E815+E816+E817+E820+E821+E822+E823+E827,E777+E779+E781+E786+E787+E788+E789+E790+E791+E792+E794+E795+E796+E798+E800+E804+E805+E806+E807+E811+E815+E816+E817+E820+E821+E822+E823+E827),IF(EnCMember=1,E774+E780+E813+E793+E803+E809+E810+E819+E826+E777+E779+E781+E786+E787+E788+E789+E790+E791+E792+E794+E795+E796+E798+E800+E804+E805+E806+E807+E811+E815+E816+E817+E820+E821+E822+E823,E777+E779+E781+E786+E787+E788+E789+E790+E791+E792+E794+E795+E796+E798+E800+E804+E805+E806+E807+E811+E815+E816+E817+E820+E821+E822+E823)),3)</f>
        <v>0</v>
      </c>
      <c r="F832" s="811">
        <f>ROUND(IF('Table 1'!$G$3&gt;1,IF(EnCMember=1,F774+F780+F813+F793+F803+F809+F810+F819+F826+F777+F779+F781+F786+F787+F788+F789+F790+F791+F792+F794+F795+F796+F798+F800+F804+F805+F806+F807+F811+F815+F816+F817+F820+F821+F822+F823+F827,F777+F779+F781+F786+F787+F788+F789+F790+F791+F792+F794+F795+F796+F798+F800+F804+F805+F806+F807+F811+F815+F816+F817+F820+F821+F822+F823+F827),IF(EnCMember=1,F774+F780+F813+F793+F803+F809+F810+F819+F826+F777+F779+F781+F786+F787+F788+F789+F790+F791+F792+F794+F795+F796+F798+F800+F804+F805+F806+F807+F811+F815+F816+F817+F820+F821+F822+F823,F777+F779+F781+F786+F787+F788+F789+F790+F791+F792+F794+F795+F796+F798+F800+F804+F805+F806+F807+F811+F815+F816+F817+F820+F821+F822+F823)),3)</f>
        <v>0</v>
      </c>
      <c r="G832" s="811">
        <f>ROUND(IF('Table 1'!$G$3&gt;1,IF(EnCMember=1,G774+G780+G813+G793+G803+G809+G810+G819+G826+G777+G779+G781+G786+G787+G788+G789+G790+G791+G792+G794+G795+G796+G798+G800+G804+G805+G806+G807+G811+G815+G816+G817+G820+G821+G822+G823+G827,G777+G779+G781+G786+G787+G788+G789+G790+G791+G792+G794+G795+G796+G798+G800+G804+G805+G806+G807+G811+G815+G816+G817+G820+G821+G822+G823+G827),IF(EnCMember=1,G774+G780+G813+G793+G803+G809+G810+G819+G826+G777+G779+G781+G786+G787+G788+G789+G790+G791+G792+G794+G795+G796+G798+G800+G804+G805+G806+G807+G811+G815+G816+G817+G820+G821+G822+G823,G777+G779+G781+G786+G787+G788+G789+G790+G791+G792+G794+G795+G796+G798+G800+G804+G805+G806+G807+G811+G815+G816+G817+G820+G821+G822+G823)),3)</f>
        <v>0</v>
      </c>
      <c r="H832" s="811">
        <f>ROUND(IF('Table 1'!$G$3&gt;1,IF(EnCMember=1,H774+H780+H813+H793+H803+H809+H810+H819+H826+H777+H779+H781+H786+H787+H788+H789+H790+H791+H792+H794+H795+H796+H798+H800+H804+H805+H806+H807+H811+H815+H816+H817+H820+H821+H822+H823+H827,H777+H779+H781+H786+H787+H788+H789+H790+H791+H792+H794+H795+H796+H798+H800+H804+H805+H806+H807+H811+H815+H816+H817+H820+H821+H822+H823+H827),IF(EnCMember=1,H774+H780+H813+H793+H803+H809+H810+H819+H826+H777+H779+H781+H786+H787+H788+H789+H790+H791+H792+H794+H795+H796+H798+H800+H804+H805+H806+H807+H811+H815+H816+H817+H820+H821+H822+H823,H777+H779+H781+H786+H787+H788+H789+H790+H791+H792+H794+H795+H796+H798+H800+H804+H805+H806+H807+H811+H815+H816+H817+H820+H821+H822+H823)),3)</f>
        <v>0</v>
      </c>
      <c r="I832" s="811">
        <f>ROUND(IF('Table 1'!$G$3&gt;1,IF(EnCMember=1,I774+I780+I813+I793+I803+I809+I810+I819+I826+I777+I779+I781+I786+I787+I788+I789+I790+I791+I792+I794+I795+I796+I798+I800+I804+I805+I806+I807+I811+I815+I816+I817+I820+I821+I822+I823+I827,I777+I779+I781+I786+I787+I788+I789+I790+I791+I792+I794+I795+I796+I798+I800+I804+I805+I806+I807+I811+I815+I816+I817+I820+I821+I822+I823+I827),IF(EnCMember=1,I774+I780+I813+I793+I803+I809+I810+I819+I826+I777+I779+I781+I786+I787+I788+I789+I790+I791+I792+I794+I795+I796+I798+I800+I804+I805+I806+I807+I811+I815+I816+I817+I820+I821+I822+I823,I777+I779+I781+I786+I787+I788+I789+I790+I791+I792+I794+I795+I796+I798+I800+I804+I805+I806+I807+I811+I815+I816+I817+I820+I821+I822+I823)),3)</f>
        <v>0</v>
      </c>
      <c r="J832" s="811">
        <f>ROUND(IF('Table 1'!$G$3&gt;1,IF(EnCMember=1,J774+J780+J813+J793+J803+J809+J810+J819+J826+J777+J779+J781+J786+J787+J788+J789+J790+J791+J792+J794+J795+J796+J798+J800+J804+J805+J806+J807+J811+J815+J816+J817+J820+J821+J822+J823+J827,J777+J779+J781+J786+J787+J788+J789+J790+J791+J792+J794+J795+J796+J798+J800+J804+J805+J806+J807+J811+J815+J816+J817+J820+J821+J822+J823+J827),IF(EnCMember=1,J774+J780+J813+J793+J803+J809+J810+J819+J826+J777+J779+J781+J786+J787+J788+J789+J790+J791+J792+J794+J795+J796+J798+J800+J804+J805+J806+J807+J811+J815+J816+J817+J820+J821+J822+J823,J777+J779+J781+J786+J787+J788+J789+J790+J791+J792+J794+J795+J796+J798+J800+J804+J805+J806+J807+J811+J815+J816+J817+J820+J821+J822+J823)),3)</f>
        <v>0</v>
      </c>
      <c r="K832" s="812">
        <f>ROUND(IF('Table 1'!$G$3&gt;1,IF(EnCMember=1,K774+K780+K813+K793+K803+K809+K810+K819+K826+K777+K779+K781+K786+K787+K788+K789+K790+K791+K792+K794+K795+K796+K798+K800+K804+K805+K806+K807+K811+K815+K816+K817+K820+K821+K822+K823+K827,K777+K779+K781+K786+K787+K788+K789+K790+K791+K792+K794+K795+K796+K798+K800+K804+K805+K806+K807+K811+K815+K816+K817+K820+K821+K822+K823+K827),IF(EnCMember=1,K774+K780+K813+K793+K803+K809+K810+K819+K826+K777+K779+K781+K786+K787+K788+K789+K790+K791+K792+K794+K795+K796+K798+K800+K804+K805+K806+K807+K811+K815+K816+K817+K820+K821+K822+K823,K777+K779+K781+K786+K787+K788+K789+K790+K791+K792+K794+K795+K796+K798+K800+K804+K805+K806+K807+K811+K815+K816+K817+K820+K821+K822+K823)),3)</f>
        <v>0</v>
      </c>
      <c r="L832" s="813">
        <f>ROUND(IF('Table 1'!$G$3&gt;1,IF(EnCMember=1,L774+L780+L813+L793+L803+L809+L810+L819+L826+L777+L779+L781+L786+L787+L788+L789+L790+L791+L792+L794+L795+L796+L798+L800+L804+L805+L806+L807+L811+L815+L816+L817+L820+L821+L822+L823+L827,L777+L779+L781+L786+L787+L788+L789+L790+L791+L792+L794+L795+L796+L798+L800+L804+L805+L806+L807+L811+L815+L816+L817+L820+L821+L822+L823+L827),IF(EnCMember=1,L774+L780+L813+L793+L803+L809+L810+L819+L826+L777+L779+L781+L786+L787+L788+L789+L790+L791+L792+L794+L795+L796+L798+L800+L804+L805+L806+L807+L811+L815+L816+L817+L820+L821+L822+L823,L777+L779+L781+L786+L787+L788+L789+L790+L791+L792+L794+L795+L796+L798+L800+L804+L805+L806+L807+L811+L815+L816+L817+L820+L821+L822+L823)),3)</f>
        <v>0</v>
      </c>
      <c r="M832" s="811">
        <f>ROUND(IF('Table 1'!$G$3&gt;1,IF(EnCMember=1,M774+M780+M813+M793+M803+M809+M810+M819+M826+M777+M779+M781+M786+M787+M788+M789+M790+M791+M792+M794+M795+M796+M798+M800+M804+M805+M806+M807+M811+M815+M816+M817+M820+M821+M822+M823+M827,M777+M779+M781+M786+M787+M788+M789+M790+M791+M792+M794+M795+M796+M798+M800+M804+M805+M806+M807+M811+M815+M816+M817+M820+M821+M822+M823+M827),IF(EnCMember=1,M774+M780+M813+M793+M803+M809+M810+M819+M826+M777+M779+M781+M786+M787+M788+M789+M790+M791+M792+M794+M795+M796+M798+M800+M804+M805+M806+M807+M811+M815+M816+M817+M820+M821+M822+M823,M777+M779+M781+M786+M787+M788+M789+M790+M791+M792+M794+M795+M796+M798+M800+M804+M805+M806+M807+M811+M815+M816+M817+M820+M821+M822+M823)),3)</f>
        <v>0</v>
      </c>
      <c r="N832" s="812">
        <f>ROUND(IF('Table 1'!$G$3&gt;1,IF(EnCMember=1,N774+N780+N813+N793+N803+N809+N810+N819+N826+N777+N779+N781+N786+N787+N788+N789+N790+N791+N792+N794+N795+N796+N798+N800+N804+N805+N806+N807+N811+N815+N816+N817+N820+N821+N822+N823+N827,N777+N779+N781+N786+N787+N788+N789+N790+N791+N792+N794+N795+N796+N798+N800+N804+N805+N806+N807+N811+N815+N816+N817+N820+N821+N822+N823+N827),IF(EnCMember=1,N774+N780+N813+N793+N803+N809+N810+N819+N826+N777+N779+N781+N786+N787+N788+N789+N790+N791+N792+N794+N795+N796+N798+N800+N804+N805+N806+N807+N811+N815+N816+N817+N820+N821+N822+N823,N777+N779+N781+N786+N787+N788+N789+N790+N791+N792+N794+N795+N796+N798+N800+N804+N805+N806+N807+N811+N815+N816+N817+N820+N821+N822+N823)),3)</f>
        <v>0</v>
      </c>
      <c r="O832" s="813">
        <f>ROUND(IF('Table 1'!$G$3&gt;1,IF(EnCMember=1,O774+O780+O813+O793+O803+O809+O810+O819+O826+O777+O779+O781+O786+O787+O788+O789+O790+O791+O792+O794+O795+O796+O798+O800+O804+O805+O806+O807+O811+O815+O816+O817+O820+O821+O822+O823+O827,O777+O779+O781+O786+O787+O788+O789+O790+O791+O792+O794+O795+O796+O798+O800+O804+O805+O806+O807+O811+O815+O816+O817+O820+O821+O822+O823+O827),IF(EnCMember=1,O774+O780+O813+O793+O803+O809+O810+O819+O826+O777+O779+O781+O786+O787+O788+O789+O790+O791+O792+O794+O795+O796+O798+O800+O804+O805+O806+O807+O811+O815+O816+O817+O820+O821+O822+O823,O777+O779+O781+O786+O787+O788+O789+O790+O791+O792+O794+O795+O796+O798+O800+O804+O805+O806+O807+O811+O815+O816+O817+O820+O821+O822+O823)),3)</f>
        <v>0</v>
      </c>
      <c r="P832" s="811">
        <f>ROUND(IF('Table 1'!$G$3&gt;1,IF(EnCMember=1,P774+P780+P813+P793+P803+P809+P810+P819+P826+P777+P779+P781+P786+P787+P788+P789+P790+P791+P792+P794+P795+P796+P798+P800+P804+P805+P806+P807+P811+P815+P816+P817+P820+P821+P822+P823+P827,P777+P779+P781+P786+P787+P788+P789+P790+P791+P792+P794+P795+P796+P798+P800+P804+P805+P806+P807+P811+P815+P816+P817+P820+P821+P822+P823+P827),IF(EnCMember=1,P774+P780+P813+P793+P803+P809+P810+P819+P826+P777+P779+P781+P786+P787+P788+P789+P790+P791+P792+P794+P795+P796+P798+P800+P804+P805+P806+P807+P811+P815+P816+P817+P820+P821+P822+P823,P777+P779+P781+P786+P787+P788+P789+P790+P791+P792+P794+P795+P796+P798+P800+P804+P805+P806+P807+P811+P815+P816+P817+P820+P821+P822+P823)),3)</f>
        <v>0</v>
      </c>
      <c r="Q832" s="812">
        <f>ROUND(IF('Table 1'!$G$3&gt;1,IF(EnCMember=1,Q774+Q780+Q813+Q793+Q803+Q809+Q810+Q819+Q826+Q777+Q779+Q781+Q786+Q787+Q788+Q789+Q790+Q791+Q792+Q794+Q795+Q796+Q798+Q800+Q804+Q805+Q806+Q807+Q811+Q815+Q816+Q817+Q820+Q821+Q822+Q823+Q827,Q777+Q779+Q781+Q786+Q787+Q788+Q789+Q790+Q791+Q792+Q794+Q795+Q796+Q798+Q800+Q804+Q805+Q806+Q807+Q811+Q815+Q816+Q817+Q820+Q821+Q822+Q823+Q827),IF(EnCMember=1,Q774+Q780+Q813+Q793+Q803+Q809+Q810+Q819+Q826+Q777+Q779+Q781+Q786+Q787+Q788+Q789+Q790+Q791+Q792+Q794+Q795+Q796+Q798+Q800+Q804+Q805+Q806+Q807+Q811+Q815+Q816+Q817+Q820+Q821+Q822+Q823,Q777+Q779+Q781+Q786+Q787+Q788+Q789+Q790+Q791+Q792+Q794+Q795+Q796+Q798+Q800+Q804+Q805+Q806+Q807+Q811+Q815+Q816+Q817+Q820+Q821+Q822+Q823)),3)</f>
        <v>0</v>
      </c>
      <c r="R832" s="813">
        <f>ROUND(IF('Table 1'!$G$3&gt;1,IF(EnCMember=1,R774+R780+R813+R793+R803+R809+R810+R819+R826+R777+R779+R781+R786+R787+R788+R789+R790+R791+R792+R794+R795+R796+R798+R800+R804+R805+R806+R807+R811+R815+R816+R817+R820+R821+R822+R823+R827,R777+R779+R781+R786+R787+R788+R789+R790+R791+R792+R794+R795+R796+R798+R800+R804+R805+R806+R807+R811+R815+R816+R817+R820+R821+R822+R823+R827),IF(EnCMember=1,R774+R780+R813+R793+R803+R809+R810+R819+R826+R777+R779+R781+R786+R787+R788+R789+R790+R791+R792+R794+R795+R796+R798+R800+R804+R805+R806+R807+R811+R815+R816+R817+R820+R821+R822+R823,R777+R779+R781+R786+R787+R788+R789+R790+R791+R792+R794+R795+R796+R798+R800+R804+R805+R806+R807+R811+R815+R816+R817+R820+R821+R822+R823)),3)</f>
        <v>0</v>
      </c>
      <c r="S832" s="811">
        <f>ROUND(IF('Table 1'!$G$3&gt;1,IF(EnCMember=1,S774+S780+S813+S793+S803+S809+S810+S819+S826+S777+S779+S781+S786+S787+S788+S789+S790+S791+S792+S794+S795+S796+S798+S800+S804+S805+S806+S807+S811+S815+S816+S817+S820+S821+S822+S823+S827,S777+S779+S781+S786+S787+S788+S789+S790+S791+S792+S794+S795+S796+S798+S800+S804+S805+S806+S807+S811+S815+S816+S817+S820+S821+S822+S823+S827),IF(EnCMember=1,S774+S780+S813+S793+S803+S809+S810+S819+S826+S777+S779+S781+S786+S787+S788+S789+S790+S791+S792+S794+S795+S796+S798+S800+S804+S805+S806+S807+S811+S815+S816+S817+S820+S821+S822+S823,S777+S779+S781+S786+S787+S788+S789+S790+S791+S792+S794+S795+S796+S798+S800+S804+S805+S806+S807+S811+S815+S816+S817+S820+S821+S822+S823)),3)</f>
        <v>0</v>
      </c>
      <c r="T832" s="811">
        <f>ROUND(IF('Table 1'!$G$3&gt;1,IF(EnCMember=1,T774+T780+T813+T793+T803+T809+T810+T819+T826+T777+T779+T781+T786+T787+T788+T789+T790+T791+T792+T794+T795+T796+T798+T800+T804+T805+T806+T807+T811+T815+T816+T817+T820+T821+T822+T823+T827,T777+T779+T781+T786+T787+T788+T789+T790+T791+T792+T794+T795+T796+T798+T800+T804+T805+T806+T807+T811+T815+T816+T817+T820+T821+T822+T823+T827),IF(EnCMember=1,T774+T780+T813+T793+T803+T809+T810+T819+T826+T777+T779+T781+T786+T787+T788+T789+T790+T791+T792+T794+T795+T796+T798+T800+T804+T805+T806+T807+T811+T815+T816+T817+T820+T821+T822+T823,T777+T779+T781+T786+T787+T788+T789+T790+T791+T792+T794+T795+T796+T798+T800+T804+T805+T806+T807+T811+T815+T816+T817+T820+T821+T822+T823)),3)</f>
        <v>0</v>
      </c>
      <c r="U832" s="811">
        <f>ROUND(IF('Table 1'!$G$3&gt;1,IF(EnCMember=1,U774+U780+U813+U793+U803+U809+U810+U819+U826+U777+U779+U781+U786+U787+U788+U789+U790+U791+U792+U794+U795+U796+U798+U800+U804+U805+U806+U807+U811+U815+U816+U817+U820+U821+U822+U823+U827,U777+U779+U781+U786+U787+U788+U789+U790+U791+U792+U794+U795+U796+U798+U800+U804+U805+U806+U807+U811+U815+U816+U817+U820+U821+U822+U823+U827),IF(EnCMember=1,U774+U780+U813+U793+U803+U809+U810+U819+U826+U777+U779+U781+U786+U787+U788+U789+U790+U791+U792+U794+U795+U796+U798+U800+U804+U805+U806+U807+U811+U815+U816+U817+U820+U821+U822+U823,U777+U779+U781+U786+U787+U788+U789+U790+U791+U792+U794+U795+U796+U798+U800+U804+U805+U806+U807+U811+U815+U816+U817+U820+U821+U822+U823)),3)</f>
        <v>0</v>
      </c>
      <c r="V832" s="811">
        <f>ROUND(IF('Table 1'!$G$3&gt;1,IF(EnCMember=1,V774+V780+V813+V793+V803+V809+V810+V819+V826+V777+V779+V781+V786+V787+V788+V789+V790+V791+V792+V794+V795+V796+V798+V800+V804+V805+V806+V807+V811+V815+V816+V817+V820+V821+V822+V823+V827,V777+V779+V781+V786+V787+V788+V789+V790+V791+V792+V794+V795+V796+V798+V800+V804+V805+V806+V807+V811+V815+V816+V817+V820+V821+V822+V823+V827),IF(EnCMember=1,V774+V780+V813+V793+V803+V809+V810+V819+V826+V777+V779+V781+V786+V787+V788+V789+V790+V791+V792+V794+V795+V796+V798+V800+V804+V805+V806+V807+V811+V815+V816+V817+V820+V821+V822+V823,V777+V779+V781+V786+V787+V788+V789+V790+V791+V792+V794+V795+V796+V798+V800+V804+V805+V806+V807+V811+V815+V816+V817+V820+V821+V822+V823)),3)</f>
        <v>0</v>
      </c>
      <c r="W832" s="812">
        <f>ROUND(IF('Table 1'!$G$3&gt;1,IF(EnCMember=1,W774+W780+W813+W793+W803+W809+W810+W819+W826+W777+W779+W781+W786+W787+W788+W789+W790+W791+W792+W794+W795+W796+W798+W800+W804+W805+W806+W807+W811+W815+W816+W817+W820+W821+W822+W823+W827,W777+W779+W781+W786+W787+W788+W789+W790+W791+W792+W794+W795+W796+W798+W800+W804+W805+W806+W807+W811+W815+W816+W817+W820+W821+W822+W823+W827),IF(EnCMember=1,W774+W780+W813+W793+W803+W809+W810+W819+W826+W777+W779+W781+W786+W787+W788+W789+W790+W791+W792+W794+W795+W796+W798+W800+W804+W805+W806+W807+W811+W815+W816+W817+W820+W821+W822+W823,W777+W779+W781+W786+W787+W788+W789+W790+W791+W792+W794+W795+W796+W798+W800+W804+W805+W806+W807+W811+W815+W816+W817+W820+W821+W822+W823)),3)</f>
        <v>0</v>
      </c>
      <c r="X832" s="813">
        <f>ROUND(IF('Table 1'!$G$3&gt;1,IF(EnCMember=1,X774+X780+X813+X793+X803+X809+X810+X819+X826+X777+X779+X781+X786+X787+X788+X789+X790+X791+X792+X794+X795+X796+X798+X800+X804+X805+X806+X807+X811+X815+X816+X817+X820+X821+X822+X823+X827,X777+X779+X781+X786+X787+X788+X789+X790+X791+X792+X794+X795+X796+X798+X800+X804+X805+X806+X807+X811+X815+X816+X817+X820+X821+X822+X823+X827),IF(EnCMember=1,X774+X780+X813+X793+X803+X809+X810+X819+X826+X777+X779+X781+X786+X787+X788+X789+X790+X791+X792+X794+X795+X796+X798+X800+X804+X805+X806+X807+X811+X815+X816+X817+X820+X821+X822+X823,X777+X779+X781+X786+X787+X788+X789+X790+X791+X792+X794+X795+X796+X798+X800+X804+X805+X806+X807+X811+X815+X816+X817+X820+X821+X822+X823)),3)</f>
        <v>0</v>
      </c>
      <c r="Y832" s="811">
        <f>ROUND(IF('Table 1'!$G$3&gt;1,IF(EnCMember=1,Y774+Y780+Y813+Y793+Y803+Y809+Y810+Y819+Y826+Y777+Y779+Y781+Y786+Y787+Y788+Y789+Y790+Y791+Y792+Y794+Y795+Y796+Y798+Y800+Y804+Y805+Y806+Y807+Y811+Y815+Y816+Y817+Y820+Y821+Y822+Y823+Y827,Y777+Y779+Y781+Y786+Y787+Y788+Y789+Y790+Y791+Y792+Y794+Y795+Y796+Y798+Y800+Y804+Y805+Y806+Y807+Y811+Y815+Y816+Y817+Y820+Y821+Y822+Y823+Y827),IF(EnCMember=1,Y774+Y780+Y813+Y793+Y803+Y809+Y810+Y819+Y826+Y777+Y779+Y781+Y786+Y787+Y788+Y789+Y790+Y791+Y792+Y794+Y795+Y796+Y798+Y800+Y804+Y805+Y806+Y807+Y811+Y815+Y816+Y817+Y820+Y821+Y822+Y823,Y777+Y779+Y781+Y786+Y787+Y788+Y789+Y790+Y791+Y792+Y794+Y795+Y796+Y798+Y800+Y804+Y805+Y806+Y807+Y811+Y815+Y816+Y817+Y820+Y821+Y822+Y823)),3)</f>
        <v>0</v>
      </c>
      <c r="Z832" s="811">
        <f>ROUND(IF('Table 1'!$G$3&gt;1,IF(EnCMember=1,Z774+Z780+Z813+Z793+Z803+Z809+Z810+Z819+Z826+Z777+Z779+Z781+Z786+Z787+Z788+Z789+Z790+Z791+Z792+Z794+Z795+Z796+Z798+Z800+Z804+Z805+Z806+Z807+Z811+Z815+Z816+Z817+Z820+Z821+Z822+Z823+Z827,Z777+Z779+Z781+Z786+Z787+Z788+Z789+Z790+Z791+Z792+Z794+Z795+Z796+Z798+Z800+Z804+Z805+Z806+Z807+Z811+Z815+Z816+Z817+Z820+Z821+Z822+Z823+Z827),IF(EnCMember=1,Z774+Z780+Z813+Z793+Z803+Z809+Z810+Z819+Z826+Z777+Z779+Z781+Z786+Z787+Z788+Z789+Z790+Z791+Z792+Z794+Z795+Z796+Z798+Z800+Z804+Z805+Z806+Z807+Z811+Z815+Z816+Z817+Z820+Z821+Z822+Z823,Z777+Z779+Z781+Z786+Z787+Z788+Z789+Z790+Z791+Z792+Z794+Z795+Z796+Z798+Z800+Z804+Z805+Z806+Z807+Z811+Z815+Z816+Z817+Z820+Z821+Z822+Z823)),3)</f>
        <v>0</v>
      </c>
      <c r="AA832" s="811">
        <f>ROUND(IF('Table 1'!$G$3&gt;1,IF(EnCMember=1,AA774+AA780+AA813+AA793+AA803+AA809+AA810+AA819+AA826+AA777+AA779+AA781+AA786+AA787+AA788+AA789+AA790+AA791+AA792+AA794+AA795+AA796+AA798+AA800+AA804+AA805+AA806+AA807+AA811+AA815+AA816+AA817+AA820+AA821+AA822+AA823+AA827,AA777+AA779+AA781+AA786+AA787+AA788+AA789+AA790+AA791+AA792+AA794+AA795+AA796+AA798+AA800+AA804+AA805+AA806+AA807+AA811+AA815+AA816+AA817+AA820+AA821+AA822+AA823+AA827),IF(EnCMember=1,AA774+AA780+AA813+AA793+AA803+AA809+AA810+AA819+AA826+AA777+AA779+AA781+AA786+AA787+AA788+AA789+AA790+AA791+AA792+AA794+AA795+AA796+AA798+AA800+AA804+AA805+AA806+AA807+AA811+AA815+AA816+AA817+AA820+AA821+AA822+AA823,AA777+AA779+AA781+AA786+AA787+AA788+AA789+AA790+AA791+AA792+AA794+AA795+AA796+AA798+AA800+AA804+AA805+AA806+AA807+AA811+AA815+AA816+AA817+AA820+AA821+AA822+AA823)),3)</f>
        <v>0</v>
      </c>
      <c r="AB832" s="812">
        <f>ROUND(IF('Table 1'!$G$3&gt;1,IF(EnCMember=1,AB774+AB780+AB813+AB793+AB803+AB809+AB810+AB819+AB826+AB777+AB779+AB781+AB786+AB787+AB788+AB789+AB790+AB791+AB792+AB794+AB795+AB796+AB798+AB800+AB804+AB805+AB806+AB807+AB811+AB815+AB816+AB817+AB820+AB821+AB822+AB823+AB827,AB777+AB779+AB781+AB786+AB787+AB788+AB789+AB790+AB791+AB792+AB794+AB795+AB796+AB798+AB800+AB804+AB805+AB806+AB807+AB811+AB815+AB816+AB817+AB820+AB821+AB822+AB823+AB827),IF(EnCMember=1,AB774+AB780+AB813+AB793+AB803+AB809+AB810+AB819+AB826+AB777+AB779+AB781+AB786+AB787+AB788+AB789+AB790+AB791+AB792+AB794+AB795+AB796+AB798+AB800+AB804+AB805+AB806+AB807+AB811+AB815+AB816+AB817+AB820+AB821+AB822+AB823,AB777+AB779+AB781+AB786+AB787+AB788+AB789+AB790+AB791+AB792+AB794+AB795+AB796+AB798+AB800+AB804+AB805+AB806+AB807+AB811+AB815+AB816+AB817+AB820+AB821+AB822+AB823)),3)</f>
        <v>0</v>
      </c>
      <c r="AC832" s="813">
        <f>ROUND(IF('Table 1'!$G$3&gt;1,IF(EnCMember=1,AC774+AC780+AC813+AC793+AC803+AC809+AC810+AC819+AC826+AC777+AC779+AC781+AC786+AC787+AC788+AC789+AC790+AC791+AC792+AC794+AC795+AC796+AC798+AC800+AC804+AC805+AC806+AC807+AC811+AC815+AC816+AC817+AC820+AC821+AC822+AC823+AC827,AC777+AC779+AC781+AC786+AC787+AC788+AC789+AC790+AC791+AC792+AC794+AC795+AC796+AC798+AC800+AC804+AC805+AC806+AC807+AC811+AC815+AC816+AC817+AC820+AC821+AC822+AC823+AC827),IF(EnCMember=1,AC774+AC780+AC813+AC793+AC803+AC809+AC810+AC819+AC826+AC777+AC779+AC781+AC786+AC787+AC788+AC789+AC790+AC791+AC792+AC794+AC795+AC796+AC798+AC800+AC804+AC805+AC806+AC807+AC811+AC815+AC816+AC817+AC820+AC821+AC822+AC823,AC777+AC779+AC781+AC786+AC787+AC788+AC789+AC790+AC791+AC792+AC794+AC795+AC796+AC798+AC800+AC804+AC805+AC806+AC807+AC811+AC815+AC816+AC817+AC820+AC821+AC822+AC823)),3)</f>
        <v>0</v>
      </c>
      <c r="AD832" s="811">
        <f>ROUND(IF('Table 1'!$G$3&gt;1,IF(EnCMember=1,AD774+AD780+AD813+AD793+AD803+AD809+AD810+AD819+AD826+AD777+AD779+AD781+AD786+AD787+AD788+AD789+AD790+AD791+AD792+AD794+AD795+AD796+AD798+AD800+AD804+AD805+AD806+AD807+AD811+AD815+AD816+AD817+AD820+AD821+AD822+AD823+AD827,AD777+AD779+AD781+AD786+AD787+AD788+AD789+AD790+AD791+AD792+AD794+AD795+AD796+AD798+AD800+AD804+AD805+AD806+AD807+AD811+AD815+AD816+AD817+AD820+AD821+AD822+AD823+AD827),IF(EnCMember=1,AD774+AD780+AD813+AD793+AD803+AD809+AD810+AD819+AD826+AD777+AD779+AD781+AD786+AD787+AD788+AD789+AD790+AD791+AD792+AD794+AD795+AD796+AD798+AD800+AD804+AD805+AD806+AD807+AD811+AD815+AD816+AD817+AD820+AD821+AD822+AD823,AD777+AD779+AD781+AD786+AD787+AD788+AD789+AD790+AD791+AD792+AD794+AD795+AD796+AD798+AD800+AD804+AD805+AD806+AD807+AD811+AD815+AD816+AD817+AD820+AD821+AD822+AD823)),3)</f>
        <v>0</v>
      </c>
      <c r="AE832" s="811">
        <f>ROUND(IF('Table 1'!$G$3&gt;1,IF(EnCMember=1,AE774+AE780+AE813+AE793+AE803+AE809+AE810+AE819+AE826+AE777+AE779+AE781+AE786+AE787+AE788+AE789+AE790+AE791+AE792+AE794+AE795+AE796+AE798+AE800+AE804+AE805+AE806+AE807+AE811+AE815+AE816+AE817+AE820+AE821+AE822+AE823+AE827,AE777+AE779+AE781+AE786+AE787+AE788+AE789+AE790+AE791+AE792+AE794+AE795+AE796+AE798+AE800+AE804+AE805+AE806+AE807+AE811+AE815+AE816+AE817+AE820+AE821+AE822+AE823+AE827),IF(EnCMember=1,AE774+AE780+AE813+AE793+AE803+AE809+AE810+AE819+AE826+AE777+AE779+AE781+AE786+AE787+AE788+AE789+AE790+AE791+AE792+AE794+AE795+AE796+AE798+AE800+AE804+AE805+AE806+AE807+AE811+AE815+AE816+AE817+AE820+AE821+AE822+AE823,AE777+AE779+AE781+AE786+AE787+AE788+AE789+AE790+AE791+AE792+AE794+AE795+AE796+AE798+AE800+AE804+AE805+AE806+AE807+AE811+AE815+AE816+AE817+AE820+AE821+AE822+AE823)),3)</f>
        <v>0</v>
      </c>
      <c r="AF832" s="812">
        <f>ROUND(IF('Table 1'!$G$3&gt;1,IF(EnCMember=1,AF774+AF780+AF813+AF793+AF803+AF809+AF810+AF819+AF826+AF777+AF779+AF781+AF786+AF787+AF788+AF789+AF790+AF791+AF792+AF794+AF795+AF796+AF798+AF800+AF804+AF805+AF806+AF807+AF811+AF815+AF816+AF817+AF820+AF821+AF822+AF823+AF827,AF777+AF779+AF781+AF786+AF787+AF788+AF789+AF790+AF791+AF792+AF794+AF795+AF796+AF798+AF800+AF804+AF805+AF806+AF807+AF811+AF815+AF816+AF817+AF820+AF821+AF822+AF823+AF827),IF(EnCMember=1,AF774+AF780+AF813+AF793+AF803+AF809+AF810+AF819+AF826+AF777+AF779+AF781+AF786+AF787+AF788+AF789+AF790+AF791+AF792+AF794+AF795+AF796+AF798+AF800+AF804+AF805+AF806+AF807+AF811+AF815+AF816+AF817+AF820+AF821+AF822+AF823,AF777+AF779+AF781+AF786+AF787+AF788+AF789+AF790+AF791+AF792+AF794+AF795+AF796+AF798+AF800+AF804+AF805+AF806+AF807+AF811+AF815+AF816+AF817+AF820+AF821+AF822+AF823)),3)</f>
        <v>0</v>
      </c>
      <c r="AG832" s="813">
        <f>ROUND(IF('Table 1'!$G$3&gt;1,IF(EnCMember=1,AG774+AG780+AG813+AG793+AG803+AG809+AG810+AG819+AG826+AG777+AG779+AG781+AG786+AG787+AG788+AG789+AG790+AG791+AG792+AG794+AG795+AG796+AG798+AG800+AG804+AG805+AG806+AG807+AG811+AG815+AG816+AG817+AG820+AG821+AG822+AG823+AG827,AG777+AG779+AG781+AG786+AG787+AG788+AG789+AG790+AG791+AG792+AG794+AG795+AG796+AG798+AG800+AG804+AG805+AG806+AG807+AG811+AG815+AG816+AG817+AG820+AG821+AG822+AG823+AG827),IF(EnCMember=1,AG774+AG780+AG813+AG793+AG803+AG809+AG810+AG819+AG826+AG777+AG779+AG781+AG786+AG787+AG788+AG789+AG790+AG791+AG792+AG794+AG795+AG796+AG798+AG800+AG804+AG805+AG806+AG807+AG811+AG815+AG816+AG817+AG820+AG821+AG822+AG823,AG777+AG779+AG781+AG786+AG787+AG788+AG789+AG790+AG791+AG792+AG794+AG795+AG796+AG798+AG800+AG804+AG805+AG806+AG807+AG811+AG815+AG816+AG817+AG820+AG821+AG822+AG823)),3)</f>
        <v>0</v>
      </c>
      <c r="AH832" s="811">
        <f>ROUND(IF('Table 1'!$G$3&gt;1,IF(EnCMember=1,AH774+AH780+AH813+AH793+AH803+AH809+AH810+AH819+AH826+AH777+AH779+AH781+AH786+AH787+AH788+AH789+AH790+AH791+AH792+AH794+AH795+AH796+AH798+AH800+AH804+AH805+AH806+AH807+AH811+AH815+AH816+AH817+AH820+AH821+AH822+AH823+AH827,AH777+AH779+AH781+AH786+AH787+AH788+AH789+AH790+AH791+AH792+AH794+AH795+AH796+AH798+AH800+AH804+AH805+AH806+AH807+AH811+AH815+AH816+AH817+AH820+AH821+AH822+AH823+AH827),IF(EnCMember=1,AH774+AH780+AH813+AH793+AH803+AH809+AH810+AH819+AH826+AH777+AH779+AH781+AH786+AH787+AH788+AH789+AH790+AH791+AH792+AH794+AH795+AH796+AH798+AH800+AH804+AH805+AH806+AH807+AH811+AH815+AH816+AH817+AH820+AH821+AH822+AH823,AH777+AH779+AH781+AH786+AH787+AH788+AH789+AH790+AH791+AH792+AH794+AH795+AH796+AH798+AH800+AH804+AH805+AH806+AH807+AH811+AH815+AH816+AH817+AH820+AH821+AH822+AH823)),3)</f>
        <v>0</v>
      </c>
      <c r="AI832" s="811">
        <f>ROUND(IF('Table 1'!$G$3&gt;1,IF(EnCMember=1,AI774+AI780+AI813+AI793+AI803+AI809+AI810+AI819+AI826+AI777+AI779+AI781+AI786+AI787+AI788+AI789+AI790+AI791+AI792+AI794+AI795+AI796+AI798+AI800+AI804+AI805+AI806+AI807+AI811+AI815+AI816+AI817+AI820+AI821+AI822+AI823+AI827,AI777+AI779+AI781+AI786+AI787+AI788+AI789+AI790+AI791+AI792+AI794+AI795+AI796+AI798+AI800+AI804+AI805+AI806+AI807+AI811+AI815+AI816+AI817+AI820+AI821+AI822+AI823+AI827),IF(EnCMember=1,AI774+AI780+AI813+AI793+AI803+AI809+AI810+AI819+AI826+AI777+AI779+AI781+AI786+AI787+AI788+AI789+AI790+AI791+AI792+AI794+AI795+AI796+AI798+AI800+AI804+AI805+AI806+AI807+AI811+AI815+AI816+AI817+AI820+AI821+AI822+AI823,AI777+AI779+AI781+AI786+AI787+AI788+AI789+AI790+AI791+AI792+AI794+AI795+AI796+AI798+AI800+AI804+AI805+AI806+AI807+AI811+AI815+AI816+AI817+AI820+AI821+AI822+AI823)),3)</f>
        <v>0</v>
      </c>
      <c r="AJ832" s="816">
        <f>ROUND(IF('Table 1'!$G$3&gt;1,IF(EnCMember=1,AJ774+AJ780+AJ813+AJ793+AJ803+AJ809+AJ810+AJ819+AJ826+AJ777+AJ779+AJ781+AJ786+AJ787+AJ788+AJ789+AJ790+AJ791+AJ792+AJ794+AJ795+AJ796+AJ798+AJ800+AJ804+AJ805+AJ806+AJ807+AJ811+AJ815+AJ816+AJ817+AJ820+AJ821+AJ822+AJ823+AJ827,AJ777+AJ779+AJ781+AJ786+AJ787+AJ788+AJ789+AJ790+AJ791+AJ792+AJ794+AJ795+AJ796+AJ798+AJ800+AJ804+AJ805+AJ806+AJ807+AJ811+AJ815+AJ816+AJ817+AJ820+AJ821+AJ822+AJ823+AJ827),IF(EnCMember=1,AJ774+AJ780+AJ813+AJ793+AJ803+AJ809+AJ810+AJ819+AJ826+AJ777+AJ779+AJ781+AJ786+AJ787+AJ788+AJ789+AJ790+AJ791+AJ792+AJ794+AJ795+AJ796+AJ798+AJ800+AJ804+AJ805+AJ806+AJ807+AJ811+AJ815+AJ816+AJ817+AJ820+AJ821+AJ822+AJ823,AJ777+AJ779+AJ781+AJ786+AJ787+AJ788+AJ789+AJ790+AJ791+AJ792+AJ794+AJ795+AJ796+AJ798+AJ800+AJ804+AJ805+AJ806+AJ807+AJ811+AJ815+AJ816+AJ817+AJ820+AJ821+AJ822+AJ823)),3)</f>
        <v>0</v>
      </c>
    </row>
    <row r="836" spans="3:36" x14ac:dyDescent="0.2">
      <c r="C836" s="268" t="s">
        <v>877</v>
      </c>
      <c r="D836" s="244"/>
      <c r="E836" s="269"/>
      <c r="F836" s="269"/>
      <c r="G836" s="269"/>
      <c r="H836" s="269"/>
      <c r="I836" s="269"/>
      <c r="J836" s="269"/>
      <c r="K836" s="269"/>
      <c r="L836" s="269"/>
      <c r="M836" s="269"/>
      <c r="N836" s="269"/>
      <c r="O836" s="269"/>
      <c r="P836" s="269"/>
      <c r="Q836" s="269"/>
      <c r="R836" s="269"/>
      <c r="S836" s="269"/>
      <c r="T836" s="269"/>
      <c r="U836" s="269"/>
      <c r="V836" s="269"/>
      <c r="W836" s="269"/>
      <c r="X836" s="269"/>
      <c r="Y836" s="269"/>
      <c r="Z836" s="269"/>
      <c r="AA836" s="269"/>
      <c r="AB836" s="269"/>
      <c r="AC836" s="269"/>
      <c r="AD836" s="269"/>
      <c r="AE836" s="269"/>
      <c r="AF836" s="269"/>
      <c r="AG836" s="269"/>
      <c r="AH836" s="269"/>
      <c r="AI836" s="267"/>
      <c r="AJ836" s="245" t="s">
        <v>108</v>
      </c>
    </row>
    <row r="837" spans="3:36" ht="12.75" customHeight="1" x14ac:dyDescent="0.2">
      <c r="C837" s="270"/>
      <c r="D837" s="271"/>
      <c r="E837" s="1156" t="s">
        <v>656</v>
      </c>
      <c r="F837" s="1156" t="s">
        <v>657</v>
      </c>
      <c r="G837" s="1156" t="s">
        <v>647</v>
      </c>
      <c r="H837" s="1158" t="s">
        <v>666</v>
      </c>
      <c r="I837" s="281"/>
      <c r="J837" s="1160" t="s">
        <v>885</v>
      </c>
      <c r="K837" s="1110" t="s">
        <v>645</v>
      </c>
      <c r="L837" s="1166" t="s">
        <v>8</v>
      </c>
      <c r="M837" s="1164" t="s">
        <v>9</v>
      </c>
      <c r="N837" s="1162" t="s">
        <v>10</v>
      </c>
      <c r="O837" s="1114" t="s">
        <v>659</v>
      </c>
      <c r="P837" s="329"/>
      <c r="Q837" s="190"/>
      <c r="R837" s="1166" t="s">
        <v>660</v>
      </c>
      <c r="S837" s="1164" t="s">
        <v>661</v>
      </c>
      <c r="T837" s="1116" t="s">
        <v>668</v>
      </c>
      <c r="U837" s="191"/>
      <c r="V837" s="192"/>
      <c r="W837" s="1162" t="s">
        <v>664</v>
      </c>
      <c r="X837" s="193"/>
      <c r="Y837" s="190"/>
      <c r="Z837" s="1118" t="s">
        <v>670</v>
      </c>
      <c r="AA837" s="190"/>
      <c r="AB837" s="190"/>
      <c r="AC837" s="1114" t="s">
        <v>628</v>
      </c>
      <c r="AD837" s="190"/>
      <c r="AE837" s="190"/>
      <c r="AF837" s="190"/>
      <c r="AG837" s="1166" t="s">
        <v>629</v>
      </c>
      <c r="AH837" s="1160" t="s">
        <v>630</v>
      </c>
      <c r="AI837" s="1120" t="s">
        <v>631</v>
      </c>
      <c r="AJ837" s="1120" t="s">
        <v>679</v>
      </c>
    </row>
    <row r="838" spans="3:36" ht="56.25" x14ac:dyDescent="0.2">
      <c r="C838" s="272"/>
      <c r="D838" s="273"/>
      <c r="E838" s="1157"/>
      <c r="F838" s="1157"/>
      <c r="G838" s="1157"/>
      <c r="H838" s="1159"/>
      <c r="I838" s="248" t="s">
        <v>667</v>
      </c>
      <c r="J838" s="1161"/>
      <c r="K838" s="1111"/>
      <c r="L838" s="1167"/>
      <c r="M838" s="1165"/>
      <c r="N838" s="1163"/>
      <c r="O838" s="1115"/>
      <c r="P838" s="250" t="s">
        <v>623</v>
      </c>
      <c r="Q838" s="251" t="s">
        <v>626</v>
      </c>
      <c r="R838" s="1167"/>
      <c r="S838" s="1165"/>
      <c r="T838" s="1117"/>
      <c r="U838" s="254" t="s">
        <v>662</v>
      </c>
      <c r="V838" s="250" t="s">
        <v>663</v>
      </c>
      <c r="W838" s="1163"/>
      <c r="X838" s="256" t="s">
        <v>627</v>
      </c>
      <c r="Y838" s="257" t="s">
        <v>669</v>
      </c>
      <c r="Z838" s="1119"/>
      <c r="AA838" s="250" t="s">
        <v>624</v>
      </c>
      <c r="AB838" s="254" t="s">
        <v>671</v>
      </c>
      <c r="AC838" s="1115"/>
      <c r="AD838" s="250" t="s">
        <v>674</v>
      </c>
      <c r="AE838" s="254" t="s">
        <v>1411</v>
      </c>
      <c r="AF838" s="258" t="s">
        <v>872</v>
      </c>
      <c r="AG838" s="1167"/>
      <c r="AH838" s="1161"/>
      <c r="AI838" s="1121"/>
      <c r="AJ838" s="1121"/>
    </row>
    <row r="839" spans="3:36" x14ac:dyDescent="0.2">
      <c r="C839" s="274"/>
      <c r="D839" s="275"/>
      <c r="E839" s="246" t="s">
        <v>152</v>
      </c>
      <c r="F839" s="247" t="s">
        <v>153</v>
      </c>
      <c r="G839" s="247" t="s">
        <v>154</v>
      </c>
      <c r="H839" s="180" t="s">
        <v>155</v>
      </c>
      <c r="I839" s="247" t="s">
        <v>156</v>
      </c>
      <c r="J839" s="247" t="s">
        <v>157</v>
      </c>
      <c r="K839" s="199" t="s">
        <v>158</v>
      </c>
      <c r="L839" s="246" t="s">
        <v>159</v>
      </c>
      <c r="M839" s="246" t="s">
        <v>160</v>
      </c>
      <c r="N839" s="249" t="s">
        <v>161</v>
      </c>
      <c r="O839" s="179" t="s">
        <v>162</v>
      </c>
      <c r="P839" s="247" t="s">
        <v>163</v>
      </c>
      <c r="Q839" s="252" t="s">
        <v>164</v>
      </c>
      <c r="R839" s="253" t="s">
        <v>165</v>
      </c>
      <c r="S839" s="252" t="s">
        <v>166</v>
      </c>
      <c r="T839" s="180" t="s">
        <v>167</v>
      </c>
      <c r="U839" s="247" t="s">
        <v>168</v>
      </c>
      <c r="V839" s="247" t="s">
        <v>169</v>
      </c>
      <c r="W839" s="255" t="s">
        <v>170</v>
      </c>
      <c r="X839" s="246" t="s">
        <v>171</v>
      </c>
      <c r="Y839" s="247" t="s">
        <v>172</v>
      </c>
      <c r="Z839" s="176" t="s">
        <v>173</v>
      </c>
      <c r="AA839" s="252" t="s">
        <v>174</v>
      </c>
      <c r="AB839" s="252" t="s">
        <v>175</v>
      </c>
      <c r="AC839" s="179" t="s">
        <v>176</v>
      </c>
      <c r="AD839" s="252" t="s">
        <v>177</v>
      </c>
      <c r="AE839" s="252" t="s">
        <v>181</v>
      </c>
      <c r="AF839" s="252" t="s">
        <v>417</v>
      </c>
      <c r="AG839" s="259" t="s">
        <v>672</v>
      </c>
      <c r="AH839" s="252" t="s">
        <v>678</v>
      </c>
      <c r="AI839" s="90" t="s">
        <v>499</v>
      </c>
      <c r="AJ839" s="90" t="s">
        <v>680</v>
      </c>
    </row>
    <row r="840" spans="3:36" x14ac:dyDescent="0.2">
      <c r="C840" s="430" t="s">
        <v>930</v>
      </c>
      <c r="D840" s="431">
        <v>1</v>
      </c>
      <c r="E840" s="1005"/>
      <c r="F840" s="1005"/>
      <c r="G840" s="1005"/>
      <c r="H840" s="981"/>
      <c r="I840" s="1005"/>
      <c r="J840" s="1005"/>
      <c r="K840" s="940">
        <f t="shared" ref="K840:K875" si="120">ROUND(SUM(E840:H840,J840),3)</f>
        <v>0</v>
      </c>
      <c r="L840" s="1006"/>
      <c r="M840" s="1006"/>
      <c r="N840" s="1005"/>
      <c r="O840" s="927"/>
      <c r="P840" s="1006"/>
      <c r="Q840" s="1007"/>
      <c r="R840" s="1006"/>
      <c r="S840" s="1006"/>
      <c r="T840" s="907"/>
      <c r="U840" s="1005"/>
      <c r="V840" s="1005"/>
      <c r="W840" s="1007"/>
      <c r="X840" s="1006"/>
      <c r="Y840" s="1005"/>
      <c r="Z840" s="909"/>
      <c r="AA840" s="1005"/>
      <c r="AB840" s="1007"/>
      <c r="AC840" s="927"/>
      <c r="AD840" s="1005"/>
      <c r="AE840" s="1008"/>
      <c r="AF840" s="1007"/>
      <c r="AG840" s="1008"/>
      <c r="AH840" s="1008"/>
      <c r="AI840" s="939">
        <f t="shared" ref="AI840:AI871" si="121">ROUND(SUM(L840:O840,R840:T840,W840,Z840,AC840,AG840:AH840),3)</f>
        <v>0</v>
      </c>
      <c r="AJ840" s="939">
        <f t="shared" ref="AJ840:AJ871" si="122">ROUND(SUM(K840,AI840),3)</f>
        <v>0</v>
      </c>
    </row>
    <row r="841" spans="3:36" x14ac:dyDescent="0.2">
      <c r="C841" s="430" t="s">
        <v>554</v>
      </c>
      <c r="D841" s="431">
        <v>2</v>
      </c>
      <c r="E841" s="1005"/>
      <c r="F841" s="1005"/>
      <c r="G841" s="1005"/>
      <c r="H841" s="981"/>
      <c r="I841" s="1005"/>
      <c r="J841" s="1005"/>
      <c r="K841" s="940">
        <f t="shared" si="120"/>
        <v>0</v>
      </c>
      <c r="L841" s="1006"/>
      <c r="M841" s="1006"/>
      <c r="N841" s="1005"/>
      <c r="O841" s="927"/>
      <c r="P841" s="1006"/>
      <c r="Q841" s="1007"/>
      <c r="R841" s="1006"/>
      <c r="S841" s="1006"/>
      <c r="T841" s="907"/>
      <c r="U841" s="1005"/>
      <c r="V841" s="1005"/>
      <c r="W841" s="1007"/>
      <c r="X841" s="1006"/>
      <c r="Y841" s="1005"/>
      <c r="Z841" s="909"/>
      <c r="AA841" s="1005"/>
      <c r="AB841" s="1007"/>
      <c r="AC841" s="927"/>
      <c r="AD841" s="1005"/>
      <c r="AE841" s="1008"/>
      <c r="AF841" s="1007"/>
      <c r="AG841" s="1008"/>
      <c r="AH841" s="1008"/>
      <c r="AI841" s="939">
        <f t="shared" si="121"/>
        <v>0</v>
      </c>
      <c r="AJ841" s="939">
        <f t="shared" si="122"/>
        <v>0</v>
      </c>
    </row>
    <row r="842" spans="3:36" x14ac:dyDescent="0.2">
      <c r="C842" s="430" t="s">
        <v>115</v>
      </c>
      <c r="D842" s="431">
        <v>3</v>
      </c>
      <c r="E842" s="1005"/>
      <c r="F842" s="1005"/>
      <c r="G842" s="1005"/>
      <c r="H842" s="981"/>
      <c r="I842" s="1005"/>
      <c r="J842" s="1005"/>
      <c r="K842" s="940">
        <f t="shared" si="120"/>
        <v>0</v>
      </c>
      <c r="L842" s="1006"/>
      <c r="M842" s="1006"/>
      <c r="N842" s="1005"/>
      <c r="O842" s="927"/>
      <c r="P842" s="1006"/>
      <c r="Q842" s="1007"/>
      <c r="R842" s="1006"/>
      <c r="S842" s="1006"/>
      <c r="T842" s="907"/>
      <c r="U842" s="1005"/>
      <c r="V842" s="1005"/>
      <c r="W842" s="1007"/>
      <c r="X842" s="1006"/>
      <c r="Y842" s="1005"/>
      <c r="Z842" s="909"/>
      <c r="AA842" s="1005"/>
      <c r="AB842" s="1007"/>
      <c r="AC842" s="927"/>
      <c r="AD842" s="1005"/>
      <c r="AE842" s="1008"/>
      <c r="AF842" s="1007"/>
      <c r="AG842" s="1008"/>
      <c r="AH842" s="1008"/>
      <c r="AI842" s="939">
        <f t="shared" si="121"/>
        <v>0</v>
      </c>
      <c r="AJ842" s="939">
        <f t="shared" si="122"/>
        <v>0</v>
      </c>
    </row>
    <row r="843" spans="3:36" x14ac:dyDescent="0.2">
      <c r="C843" s="430" t="s">
        <v>15</v>
      </c>
      <c r="D843" s="431">
        <v>4</v>
      </c>
      <c r="E843" s="1005"/>
      <c r="F843" s="1005"/>
      <c r="G843" s="1005"/>
      <c r="H843" s="981"/>
      <c r="I843" s="1005"/>
      <c r="J843" s="1005"/>
      <c r="K843" s="940">
        <f t="shared" si="120"/>
        <v>0</v>
      </c>
      <c r="L843" s="1006"/>
      <c r="M843" s="1006"/>
      <c r="N843" s="1005"/>
      <c r="O843" s="927"/>
      <c r="P843" s="1006"/>
      <c r="Q843" s="1007"/>
      <c r="R843" s="1006"/>
      <c r="S843" s="1006"/>
      <c r="T843" s="907"/>
      <c r="U843" s="1005"/>
      <c r="V843" s="1005"/>
      <c r="W843" s="1007"/>
      <c r="X843" s="1006"/>
      <c r="Y843" s="1005"/>
      <c r="Z843" s="909"/>
      <c r="AA843" s="1005"/>
      <c r="AB843" s="1007"/>
      <c r="AC843" s="927"/>
      <c r="AD843" s="1005"/>
      <c r="AE843" s="1008"/>
      <c r="AF843" s="1007"/>
      <c r="AG843" s="1008"/>
      <c r="AH843" s="1008"/>
      <c r="AI843" s="939">
        <f t="shared" si="121"/>
        <v>0</v>
      </c>
      <c r="AJ843" s="939">
        <f t="shared" si="122"/>
        <v>0</v>
      </c>
    </row>
    <row r="844" spans="3:36" x14ac:dyDescent="0.2">
      <c r="C844" s="430" t="s">
        <v>556</v>
      </c>
      <c r="D844" s="431">
        <v>5</v>
      </c>
      <c r="E844" s="1005"/>
      <c r="F844" s="1005"/>
      <c r="G844" s="1005"/>
      <c r="H844" s="981"/>
      <c r="I844" s="1005"/>
      <c r="J844" s="1005"/>
      <c r="K844" s="940">
        <f t="shared" si="120"/>
        <v>0</v>
      </c>
      <c r="L844" s="1006"/>
      <c r="M844" s="1006"/>
      <c r="N844" s="1005"/>
      <c r="O844" s="927"/>
      <c r="P844" s="1006"/>
      <c r="Q844" s="1007"/>
      <c r="R844" s="1006"/>
      <c r="S844" s="1006"/>
      <c r="T844" s="907"/>
      <c r="U844" s="1005"/>
      <c r="V844" s="1005"/>
      <c r="W844" s="1007"/>
      <c r="X844" s="1006"/>
      <c r="Y844" s="1005"/>
      <c r="Z844" s="909"/>
      <c r="AA844" s="1005"/>
      <c r="AB844" s="1007"/>
      <c r="AC844" s="927"/>
      <c r="AD844" s="1005"/>
      <c r="AE844" s="1008"/>
      <c r="AF844" s="1007"/>
      <c r="AG844" s="1008"/>
      <c r="AH844" s="1008"/>
      <c r="AI844" s="939">
        <f t="shared" si="121"/>
        <v>0</v>
      </c>
      <c r="AJ844" s="939">
        <f t="shared" si="122"/>
        <v>0</v>
      </c>
    </row>
    <row r="845" spans="3:36" x14ac:dyDescent="0.2">
      <c r="C845" s="430" t="s">
        <v>116</v>
      </c>
      <c r="D845" s="431">
        <v>6</v>
      </c>
      <c r="E845" s="1005"/>
      <c r="F845" s="1005"/>
      <c r="G845" s="1005"/>
      <c r="H845" s="981"/>
      <c r="I845" s="1005"/>
      <c r="J845" s="1005"/>
      <c r="K845" s="940">
        <f t="shared" si="120"/>
        <v>0</v>
      </c>
      <c r="L845" s="1006"/>
      <c r="M845" s="1006"/>
      <c r="N845" s="1005"/>
      <c r="O845" s="927"/>
      <c r="P845" s="1006"/>
      <c r="Q845" s="1007"/>
      <c r="R845" s="1006"/>
      <c r="S845" s="1006"/>
      <c r="T845" s="907"/>
      <c r="U845" s="1005"/>
      <c r="V845" s="1005"/>
      <c r="W845" s="1007"/>
      <c r="X845" s="1006"/>
      <c r="Y845" s="1005"/>
      <c r="Z845" s="909"/>
      <c r="AA845" s="1005"/>
      <c r="AB845" s="1007"/>
      <c r="AC845" s="927"/>
      <c r="AD845" s="1005"/>
      <c r="AE845" s="1008"/>
      <c r="AF845" s="1007"/>
      <c r="AG845" s="1008"/>
      <c r="AH845" s="1008"/>
      <c r="AI845" s="939">
        <f t="shared" si="121"/>
        <v>0</v>
      </c>
      <c r="AJ845" s="939">
        <f t="shared" si="122"/>
        <v>0</v>
      </c>
    </row>
    <row r="846" spans="3:36" x14ac:dyDescent="0.2">
      <c r="C846" s="430" t="s">
        <v>595</v>
      </c>
      <c r="D846" s="431">
        <v>7</v>
      </c>
      <c r="E846" s="1005"/>
      <c r="F846" s="1005"/>
      <c r="G846" s="1005"/>
      <c r="H846" s="981"/>
      <c r="I846" s="1005"/>
      <c r="J846" s="1005"/>
      <c r="K846" s="940">
        <f t="shared" si="120"/>
        <v>0</v>
      </c>
      <c r="L846" s="1006"/>
      <c r="M846" s="1006"/>
      <c r="N846" s="1008"/>
      <c r="O846" s="927"/>
      <c r="P846" s="1009"/>
      <c r="Q846" s="1007"/>
      <c r="R846" s="1006"/>
      <c r="S846" s="1006"/>
      <c r="T846" s="907"/>
      <c r="U846" s="1005"/>
      <c r="V846" s="1005"/>
      <c r="W846" s="1007"/>
      <c r="X846" s="1006"/>
      <c r="Y846" s="1005"/>
      <c r="Z846" s="909"/>
      <c r="AA846" s="1005"/>
      <c r="AB846" s="1007"/>
      <c r="AC846" s="927"/>
      <c r="AD846" s="1005"/>
      <c r="AE846" s="1008"/>
      <c r="AF846" s="1007"/>
      <c r="AG846" s="1008"/>
      <c r="AH846" s="1008"/>
      <c r="AI846" s="939">
        <f t="shared" si="121"/>
        <v>0</v>
      </c>
      <c r="AJ846" s="939">
        <f t="shared" si="122"/>
        <v>0</v>
      </c>
    </row>
    <row r="847" spans="3:36" x14ac:dyDescent="0.2">
      <c r="C847" s="430" t="s">
        <v>20</v>
      </c>
      <c r="D847" s="431">
        <v>8</v>
      </c>
      <c r="E847" s="1005"/>
      <c r="F847" s="1005"/>
      <c r="G847" s="1005"/>
      <c r="H847" s="981"/>
      <c r="I847" s="1005"/>
      <c r="J847" s="1005"/>
      <c r="K847" s="940">
        <f t="shared" si="120"/>
        <v>0</v>
      </c>
      <c r="L847" s="1006"/>
      <c r="M847" s="1006"/>
      <c r="N847" s="1008"/>
      <c r="O847" s="927"/>
      <c r="P847" s="1009"/>
      <c r="Q847" s="1007"/>
      <c r="R847" s="1006"/>
      <c r="S847" s="1006"/>
      <c r="T847" s="907"/>
      <c r="U847" s="1005"/>
      <c r="V847" s="1005"/>
      <c r="W847" s="1007"/>
      <c r="X847" s="1006"/>
      <c r="Y847" s="1005"/>
      <c r="Z847" s="909"/>
      <c r="AA847" s="1005"/>
      <c r="AB847" s="1007"/>
      <c r="AC847" s="927"/>
      <c r="AD847" s="1005"/>
      <c r="AE847" s="1008"/>
      <c r="AF847" s="1007"/>
      <c r="AG847" s="1008"/>
      <c r="AH847" s="1008"/>
      <c r="AI847" s="939">
        <f t="shared" si="121"/>
        <v>0</v>
      </c>
      <c r="AJ847" s="939">
        <f t="shared" si="122"/>
        <v>0</v>
      </c>
    </row>
    <row r="848" spans="3:36" x14ac:dyDescent="0.2">
      <c r="C848" s="430" t="s">
        <v>117</v>
      </c>
      <c r="D848" s="431">
        <v>9</v>
      </c>
      <c r="E848" s="1005"/>
      <c r="F848" s="1005"/>
      <c r="G848" s="1005"/>
      <c r="H848" s="981"/>
      <c r="I848" s="1005"/>
      <c r="J848" s="1005"/>
      <c r="K848" s="940">
        <f t="shared" si="120"/>
        <v>0</v>
      </c>
      <c r="L848" s="1006"/>
      <c r="M848" s="1006"/>
      <c r="N848" s="1008"/>
      <c r="O848" s="927"/>
      <c r="P848" s="1009"/>
      <c r="Q848" s="1007"/>
      <c r="R848" s="1006"/>
      <c r="S848" s="1006"/>
      <c r="T848" s="907"/>
      <c r="U848" s="1005"/>
      <c r="V848" s="1005"/>
      <c r="W848" s="1007"/>
      <c r="X848" s="1006"/>
      <c r="Y848" s="1005"/>
      <c r="Z848" s="909"/>
      <c r="AA848" s="1005"/>
      <c r="AB848" s="1007"/>
      <c r="AC848" s="927"/>
      <c r="AD848" s="1005"/>
      <c r="AE848" s="1008"/>
      <c r="AF848" s="1007"/>
      <c r="AG848" s="1008"/>
      <c r="AH848" s="1008"/>
      <c r="AI848" s="939">
        <f t="shared" si="121"/>
        <v>0</v>
      </c>
      <c r="AJ848" s="939">
        <f t="shared" si="122"/>
        <v>0</v>
      </c>
    </row>
    <row r="849" spans="3:36" x14ac:dyDescent="0.2">
      <c r="C849" s="430" t="s">
        <v>613</v>
      </c>
      <c r="D849" s="431">
        <v>10</v>
      </c>
      <c r="E849" s="1005"/>
      <c r="F849" s="1005"/>
      <c r="G849" s="1005"/>
      <c r="H849" s="981"/>
      <c r="I849" s="1005"/>
      <c r="J849" s="1005"/>
      <c r="K849" s="940">
        <f t="shared" si="120"/>
        <v>0</v>
      </c>
      <c r="L849" s="1006"/>
      <c r="M849" s="1006"/>
      <c r="N849" s="1008"/>
      <c r="O849" s="927"/>
      <c r="P849" s="1009"/>
      <c r="Q849" s="1007"/>
      <c r="R849" s="1006"/>
      <c r="S849" s="1006"/>
      <c r="T849" s="907"/>
      <c r="U849" s="1005"/>
      <c r="V849" s="1005"/>
      <c r="W849" s="1007"/>
      <c r="X849" s="1006"/>
      <c r="Y849" s="1005"/>
      <c r="Z849" s="909"/>
      <c r="AA849" s="1005"/>
      <c r="AB849" s="1007"/>
      <c r="AC849" s="927"/>
      <c r="AD849" s="1005"/>
      <c r="AE849" s="1008"/>
      <c r="AF849" s="1007"/>
      <c r="AG849" s="1008"/>
      <c r="AH849" s="1008"/>
      <c r="AI849" s="939">
        <f t="shared" si="121"/>
        <v>0</v>
      </c>
      <c r="AJ849" s="939">
        <f t="shared" si="122"/>
        <v>0</v>
      </c>
    </row>
    <row r="850" spans="3:36" x14ac:dyDescent="0.2">
      <c r="C850" s="430" t="s">
        <v>23</v>
      </c>
      <c r="D850" s="431">
        <v>11</v>
      </c>
      <c r="E850" s="1005"/>
      <c r="F850" s="1005"/>
      <c r="G850" s="1005"/>
      <c r="H850" s="981"/>
      <c r="I850" s="1005"/>
      <c r="J850" s="1005"/>
      <c r="K850" s="940">
        <f t="shared" si="120"/>
        <v>0</v>
      </c>
      <c r="L850" s="1006"/>
      <c r="M850" s="1006"/>
      <c r="N850" s="1008"/>
      <c r="O850" s="927"/>
      <c r="P850" s="1009"/>
      <c r="Q850" s="1007"/>
      <c r="R850" s="1006"/>
      <c r="S850" s="1006"/>
      <c r="T850" s="907"/>
      <c r="U850" s="1005"/>
      <c r="V850" s="1005"/>
      <c r="W850" s="1007"/>
      <c r="X850" s="1006"/>
      <c r="Y850" s="1005"/>
      <c r="Z850" s="909"/>
      <c r="AA850" s="1005"/>
      <c r="AB850" s="1007"/>
      <c r="AC850" s="927"/>
      <c r="AD850" s="1005"/>
      <c r="AE850" s="1008"/>
      <c r="AF850" s="1007"/>
      <c r="AG850" s="1008"/>
      <c r="AH850" s="1008"/>
      <c r="AI850" s="939">
        <f t="shared" si="121"/>
        <v>0</v>
      </c>
      <c r="AJ850" s="939">
        <f t="shared" si="122"/>
        <v>0</v>
      </c>
    </row>
    <row r="851" spans="3:36" x14ac:dyDescent="0.2">
      <c r="C851" s="430" t="s">
        <v>964</v>
      </c>
      <c r="D851" s="431">
        <v>12</v>
      </c>
      <c r="E851" s="1005"/>
      <c r="F851" s="1005"/>
      <c r="G851" s="1005"/>
      <c r="H851" s="981"/>
      <c r="I851" s="1005"/>
      <c r="J851" s="1005"/>
      <c r="K851" s="940">
        <f t="shared" si="120"/>
        <v>0</v>
      </c>
      <c r="L851" s="1006"/>
      <c r="M851" s="1006"/>
      <c r="N851" s="1008"/>
      <c r="O851" s="927"/>
      <c r="P851" s="1009"/>
      <c r="Q851" s="1007"/>
      <c r="R851" s="1006"/>
      <c r="S851" s="1006"/>
      <c r="T851" s="907"/>
      <c r="U851" s="1005"/>
      <c r="V851" s="1005"/>
      <c r="W851" s="1007"/>
      <c r="X851" s="1006"/>
      <c r="Y851" s="1005"/>
      <c r="Z851" s="909"/>
      <c r="AA851" s="1005"/>
      <c r="AB851" s="1007"/>
      <c r="AC851" s="927"/>
      <c r="AD851" s="1005"/>
      <c r="AE851" s="1008"/>
      <c r="AF851" s="1007"/>
      <c r="AG851" s="1008"/>
      <c r="AH851" s="1008"/>
      <c r="AI851" s="939">
        <f t="shared" si="121"/>
        <v>0</v>
      </c>
      <c r="AJ851" s="939">
        <f t="shared" si="122"/>
        <v>0</v>
      </c>
    </row>
    <row r="852" spans="3:36" x14ac:dyDescent="0.2">
      <c r="C852" s="430" t="s">
        <v>567</v>
      </c>
      <c r="D852" s="431">
        <v>13</v>
      </c>
      <c r="E852" s="1005"/>
      <c r="F852" s="1005"/>
      <c r="G852" s="1005"/>
      <c r="H852" s="981"/>
      <c r="I852" s="1005"/>
      <c r="J852" s="1005"/>
      <c r="K852" s="940">
        <f t="shared" si="120"/>
        <v>0</v>
      </c>
      <c r="L852" s="1006"/>
      <c r="M852" s="1006"/>
      <c r="N852" s="1008"/>
      <c r="O852" s="927"/>
      <c r="P852" s="1009"/>
      <c r="Q852" s="1007"/>
      <c r="R852" s="1006"/>
      <c r="S852" s="1006"/>
      <c r="T852" s="907"/>
      <c r="U852" s="1005"/>
      <c r="V852" s="1005"/>
      <c r="W852" s="1007"/>
      <c r="X852" s="1006"/>
      <c r="Y852" s="1005"/>
      <c r="Z852" s="909"/>
      <c r="AA852" s="1005"/>
      <c r="AB852" s="1007"/>
      <c r="AC852" s="927"/>
      <c r="AD852" s="1005"/>
      <c r="AE852" s="1008"/>
      <c r="AF852" s="1007"/>
      <c r="AG852" s="1008"/>
      <c r="AH852" s="1008"/>
      <c r="AI852" s="939">
        <f t="shared" si="121"/>
        <v>0</v>
      </c>
      <c r="AJ852" s="939">
        <f t="shared" si="122"/>
        <v>0</v>
      </c>
    </row>
    <row r="853" spans="3:36" x14ac:dyDescent="0.2">
      <c r="C853" s="430" t="s">
        <v>150</v>
      </c>
      <c r="D853" s="431">
        <v>14</v>
      </c>
      <c r="E853" s="1005"/>
      <c r="F853" s="1005"/>
      <c r="G853" s="1005"/>
      <c r="H853" s="981"/>
      <c r="I853" s="1005"/>
      <c r="J853" s="1005"/>
      <c r="K853" s="940">
        <f t="shared" si="120"/>
        <v>0</v>
      </c>
      <c r="L853" s="1006"/>
      <c r="M853" s="1006"/>
      <c r="N853" s="1008"/>
      <c r="O853" s="927"/>
      <c r="P853" s="1009"/>
      <c r="Q853" s="1007"/>
      <c r="R853" s="1006"/>
      <c r="S853" s="1006"/>
      <c r="T853" s="907"/>
      <c r="U853" s="1005"/>
      <c r="V853" s="1005"/>
      <c r="W853" s="1007"/>
      <c r="X853" s="1006"/>
      <c r="Y853" s="1005"/>
      <c r="Z853" s="909"/>
      <c r="AA853" s="1005"/>
      <c r="AB853" s="1007"/>
      <c r="AC853" s="927"/>
      <c r="AD853" s="1005"/>
      <c r="AE853" s="1008"/>
      <c r="AF853" s="1007"/>
      <c r="AG853" s="1008"/>
      <c r="AH853" s="1008"/>
      <c r="AI853" s="939">
        <f t="shared" si="121"/>
        <v>0</v>
      </c>
      <c r="AJ853" s="939">
        <f t="shared" si="122"/>
        <v>0</v>
      </c>
    </row>
    <row r="854" spans="3:36" x14ac:dyDescent="0.2">
      <c r="C854" s="430" t="s">
        <v>25</v>
      </c>
      <c r="D854" s="431">
        <v>15</v>
      </c>
      <c r="E854" s="1005"/>
      <c r="F854" s="1005"/>
      <c r="G854" s="1005"/>
      <c r="H854" s="981"/>
      <c r="I854" s="1005"/>
      <c r="J854" s="1005"/>
      <c r="K854" s="940">
        <f t="shared" si="120"/>
        <v>0</v>
      </c>
      <c r="L854" s="1006"/>
      <c r="M854" s="1006"/>
      <c r="N854" s="1008"/>
      <c r="O854" s="927"/>
      <c r="P854" s="1009"/>
      <c r="Q854" s="1007"/>
      <c r="R854" s="1006"/>
      <c r="S854" s="1006"/>
      <c r="T854" s="907"/>
      <c r="U854" s="1005"/>
      <c r="V854" s="1005"/>
      <c r="W854" s="1007"/>
      <c r="X854" s="1006"/>
      <c r="Y854" s="1005"/>
      <c r="Z854" s="909"/>
      <c r="AA854" s="1005"/>
      <c r="AB854" s="1007"/>
      <c r="AC854" s="927"/>
      <c r="AD854" s="1005"/>
      <c r="AE854" s="1008"/>
      <c r="AF854" s="1007"/>
      <c r="AG854" s="1008"/>
      <c r="AH854" s="1008"/>
      <c r="AI854" s="939">
        <f t="shared" si="121"/>
        <v>0</v>
      </c>
      <c r="AJ854" s="939">
        <f t="shared" si="122"/>
        <v>0</v>
      </c>
    </row>
    <row r="855" spans="3:36" x14ac:dyDescent="0.2">
      <c r="C855" s="430" t="s">
        <v>118</v>
      </c>
      <c r="D855" s="431">
        <v>16</v>
      </c>
      <c r="E855" s="1005"/>
      <c r="F855" s="1005"/>
      <c r="G855" s="1005"/>
      <c r="H855" s="981"/>
      <c r="I855" s="1005"/>
      <c r="J855" s="1005"/>
      <c r="K855" s="940">
        <f t="shared" si="120"/>
        <v>0</v>
      </c>
      <c r="L855" s="1006"/>
      <c r="M855" s="1006"/>
      <c r="N855" s="1008"/>
      <c r="O855" s="927"/>
      <c r="P855" s="1009"/>
      <c r="Q855" s="1007"/>
      <c r="R855" s="1006"/>
      <c r="S855" s="1006"/>
      <c r="T855" s="907"/>
      <c r="U855" s="1005"/>
      <c r="V855" s="1005"/>
      <c r="W855" s="1007"/>
      <c r="X855" s="1006"/>
      <c r="Y855" s="1005"/>
      <c r="Z855" s="909"/>
      <c r="AA855" s="1005"/>
      <c r="AB855" s="1007"/>
      <c r="AC855" s="927"/>
      <c r="AD855" s="1005"/>
      <c r="AE855" s="1008"/>
      <c r="AF855" s="1007"/>
      <c r="AG855" s="1008"/>
      <c r="AH855" s="1008"/>
      <c r="AI855" s="939">
        <f t="shared" si="121"/>
        <v>0</v>
      </c>
      <c r="AJ855" s="939">
        <f t="shared" si="122"/>
        <v>0</v>
      </c>
    </row>
    <row r="856" spans="3:36" x14ac:dyDescent="0.2">
      <c r="C856" s="430" t="s">
        <v>557</v>
      </c>
      <c r="D856" s="431">
        <v>17</v>
      </c>
      <c r="E856" s="1005"/>
      <c r="F856" s="1005"/>
      <c r="G856" s="1005"/>
      <c r="H856" s="981"/>
      <c r="I856" s="1005"/>
      <c r="J856" s="1005"/>
      <c r="K856" s="940">
        <f t="shared" si="120"/>
        <v>0</v>
      </c>
      <c r="L856" s="1006"/>
      <c r="M856" s="1006"/>
      <c r="N856" s="1008"/>
      <c r="O856" s="927"/>
      <c r="P856" s="1009"/>
      <c r="Q856" s="1007"/>
      <c r="R856" s="1006"/>
      <c r="S856" s="1006"/>
      <c r="T856" s="907"/>
      <c r="U856" s="1005"/>
      <c r="V856" s="1005"/>
      <c r="W856" s="1007"/>
      <c r="X856" s="1006"/>
      <c r="Y856" s="1005"/>
      <c r="Z856" s="909"/>
      <c r="AA856" s="1005"/>
      <c r="AB856" s="1007"/>
      <c r="AC856" s="927"/>
      <c r="AD856" s="1005"/>
      <c r="AE856" s="1008"/>
      <c r="AF856" s="1007"/>
      <c r="AG856" s="1008"/>
      <c r="AH856" s="1008"/>
      <c r="AI856" s="939">
        <f t="shared" si="121"/>
        <v>0</v>
      </c>
      <c r="AJ856" s="939">
        <f t="shared" si="122"/>
        <v>0</v>
      </c>
    </row>
    <row r="857" spans="3:36" x14ac:dyDescent="0.2">
      <c r="C857" s="430" t="s">
        <v>119</v>
      </c>
      <c r="D857" s="431">
        <v>18</v>
      </c>
      <c r="E857" s="1005"/>
      <c r="F857" s="1005"/>
      <c r="G857" s="1005"/>
      <c r="H857" s="981"/>
      <c r="I857" s="1005"/>
      <c r="J857" s="1005"/>
      <c r="K857" s="940">
        <f t="shared" si="120"/>
        <v>0</v>
      </c>
      <c r="L857" s="1006"/>
      <c r="M857" s="1006"/>
      <c r="N857" s="1008"/>
      <c r="O857" s="927"/>
      <c r="P857" s="1009"/>
      <c r="Q857" s="1007"/>
      <c r="R857" s="1006"/>
      <c r="S857" s="1006"/>
      <c r="T857" s="907"/>
      <c r="U857" s="1005"/>
      <c r="V857" s="1005"/>
      <c r="W857" s="1007"/>
      <c r="X857" s="1006"/>
      <c r="Y857" s="1005"/>
      <c r="Z857" s="909"/>
      <c r="AA857" s="1005"/>
      <c r="AB857" s="1007"/>
      <c r="AC857" s="927"/>
      <c r="AD857" s="1005"/>
      <c r="AE857" s="1008"/>
      <c r="AF857" s="1007"/>
      <c r="AG857" s="1008"/>
      <c r="AH857" s="1008"/>
      <c r="AI857" s="939">
        <f t="shared" si="121"/>
        <v>0</v>
      </c>
      <c r="AJ857" s="939">
        <f t="shared" si="122"/>
        <v>0</v>
      </c>
    </row>
    <row r="858" spans="3:36" x14ac:dyDescent="0.2">
      <c r="C858" s="430" t="s">
        <v>30</v>
      </c>
      <c r="D858" s="431">
        <v>19</v>
      </c>
      <c r="E858" s="1005"/>
      <c r="F858" s="1005"/>
      <c r="G858" s="1005"/>
      <c r="H858" s="981"/>
      <c r="I858" s="1005"/>
      <c r="J858" s="1005"/>
      <c r="K858" s="940">
        <f t="shared" si="120"/>
        <v>0</v>
      </c>
      <c r="L858" s="1006"/>
      <c r="M858" s="1006"/>
      <c r="N858" s="1008"/>
      <c r="O858" s="927"/>
      <c r="P858" s="1009"/>
      <c r="Q858" s="1007"/>
      <c r="R858" s="1006"/>
      <c r="S858" s="1006"/>
      <c r="T858" s="907"/>
      <c r="U858" s="1005"/>
      <c r="V858" s="1005"/>
      <c r="W858" s="1007"/>
      <c r="X858" s="1006"/>
      <c r="Y858" s="1005"/>
      <c r="Z858" s="909"/>
      <c r="AA858" s="1005"/>
      <c r="AB858" s="1007"/>
      <c r="AC858" s="927"/>
      <c r="AD858" s="1005"/>
      <c r="AE858" s="1008"/>
      <c r="AF858" s="1007"/>
      <c r="AG858" s="1008"/>
      <c r="AH858" s="1008"/>
      <c r="AI858" s="939">
        <f t="shared" si="121"/>
        <v>0</v>
      </c>
      <c r="AJ858" s="939">
        <f t="shared" si="122"/>
        <v>0</v>
      </c>
    </row>
    <row r="859" spans="3:36" x14ac:dyDescent="0.2">
      <c r="C859" s="430" t="s">
        <v>558</v>
      </c>
      <c r="D859" s="431">
        <v>20</v>
      </c>
      <c r="E859" s="1005"/>
      <c r="F859" s="1005"/>
      <c r="G859" s="1005"/>
      <c r="H859" s="981"/>
      <c r="I859" s="1005"/>
      <c r="J859" s="1005"/>
      <c r="K859" s="940">
        <f t="shared" si="120"/>
        <v>0</v>
      </c>
      <c r="L859" s="1006"/>
      <c r="M859" s="1006"/>
      <c r="N859" s="1008"/>
      <c r="O859" s="927"/>
      <c r="P859" s="1009"/>
      <c r="Q859" s="1007"/>
      <c r="R859" s="1006"/>
      <c r="S859" s="1006"/>
      <c r="T859" s="907"/>
      <c r="U859" s="1005"/>
      <c r="V859" s="1005"/>
      <c r="W859" s="1007"/>
      <c r="X859" s="1006"/>
      <c r="Y859" s="1005"/>
      <c r="Z859" s="909"/>
      <c r="AA859" s="1005"/>
      <c r="AB859" s="1007"/>
      <c r="AC859" s="927"/>
      <c r="AD859" s="1005"/>
      <c r="AE859" s="1008"/>
      <c r="AF859" s="1007"/>
      <c r="AG859" s="1008"/>
      <c r="AH859" s="1008"/>
      <c r="AI859" s="939">
        <f t="shared" si="121"/>
        <v>0</v>
      </c>
      <c r="AJ859" s="939">
        <f t="shared" si="122"/>
        <v>0</v>
      </c>
    </row>
    <row r="860" spans="3:36" x14ac:dyDescent="0.2">
      <c r="C860" s="430" t="s">
        <v>120</v>
      </c>
      <c r="D860" s="431">
        <v>21</v>
      </c>
      <c r="E860" s="1005"/>
      <c r="F860" s="1005"/>
      <c r="G860" s="1005"/>
      <c r="H860" s="981"/>
      <c r="I860" s="1005"/>
      <c r="J860" s="1005"/>
      <c r="K860" s="940">
        <f t="shared" si="120"/>
        <v>0</v>
      </c>
      <c r="L860" s="1006"/>
      <c r="M860" s="1006"/>
      <c r="N860" s="1008"/>
      <c r="O860" s="927"/>
      <c r="P860" s="1009"/>
      <c r="Q860" s="1007"/>
      <c r="R860" s="1006"/>
      <c r="S860" s="1006"/>
      <c r="T860" s="907"/>
      <c r="U860" s="1005"/>
      <c r="V860" s="1005"/>
      <c r="W860" s="1007"/>
      <c r="X860" s="1006"/>
      <c r="Y860" s="1005"/>
      <c r="Z860" s="909"/>
      <c r="AA860" s="1005"/>
      <c r="AB860" s="1007"/>
      <c r="AC860" s="927"/>
      <c r="AD860" s="1005"/>
      <c r="AE860" s="1008"/>
      <c r="AF860" s="1007"/>
      <c r="AG860" s="1008"/>
      <c r="AH860" s="1008"/>
      <c r="AI860" s="939">
        <f t="shared" si="121"/>
        <v>0</v>
      </c>
      <c r="AJ860" s="939">
        <f t="shared" si="122"/>
        <v>0</v>
      </c>
    </row>
    <row r="861" spans="3:36" x14ac:dyDescent="0.2">
      <c r="C861" s="430" t="s">
        <v>121</v>
      </c>
      <c r="D861" s="431">
        <v>22</v>
      </c>
      <c r="E861" s="1005"/>
      <c r="F861" s="1005"/>
      <c r="G861" s="1005"/>
      <c r="H861" s="981"/>
      <c r="I861" s="1005"/>
      <c r="J861" s="1005"/>
      <c r="K861" s="940">
        <f t="shared" si="120"/>
        <v>0</v>
      </c>
      <c r="L861" s="1006"/>
      <c r="M861" s="1006"/>
      <c r="N861" s="1008"/>
      <c r="O861" s="927"/>
      <c r="P861" s="1009"/>
      <c r="Q861" s="1007"/>
      <c r="R861" s="1006"/>
      <c r="S861" s="1006"/>
      <c r="T861" s="907"/>
      <c r="U861" s="1005"/>
      <c r="V861" s="1005"/>
      <c r="W861" s="1007"/>
      <c r="X861" s="1006"/>
      <c r="Y861" s="1005"/>
      <c r="Z861" s="909"/>
      <c r="AA861" s="1005"/>
      <c r="AB861" s="1007"/>
      <c r="AC861" s="927"/>
      <c r="AD861" s="1005"/>
      <c r="AE861" s="1008"/>
      <c r="AF861" s="1007"/>
      <c r="AG861" s="1008"/>
      <c r="AH861" s="1008"/>
      <c r="AI861" s="939">
        <f t="shared" si="121"/>
        <v>0</v>
      </c>
      <c r="AJ861" s="939">
        <f t="shared" si="122"/>
        <v>0</v>
      </c>
    </row>
    <row r="862" spans="3:36" x14ac:dyDescent="0.2">
      <c r="C862" s="430" t="s">
        <v>122</v>
      </c>
      <c r="D862" s="431">
        <v>23</v>
      </c>
      <c r="E862" s="1005"/>
      <c r="F862" s="1005"/>
      <c r="G862" s="1005"/>
      <c r="H862" s="981"/>
      <c r="I862" s="1005"/>
      <c r="J862" s="1005"/>
      <c r="K862" s="940">
        <f t="shared" si="120"/>
        <v>0</v>
      </c>
      <c r="L862" s="1006"/>
      <c r="M862" s="1006"/>
      <c r="N862" s="1008"/>
      <c r="O862" s="927"/>
      <c r="P862" s="1009"/>
      <c r="Q862" s="1007"/>
      <c r="R862" s="1006"/>
      <c r="S862" s="1006"/>
      <c r="T862" s="907"/>
      <c r="U862" s="1005"/>
      <c r="V862" s="1005"/>
      <c r="W862" s="1007"/>
      <c r="X862" s="1006"/>
      <c r="Y862" s="1005"/>
      <c r="Z862" s="909"/>
      <c r="AA862" s="1005"/>
      <c r="AB862" s="1007"/>
      <c r="AC862" s="927"/>
      <c r="AD862" s="1005"/>
      <c r="AE862" s="1008"/>
      <c r="AF862" s="1007"/>
      <c r="AG862" s="1008"/>
      <c r="AH862" s="1008"/>
      <c r="AI862" s="939">
        <f t="shared" si="121"/>
        <v>0</v>
      </c>
      <c r="AJ862" s="939">
        <f t="shared" si="122"/>
        <v>0</v>
      </c>
    </row>
    <row r="863" spans="3:36" x14ac:dyDescent="0.2">
      <c r="C863" s="430" t="s">
        <v>123</v>
      </c>
      <c r="D863" s="431">
        <v>24</v>
      </c>
      <c r="E863" s="1005"/>
      <c r="F863" s="1005"/>
      <c r="G863" s="1005"/>
      <c r="H863" s="981"/>
      <c r="I863" s="1005"/>
      <c r="J863" s="1005"/>
      <c r="K863" s="940">
        <f t="shared" si="120"/>
        <v>0</v>
      </c>
      <c r="L863" s="1006"/>
      <c r="M863" s="1006"/>
      <c r="N863" s="1008"/>
      <c r="O863" s="927"/>
      <c r="P863" s="1009"/>
      <c r="Q863" s="1007"/>
      <c r="R863" s="1006"/>
      <c r="S863" s="1006"/>
      <c r="T863" s="907"/>
      <c r="U863" s="1005"/>
      <c r="V863" s="1005"/>
      <c r="W863" s="1007"/>
      <c r="X863" s="1006"/>
      <c r="Y863" s="1005"/>
      <c r="Z863" s="909"/>
      <c r="AA863" s="1005"/>
      <c r="AB863" s="1007"/>
      <c r="AC863" s="927"/>
      <c r="AD863" s="1005"/>
      <c r="AE863" s="1008"/>
      <c r="AF863" s="1007"/>
      <c r="AG863" s="1008"/>
      <c r="AH863" s="1008"/>
      <c r="AI863" s="939">
        <f t="shared" si="121"/>
        <v>0</v>
      </c>
      <c r="AJ863" s="939">
        <f t="shared" si="122"/>
        <v>0</v>
      </c>
    </row>
    <row r="864" spans="3:36" x14ac:dyDescent="0.2">
      <c r="C864" s="430" t="s">
        <v>124</v>
      </c>
      <c r="D864" s="431">
        <v>25</v>
      </c>
      <c r="E864" s="1005"/>
      <c r="F864" s="1005"/>
      <c r="G864" s="1005"/>
      <c r="H864" s="981"/>
      <c r="I864" s="1005"/>
      <c r="J864" s="1005"/>
      <c r="K864" s="940">
        <f t="shared" si="120"/>
        <v>0</v>
      </c>
      <c r="L864" s="1006"/>
      <c r="M864" s="1006"/>
      <c r="N864" s="1008"/>
      <c r="O864" s="927"/>
      <c r="P864" s="1009"/>
      <c r="Q864" s="1007"/>
      <c r="R864" s="1006"/>
      <c r="S864" s="1006"/>
      <c r="T864" s="907"/>
      <c r="U864" s="1005"/>
      <c r="V864" s="1005"/>
      <c r="W864" s="1007"/>
      <c r="X864" s="1006"/>
      <c r="Y864" s="1005"/>
      <c r="Z864" s="909"/>
      <c r="AA864" s="1005"/>
      <c r="AB864" s="1007"/>
      <c r="AC864" s="927"/>
      <c r="AD864" s="1005"/>
      <c r="AE864" s="1008"/>
      <c r="AF864" s="1007"/>
      <c r="AG864" s="1008"/>
      <c r="AH864" s="1008"/>
      <c r="AI864" s="939">
        <f t="shared" si="121"/>
        <v>0</v>
      </c>
      <c r="AJ864" s="939">
        <f t="shared" si="122"/>
        <v>0</v>
      </c>
    </row>
    <row r="865" spans="3:36" x14ac:dyDescent="0.2">
      <c r="C865" s="430" t="s">
        <v>97</v>
      </c>
      <c r="D865" s="431">
        <v>26</v>
      </c>
      <c r="E865" s="1005"/>
      <c r="F865" s="1005"/>
      <c r="G865" s="1005"/>
      <c r="H865" s="981"/>
      <c r="I865" s="1005"/>
      <c r="J865" s="1005"/>
      <c r="K865" s="940">
        <f t="shared" si="120"/>
        <v>0</v>
      </c>
      <c r="L865" s="1006"/>
      <c r="M865" s="1006"/>
      <c r="N865" s="1008"/>
      <c r="O865" s="927"/>
      <c r="P865" s="1009"/>
      <c r="Q865" s="1007"/>
      <c r="R865" s="1006"/>
      <c r="S865" s="1006"/>
      <c r="T865" s="907"/>
      <c r="U865" s="1005"/>
      <c r="V865" s="1005"/>
      <c r="W865" s="1007"/>
      <c r="X865" s="1006"/>
      <c r="Y865" s="1005"/>
      <c r="Z865" s="909"/>
      <c r="AA865" s="1005"/>
      <c r="AB865" s="1007"/>
      <c r="AC865" s="927"/>
      <c r="AD865" s="1005"/>
      <c r="AE865" s="1008"/>
      <c r="AF865" s="1007"/>
      <c r="AG865" s="1008"/>
      <c r="AH865" s="1008"/>
      <c r="AI865" s="939">
        <f t="shared" si="121"/>
        <v>0</v>
      </c>
      <c r="AJ865" s="939">
        <f t="shared" si="122"/>
        <v>0</v>
      </c>
    </row>
    <row r="866" spans="3:36" x14ac:dyDescent="0.2">
      <c r="C866" s="430" t="s">
        <v>125</v>
      </c>
      <c r="D866" s="431">
        <v>27</v>
      </c>
      <c r="E866" s="1005"/>
      <c r="F866" s="1005"/>
      <c r="G866" s="1005"/>
      <c r="H866" s="981"/>
      <c r="I866" s="1005"/>
      <c r="J866" s="1005"/>
      <c r="K866" s="940">
        <f t="shared" si="120"/>
        <v>0</v>
      </c>
      <c r="L866" s="1006"/>
      <c r="M866" s="1006"/>
      <c r="N866" s="1008"/>
      <c r="O866" s="927"/>
      <c r="P866" s="1009"/>
      <c r="Q866" s="1007"/>
      <c r="R866" s="1006"/>
      <c r="S866" s="1006"/>
      <c r="T866" s="907"/>
      <c r="U866" s="1005"/>
      <c r="V866" s="1005"/>
      <c r="W866" s="1007"/>
      <c r="X866" s="1006"/>
      <c r="Y866" s="1005"/>
      <c r="Z866" s="909"/>
      <c r="AA866" s="1005"/>
      <c r="AB866" s="1007"/>
      <c r="AC866" s="927"/>
      <c r="AD866" s="1005"/>
      <c r="AE866" s="1008"/>
      <c r="AF866" s="1007"/>
      <c r="AG866" s="1008"/>
      <c r="AH866" s="1008"/>
      <c r="AI866" s="939">
        <f t="shared" si="121"/>
        <v>0</v>
      </c>
      <c r="AJ866" s="939">
        <f t="shared" si="122"/>
        <v>0</v>
      </c>
    </row>
    <row r="867" spans="3:36" x14ac:dyDescent="0.2">
      <c r="C867" s="430" t="s">
        <v>126</v>
      </c>
      <c r="D867" s="431">
        <v>28</v>
      </c>
      <c r="E867" s="1005"/>
      <c r="F867" s="1005"/>
      <c r="G867" s="1005"/>
      <c r="H867" s="981"/>
      <c r="I867" s="1005"/>
      <c r="J867" s="1005"/>
      <c r="K867" s="940">
        <f t="shared" si="120"/>
        <v>0</v>
      </c>
      <c r="L867" s="1006"/>
      <c r="M867" s="1006"/>
      <c r="N867" s="1008"/>
      <c r="O867" s="927"/>
      <c r="P867" s="1009"/>
      <c r="Q867" s="1007"/>
      <c r="R867" s="1006"/>
      <c r="S867" s="1006"/>
      <c r="T867" s="907"/>
      <c r="U867" s="1005"/>
      <c r="V867" s="1005"/>
      <c r="W867" s="1007"/>
      <c r="X867" s="1006"/>
      <c r="Y867" s="1005"/>
      <c r="Z867" s="909"/>
      <c r="AA867" s="1005"/>
      <c r="AB867" s="1007"/>
      <c r="AC867" s="927"/>
      <c r="AD867" s="1005"/>
      <c r="AE867" s="1008"/>
      <c r="AF867" s="1007"/>
      <c r="AG867" s="1008"/>
      <c r="AH867" s="1008"/>
      <c r="AI867" s="939">
        <f t="shared" si="121"/>
        <v>0</v>
      </c>
      <c r="AJ867" s="939">
        <f t="shared" si="122"/>
        <v>0</v>
      </c>
    </row>
    <row r="868" spans="3:36" x14ac:dyDescent="0.2">
      <c r="C868" s="430" t="s">
        <v>127</v>
      </c>
      <c r="D868" s="431">
        <v>29</v>
      </c>
      <c r="E868" s="1005"/>
      <c r="F868" s="1005"/>
      <c r="G868" s="1005"/>
      <c r="H868" s="981"/>
      <c r="I868" s="1005"/>
      <c r="J868" s="1005"/>
      <c r="K868" s="940">
        <f t="shared" si="120"/>
        <v>0</v>
      </c>
      <c r="L868" s="1006"/>
      <c r="M868" s="1006"/>
      <c r="N868" s="1008"/>
      <c r="O868" s="927"/>
      <c r="P868" s="1009"/>
      <c r="Q868" s="1007"/>
      <c r="R868" s="1006"/>
      <c r="S868" s="1006"/>
      <c r="T868" s="907"/>
      <c r="U868" s="1005"/>
      <c r="V868" s="1005"/>
      <c r="W868" s="1007"/>
      <c r="X868" s="1006"/>
      <c r="Y868" s="1005"/>
      <c r="Z868" s="909"/>
      <c r="AA868" s="1005"/>
      <c r="AB868" s="1007"/>
      <c r="AC868" s="927"/>
      <c r="AD868" s="1005"/>
      <c r="AE868" s="1008"/>
      <c r="AF868" s="1007"/>
      <c r="AG868" s="1008"/>
      <c r="AH868" s="1008"/>
      <c r="AI868" s="939">
        <f t="shared" si="121"/>
        <v>0</v>
      </c>
      <c r="AJ868" s="939">
        <f t="shared" si="122"/>
        <v>0</v>
      </c>
    </row>
    <row r="869" spans="3:36" x14ac:dyDescent="0.2">
      <c r="C869" s="430" t="s">
        <v>936</v>
      </c>
      <c r="D869" s="431">
        <v>30</v>
      </c>
      <c r="E869" s="1005"/>
      <c r="F869" s="1005"/>
      <c r="G869" s="1005"/>
      <c r="H869" s="981"/>
      <c r="I869" s="1005"/>
      <c r="J869" s="1005"/>
      <c r="K869" s="940">
        <f t="shared" si="120"/>
        <v>0</v>
      </c>
      <c r="L869" s="1006"/>
      <c r="M869" s="1006"/>
      <c r="N869" s="1008"/>
      <c r="O869" s="927"/>
      <c r="P869" s="1009"/>
      <c r="Q869" s="1007"/>
      <c r="R869" s="1006"/>
      <c r="S869" s="1006"/>
      <c r="T869" s="907"/>
      <c r="U869" s="1005"/>
      <c r="V869" s="1005"/>
      <c r="W869" s="1007"/>
      <c r="X869" s="1006"/>
      <c r="Y869" s="1005"/>
      <c r="Z869" s="909"/>
      <c r="AA869" s="1005"/>
      <c r="AB869" s="1007"/>
      <c r="AC869" s="927"/>
      <c r="AD869" s="1005"/>
      <c r="AE869" s="1008"/>
      <c r="AF869" s="1007"/>
      <c r="AG869" s="1008"/>
      <c r="AH869" s="1008"/>
      <c r="AI869" s="939">
        <f t="shared" si="121"/>
        <v>0</v>
      </c>
      <c r="AJ869" s="939">
        <f t="shared" si="122"/>
        <v>0</v>
      </c>
    </row>
    <row r="870" spans="3:36" x14ac:dyDescent="0.2">
      <c r="C870" s="430" t="s">
        <v>561</v>
      </c>
      <c r="D870" s="431">
        <v>31</v>
      </c>
      <c r="E870" s="1005"/>
      <c r="F870" s="1005"/>
      <c r="G870" s="1005"/>
      <c r="H870" s="981"/>
      <c r="I870" s="1005"/>
      <c r="J870" s="1005"/>
      <c r="K870" s="940">
        <f t="shared" si="120"/>
        <v>0</v>
      </c>
      <c r="L870" s="1006"/>
      <c r="M870" s="1006"/>
      <c r="N870" s="1008"/>
      <c r="O870" s="927"/>
      <c r="P870" s="1009"/>
      <c r="Q870" s="1007"/>
      <c r="R870" s="1006"/>
      <c r="S870" s="1006"/>
      <c r="T870" s="907"/>
      <c r="U870" s="1005"/>
      <c r="V870" s="1005"/>
      <c r="W870" s="1007"/>
      <c r="X870" s="1006"/>
      <c r="Y870" s="1005"/>
      <c r="Z870" s="909"/>
      <c r="AA870" s="1005"/>
      <c r="AB870" s="1007"/>
      <c r="AC870" s="927"/>
      <c r="AD870" s="1005"/>
      <c r="AE870" s="1008"/>
      <c r="AF870" s="1007"/>
      <c r="AG870" s="1008"/>
      <c r="AH870" s="1008"/>
      <c r="AI870" s="939">
        <f t="shared" si="121"/>
        <v>0</v>
      </c>
      <c r="AJ870" s="939">
        <f t="shared" si="122"/>
        <v>0</v>
      </c>
    </row>
    <row r="871" spans="3:36" x14ac:dyDescent="0.2">
      <c r="C871" s="430" t="s">
        <v>562</v>
      </c>
      <c r="D871" s="431">
        <v>32</v>
      </c>
      <c r="E871" s="1005"/>
      <c r="F871" s="1005"/>
      <c r="G871" s="1005"/>
      <c r="H871" s="981"/>
      <c r="I871" s="1005"/>
      <c r="J871" s="1005"/>
      <c r="K871" s="940">
        <f t="shared" si="120"/>
        <v>0</v>
      </c>
      <c r="L871" s="1006"/>
      <c r="M871" s="1006"/>
      <c r="N871" s="1008"/>
      <c r="O871" s="927"/>
      <c r="P871" s="1009"/>
      <c r="Q871" s="1007"/>
      <c r="R871" s="1006"/>
      <c r="S871" s="1006"/>
      <c r="T871" s="907"/>
      <c r="U871" s="1005"/>
      <c r="V871" s="1005"/>
      <c r="W871" s="1007"/>
      <c r="X871" s="1006"/>
      <c r="Y871" s="1005"/>
      <c r="Z871" s="909"/>
      <c r="AA871" s="1005"/>
      <c r="AB871" s="1007"/>
      <c r="AC871" s="927"/>
      <c r="AD871" s="1005"/>
      <c r="AE871" s="1008"/>
      <c r="AF871" s="1007"/>
      <c r="AG871" s="1008"/>
      <c r="AH871" s="1008"/>
      <c r="AI871" s="939">
        <f t="shared" si="121"/>
        <v>0</v>
      </c>
      <c r="AJ871" s="939">
        <f t="shared" si="122"/>
        <v>0</v>
      </c>
    </row>
    <row r="872" spans="3:36" x14ac:dyDescent="0.2">
      <c r="C872" s="430" t="s">
        <v>128</v>
      </c>
      <c r="D872" s="431">
        <v>33</v>
      </c>
      <c r="E872" s="1005"/>
      <c r="F872" s="1005"/>
      <c r="G872" s="1005"/>
      <c r="H872" s="981"/>
      <c r="I872" s="1005"/>
      <c r="J872" s="1005"/>
      <c r="K872" s="940">
        <f t="shared" si="120"/>
        <v>0</v>
      </c>
      <c r="L872" s="1006"/>
      <c r="M872" s="1006"/>
      <c r="N872" s="1005"/>
      <c r="O872" s="927"/>
      <c r="P872" s="1006"/>
      <c r="Q872" s="1007"/>
      <c r="R872" s="1006"/>
      <c r="S872" s="1006"/>
      <c r="T872" s="907"/>
      <c r="U872" s="1005"/>
      <c r="V872" s="1005"/>
      <c r="W872" s="1007"/>
      <c r="X872" s="1006"/>
      <c r="Y872" s="1005"/>
      <c r="Z872" s="909"/>
      <c r="AA872" s="1005"/>
      <c r="AB872" s="1007"/>
      <c r="AC872" s="927"/>
      <c r="AD872" s="1005"/>
      <c r="AE872" s="1008"/>
      <c r="AF872" s="1007"/>
      <c r="AG872" s="1008"/>
      <c r="AH872" s="1008"/>
      <c r="AI872" s="939">
        <f t="shared" ref="AI872:AI896" si="123">ROUND(SUM(L872:O872,R872:T872,W872,Z872,AC872,AG872:AH872),3)</f>
        <v>0</v>
      </c>
      <c r="AJ872" s="939">
        <f t="shared" ref="AJ872:AJ896" si="124">ROUND(SUM(K872,AI872),3)</f>
        <v>0</v>
      </c>
    </row>
    <row r="873" spans="3:36" x14ac:dyDescent="0.2">
      <c r="C873" s="430" t="s">
        <v>151</v>
      </c>
      <c r="D873" s="431">
        <v>34</v>
      </c>
      <c r="E873" s="1005"/>
      <c r="F873" s="1005"/>
      <c r="G873" s="1005"/>
      <c r="H873" s="981"/>
      <c r="I873" s="1005"/>
      <c r="J873" s="1005"/>
      <c r="K873" s="940">
        <f t="shared" si="120"/>
        <v>0</v>
      </c>
      <c r="L873" s="1006"/>
      <c r="M873" s="1006"/>
      <c r="N873" s="1005"/>
      <c r="O873" s="927"/>
      <c r="P873" s="1006"/>
      <c r="Q873" s="1007"/>
      <c r="R873" s="1006"/>
      <c r="S873" s="1006"/>
      <c r="T873" s="907"/>
      <c r="U873" s="1005"/>
      <c r="V873" s="1005"/>
      <c r="W873" s="1007"/>
      <c r="X873" s="1006"/>
      <c r="Y873" s="1005"/>
      <c r="Z873" s="909"/>
      <c r="AA873" s="1005"/>
      <c r="AB873" s="1007"/>
      <c r="AC873" s="927"/>
      <c r="AD873" s="1005"/>
      <c r="AE873" s="1008"/>
      <c r="AF873" s="1007"/>
      <c r="AG873" s="1008"/>
      <c r="AH873" s="1008"/>
      <c r="AI873" s="939">
        <f t="shared" si="123"/>
        <v>0</v>
      </c>
      <c r="AJ873" s="939">
        <f t="shared" si="124"/>
        <v>0</v>
      </c>
    </row>
    <row r="874" spans="3:36" x14ac:dyDescent="0.2">
      <c r="C874" s="276" t="s">
        <v>129</v>
      </c>
      <c r="D874" s="431">
        <v>35</v>
      </c>
      <c r="E874" s="1005"/>
      <c r="F874" s="1005"/>
      <c r="G874" s="1005"/>
      <c r="H874" s="981"/>
      <c r="I874" s="1005"/>
      <c r="J874" s="1005"/>
      <c r="K874" s="940">
        <f t="shared" si="120"/>
        <v>0</v>
      </c>
      <c r="L874" s="1006"/>
      <c r="M874" s="1006"/>
      <c r="N874" s="1005"/>
      <c r="O874" s="927"/>
      <c r="P874" s="1006"/>
      <c r="Q874" s="1007"/>
      <c r="R874" s="1006"/>
      <c r="S874" s="1006"/>
      <c r="T874" s="907"/>
      <c r="U874" s="1005"/>
      <c r="V874" s="1005"/>
      <c r="W874" s="1007"/>
      <c r="X874" s="1006"/>
      <c r="Y874" s="1005"/>
      <c r="Z874" s="909"/>
      <c r="AA874" s="1005"/>
      <c r="AB874" s="1007"/>
      <c r="AC874" s="927"/>
      <c r="AD874" s="1005"/>
      <c r="AE874" s="1008"/>
      <c r="AF874" s="1007"/>
      <c r="AG874" s="1008"/>
      <c r="AH874" s="1008"/>
      <c r="AI874" s="939">
        <f t="shared" si="123"/>
        <v>0</v>
      </c>
      <c r="AJ874" s="939">
        <f t="shared" si="124"/>
        <v>0</v>
      </c>
    </row>
    <row r="875" spans="3:36" x14ac:dyDescent="0.2">
      <c r="C875" s="430" t="s">
        <v>939</v>
      </c>
      <c r="D875" s="431">
        <v>36</v>
      </c>
      <c r="E875" s="1005"/>
      <c r="F875" s="1005"/>
      <c r="G875" s="1005"/>
      <c r="H875" s="981"/>
      <c r="I875" s="1005"/>
      <c r="J875" s="1005"/>
      <c r="K875" s="940">
        <f t="shared" si="120"/>
        <v>0</v>
      </c>
      <c r="L875" s="1006"/>
      <c r="M875" s="1006"/>
      <c r="N875" s="1005"/>
      <c r="O875" s="927"/>
      <c r="P875" s="1006"/>
      <c r="Q875" s="1007"/>
      <c r="R875" s="1006"/>
      <c r="S875" s="1006"/>
      <c r="T875" s="907"/>
      <c r="U875" s="1005"/>
      <c r="V875" s="1005"/>
      <c r="W875" s="1007"/>
      <c r="X875" s="1006"/>
      <c r="Y875" s="1005"/>
      <c r="Z875" s="909"/>
      <c r="AA875" s="1005"/>
      <c r="AB875" s="1007"/>
      <c r="AC875" s="927"/>
      <c r="AD875" s="1005"/>
      <c r="AE875" s="1008"/>
      <c r="AF875" s="1007"/>
      <c r="AG875" s="1008"/>
      <c r="AH875" s="1008"/>
      <c r="AI875" s="939">
        <f t="shared" si="123"/>
        <v>0</v>
      </c>
      <c r="AJ875" s="939">
        <f t="shared" si="124"/>
        <v>0</v>
      </c>
    </row>
    <row r="876" spans="3:36" x14ac:dyDescent="0.2">
      <c r="C876" s="430" t="s">
        <v>568</v>
      </c>
      <c r="D876" s="431">
        <v>37</v>
      </c>
      <c r="E876" s="1005"/>
      <c r="F876" s="1005"/>
      <c r="G876" s="1005"/>
      <c r="H876" s="981"/>
      <c r="I876" s="1005"/>
      <c r="J876" s="1005"/>
      <c r="K876" s="940">
        <f t="shared" ref="K876:K896" si="125">ROUND(SUM(E876:H876,J876),3)</f>
        <v>0</v>
      </c>
      <c r="L876" s="1006"/>
      <c r="M876" s="1006"/>
      <c r="N876" s="1008"/>
      <c r="O876" s="927"/>
      <c r="P876" s="1009"/>
      <c r="Q876" s="1007"/>
      <c r="R876" s="1006"/>
      <c r="S876" s="1006"/>
      <c r="T876" s="907"/>
      <c r="U876" s="1005"/>
      <c r="V876" s="1005"/>
      <c r="W876" s="1007"/>
      <c r="X876" s="1006"/>
      <c r="Y876" s="1005"/>
      <c r="Z876" s="909"/>
      <c r="AA876" s="1005"/>
      <c r="AB876" s="1007"/>
      <c r="AC876" s="927"/>
      <c r="AD876" s="1005"/>
      <c r="AE876" s="1008"/>
      <c r="AF876" s="1007"/>
      <c r="AG876" s="1008"/>
      <c r="AH876" s="1008"/>
      <c r="AI876" s="939">
        <f t="shared" si="123"/>
        <v>0</v>
      </c>
      <c r="AJ876" s="939">
        <f t="shared" si="124"/>
        <v>0</v>
      </c>
    </row>
    <row r="877" spans="3:36" x14ac:dyDescent="0.2">
      <c r="C877" s="430" t="s">
        <v>130</v>
      </c>
      <c r="D877" s="431">
        <v>38</v>
      </c>
      <c r="E877" s="1005"/>
      <c r="F877" s="1005"/>
      <c r="G877" s="1005"/>
      <c r="H877" s="981"/>
      <c r="I877" s="1005"/>
      <c r="J877" s="1005"/>
      <c r="K877" s="940">
        <f t="shared" si="125"/>
        <v>0</v>
      </c>
      <c r="L877" s="1006"/>
      <c r="M877" s="1006"/>
      <c r="N877" s="1008"/>
      <c r="O877" s="927"/>
      <c r="P877" s="1009"/>
      <c r="Q877" s="1007"/>
      <c r="R877" s="1006"/>
      <c r="S877" s="1006"/>
      <c r="T877" s="907"/>
      <c r="U877" s="1005"/>
      <c r="V877" s="1005"/>
      <c r="W877" s="1007"/>
      <c r="X877" s="1006"/>
      <c r="Y877" s="1005"/>
      <c r="Z877" s="909"/>
      <c r="AA877" s="1005"/>
      <c r="AB877" s="1007"/>
      <c r="AC877" s="927"/>
      <c r="AD877" s="1005"/>
      <c r="AE877" s="1008"/>
      <c r="AF877" s="1007"/>
      <c r="AG877" s="1008"/>
      <c r="AH877" s="1008"/>
      <c r="AI877" s="939">
        <f t="shared" si="123"/>
        <v>0</v>
      </c>
      <c r="AJ877" s="939">
        <f t="shared" si="124"/>
        <v>0</v>
      </c>
    </row>
    <row r="878" spans="3:36" x14ac:dyDescent="0.2">
      <c r="C878" s="430" t="s">
        <v>131</v>
      </c>
      <c r="D878" s="431">
        <v>39</v>
      </c>
      <c r="E878" s="1005"/>
      <c r="F878" s="1005"/>
      <c r="G878" s="1005"/>
      <c r="H878" s="981"/>
      <c r="I878" s="1005"/>
      <c r="J878" s="1005"/>
      <c r="K878" s="940">
        <f t="shared" si="125"/>
        <v>0</v>
      </c>
      <c r="L878" s="1006"/>
      <c r="M878" s="1006"/>
      <c r="N878" s="1008"/>
      <c r="O878" s="927"/>
      <c r="P878" s="1009"/>
      <c r="Q878" s="1007"/>
      <c r="R878" s="1006"/>
      <c r="S878" s="1006"/>
      <c r="T878" s="907"/>
      <c r="U878" s="1005"/>
      <c r="V878" s="1005"/>
      <c r="W878" s="1007"/>
      <c r="X878" s="1006"/>
      <c r="Y878" s="1005"/>
      <c r="Z878" s="909"/>
      <c r="AA878" s="1005"/>
      <c r="AB878" s="1007"/>
      <c r="AC878" s="927"/>
      <c r="AD878" s="1005"/>
      <c r="AE878" s="1008"/>
      <c r="AF878" s="1007"/>
      <c r="AG878" s="1008"/>
      <c r="AH878" s="1008"/>
      <c r="AI878" s="939">
        <f t="shared" si="123"/>
        <v>0</v>
      </c>
      <c r="AJ878" s="939">
        <f t="shared" si="124"/>
        <v>0</v>
      </c>
    </row>
    <row r="879" spans="3:36" x14ac:dyDescent="0.2">
      <c r="C879" s="430" t="s">
        <v>1365</v>
      </c>
      <c r="D879" s="431">
        <v>40</v>
      </c>
      <c r="E879" s="1005"/>
      <c r="F879" s="1005"/>
      <c r="G879" s="1005"/>
      <c r="H879" s="981"/>
      <c r="I879" s="1005"/>
      <c r="J879" s="1005"/>
      <c r="K879" s="940">
        <f t="shared" si="125"/>
        <v>0</v>
      </c>
      <c r="L879" s="1006"/>
      <c r="M879" s="1006"/>
      <c r="N879" s="1008"/>
      <c r="O879" s="927"/>
      <c r="P879" s="1009"/>
      <c r="Q879" s="1007"/>
      <c r="R879" s="1006"/>
      <c r="S879" s="1006"/>
      <c r="T879" s="907"/>
      <c r="U879" s="1005"/>
      <c r="V879" s="1005"/>
      <c r="W879" s="1007"/>
      <c r="X879" s="1006"/>
      <c r="Y879" s="1005"/>
      <c r="Z879" s="909"/>
      <c r="AA879" s="1005"/>
      <c r="AB879" s="1007"/>
      <c r="AC879" s="927"/>
      <c r="AD879" s="1005"/>
      <c r="AE879" s="1008"/>
      <c r="AF879" s="1007"/>
      <c r="AG879" s="1008"/>
      <c r="AH879" s="1008"/>
      <c r="AI879" s="939">
        <f t="shared" si="123"/>
        <v>0</v>
      </c>
      <c r="AJ879" s="939">
        <f t="shared" si="124"/>
        <v>0</v>
      </c>
    </row>
    <row r="880" spans="3:36" x14ac:dyDescent="0.2">
      <c r="C880" s="277" t="s">
        <v>132</v>
      </c>
      <c r="D880" s="431">
        <v>41</v>
      </c>
      <c r="E880" s="1005"/>
      <c r="F880" s="1005"/>
      <c r="G880" s="1005"/>
      <c r="H880" s="981"/>
      <c r="I880" s="1005"/>
      <c r="J880" s="1005"/>
      <c r="K880" s="940">
        <f t="shared" si="125"/>
        <v>0</v>
      </c>
      <c r="L880" s="1006"/>
      <c r="M880" s="1006"/>
      <c r="N880" s="1008"/>
      <c r="O880" s="927"/>
      <c r="P880" s="1009"/>
      <c r="Q880" s="1007"/>
      <c r="R880" s="1006"/>
      <c r="S880" s="1006"/>
      <c r="T880" s="907"/>
      <c r="U880" s="1005"/>
      <c r="V880" s="1005"/>
      <c r="W880" s="1007"/>
      <c r="X880" s="1006"/>
      <c r="Y880" s="1005"/>
      <c r="Z880" s="909"/>
      <c r="AA880" s="1005"/>
      <c r="AB880" s="1007"/>
      <c r="AC880" s="927"/>
      <c r="AD880" s="1005"/>
      <c r="AE880" s="1008"/>
      <c r="AF880" s="1007"/>
      <c r="AG880" s="1008"/>
      <c r="AH880" s="1008"/>
      <c r="AI880" s="939">
        <f t="shared" si="123"/>
        <v>0</v>
      </c>
      <c r="AJ880" s="939">
        <f t="shared" si="124"/>
        <v>0</v>
      </c>
    </row>
    <row r="881" spans="3:36" x14ac:dyDescent="0.2">
      <c r="C881" s="277" t="s">
        <v>133</v>
      </c>
      <c r="D881" s="431">
        <v>42</v>
      </c>
      <c r="E881" s="1005"/>
      <c r="F881" s="1005"/>
      <c r="G881" s="1005"/>
      <c r="H881" s="981"/>
      <c r="I881" s="1005"/>
      <c r="J881" s="1005"/>
      <c r="K881" s="940">
        <f t="shared" si="125"/>
        <v>0</v>
      </c>
      <c r="L881" s="1006"/>
      <c r="M881" s="1006"/>
      <c r="N881" s="1005"/>
      <c r="O881" s="927"/>
      <c r="P881" s="1006"/>
      <c r="Q881" s="1007"/>
      <c r="R881" s="1006"/>
      <c r="S881" s="1006"/>
      <c r="T881" s="907"/>
      <c r="U881" s="1005"/>
      <c r="V881" s="1005"/>
      <c r="W881" s="1007"/>
      <c r="X881" s="1006"/>
      <c r="Y881" s="1005"/>
      <c r="Z881" s="909"/>
      <c r="AA881" s="1005"/>
      <c r="AB881" s="1007"/>
      <c r="AC881" s="927"/>
      <c r="AD881" s="1005"/>
      <c r="AE881" s="1008"/>
      <c r="AF881" s="1007"/>
      <c r="AG881" s="1008"/>
      <c r="AH881" s="1008"/>
      <c r="AI881" s="939">
        <f t="shared" si="123"/>
        <v>0</v>
      </c>
      <c r="AJ881" s="939">
        <f t="shared" si="124"/>
        <v>0</v>
      </c>
    </row>
    <row r="882" spans="3:36" x14ac:dyDescent="0.2">
      <c r="C882" s="277" t="s">
        <v>134</v>
      </c>
      <c r="D882" s="431">
        <v>43</v>
      </c>
      <c r="E882" s="1005"/>
      <c r="F882" s="1005"/>
      <c r="G882" s="1005"/>
      <c r="H882" s="981"/>
      <c r="I882" s="1005"/>
      <c r="J882" s="1005"/>
      <c r="K882" s="940">
        <f t="shared" si="125"/>
        <v>0</v>
      </c>
      <c r="L882" s="1006"/>
      <c r="M882" s="1006"/>
      <c r="N882" s="1005"/>
      <c r="O882" s="927"/>
      <c r="P882" s="1006"/>
      <c r="Q882" s="1007"/>
      <c r="R882" s="1006"/>
      <c r="S882" s="1006"/>
      <c r="T882" s="907"/>
      <c r="U882" s="1005"/>
      <c r="V882" s="1005"/>
      <c r="W882" s="1007"/>
      <c r="X882" s="1006"/>
      <c r="Y882" s="1005"/>
      <c r="Z882" s="909"/>
      <c r="AA882" s="1005"/>
      <c r="AB882" s="1007"/>
      <c r="AC882" s="927"/>
      <c r="AD882" s="1005"/>
      <c r="AE882" s="1008"/>
      <c r="AF882" s="1007"/>
      <c r="AG882" s="1008"/>
      <c r="AH882" s="1008"/>
      <c r="AI882" s="939">
        <f t="shared" si="123"/>
        <v>0</v>
      </c>
      <c r="AJ882" s="939">
        <f t="shared" si="124"/>
        <v>0</v>
      </c>
    </row>
    <row r="883" spans="3:36" x14ac:dyDescent="0.2">
      <c r="C883" s="277" t="s">
        <v>59</v>
      </c>
      <c r="D883" s="431">
        <v>44</v>
      </c>
      <c r="E883" s="1005"/>
      <c r="F883" s="1005"/>
      <c r="G883" s="1005"/>
      <c r="H883" s="981"/>
      <c r="I883" s="1005"/>
      <c r="J883" s="1005"/>
      <c r="K883" s="940">
        <f t="shared" si="125"/>
        <v>0</v>
      </c>
      <c r="L883" s="1006"/>
      <c r="M883" s="1006"/>
      <c r="N883" s="1005"/>
      <c r="O883" s="927"/>
      <c r="P883" s="1006"/>
      <c r="Q883" s="1007"/>
      <c r="R883" s="1006"/>
      <c r="S883" s="1006"/>
      <c r="T883" s="907"/>
      <c r="U883" s="1005"/>
      <c r="V883" s="1005"/>
      <c r="W883" s="1007"/>
      <c r="X883" s="1006"/>
      <c r="Y883" s="1005"/>
      <c r="Z883" s="909"/>
      <c r="AA883" s="1005"/>
      <c r="AB883" s="1007"/>
      <c r="AC883" s="927"/>
      <c r="AD883" s="1005"/>
      <c r="AE883" s="1008"/>
      <c r="AF883" s="1007"/>
      <c r="AG883" s="1008"/>
      <c r="AH883" s="1008"/>
      <c r="AI883" s="939">
        <f t="shared" si="123"/>
        <v>0</v>
      </c>
      <c r="AJ883" s="939">
        <f t="shared" si="124"/>
        <v>0</v>
      </c>
    </row>
    <row r="884" spans="3:36" x14ac:dyDescent="0.2">
      <c r="C884" s="277" t="s">
        <v>621</v>
      </c>
      <c r="D884" s="431">
        <v>45</v>
      </c>
      <c r="E884" s="1005"/>
      <c r="F884" s="1005"/>
      <c r="G884" s="1005"/>
      <c r="H884" s="981"/>
      <c r="I884" s="1005"/>
      <c r="J884" s="1005"/>
      <c r="K884" s="940">
        <f t="shared" si="125"/>
        <v>0</v>
      </c>
      <c r="L884" s="1006"/>
      <c r="M884" s="1006"/>
      <c r="N884" s="1005"/>
      <c r="O884" s="927"/>
      <c r="P884" s="1006"/>
      <c r="Q884" s="1007"/>
      <c r="R884" s="1006"/>
      <c r="S884" s="1006"/>
      <c r="T884" s="907"/>
      <c r="U884" s="1005"/>
      <c r="V884" s="1005"/>
      <c r="W884" s="1007"/>
      <c r="X884" s="1006"/>
      <c r="Y884" s="1005"/>
      <c r="Z884" s="909"/>
      <c r="AA884" s="1005"/>
      <c r="AB884" s="1007"/>
      <c r="AC884" s="927"/>
      <c r="AD884" s="1005"/>
      <c r="AE884" s="1008"/>
      <c r="AF884" s="1007"/>
      <c r="AG884" s="1008"/>
      <c r="AH884" s="1008"/>
      <c r="AI884" s="939">
        <f t="shared" si="123"/>
        <v>0</v>
      </c>
      <c r="AJ884" s="939">
        <f t="shared" si="124"/>
        <v>0</v>
      </c>
    </row>
    <row r="885" spans="3:36" x14ac:dyDescent="0.2">
      <c r="C885" s="277" t="s">
        <v>569</v>
      </c>
      <c r="D885" s="431">
        <v>46</v>
      </c>
      <c r="E885" s="1005"/>
      <c r="F885" s="1005"/>
      <c r="G885" s="1005"/>
      <c r="H885" s="981"/>
      <c r="I885" s="1005"/>
      <c r="J885" s="1005"/>
      <c r="K885" s="940">
        <f t="shared" si="125"/>
        <v>0</v>
      </c>
      <c r="L885" s="1006"/>
      <c r="M885" s="1006"/>
      <c r="N885" s="1008"/>
      <c r="O885" s="927"/>
      <c r="P885" s="1009"/>
      <c r="Q885" s="1007"/>
      <c r="R885" s="1006"/>
      <c r="S885" s="1006"/>
      <c r="T885" s="907"/>
      <c r="U885" s="1005"/>
      <c r="V885" s="1005"/>
      <c r="W885" s="1007"/>
      <c r="X885" s="1006"/>
      <c r="Y885" s="1005"/>
      <c r="Z885" s="909"/>
      <c r="AA885" s="1005"/>
      <c r="AB885" s="1007"/>
      <c r="AC885" s="927"/>
      <c r="AD885" s="1005"/>
      <c r="AE885" s="1008"/>
      <c r="AF885" s="1007"/>
      <c r="AG885" s="1008"/>
      <c r="AH885" s="1008"/>
      <c r="AI885" s="939">
        <f t="shared" si="123"/>
        <v>0</v>
      </c>
      <c r="AJ885" s="939">
        <f t="shared" si="124"/>
        <v>0</v>
      </c>
    </row>
    <row r="886" spans="3:36" x14ac:dyDescent="0.2">
      <c r="C886" s="277" t="s">
        <v>99</v>
      </c>
      <c r="D886" s="431">
        <v>47</v>
      </c>
      <c r="E886" s="1005"/>
      <c r="F886" s="1005"/>
      <c r="G886" s="1005"/>
      <c r="H886" s="981"/>
      <c r="I886" s="1005"/>
      <c r="J886" s="1005"/>
      <c r="K886" s="940">
        <f t="shared" si="125"/>
        <v>0</v>
      </c>
      <c r="L886" s="1006"/>
      <c r="M886" s="1006"/>
      <c r="N886" s="1005"/>
      <c r="O886" s="927"/>
      <c r="P886" s="1006"/>
      <c r="Q886" s="1007"/>
      <c r="R886" s="1006"/>
      <c r="S886" s="1006"/>
      <c r="T886" s="907"/>
      <c r="U886" s="1005"/>
      <c r="V886" s="1005"/>
      <c r="W886" s="1007"/>
      <c r="X886" s="1006"/>
      <c r="Y886" s="1005"/>
      <c r="Z886" s="909"/>
      <c r="AA886" s="1005"/>
      <c r="AB886" s="1007"/>
      <c r="AC886" s="927"/>
      <c r="AD886" s="1005"/>
      <c r="AE886" s="1008"/>
      <c r="AF886" s="1007"/>
      <c r="AG886" s="1008"/>
      <c r="AH886" s="1008"/>
      <c r="AI886" s="939">
        <f t="shared" si="123"/>
        <v>0</v>
      </c>
      <c r="AJ886" s="939">
        <f t="shared" si="124"/>
        <v>0</v>
      </c>
    </row>
    <row r="887" spans="3:36" x14ac:dyDescent="0.2">
      <c r="C887" s="277" t="s">
        <v>570</v>
      </c>
      <c r="D887" s="431">
        <v>48</v>
      </c>
      <c r="E887" s="1005"/>
      <c r="F887" s="1005"/>
      <c r="G887" s="1005"/>
      <c r="H887" s="981"/>
      <c r="I887" s="1005"/>
      <c r="J887" s="1005"/>
      <c r="K887" s="940">
        <f t="shared" si="125"/>
        <v>0</v>
      </c>
      <c r="L887" s="1006"/>
      <c r="M887" s="1006"/>
      <c r="N887" s="1005"/>
      <c r="O887" s="927"/>
      <c r="P887" s="1006"/>
      <c r="Q887" s="1007"/>
      <c r="R887" s="1006"/>
      <c r="S887" s="1006"/>
      <c r="T887" s="907"/>
      <c r="U887" s="1005"/>
      <c r="V887" s="1005"/>
      <c r="W887" s="1007"/>
      <c r="X887" s="1006"/>
      <c r="Y887" s="1005"/>
      <c r="Z887" s="909"/>
      <c r="AA887" s="1005"/>
      <c r="AB887" s="1007"/>
      <c r="AC887" s="927"/>
      <c r="AD887" s="1005"/>
      <c r="AE887" s="1008"/>
      <c r="AF887" s="1007"/>
      <c r="AG887" s="1008"/>
      <c r="AH887" s="1008"/>
      <c r="AI887" s="939">
        <f t="shared" si="123"/>
        <v>0</v>
      </c>
      <c r="AJ887" s="939">
        <f t="shared" si="124"/>
        <v>0</v>
      </c>
    </row>
    <row r="888" spans="3:36" x14ac:dyDescent="0.2">
      <c r="C888" s="277" t="s">
        <v>135</v>
      </c>
      <c r="D888" s="431">
        <v>49</v>
      </c>
      <c r="E888" s="1005"/>
      <c r="F888" s="1005"/>
      <c r="G888" s="1005"/>
      <c r="H888" s="981"/>
      <c r="I888" s="1005"/>
      <c r="J888" s="1005"/>
      <c r="K888" s="940">
        <f t="shared" si="125"/>
        <v>0</v>
      </c>
      <c r="L888" s="1006"/>
      <c r="M888" s="1006"/>
      <c r="N888" s="1005"/>
      <c r="O888" s="927"/>
      <c r="P888" s="1006"/>
      <c r="Q888" s="1007"/>
      <c r="R888" s="1006"/>
      <c r="S888" s="1006"/>
      <c r="T888" s="907"/>
      <c r="U888" s="1005"/>
      <c r="V888" s="1005"/>
      <c r="W888" s="1007"/>
      <c r="X888" s="1006"/>
      <c r="Y888" s="1005"/>
      <c r="Z888" s="909"/>
      <c r="AA888" s="1005"/>
      <c r="AB888" s="1007"/>
      <c r="AC888" s="927"/>
      <c r="AD888" s="1005"/>
      <c r="AE888" s="1008"/>
      <c r="AF888" s="1007"/>
      <c r="AG888" s="1008"/>
      <c r="AH888" s="1008"/>
      <c r="AI888" s="939">
        <f t="shared" si="123"/>
        <v>0</v>
      </c>
      <c r="AJ888" s="939">
        <f t="shared" si="124"/>
        <v>0</v>
      </c>
    </row>
    <row r="889" spans="3:36" x14ac:dyDescent="0.2">
      <c r="C889" s="277" t="s">
        <v>136</v>
      </c>
      <c r="D889" s="431">
        <v>50</v>
      </c>
      <c r="E889" s="1005"/>
      <c r="F889" s="1005"/>
      <c r="G889" s="1005"/>
      <c r="H889" s="981"/>
      <c r="I889" s="1005"/>
      <c r="J889" s="1005"/>
      <c r="K889" s="940">
        <f t="shared" si="125"/>
        <v>0</v>
      </c>
      <c r="L889" s="1006"/>
      <c r="M889" s="1006"/>
      <c r="N889" s="1005"/>
      <c r="O889" s="927"/>
      <c r="P889" s="1006"/>
      <c r="Q889" s="1007"/>
      <c r="R889" s="1006"/>
      <c r="S889" s="1006"/>
      <c r="T889" s="907"/>
      <c r="U889" s="1005"/>
      <c r="V889" s="1005"/>
      <c r="W889" s="1007"/>
      <c r="X889" s="1006"/>
      <c r="Y889" s="1005"/>
      <c r="Z889" s="909"/>
      <c r="AA889" s="1005"/>
      <c r="AB889" s="1007"/>
      <c r="AC889" s="927"/>
      <c r="AD889" s="1005"/>
      <c r="AE889" s="1008"/>
      <c r="AF889" s="1007"/>
      <c r="AG889" s="1008"/>
      <c r="AH889" s="1008"/>
      <c r="AI889" s="939">
        <f t="shared" si="123"/>
        <v>0</v>
      </c>
      <c r="AJ889" s="939">
        <f t="shared" si="124"/>
        <v>0</v>
      </c>
    </row>
    <row r="890" spans="3:36" x14ac:dyDescent="0.2">
      <c r="C890" s="277" t="s">
        <v>137</v>
      </c>
      <c r="D890" s="431">
        <v>51</v>
      </c>
      <c r="E890" s="1005"/>
      <c r="F890" s="1005"/>
      <c r="G890" s="1005"/>
      <c r="H890" s="981"/>
      <c r="I890" s="1005"/>
      <c r="J890" s="1005"/>
      <c r="K890" s="940">
        <f t="shared" si="125"/>
        <v>0</v>
      </c>
      <c r="L890" s="1006"/>
      <c r="M890" s="1006"/>
      <c r="N890" s="1005"/>
      <c r="O890" s="927"/>
      <c r="P890" s="1006"/>
      <c r="Q890" s="1007"/>
      <c r="R890" s="1006"/>
      <c r="S890" s="1006"/>
      <c r="T890" s="907"/>
      <c r="U890" s="1005"/>
      <c r="V890" s="1005"/>
      <c r="W890" s="1007"/>
      <c r="X890" s="1006"/>
      <c r="Y890" s="1005"/>
      <c r="Z890" s="909"/>
      <c r="AA890" s="1005"/>
      <c r="AB890" s="1007"/>
      <c r="AC890" s="927"/>
      <c r="AD890" s="1005"/>
      <c r="AE890" s="1008"/>
      <c r="AF890" s="1007"/>
      <c r="AG890" s="1008"/>
      <c r="AH890" s="1008"/>
      <c r="AI890" s="939">
        <f t="shared" si="123"/>
        <v>0</v>
      </c>
      <c r="AJ890" s="939">
        <f t="shared" si="124"/>
        <v>0</v>
      </c>
    </row>
    <row r="891" spans="3:36" x14ac:dyDescent="0.2">
      <c r="C891" s="277" t="s">
        <v>138</v>
      </c>
      <c r="D891" s="431">
        <v>52</v>
      </c>
      <c r="E891" s="1005"/>
      <c r="F891" s="1005"/>
      <c r="G891" s="1005"/>
      <c r="H891" s="981"/>
      <c r="I891" s="1005"/>
      <c r="J891" s="1005"/>
      <c r="K891" s="940">
        <f t="shared" si="125"/>
        <v>0</v>
      </c>
      <c r="L891" s="1006"/>
      <c r="M891" s="1006"/>
      <c r="N891" s="1005"/>
      <c r="O891" s="927"/>
      <c r="P891" s="1006"/>
      <c r="Q891" s="1007"/>
      <c r="R891" s="1006"/>
      <c r="S891" s="1006"/>
      <c r="T891" s="907"/>
      <c r="U891" s="1005"/>
      <c r="V891" s="1005"/>
      <c r="W891" s="1007"/>
      <c r="X891" s="1006"/>
      <c r="Y891" s="1005"/>
      <c r="Z891" s="909"/>
      <c r="AA891" s="1005"/>
      <c r="AB891" s="1007"/>
      <c r="AC891" s="927"/>
      <c r="AD891" s="1005"/>
      <c r="AE891" s="1008"/>
      <c r="AF891" s="1007"/>
      <c r="AG891" s="1008"/>
      <c r="AH891" s="1008"/>
      <c r="AI891" s="939">
        <f t="shared" si="123"/>
        <v>0</v>
      </c>
      <c r="AJ891" s="939">
        <f t="shared" si="124"/>
        <v>0</v>
      </c>
    </row>
    <row r="892" spans="3:36" x14ac:dyDescent="0.2">
      <c r="C892" s="277" t="s">
        <v>565</v>
      </c>
      <c r="D892" s="431">
        <v>53</v>
      </c>
      <c r="E892" s="1005"/>
      <c r="F892" s="1005"/>
      <c r="G892" s="1005"/>
      <c r="H892" s="981"/>
      <c r="I892" s="1005"/>
      <c r="J892" s="1005"/>
      <c r="K892" s="940">
        <f t="shared" si="125"/>
        <v>0</v>
      </c>
      <c r="L892" s="1006"/>
      <c r="M892" s="1006"/>
      <c r="N892" s="1008"/>
      <c r="O892" s="927"/>
      <c r="P892" s="1009"/>
      <c r="Q892" s="1007"/>
      <c r="R892" s="1006"/>
      <c r="S892" s="1006"/>
      <c r="T892" s="907"/>
      <c r="U892" s="1005"/>
      <c r="V892" s="1005"/>
      <c r="W892" s="1007"/>
      <c r="X892" s="1006"/>
      <c r="Y892" s="1005"/>
      <c r="Z892" s="909"/>
      <c r="AA892" s="1005"/>
      <c r="AB892" s="1007"/>
      <c r="AC892" s="927"/>
      <c r="AD892" s="1005"/>
      <c r="AE892" s="1008"/>
      <c r="AF892" s="1007"/>
      <c r="AG892" s="1008"/>
      <c r="AH892" s="1008"/>
      <c r="AI892" s="939">
        <f t="shared" si="123"/>
        <v>0</v>
      </c>
      <c r="AJ892" s="939">
        <f t="shared" si="124"/>
        <v>0</v>
      </c>
    </row>
    <row r="893" spans="3:36" x14ac:dyDescent="0.2">
      <c r="C893" s="277" t="s">
        <v>67</v>
      </c>
      <c r="D893" s="431">
        <v>54</v>
      </c>
      <c r="E893" s="1005"/>
      <c r="F893" s="1005"/>
      <c r="G893" s="1005"/>
      <c r="H893" s="981"/>
      <c r="I893" s="1005"/>
      <c r="J893" s="1005"/>
      <c r="K893" s="940">
        <f t="shared" si="125"/>
        <v>0</v>
      </c>
      <c r="L893" s="1006"/>
      <c r="M893" s="1006"/>
      <c r="N893" s="1008"/>
      <c r="O893" s="927"/>
      <c r="P893" s="1009"/>
      <c r="Q893" s="1007"/>
      <c r="R893" s="1006"/>
      <c r="S893" s="1006"/>
      <c r="T893" s="907"/>
      <c r="U893" s="1005"/>
      <c r="V893" s="1005"/>
      <c r="W893" s="1007"/>
      <c r="X893" s="1006"/>
      <c r="Y893" s="1005"/>
      <c r="Z893" s="909"/>
      <c r="AA893" s="1005"/>
      <c r="AB893" s="1007"/>
      <c r="AC893" s="927"/>
      <c r="AD893" s="1005"/>
      <c r="AE893" s="1008"/>
      <c r="AF893" s="1007"/>
      <c r="AG893" s="1008"/>
      <c r="AH893" s="1008"/>
      <c r="AI893" s="939">
        <f t="shared" si="123"/>
        <v>0</v>
      </c>
      <c r="AJ893" s="939">
        <f t="shared" si="124"/>
        <v>0</v>
      </c>
    </row>
    <row r="894" spans="3:36" x14ac:dyDescent="0.2">
      <c r="C894" s="277" t="s">
        <v>139</v>
      </c>
      <c r="D894" s="431">
        <v>55</v>
      </c>
      <c r="E894" s="1005"/>
      <c r="F894" s="1005"/>
      <c r="G894" s="1005"/>
      <c r="H894" s="981"/>
      <c r="I894" s="1005"/>
      <c r="J894" s="1005"/>
      <c r="K894" s="940">
        <f t="shared" si="125"/>
        <v>0</v>
      </c>
      <c r="L894" s="1006"/>
      <c r="M894" s="1006"/>
      <c r="N894" s="1008"/>
      <c r="O894" s="927"/>
      <c r="P894" s="1009"/>
      <c r="Q894" s="1007"/>
      <c r="R894" s="1006"/>
      <c r="S894" s="1006"/>
      <c r="T894" s="907"/>
      <c r="U894" s="1005"/>
      <c r="V894" s="1005"/>
      <c r="W894" s="1007"/>
      <c r="X894" s="1006"/>
      <c r="Y894" s="1005"/>
      <c r="Z894" s="909"/>
      <c r="AA894" s="1005"/>
      <c r="AB894" s="1007"/>
      <c r="AC894" s="927"/>
      <c r="AD894" s="1005"/>
      <c r="AE894" s="1008"/>
      <c r="AF894" s="1007"/>
      <c r="AG894" s="1008"/>
      <c r="AH894" s="1008"/>
      <c r="AI894" s="939">
        <f t="shared" si="123"/>
        <v>0</v>
      </c>
      <c r="AJ894" s="939">
        <f t="shared" si="124"/>
        <v>0</v>
      </c>
    </row>
    <row r="895" spans="3:36" ht="13.5" thickBot="1" x14ac:dyDescent="0.25">
      <c r="C895" s="277" t="s">
        <v>95</v>
      </c>
      <c r="D895" s="431">
        <v>56</v>
      </c>
      <c r="E895" s="1005"/>
      <c r="F895" s="1005"/>
      <c r="G895" s="1005"/>
      <c r="H895" s="981"/>
      <c r="I895" s="1005"/>
      <c r="J895" s="1005"/>
      <c r="K895" s="940">
        <f t="shared" si="125"/>
        <v>0</v>
      </c>
      <c r="L895" s="1006"/>
      <c r="M895" s="1006"/>
      <c r="N895" s="1008"/>
      <c r="O895" s="982"/>
      <c r="P895" s="1009"/>
      <c r="Q895" s="1007"/>
      <c r="R895" s="1006"/>
      <c r="S895" s="1006"/>
      <c r="T895" s="934"/>
      <c r="U895" s="1005"/>
      <c r="V895" s="1005"/>
      <c r="W895" s="1007"/>
      <c r="X895" s="1006"/>
      <c r="Y895" s="1005"/>
      <c r="Z895" s="983"/>
      <c r="AA895" s="1005"/>
      <c r="AB895" s="1007"/>
      <c r="AC895" s="982"/>
      <c r="AD895" s="1005"/>
      <c r="AE895" s="1008"/>
      <c r="AF895" s="1007"/>
      <c r="AG895" s="1008"/>
      <c r="AH895" s="1008"/>
      <c r="AI895" s="939">
        <f t="shared" si="123"/>
        <v>0</v>
      </c>
      <c r="AJ895" s="939">
        <f t="shared" si="124"/>
        <v>0</v>
      </c>
    </row>
    <row r="896" spans="3:36" ht="13.5" thickBot="1" x14ac:dyDescent="0.25">
      <c r="C896" s="73" t="s">
        <v>899</v>
      </c>
      <c r="D896" s="158">
        <v>57</v>
      </c>
      <c r="E896" s="935">
        <f t="shared" ref="E896:J896" si="126">ROUND(SUM(E840:E895),3)</f>
        <v>0</v>
      </c>
      <c r="F896" s="935">
        <f t="shared" si="126"/>
        <v>0</v>
      </c>
      <c r="G896" s="935">
        <f t="shared" si="126"/>
        <v>0</v>
      </c>
      <c r="H896" s="935">
        <f t="shared" si="126"/>
        <v>0</v>
      </c>
      <c r="I896" s="935">
        <f t="shared" si="126"/>
        <v>0</v>
      </c>
      <c r="J896" s="935">
        <f t="shared" si="126"/>
        <v>0</v>
      </c>
      <c r="K896" s="984">
        <f t="shared" si="125"/>
        <v>0</v>
      </c>
      <c r="L896" s="985">
        <f t="shared" ref="L896:AH896" si="127">ROUND(SUM(L840:L895),3)</f>
        <v>0</v>
      </c>
      <c r="M896" s="935">
        <f t="shared" si="127"/>
        <v>0</v>
      </c>
      <c r="N896" s="984">
        <f t="shared" si="127"/>
        <v>0</v>
      </c>
      <c r="O896" s="986">
        <f t="shared" si="127"/>
        <v>0</v>
      </c>
      <c r="P896" s="935">
        <f t="shared" si="127"/>
        <v>0</v>
      </c>
      <c r="Q896" s="984">
        <f t="shared" si="127"/>
        <v>0</v>
      </c>
      <c r="R896" s="936">
        <f t="shared" si="127"/>
        <v>0</v>
      </c>
      <c r="S896" s="935">
        <f t="shared" si="127"/>
        <v>0</v>
      </c>
      <c r="T896" s="987">
        <f t="shared" si="127"/>
        <v>0</v>
      </c>
      <c r="U896" s="935">
        <f t="shared" si="127"/>
        <v>0</v>
      </c>
      <c r="V896" s="935">
        <f t="shared" si="127"/>
        <v>0</v>
      </c>
      <c r="W896" s="984">
        <f t="shared" si="127"/>
        <v>0</v>
      </c>
      <c r="X896" s="936">
        <f t="shared" si="127"/>
        <v>0</v>
      </c>
      <c r="Y896" s="935">
        <f t="shared" si="127"/>
        <v>0</v>
      </c>
      <c r="Z896" s="988">
        <f t="shared" si="127"/>
        <v>0</v>
      </c>
      <c r="AA896" s="935">
        <f t="shared" si="127"/>
        <v>0</v>
      </c>
      <c r="AB896" s="984">
        <f t="shared" si="127"/>
        <v>0</v>
      </c>
      <c r="AC896" s="986">
        <f t="shared" si="127"/>
        <v>0</v>
      </c>
      <c r="AD896" s="935">
        <f t="shared" si="127"/>
        <v>0</v>
      </c>
      <c r="AE896" s="935">
        <f t="shared" si="127"/>
        <v>0</v>
      </c>
      <c r="AF896" s="984">
        <f t="shared" si="127"/>
        <v>0</v>
      </c>
      <c r="AG896" s="935">
        <f t="shared" si="127"/>
        <v>0</v>
      </c>
      <c r="AH896" s="936">
        <f t="shared" si="127"/>
        <v>0</v>
      </c>
      <c r="AI896" s="935">
        <f t="shared" si="123"/>
        <v>0</v>
      </c>
      <c r="AJ896" s="938">
        <f t="shared" si="124"/>
        <v>0</v>
      </c>
    </row>
    <row r="897" spans="3:36" ht="13.5" thickBot="1" x14ac:dyDescent="0.25">
      <c r="C897" s="243"/>
      <c r="D897" s="278"/>
      <c r="E897" s="1010"/>
      <c r="F897" s="1010"/>
      <c r="G897" s="1010"/>
      <c r="H897" s="1010"/>
      <c r="I897" s="1010"/>
      <c r="J897" s="1010"/>
      <c r="K897" s="1010"/>
      <c r="L897" s="1010"/>
      <c r="M897" s="1010"/>
      <c r="N897" s="1010"/>
      <c r="O897" s="1010"/>
      <c r="P897" s="1010"/>
      <c r="Q897" s="1010"/>
      <c r="R897" s="1010"/>
      <c r="S897" s="1010"/>
      <c r="T897" s="1010"/>
      <c r="U897" s="1010"/>
      <c r="V897" s="1010"/>
      <c r="W897" s="1010"/>
      <c r="X897" s="1010"/>
      <c r="Y897" s="1010"/>
      <c r="Z897" s="1010"/>
      <c r="AA897" s="1010"/>
      <c r="AB897" s="1010"/>
      <c r="AC897" s="1010"/>
      <c r="AD897" s="1010"/>
      <c r="AE897" s="1010"/>
      <c r="AF897" s="1010"/>
      <c r="AG897" s="1010"/>
      <c r="AH897" s="1010"/>
      <c r="AI897" s="1010"/>
      <c r="AJ897" s="1010"/>
    </row>
    <row r="898" spans="3:36" ht="13.5" thickBot="1" x14ac:dyDescent="0.25">
      <c r="C898" s="73" t="str">
        <f>IF(EnCMember=1,"Total EnC Contracting Parties","Total EU MS")</f>
        <v>Total EU MS</v>
      </c>
      <c r="D898" s="158">
        <v>58</v>
      </c>
      <c r="E898" s="811">
        <f>ROUND(IF('Table 1'!$G$3&gt;1,IF(EnCMember=1,E840+E846+E879+E859+E869+E875+E876+E885+E892+E843+E845+E847+E852+E853+E854+E855+E856+E857+E858+E860+E861+E862+E864+E866+E870+E871+E872+E873+E877+E881+E882+E883+E886+E887+E888+E889+E893,E843+E845+E847+E852+E853+E854+E855+E856+E857+E858+E860+E861+E862+E864+E866+E870+E871+E872+E873+E877+E881+E882+E883+E886+E887+E888+E889+E893),IF(EnCMember=1,E840+E846+E879+E859+E869+E875+E876+E885+E892+E843+E845+E847+E852+E853+E854+E855+E856+E857+E858+E860+E861+E862+E864+E866+E870+E871+E872+E873+E877+E881+E882+E883+E886+E887+E888+E889,E843+E845+E847+E852+E853+E854+E855+E856+E857+E858+E860+E861+E862+E864+E866+E870+E871+E872+E873+E877+E881+E882+E883+E886+E887+E888+E889)),3)</f>
        <v>0</v>
      </c>
      <c r="F898" s="811">
        <f>ROUND(IF('Table 1'!$G$3&gt;1,IF(EnCMember=1,F840+F846+F879+F859+F869+F875+F876+F885+F892+F843+F845+F847+F852+F853+F854+F855+F856+F857+F858+F860+F861+F862+F864+F866+F870+F871+F872+F873+F877+F881+F882+F883+F886+F887+F888+F889+F893,F843+F845+F847+F852+F853+F854+F855+F856+F857+F858+F860+F861+F862+F864+F866+F870+F871+F872+F873+F877+F881+F882+F883+F886+F887+F888+F889+F893),IF(EnCMember=1,F840+F846+F879+F859+F869+F875+F876+F885+F892+F843+F845+F847+F852+F853+F854+F855+F856+F857+F858+F860+F861+F862+F864+F866+F870+F871+F872+F873+F877+F881+F882+F883+F886+F887+F888+F889,F843+F845+F847+F852+F853+F854+F855+F856+F857+F858+F860+F861+F862+F864+F866+F870+F871+F872+F873+F877+F881+F882+F883+F886+F887+F888+F889)),3)</f>
        <v>0</v>
      </c>
      <c r="G898" s="811">
        <f>ROUND(IF('Table 1'!$G$3&gt;1,IF(EnCMember=1,G840+G846+G879+G859+G869+G875+G876+G885+G892+G843+G845+G847+G852+G853+G854+G855+G856+G857+G858+G860+G861+G862+G864+G866+G870+G871+G872+G873+G877+G881+G882+G883+G886+G887+G888+G889+G893,G843+G845+G847+G852+G853+G854+G855+G856+G857+G858+G860+G861+G862+G864+G866+G870+G871+G872+G873+G877+G881+G882+G883+G886+G887+G888+G889+G893),IF(EnCMember=1,G840+G846+G879+G859+G869+G875+G876+G885+G892+G843+G845+G847+G852+G853+G854+G855+G856+G857+G858+G860+G861+G862+G864+G866+G870+G871+G872+G873+G877+G881+G882+G883+G886+G887+G888+G889,G843+G845+G847+G852+G853+G854+G855+G856+G857+G858+G860+G861+G862+G864+G866+G870+G871+G872+G873+G877+G881+G882+G883+G886+G887+G888+G889)),3)</f>
        <v>0</v>
      </c>
      <c r="H898" s="811">
        <f>ROUND(IF('Table 1'!$G$3&gt;1,IF(EnCMember=1,H840+H846+H879+H859+H869+H875+H876+H885+H892+H843+H845+H847+H852+H853+H854+H855+H856+H857+H858+H860+H861+H862+H864+H866+H870+H871+H872+H873+H877+H881+H882+H883+H886+H887+H888+H889+H893,H843+H845+H847+H852+H853+H854+H855+H856+H857+H858+H860+H861+H862+H864+H866+H870+H871+H872+H873+H877+H881+H882+H883+H886+H887+H888+H889+H893),IF(EnCMember=1,H840+H846+H879+H859+H869+H875+H876+H885+H892+H843+H845+H847+H852+H853+H854+H855+H856+H857+H858+H860+H861+H862+H864+H866+H870+H871+H872+H873+H877+H881+H882+H883+H886+H887+H888+H889,H843+H845+H847+H852+H853+H854+H855+H856+H857+H858+H860+H861+H862+H864+H866+H870+H871+H872+H873+H877+H881+H882+H883+H886+H887+H888+H889)),3)</f>
        <v>0</v>
      </c>
      <c r="I898" s="811">
        <f>ROUND(IF('Table 1'!$G$3&gt;1,IF(EnCMember=1,I840+I846+I879+I859+I869+I875+I876+I885+I892+I843+I845+I847+I852+I853+I854+I855+I856+I857+I858+I860+I861+I862+I864+I866+I870+I871+I872+I873+I877+I881+I882+I883+I886+I887+I888+I889+I893,I843+I845+I847+I852+I853+I854+I855+I856+I857+I858+I860+I861+I862+I864+I866+I870+I871+I872+I873+I877+I881+I882+I883+I886+I887+I888+I889+I893),IF(EnCMember=1,I840+I846+I879+I859+I869+I875+I876+I885+I892+I843+I845+I847+I852+I853+I854+I855+I856+I857+I858+I860+I861+I862+I864+I866+I870+I871+I872+I873+I877+I881+I882+I883+I886+I887+I888+I889,I843+I845+I847+I852+I853+I854+I855+I856+I857+I858+I860+I861+I862+I864+I866+I870+I871+I872+I873+I877+I881+I882+I883+I886+I887+I888+I889)),3)</f>
        <v>0</v>
      </c>
      <c r="J898" s="811">
        <f>ROUND(IF('Table 1'!$G$3&gt;1,IF(EnCMember=1,J840+J846+J879+J859+J869+J875+J876+J885+J892+J843+J845+J847+J852+J853+J854+J855+J856+J857+J858+J860+J861+J862+J864+J866+J870+J871+J872+J873+J877+J881+J882+J883+J886+J887+J888+J889+J893,J843+J845+J847+J852+J853+J854+J855+J856+J857+J858+J860+J861+J862+J864+J866+J870+J871+J872+J873+J877+J881+J882+J883+J886+J887+J888+J889+J893),IF(EnCMember=1,J840+J846+J879+J859+J869+J875+J876+J885+J892+J843+J845+J847+J852+J853+J854+J855+J856+J857+J858+J860+J861+J862+J864+J866+J870+J871+J872+J873+J877+J881+J882+J883+J886+J887+J888+J889,J843+J845+J847+J852+J853+J854+J855+J856+J857+J858+J860+J861+J862+J864+J866+J870+J871+J872+J873+J877+J881+J882+J883+J886+J887+J888+J889)),3)</f>
        <v>0</v>
      </c>
      <c r="K898" s="812">
        <f>ROUND(IF('Table 1'!$G$3&gt;1,IF(EnCMember=1,K840+K846+K879+K859+K869+K875+K876+K885+K892+K843+K845+K847+K852+K853+K854+K855+K856+K857+K858+K860+K861+K862+K864+K866+K870+K871+K872+K873+K877+K881+K882+K883+K886+K887+K888+K889+K893,K843+K845+K847+K852+K853+K854+K855+K856+K857+K858+K860+K861+K862+K864+K866+K870+K871+K872+K873+K877+K881+K882+K883+K886+K887+K888+K889+K893),IF(EnCMember=1,K840+K846+K879+K859+K869+K875+K876+K885+K892+K843+K845+K847+K852+K853+K854+K855+K856+K857+K858+K860+K861+K862+K864+K866+K870+K871+K872+K873+K877+K881+K882+K883+K886+K887+K888+K889,K843+K845+K847+K852+K853+K854+K855+K856+K857+K858+K860+K861+K862+K864+K866+K870+K871+K872+K873+K877+K881+K882+K883+K886+K887+K888+K889)),3)</f>
        <v>0</v>
      </c>
      <c r="L898" s="813">
        <f>ROUND(IF('Table 1'!$G$3&gt;1,IF(EnCMember=1,L840+L846+L879+L859+L869+L875+L876+L885+L892+L843+L845+L847+L852+L853+L854+L855+L856+L857+L858+L860+L861+L862+L864+L866+L870+L871+L872+L873+L877+L881+L882+L883+L886+L887+L888+L889+L893,L843+L845+L847+L852+L853+L854+L855+L856+L857+L858+L860+L861+L862+L864+L866+L870+L871+L872+L873+L877+L881+L882+L883+L886+L887+L888+L889+L893),IF(EnCMember=1,L840+L846+L879+L859+L869+L875+L876+L885+L892+L843+L845+L847+L852+L853+L854+L855+L856+L857+L858+L860+L861+L862+L864+L866+L870+L871+L872+L873+L877+L881+L882+L883+L886+L887+L888+L889,L843+L845+L847+L852+L853+L854+L855+L856+L857+L858+L860+L861+L862+L864+L866+L870+L871+L872+L873+L877+L881+L882+L883+L886+L887+L888+L889)),3)</f>
        <v>0</v>
      </c>
      <c r="M898" s="811">
        <f>ROUND(IF('Table 1'!$G$3&gt;1,IF(EnCMember=1,M840+M846+M879+M859+M869+M875+M876+M885+M892+M843+M845+M847+M852+M853+M854+M855+M856+M857+M858+M860+M861+M862+M864+M866+M870+M871+M872+M873+M877+M881+M882+M883+M886+M887+M888+M889+M893,M843+M845+M847+M852+M853+M854+M855+M856+M857+M858+M860+M861+M862+M864+M866+M870+M871+M872+M873+M877+M881+M882+M883+M886+M887+M888+M889+M893),IF(EnCMember=1,M840+M846+M879+M859+M869+M875+M876+M885+M892+M843+M845+M847+M852+M853+M854+M855+M856+M857+M858+M860+M861+M862+M864+M866+M870+M871+M872+M873+M877+M881+M882+M883+M886+M887+M888+M889,M843+M845+M847+M852+M853+M854+M855+M856+M857+M858+M860+M861+M862+M864+M866+M870+M871+M872+M873+M877+M881+M882+M883+M886+M887+M888+M889)),3)</f>
        <v>0</v>
      </c>
      <c r="N898" s="812">
        <f>ROUND(IF('Table 1'!$G$3&gt;1,IF(EnCMember=1,N840+N846+N879+N859+N869+N875+N876+N885+N892+N843+N845+N847+N852+N853+N854+N855+N856+N857+N858+N860+N861+N862+N864+N866+N870+N871+N872+N873+N877+N881+N882+N883+N886+N887+N888+N889+N893,N843+N845+N847+N852+N853+N854+N855+N856+N857+N858+N860+N861+N862+N864+N866+N870+N871+N872+N873+N877+N881+N882+N883+N886+N887+N888+N889+N893),IF(EnCMember=1,N840+N846+N879+N859+N869+N875+N876+N885+N892+N843+N845+N847+N852+N853+N854+N855+N856+N857+N858+N860+N861+N862+N864+N866+N870+N871+N872+N873+N877+N881+N882+N883+N886+N887+N888+N889,N843+N845+N847+N852+N853+N854+N855+N856+N857+N858+N860+N861+N862+N864+N866+N870+N871+N872+N873+N877+N881+N882+N883+N886+N887+N888+N889)),3)</f>
        <v>0</v>
      </c>
      <c r="O898" s="813">
        <f>ROUND(IF('Table 1'!$G$3&gt;1,IF(EnCMember=1,O840+O846+O879+O859+O869+O875+O876+O885+O892+O843+O845+O847+O852+O853+O854+O855+O856+O857+O858+O860+O861+O862+O864+O866+O870+O871+O872+O873+O877+O881+O882+O883+O886+O887+O888+O889+O893,O843+O845+O847+O852+O853+O854+O855+O856+O857+O858+O860+O861+O862+O864+O866+O870+O871+O872+O873+O877+O881+O882+O883+O886+O887+O888+O889+O893),IF(EnCMember=1,O840+O846+O879+O859+O869+O875+O876+O885+O892+O843+O845+O847+O852+O853+O854+O855+O856+O857+O858+O860+O861+O862+O864+O866+O870+O871+O872+O873+O877+O881+O882+O883+O886+O887+O888+O889,O843+O845+O847+O852+O853+O854+O855+O856+O857+O858+O860+O861+O862+O864+O866+O870+O871+O872+O873+O877+O881+O882+O883+O886+O887+O888+O889)),3)</f>
        <v>0</v>
      </c>
      <c r="P898" s="811">
        <f>ROUND(IF('Table 1'!$G$3&gt;1,IF(EnCMember=1,P840+P846+P879+P859+P869+P875+P876+P885+P892+P843+P845+P847+P852+P853+P854+P855+P856+P857+P858+P860+P861+P862+P864+P866+P870+P871+P872+P873+P877+P881+P882+P883+P886+P887+P888+P889+P893,P843+P845+P847+P852+P853+P854+P855+P856+P857+P858+P860+P861+P862+P864+P866+P870+P871+P872+P873+P877+P881+P882+P883+P886+P887+P888+P889+P893),IF(EnCMember=1,P840+P846+P879+P859+P869+P875+P876+P885+P892+P843+P845+P847+P852+P853+P854+P855+P856+P857+P858+P860+P861+P862+P864+P866+P870+P871+P872+P873+P877+P881+P882+P883+P886+P887+P888+P889,P843+P845+P847+P852+P853+P854+P855+P856+P857+P858+P860+P861+P862+P864+P866+P870+P871+P872+P873+P877+P881+P882+P883+P886+P887+P888+P889)),3)</f>
        <v>0</v>
      </c>
      <c r="Q898" s="812">
        <f>ROUND(IF('Table 1'!$G$3&gt;1,IF(EnCMember=1,Q840+Q846+Q879+Q859+Q869+Q875+Q876+Q885+Q892+Q843+Q845+Q847+Q852+Q853+Q854+Q855+Q856+Q857+Q858+Q860+Q861+Q862+Q864+Q866+Q870+Q871+Q872+Q873+Q877+Q881+Q882+Q883+Q886+Q887+Q888+Q889+Q893,Q843+Q845+Q847+Q852+Q853+Q854+Q855+Q856+Q857+Q858+Q860+Q861+Q862+Q864+Q866+Q870+Q871+Q872+Q873+Q877+Q881+Q882+Q883+Q886+Q887+Q888+Q889+Q893),IF(EnCMember=1,Q840+Q846+Q879+Q859+Q869+Q875+Q876+Q885+Q892+Q843+Q845+Q847+Q852+Q853+Q854+Q855+Q856+Q857+Q858+Q860+Q861+Q862+Q864+Q866+Q870+Q871+Q872+Q873+Q877+Q881+Q882+Q883+Q886+Q887+Q888+Q889,Q843+Q845+Q847+Q852+Q853+Q854+Q855+Q856+Q857+Q858+Q860+Q861+Q862+Q864+Q866+Q870+Q871+Q872+Q873+Q877+Q881+Q882+Q883+Q886+Q887+Q888+Q889)),3)</f>
        <v>0</v>
      </c>
      <c r="R898" s="813">
        <f>ROUND(IF('Table 1'!$G$3&gt;1,IF(EnCMember=1,R840+R846+R879+R859+R869+R875+R876+R885+R892+R843+R845+R847+R852+R853+R854+R855+R856+R857+R858+R860+R861+R862+R864+R866+R870+R871+R872+R873+R877+R881+R882+R883+R886+R887+R888+R889+R893,R843+R845+R847+R852+R853+R854+R855+R856+R857+R858+R860+R861+R862+R864+R866+R870+R871+R872+R873+R877+R881+R882+R883+R886+R887+R888+R889+R893),IF(EnCMember=1,R840+R846+R879+R859+R869+R875+R876+R885+R892+R843+R845+R847+R852+R853+R854+R855+R856+R857+R858+R860+R861+R862+R864+R866+R870+R871+R872+R873+R877+R881+R882+R883+R886+R887+R888+R889,R843+R845+R847+R852+R853+R854+R855+R856+R857+R858+R860+R861+R862+R864+R866+R870+R871+R872+R873+R877+R881+R882+R883+R886+R887+R888+R889)),3)</f>
        <v>0</v>
      </c>
      <c r="S898" s="811">
        <f>ROUND(IF('Table 1'!$G$3&gt;1,IF(EnCMember=1,S840+S846+S879+S859+S869+S875+S876+S885+S892+S843+S845+S847+S852+S853+S854+S855+S856+S857+S858+S860+S861+S862+S864+S866+S870+S871+S872+S873+S877+S881+S882+S883+S886+S887+S888+S889+S893,S843+S845+S847+S852+S853+S854+S855+S856+S857+S858+S860+S861+S862+S864+S866+S870+S871+S872+S873+S877+S881+S882+S883+S886+S887+S888+S889+S893),IF(EnCMember=1,S840+S846+S879+S859+S869+S875+S876+S885+S892+S843+S845+S847+S852+S853+S854+S855+S856+S857+S858+S860+S861+S862+S864+S866+S870+S871+S872+S873+S877+S881+S882+S883+S886+S887+S888+S889,S843+S845+S847+S852+S853+S854+S855+S856+S857+S858+S860+S861+S862+S864+S866+S870+S871+S872+S873+S877+S881+S882+S883+S886+S887+S888+S889)),3)</f>
        <v>0</v>
      </c>
      <c r="T898" s="811">
        <f>ROUND(IF('Table 1'!$G$3&gt;1,IF(EnCMember=1,T840+T846+T879+T859+T869+T875+T876+T885+T892+T843+T845+T847+T852+T853+T854+T855+T856+T857+T858+T860+T861+T862+T864+T866+T870+T871+T872+T873+T877+T881+T882+T883+T886+T887+T888+T889+T893,T843+T845+T847+T852+T853+T854+T855+T856+T857+T858+T860+T861+T862+T864+T866+T870+T871+T872+T873+T877+T881+T882+T883+T886+T887+T888+T889+T893),IF(EnCMember=1,T840+T846+T879+T859+T869+T875+T876+T885+T892+T843+T845+T847+T852+T853+T854+T855+T856+T857+T858+T860+T861+T862+T864+T866+T870+T871+T872+T873+T877+T881+T882+T883+T886+T887+T888+T889,T843+T845+T847+T852+T853+T854+T855+T856+T857+T858+T860+T861+T862+T864+T866+T870+T871+T872+T873+T877+T881+T882+T883+T886+T887+T888+T889)),3)</f>
        <v>0</v>
      </c>
      <c r="U898" s="811">
        <f>ROUND(IF('Table 1'!$G$3&gt;1,IF(EnCMember=1,U840+U846+U879+U859+U869+U875+U876+U885+U892+U843+U845+U847+U852+U853+U854+U855+U856+U857+U858+U860+U861+U862+U864+U866+U870+U871+U872+U873+U877+U881+U882+U883+U886+U887+U888+U889+U893,U843+U845+U847+U852+U853+U854+U855+U856+U857+U858+U860+U861+U862+U864+U866+U870+U871+U872+U873+U877+U881+U882+U883+U886+U887+U888+U889+U893),IF(EnCMember=1,U840+U846+U879+U859+U869+U875+U876+U885+U892+U843+U845+U847+U852+U853+U854+U855+U856+U857+U858+U860+U861+U862+U864+U866+U870+U871+U872+U873+U877+U881+U882+U883+U886+U887+U888+U889,U843+U845+U847+U852+U853+U854+U855+U856+U857+U858+U860+U861+U862+U864+U866+U870+U871+U872+U873+U877+U881+U882+U883+U886+U887+U888+U889)),3)</f>
        <v>0</v>
      </c>
      <c r="V898" s="811">
        <f>ROUND(IF('Table 1'!$G$3&gt;1,IF(EnCMember=1,V840+V846+V879+V859+V869+V875+V876+V885+V892+V843+V845+V847+V852+V853+V854+V855+V856+V857+V858+V860+V861+V862+V864+V866+V870+V871+V872+V873+V877+V881+V882+V883+V886+V887+V888+V889+V893,V843+V845+V847+V852+V853+V854+V855+V856+V857+V858+V860+V861+V862+V864+V866+V870+V871+V872+V873+V877+V881+V882+V883+V886+V887+V888+V889+V893),IF(EnCMember=1,V840+V846+V879+V859+V869+V875+V876+V885+V892+V843+V845+V847+V852+V853+V854+V855+V856+V857+V858+V860+V861+V862+V864+V866+V870+V871+V872+V873+V877+V881+V882+V883+V886+V887+V888+V889,V843+V845+V847+V852+V853+V854+V855+V856+V857+V858+V860+V861+V862+V864+V866+V870+V871+V872+V873+V877+V881+V882+V883+V886+V887+V888+V889)),3)</f>
        <v>0</v>
      </c>
      <c r="W898" s="812">
        <f>ROUND(IF('Table 1'!$G$3&gt;1,IF(EnCMember=1,W840+W846+W879+W859+W869+W875+W876+W885+W892+W843+W845+W847+W852+W853+W854+W855+W856+W857+W858+W860+W861+W862+W864+W866+W870+W871+W872+W873+W877+W881+W882+W883+W886+W887+W888+W889+W893,W843+W845+W847+W852+W853+W854+W855+W856+W857+W858+W860+W861+W862+W864+W866+W870+W871+W872+W873+W877+W881+W882+W883+W886+W887+W888+W889+W893),IF(EnCMember=1,W840+W846+W879+W859+W869+W875+W876+W885+W892+W843+W845+W847+W852+W853+W854+W855+W856+W857+W858+W860+W861+W862+W864+W866+W870+W871+W872+W873+W877+W881+W882+W883+W886+W887+W888+W889,W843+W845+W847+W852+W853+W854+W855+W856+W857+W858+W860+W861+W862+W864+W866+W870+W871+W872+W873+W877+W881+W882+W883+W886+W887+W888+W889)),3)</f>
        <v>0</v>
      </c>
      <c r="X898" s="813">
        <f>ROUND(IF('Table 1'!$G$3&gt;1,IF(EnCMember=1,X840+X846+X879+X859+X869+X875+X876+X885+X892+X843+X845+X847+X852+X853+X854+X855+X856+X857+X858+X860+X861+X862+X864+X866+X870+X871+X872+X873+X877+X881+X882+X883+X886+X887+X888+X889+X893,X843+X845+X847+X852+X853+X854+X855+X856+X857+X858+X860+X861+X862+X864+X866+X870+X871+X872+X873+X877+X881+X882+X883+X886+X887+X888+X889+X893),IF(EnCMember=1,X840+X846+X879+X859+X869+X875+X876+X885+X892+X843+X845+X847+X852+X853+X854+X855+X856+X857+X858+X860+X861+X862+X864+X866+X870+X871+X872+X873+X877+X881+X882+X883+X886+X887+X888+X889,X843+X845+X847+X852+X853+X854+X855+X856+X857+X858+X860+X861+X862+X864+X866+X870+X871+X872+X873+X877+X881+X882+X883+X886+X887+X888+X889)),3)</f>
        <v>0</v>
      </c>
      <c r="Y898" s="811">
        <f>ROUND(IF('Table 1'!$G$3&gt;1,IF(EnCMember=1,Y840+Y846+Y879+Y859+Y869+Y875+Y876+Y885+Y892+Y843+Y845+Y847+Y852+Y853+Y854+Y855+Y856+Y857+Y858+Y860+Y861+Y862+Y864+Y866+Y870+Y871+Y872+Y873+Y877+Y881+Y882+Y883+Y886+Y887+Y888+Y889+Y893,Y843+Y845+Y847+Y852+Y853+Y854+Y855+Y856+Y857+Y858+Y860+Y861+Y862+Y864+Y866+Y870+Y871+Y872+Y873+Y877+Y881+Y882+Y883+Y886+Y887+Y888+Y889+Y893),IF(EnCMember=1,Y840+Y846+Y879+Y859+Y869+Y875+Y876+Y885+Y892+Y843+Y845+Y847+Y852+Y853+Y854+Y855+Y856+Y857+Y858+Y860+Y861+Y862+Y864+Y866+Y870+Y871+Y872+Y873+Y877+Y881+Y882+Y883+Y886+Y887+Y888+Y889,Y843+Y845+Y847+Y852+Y853+Y854+Y855+Y856+Y857+Y858+Y860+Y861+Y862+Y864+Y866+Y870+Y871+Y872+Y873+Y877+Y881+Y882+Y883+Y886+Y887+Y888+Y889)),3)</f>
        <v>0</v>
      </c>
      <c r="Z898" s="811">
        <f>ROUND(IF('Table 1'!$G$3&gt;1,IF(EnCMember=1,Z840+Z846+Z879+Z859+Z869+Z875+Z876+Z885+Z892+Z843+Z845+Z847+Z852+Z853+Z854+Z855+Z856+Z857+Z858+Z860+Z861+Z862+Z864+Z866+Z870+Z871+Z872+Z873+Z877+Z881+Z882+Z883+Z886+Z887+Z888+Z889+Z893,Z843+Z845+Z847+Z852+Z853+Z854+Z855+Z856+Z857+Z858+Z860+Z861+Z862+Z864+Z866+Z870+Z871+Z872+Z873+Z877+Z881+Z882+Z883+Z886+Z887+Z888+Z889+Z893),IF(EnCMember=1,Z840+Z846+Z879+Z859+Z869+Z875+Z876+Z885+Z892+Z843+Z845+Z847+Z852+Z853+Z854+Z855+Z856+Z857+Z858+Z860+Z861+Z862+Z864+Z866+Z870+Z871+Z872+Z873+Z877+Z881+Z882+Z883+Z886+Z887+Z888+Z889,Z843+Z845+Z847+Z852+Z853+Z854+Z855+Z856+Z857+Z858+Z860+Z861+Z862+Z864+Z866+Z870+Z871+Z872+Z873+Z877+Z881+Z882+Z883+Z886+Z887+Z888+Z889)),3)</f>
        <v>0</v>
      </c>
      <c r="AA898" s="811">
        <f>ROUND(IF('Table 1'!$G$3&gt;1,IF(EnCMember=1,AA840+AA846+AA879+AA859+AA869+AA875+AA876+AA885+AA892+AA843+AA845+AA847+AA852+AA853+AA854+AA855+AA856+AA857+AA858+AA860+AA861+AA862+AA864+AA866+AA870+AA871+AA872+AA873+AA877+AA881+AA882+AA883+AA886+AA887+AA888+AA889+AA893,AA843+AA845+AA847+AA852+AA853+AA854+AA855+AA856+AA857+AA858+AA860+AA861+AA862+AA864+AA866+AA870+AA871+AA872+AA873+AA877+AA881+AA882+AA883+AA886+AA887+AA888+AA889+AA893),IF(EnCMember=1,AA840+AA846+AA879+AA859+AA869+AA875+AA876+AA885+AA892+AA843+AA845+AA847+AA852+AA853+AA854+AA855+AA856+AA857+AA858+AA860+AA861+AA862+AA864+AA866+AA870+AA871+AA872+AA873+AA877+AA881+AA882+AA883+AA886+AA887+AA888+AA889,AA843+AA845+AA847+AA852+AA853+AA854+AA855+AA856+AA857+AA858+AA860+AA861+AA862+AA864+AA866+AA870+AA871+AA872+AA873+AA877+AA881+AA882+AA883+AA886+AA887+AA888+AA889)),3)</f>
        <v>0</v>
      </c>
      <c r="AB898" s="812">
        <f>ROUND(IF('Table 1'!$G$3&gt;1,IF(EnCMember=1,AB840+AB846+AB879+AB859+AB869+AB875+AB876+AB885+AB892+AB843+AB845+AB847+AB852+AB853+AB854+AB855+AB856+AB857+AB858+AB860+AB861+AB862+AB864+AB866+AB870+AB871+AB872+AB873+AB877+AB881+AB882+AB883+AB886+AB887+AB888+AB889+AB893,AB843+AB845+AB847+AB852+AB853+AB854+AB855+AB856+AB857+AB858+AB860+AB861+AB862+AB864+AB866+AB870+AB871+AB872+AB873+AB877+AB881+AB882+AB883+AB886+AB887+AB888+AB889+AB893),IF(EnCMember=1,AB840+AB846+AB879+AB859+AB869+AB875+AB876+AB885+AB892+AB843+AB845+AB847+AB852+AB853+AB854+AB855+AB856+AB857+AB858+AB860+AB861+AB862+AB864+AB866+AB870+AB871+AB872+AB873+AB877+AB881+AB882+AB883+AB886+AB887+AB888+AB889,AB843+AB845+AB847+AB852+AB853+AB854+AB855+AB856+AB857+AB858+AB860+AB861+AB862+AB864+AB866+AB870+AB871+AB872+AB873+AB877+AB881+AB882+AB883+AB886+AB887+AB888+AB889)),3)</f>
        <v>0</v>
      </c>
      <c r="AC898" s="813">
        <f>ROUND(IF('Table 1'!$G$3&gt;1,IF(EnCMember=1,AC840+AC846+AC879+AC859+AC869+AC875+AC876+AC885+AC892+AC843+AC845+AC847+AC852+AC853+AC854+AC855+AC856+AC857+AC858+AC860+AC861+AC862+AC864+AC866+AC870+AC871+AC872+AC873+AC877+AC881+AC882+AC883+AC886+AC887+AC888+AC889+AC893,AC843+AC845+AC847+AC852+AC853+AC854+AC855+AC856+AC857+AC858+AC860+AC861+AC862+AC864+AC866+AC870+AC871+AC872+AC873+AC877+AC881+AC882+AC883+AC886+AC887+AC888+AC889+AC893),IF(EnCMember=1,AC840+AC846+AC879+AC859+AC869+AC875+AC876+AC885+AC892+AC843+AC845+AC847+AC852+AC853+AC854+AC855+AC856+AC857+AC858+AC860+AC861+AC862+AC864+AC866+AC870+AC871+AC872+AC873+AC877+AC881+AC882+AC883+AC886+AC887+AC888+AC889,AC843+AC845+AC847+AC852+AC853+AC854+AC855+AC856+AC857+AC858+AC860+AC861+AC862+AC864+AC866+AC870+AC871+AC872+AC873+AC877+AC881+AC882+AC883+AC886+AC887+AC888+AC889)),3)</f>
        <v>0</v>
      </c>
      <c r="AD898" s="811">
        <f>ROUND(IF('Table 1'!$G$3&gt;1,IF(EnCMember=1,AD840+AD846+AD879+AD859+AD869+AD875+AD876+AD885+AD892+AD843+AD845+AD847+AD852+AD853+AD854+AD855+AD856+AD857+AD858+AD860+AD861+AD862+AD864+AD866+AD870+AD871+AD872+AD873+AD877+AD881+AD882+AD883+AD886+AD887+AD888+AD889+AD893,AD843+AD845+AD847+AD852+AD853+AD854+AD855+AD856+AD857+AD858+AD860+AD861+AD862+AD864+AD866+AD870+AD871+AD872+AD873+AD877+AD881+AD882+AD883+AD886+AD887+AD888+AD889+AD893),IF(EnCMember=1,AD840+AD846+AD879+AD859+AD869+AD875+AD876+AD885+AD892+AD843+AD845+AD847+AD852+AD853+AD854+AD855+AD856+AD857+AD858+AD860+AD861+AD862+AD864+AD866+AD870+AD871+AD872+AD873+AD877+AD881+AD882+AD883+AD886+AD887+AD888+AD889,AD843+AD845+AD847+AD852+AD853+AD854+AD855+AD856+AD857+AD858+AD860+AD861+AD862+AD864+AD866+AD870+AD871+AD872+AD873+AD877+AD881+AD882+AD883+AD886+AD887+AD888+AD889)),3)</f>
        <v>0</v>
      </c>
      <c r="AE898" s="811">
        <f>ROUND(IF('Table 1'!$G$3&gt;1,IF(EnCMember=1,AE840+AE846+AE879+AE859+AE869+AE875+AE876+AE885+AE892+AE843+AE845+AE847+AE852+AE853+AE854+AE855+AE856+AE857+AE858+AE860+AE861+AE862+AE864+AE866+AE870+AE871+AE872+AE873+AE877+AE881+AE882+AE883+AE886+AE887+AE888+AE889+AE893,AE843+AE845+AE847+AE852+AE853+AE854+AE855+AE856+AE857+AE858+AE860+AE861+AE862+AE864+AE866+AE870+AE871+AE872+AE873+AE877+AE881+AE882+AE883+AE886+AE887+AE888+AE889+AE893),IF(EnCMember=1,AE840+AE846+AE879+AE859+AE869+AE875+AE876+AE885+AE892+AE843+AE845+AE847+AE852+AE853+AE854+AE855+AE856+AE857+AE858+AE860+AE861+AE862+AE864+AE866+AE870+AE871+AE872+AE873+AE877+AE881+AE882+AE883+AE886+AE887+AE888+AE889,AE843+AE845+AE847+AE852+AE853+AE854+AE855+AE856+AE857+AE858+AE860+AE861+AE862+AE864+AE866+AE870+AE871+AE872+AE873+AE877+AE881+AE882+AE883+AE886+AE887+AE888+AE889)),3)</f>
        <v>0</v>
      </c>
      <c r="AF898" s="812">
        <f>ROUND(IF('Table 1'!$G$3&gt;1,IF(EnCMember=1,AF840+AF846+AF879+AF859+AF869+AF875+AF876+AF885+AF892+AF843+AF845+AF847+AF852+AF853+AF854+AF855+AF856+AF857+AF858+AF860+AF861+AF862+AF864+AF866+AF870+AF871+AF872+AF873+AF877+AF881+AF882+AF883+AF886+AF887+AF888+AF889+AF893,AF843+AF845+AF847+AF852+AF853+AF854+AF855+AF856+AF857+AF858+AF860+AF861+AF862+AF864+AF866+AF870+AF871+AF872+AF873+AF877+AF881+AF882+AF883+AF886+AF887+AF888+AF889+AF893),IF(EnCMember=1,AF840+AF846+AF879+AF859+AF869+AF875+AF876+AF885+AF892+AF843+AF845+AF847+AF852+AF853+AF854+AF855+AF856+AF857+AF858+AF860+AF861+AF862+AF864+AF866+AF870+AF871+AF872+AF873+AF877+AF881+AF882+AF883+AF886+AF887+AF888+AF889,AF843+AF845+AF847+AF852+AF853+AF854+AF855+AF856+AF857+AF858+AF860+AF861+AF862+AF864+AF866+AF870+AF871+AF872+AF873+AF877+AF881+AF882+AF883+AF886+AF887+AF888+AF889)),3)</f>
        <v>0</v>
      </c>
      <c r="AG898" s="813">
        <f>ROUND(IF('Table 1'!$G$3&gt;1,IF(EnCMember=1,AG840+AG846+AG879+AG859+AG869+AG875+AG876+AG885+AG892+AG843+AG845+AG847+AG852+AG853+AG854+AG855+AG856+AG857+AG858+AG860+AG861+AG862+AG864+AG866+AG870+AG871+AG872+AG873+AG877+AG881+AG882+AG883+AG886+AG887+AG888+AG889+AG893,AG843+AG845+AG847+AG852+AG853+AG854+AG855+AG856+AG857+AG858+AG860+AG861+AG862+AG864+AG866+AG870+AG871+AG872+AG873+AG877+AG881+AG882+AG883+AG886+AG887+AG888+AG889+AG893),IF(EnCMember=1,AG840+AG846+AG879+AG859+AG869+AG875+AG876+AG885+AG892+AG843+AG845+AG847+AG852+AG853+AG854+AG855+AG856+AG857+AG858+AG860+AG861+AG862+AG864+AG866+AG870+AG871+AG872+AG873+AG877+AG881+AG882+AG883+AG886+AG887+AG888+AG889,AG843+AG845+AG847+AG852+AG853+AG854+AG855+AG856+AG857+AG858+AG860+AG861+AG862+AG864+AG866+AG870+AG871+AG872+AG873+AG877+AG881+AG882+AG883+AG886+AG887+AG888+AG889)),3)</f>
        <v>0</v>
      </c>
      <c r="AH898" s="811">
        <f>ROUND(IF('Table 1'!$G$3&gt;1,IF(EnCMember=1,AH840+AH846+AH879+AH859+AH869+AH875+AH876+AH885+AH892+AH843+AH845+AH847+AH852+AH853+AH854+AH855+AH856+AH857+AH858+AH860+AH861+AH862+AH864+AH866+AH870+AH871+AH872+AH873+AH877+AH881+AH882+AH883+AH886+AH887+AH888+AH889+AH893,AH843+AH845+AH847+AH852+AH853+AH854+AH855+AH856+AH857+AH858+AH860+AH861+AH862+AH864+AH866+AH870+AH871+AH872+AH873+AH877+AH881+AH882+AH883+AH886+AH887+AH888+AH889+AH893),IF(EnCMember=1,AH840+AH846+AH879+AH859+AH869+AH875+AH876+AH885+AH892+AH843+AH845+AH847+AH852+AH853+AH854+AH855+AH856+AH857+AH858+AH860+AH861+AH862+AH864+AH866+AH870+AH871+AH872+AH873+AH877+AH881+AH882+AH883+AH886+AH887+AH888+AH889,AH843+AH845+AH847+AH852+AH853+AH854+AH855+AH856+AH857+AH858+AH860+AH861+AH862+AH864+AH866+AH870+AH871+AH872+AH873+AH877+AH881+AH882+AH883+AH886+AH887+AH888+AH889)),3)</f>
        <v>0</v>
      </c>
      <c r="AI898" s="811">
        <f>ROUND(IF('Table 1'!$G$3&gt;1,IF(EnCMember=1,AI840+AI846+AI879+AI859+AI869+AI875+AI876+AI885+AI892+AI843+AI845+AI847+AI852+AI853+AI854+AI855+AI856+AI857+AI858+AI860+AI861+AI862+AI864+AI866+AI870+AI871+AI872+AI873+AI877+AI881+AI882+AI883+AI886+AI887+AI888+AI889+AI893,AI843+AI845+AI847+AI852+AI853+AI854+AI855+AI856+AI857+AI858+AI860+AI861+AI862+AI864+AI866+AI870+AI871+AI872+AI873+AI877+AI881+AI882+AI883+AI886+AI887+AI888+AI889+AI893),IF(EnCMember=1,AI840+AI846+AI879+AI859+AI869+AI875+AI876+AI885+AI892+AI843+AI845+AI847+AI852+AI853+AI854+AI855+AI856+AI857+AI858+AI860+AI861+AI862+AI864+AI866+AI870+AI871+AI872+AI873+AI877+AI881+AI882+AI883+AI886+AI887+AI888+AI889,AI843+AI845+AI847+AI852+AI853+AI854+AI855+AI856+AI857+AI858+AI860+AI861+AI862+AI864+AI866+AI870+AI871+AI872+AI873+AI877+AI881+AI882+AI883+AI886+AI887+AI888+AI889)),3)</f>
        <v>0</v>
      </c>
      <c r="AJ898" s="816">
        <f>ROUND(IF('Table 1'!$G$3&gt;1,IF(EnCMember=1,AJ840+AJ846+AJ879+AJ859+AJ869+AJ875+AJ876+AJ885+AJ892+AJ843+AJ845+AJ847+AJ852+AJ853+AJ854+AJ855+AJ856+AJ857+AJ858+AJ860+AJ861+AJ862+AJ864+AJ866+AJ870+AJ871+AJ872+AJ873+AJ877+AJ881+AJ882+AJ883+AJ886+AJ887+AJ888+AJ889+AJ893,AJ843+AJ845+AJ847+AJ852+AJ853+AJ854+AJ855+AJ856+AJ857+AJ858+AJ860+AJ861+AJ862+AJ864+AJ866+AJ870+AJ871+AJ872+AJ873+AJ877+AJ881+AJ882+AJ883+AJ886+AJ887+AJ888+AJ889+AJ893),IF(EnCMember=1,AJ840+AJ846+AJ879+AJ859+AJ869+AJ875+AJ876+AJ885+AJ892+AJ843+AJ845+AJ847+AJ852+AJ853+AJ854+AJ855+AJ856+AJ857+AJ858+AJ860+AJ861+AJ862+AJ864+AJ866+AJ870+AJ871+AJ872+AJ873+AJ877+AJ881+AJ882+AJ883+AJ886+AJ887+AJ888+AJ889,AJ843+AJ845+AJ847+AJ852+AJ853+AJ854+AJ855+AJ856+AJ857+AJ858+AJ860+AJ861+AJ862+AJ864+AJ866+AJ870+AJ871+AJ872+AJ873+AJ877+AJ881+AJ882+AJ883+AJ886+AJ887+AJ888+AJ889)),3)</f>
        <v>0</v>
      </c>
    </row>
    <row r="902" spans="3:36" x14ac:dyDescent="0.2">
      <c r="C902" s="5" t="s">
        <v>889</v>
      </c>
      <c r="D902" s="24"/>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2"/>
      <c r="AJ902" s="25" t="s">
        <v>108</v>
      </c>
    </row>
    <row r="903" spans="3:36" ht="12.75" customHeight="1" x14ac:dyDescent="0.2">
      <c r="C903" s="242"/>
      <c r="D903" s="203"/>
      <c r="E903" s="1106" t="s">
        <v>656</v>
      </c>
      <c r="F903" s="1106" t="s">
        <v>657</v>
      </c>
      <c r="G903" s="1106" t="s">
        <v>647</v>
      </c>
      <c r="H903" s="1158" t="s">
        <v>666</v>
      </c>
      <c r="I903" s="281"/>
      <c r="J903" s="1150" t="s">
        <v>885</v>
      </c>
      <c r="K903" s="1110" t="s">
        <v>645</v>
      </c>
      <c r="L903" s="1122" t="s">
        <v>8</v>
      </c>
      <c r="M903" s="1124" t="s">
        <v>9</v>
      </c>
      <c r="N903" s="1126" t="s">
        <v>10</v>
      </c>
      <c r="O903" s="1114" t="s">
        <v>659</v>
      </c>
      <c r="P903" s="329"/>
      <c r="Q903" s="190"/>
      <c r="R903" s="1122" t="s">
        <v>660</v>
      </c>
      <c r="S903" s="1124" t="s">
        <v>661</v>
      </c>
      <c r="T903" s="1116" t="s">
        <v>668</v>
      </c>
      <c r="U903" s="191"/>
      <c r="V903" s="192"/>
      <c r="W903" s="1126" t="s">
        <v>664</v>
      </c>
      <c r="X903" s="193"/>
      <c r="Y903" s="190"/>
      <c r="Z903" s="1118" t="s">
        <v>670</v>
      </c>
      <c r="AA903" s="190"/>
      <c r="AB903" s="190"/>
      <c r="AC903" s="1114" t="s">
        <v>628</v>
      </c>
      <c r="AD903" s="190"/>
      <c r="AE903" s="190"/>
      <c r="AF903" s="190"/>
      <c r="AG903" s="1122" t="s">
        <v>629</v>
      </c>
      <c r="AH903" s="1150" t="s">
        <v>630</v>
      </c>
      <c r="AI903" s="1120" t="s">
        <v>631</v>
      </c>
      <c r="AJ903" s="1120" t="s">
        <v>679</v>
      </c>
    </row>
    <row r="904" spans="3:36" ht="56.25" x14ac:dyDescent="0.2">
      <c r="C904" s="201"/>
      <c r="D904" s="202"/>
      <c r="E904" s="1107"/>
      <c r="F904" s="1107"/>
      <c r="G904" s="1107"/>
      <c r="H904" s="1159"/>
      <c r="I904" s="99" t="s">
        <v>667</v>
      </c>
      <c r="J904" s="1138"/>
      <c r="K904" s="1111"/>
      <c r="L904" s="1123"/>
      <c r="M904" s="1125"/>
      <c r="N904" s="1127"/>
      <c r="O904" s="1115"/>
      <c r="P904" s="184" t="s">
        <v>623</v>
      </c>
      <c r="Q904" s="185" t="s">
        <v>626</v>
      </c>
      <c r="R904" s="1123"/>
      <c r="S904" s="1125"/>
      <c r="T904" s="1117"/>
      <c r="U904" s="186" t="s">
        <v>662</v>
      </c>
      <c r="V904" s="187" t="s">
        <v>663</v>
      </c>
      <c r="W904" s="1127"/>
      <c r="X904" s="188" t="s">
        <v>627</v>
      </c>
      <c r="Y904" s="189" t="s">
        <v>669</v>
      </c>
      <c r="Z904" s="1119"/>
      <c r="AA904" s="184" t="s">
        <v>624</v>
      </c>
      <c r="AB904" s="186" t="s">
        <v>671</v>
      </c>
      <c r="AC904" s="1115"/>
      <c r="AD904" s="187" t="s">
        <v>674</v>
      </c>
      <c r="AE904" s="186" t="s">
        <v>1411</v>
      </c>
      <c r="AF904" s="196" t="s">
        <v>872</v>
      </c>
      <c r="AG904" s="1123"/>
      <c r="AH904" s="1138"/>
      <c r="AI904" s="1121"/>
      <c r="AJ904" s="1121"/>
    </row>
    <row r="905" spans="3:36" x14ac:dyDescent="0.2">
      <c r="C905" s="97"/>
      <c r="D905" s="98"/>
      <c r="E905" s="87" t="s">
        <v>152</v>
      </c>
      <c r="F905" s="86" t="s">
        <v>153</v>
      </c>
      <c r="G905" s="86" t="s">
        <v>154</v>
      </c>
      <c r="H905" s="180" t="s">
        <v>155</v>
      </c>
      <c r="I905" s="198" t="s">
        <v>156</v>
      </c>
      <c r="J905" s="198" t="s">
        <v>157</v>
      </c>
      <c r="K905" s="199" t="s">
        <v>158</v>
      </c>
      <c r="L905" s="87" t="s">
        <v>159</v>
      </c>
      <c r="M905" s="87" t="s">
        <v>160</v>
      </c>
      <c r="N905" s="96" t="s">
        <v>161</v>
      </c>
      <c r="O905" s="179" t="s">
        <v>162</v>
      </c>
      <c r="P905" s="198" t="s">
        <v>163</v>
      </c>
      <c r="Q905" s="89" t="s">
        <v>164</v>
      </c>
      <c r="R905" s="95" t="s">
        <v>165</v>
      </c>
      <c r="S905" s="177" t="s">
        <v>166</v>
      </c>
      <c r="T905" s="180" t="s">
        <v>167</v>
      </c>
      <c r="U905" s="198" t="s">
        <v>168</v>
      </c>
      <c r="V905" s="86" t="s">
        <v>169</v>
      </c>
      <c r="W905" s="94" t="s">
        <v>170</v>
      </c>
      <c r="X905" s="87" t="s">
        <v>171</v>
      </c>
      <c r="Y905" s="101" t="s">
        <v>172</v>
      </c>
      <c r="Z905" s="176" t="s">
        <v>173</v>
      </c>
      <c r="AA905" s="200" t="s">
        <v>174</v>
      </c>
      <c r="AB905" s="89" t="s">
        <v>175</v>
      </c>
      <c r="AC905" s="179" t="s">
        <v>176</v>
      </c>
      <c r="AD905" s="200" t="s">
        <v>177</v>
      </c>
      <c r="AE905" s="200" t="s">
        <v>181</v>
      </c>
      <c r="AF905" s="89" t="s">
        <v>417</v>
      </c>
      <c r="AG905" s="178" t="s">
        <v>672</v>
      </c>
      <c r="AH905" s="89" t="s">
        <v>678</v>
      </c>
      <c r="AI905" s="90" t="s">
        <v>499</v>
      </c>
      <c r="AJ905" s="90" t="s">
        <v>680</v>
      </c>
    </row>
    <row r="906" spans="3:36" x14ac:dyDescent="0.2">
      <c r="C906" s="225" t="s">
        <v>930</v>
      </c>
      <c r="D906" s="426">
        <v>1</v>
      </c>
      <c r="E906" s="952"/>
      <c r="F906" s="952"/>
      <c r="G906" s="952"/>
      <c r="H906" s="981"/>
      <c r="I906" s="952"/>
      <c r="J906" s="952"/>
      <c r="K906" s="940">
        <f t="shared" ref="K906:K941" si="128">ROUND(SUM(E906:H906,J906),3)</f>
        <v>0</v>
      </c>
      <c r="L906" s="949"/>
      <c r="M906" s="949"/>
      <c r="N906" s="952"/>
      <c r="O906" s="927"/>
      <c r="P906" s="949"/>
      <c r="Q906" s="950"/>
      <c r="R906" s="949"/>
      <c r="S906" s="949"/>
      <c r="T906" s="907"/>
      <c r="U906" s="952"/>
      <c r="V906" s="952"/>
      <c r="W906" s="951"/>
      <c r="X906" s="949"/>
      <c r="Y906" s="948"/>
      <c r="Z906" s="909"/>
      <c r="AA906" s="952"/>
      <c r="AB906" s="950"/>
      <c r="AC906" s="927"/>
      <c r="AD906" s="952"/>
      <c r="AE906" s="1095"/>
      <c r="AF906" s="950"/>
      <c r="AG906" s="953"/>
      <c r="AH906" s="953"/>
      <c r="AI906" s="939">
        <f t="shared" ref="AI906:AI937" si="129">ROUND(SUM(L906:O906,R906:T906,W906,Z906,AC906,AG906:AH906),3)</f>
        <v>0</v>
      </c>
      <c r="AJ906" s="939">
        <f t="shared" ref="AJ906:AJ937" si="130">ROUND(SUM(K906,AI906),3)</f>
        <v>0</v>
      </c>
    </row>
    <row r="907" spans="3:36" x14ac:dyDescent="0.2">
      <c r="C907" s="225" t="s">
        <v>554</v>
      </c>
      <c r="D907" s="426">
        <v>2</v>
      </c>
      <c r="E907" s="952"/>
      <c r="F907" s="952"/>
      <c r="G907" s="952"/>
      <c r="H907" s="981"/>
      <c r="I907" s="952"/>
      <c r="J907" s="952"/>
      <c r="K907" s="940">
        <f t="shared" si="128"/>
        <v>0</v>
      </c>
      <c r="L907" s="949"/>
      <c r="M907" s="949"/>
      <c r="N907" s="952"/>
      <c r="O907" s="927"/>
      <c r="P907" s="949"/>
      <c r="Q907" s="950"/>
      <c r="R907" s="949"/>
      <c r="S907" s="949"/>
      <c r="T907" s="907"/>
      <c r="U907" s="952"/>
      <c r="V907" s="952"/>
      <c r="W907" s="951"/>
      <c r="X907" s="949"/>
      <c r="Y907" s="948"/>
      <c r="Z907" s="909"/>
      <c r="AA907" s="952"/>
      <c r="AB907" s="950"/>
      <c r="AC907" s="927"/>
      <c r="AD907" s="952"/>
      <c r="AE907" s="1095"/>
      <c r="AF907" s="950"/>
      <c r="AG907" s="953"/>
      <c r="AH907" s="953"/>
      <c r="AI907" s="939">
        <f t="shared" si="129"/>
        <v>0</v>
      </c>
      <c r="AJ907" s="939">
        <f t="shared" si="130"/>
        <v>0</v>
      </c>
    </row>
    <row r="908" spans="3:36" x14ac:dyDescent="0.2">
      <c r="C908" s="225" t="s">
        <v>115</v>
      </c>
      <c r="D908" s="426">
        <v>3</v>
      </c>
      <c r="E908" s="952"/>
      <c r="F908" s="952"/>
      <c r="G908" s="952"/>
      <c r="H908" s="981"/>
      <c r="I908" s="952"/>
      <c r="J908" s="952"/>
      <c r="K908" s="940">
        <f t="shared" si="128"/>
        <v>0</v>
      </c>
      <c r="L908" s="949"/>
      <c r="M908" s="949"/>
      <c r="N908" s="952"/>
      <c r="O908" s="927"/>
      <c r="P908" s="949"/>
      <c r="Q908" s="950"/>
      <c r="R908" s="949"/>
      <c r="S908" s="949"/>
      <c r="T908" s="907"/>
      <c r="U908" s="952"/>
      <c r="V908" s="952"/>
      <c r="W908" s="951"/>
      <c r="X908" s="949"/>
      <c r="Y908" s="948"/>
      <c r="Z908" s="909"/>
      <c r="AA908" s="952"/>
      <c r="AB908" s="950"/>
      <c r="AC908" s="927"/>
      <c r="AD908" s="952"/>
      <c r="AE908" s="1095"/>
      <c r="AF908" s="950"/>
      <c r="AG908" s="953"/>
      <c r="AH908" s="953"/>
      <c r="AI908" s="939">
        <f t="shared" si="129"/>
        <v>0</v>
      </c>
      <c r="AJ908" s="939">
        <f t="shared" si="130"/>
        <v>0</v>
      </c>
    </row>
    <row r="909" spans="3:36" x14ac:dyDescent="0.2">
      <c r="C909" s="225" t="s">
        <v>15</v>
      </c>
      <c r="D909" s="426">
        <v>4</v>
      </c>
      <c r="E909" s="952"/>
      <c r="F909" s="952"/>
      <c r="G909" s="952"/>
      <c r="H909" s="981"/>
      <c r="I909" s="952"/>
      <c r="J909" s="952"/>
      <c r="K909" s="940">
        <f t="shared" si="128"/>
        <v>0</v>
      </c>
      <c r="L909" s="949"/>
      <c r="M909" s="949"/>
      <c r="N909" s="952"/>
      <c r="O909" s="927"/>
      <c r="P909" s="949"/>
      <c r="Q909" s="950"/>
      <c r="R909" s="949"/>
      <c r="S909" s="949"/>
      <c r="T909" s="907"/>
      <c r="U909" s="952"/>
      <c r="V909" s="952"/>
      <c r="W909" s="951"/>
      <c r="X909" s="949"/>
      <c r="Y909" s="948"/>
      <c r="Z909" s="909"/>
      <c r="AA909" s="952"/>
      <c r="AB909" s="950"/>
      <c r="AC909" s="927"/>
      <c r="AD909" s="952"/>
      <c r="AE909" s="1095"/>
      <c r="AF909" s="950"/>
      <c r="AG909" s="953"/>
      <c r="AH909" s="953"/>
      <c r="AI909" s="939">
        <f t="shared" si="129"/>
        <v>0</v>
      </c>
      <c r="AJ909" s="939">
        <f t="shared" si="130"/>
        <v>0</v>
      </c>
    </row>
    <row r="910" spans="3:36" x14ac:dyDescent="0.2">
      <c r="C910" s="225" t="s">
        <v>556</v>
      </c>
      <c r="D910" s="426">
        <v>5</v>
      </c>
      <c r="E910" s="952"/>
      <c r="F910" s="952"/>
      <c r="G910" s="952"/>
      <c r="H910" s="981"/>
      <c r="I910" s="952"/>
      <c r="J910" s="952"/>
      <c r="K910" s="940">
        <f t="shared" si="128"/>
        <v>0</v>
      </c>
      <c r="L910" s="949"/>
      <c r="M910" s="949"/>
      <c r="N910" s="952"/>
      <c r="O910" s="927"/>
      <c r="P910" s="949"/>
      <c r="Q910" s="950"/>
      <c r="R910" s="949"/>
      <c r="S910" s="949"/>
      <c r="T910" s="907"/>
      <c r="U910" s="952"/>
      <c r="V910" s="952"/>
      <c r="W910" s="951"/>
      <c r="X910" s="949"/>
      <c r="Y910" s="948"/>
      <c r="Z910" s="909"/>
      <c r="AA910" s="952"/>
      <c r="AB910" s="950"/>
      <c r="AC910" s="927"/>
      <c r="AD910" s="952"/>
      <c r="AE910" s="1095"/>
      <c r="AF910" s="950"/>
      <c r="AG910" s="953"/>
      <c r="AH910" s="953"/>
      <c r="AI910" s="939">
        <f t="shared" si="129"/>
        <v>0</v>
      </c>
      <c r="AJ910" s="939">
        <f t="shared" si="130"/>
        <v>0</v>
      </c>
    </row>
    <row r="911" spans="3:36" x14ac:dyDescent="0.2">
      <c r="C911" s="225" t="s">
        <v>116</v>
      </c>
      <c r="D911" s="426">
        <v>6</v>
      </c>
      <c r="E911" s="952"/>
      <c r="F911" s="952"/>
      <c r="G911" s="952"/>
      <c r="H911" s="981"/>
      <c r="I911" s="952"/>
      <c r="J911" s="952"/>
      <c r="K911" s="940">
        <f t="shared" si="128"/>
        <v>0</v>
      </c>
      <c r="L911" s="949"/>
      <c r="M911" s="949"/>
      <c r="N911" s="952"/>
      <c r="O911" s="927"/>
      <c r="P911" s="949"/>
      <c r="Q911" s="950"/>
      <c r="R911" s="949"/>
      <c r="S911" s="949"/>
      <c r="T911" s="907"/>
      <c r="U911" s="952"/>
      <c r="V911" s="952"/>
      <c r="W911" s="951"/>
      <c r="X911" s="949"/>
      <c r="Y911" s="948"/>
      <c r="Z911" s="909"/>
      <c r="AA911" s="952"/>
      <c r="AB911" s="950"/>
      <c r="AC911" s="927"/>
      <c r="AD911" s="952"/>
      <c r="AE911" s="1095"/>
      <c r="AF911" s="950"/>
      <c r="AG911" s="953"/>
      <c r="AH911" s="953"/>
      <c r="AI911" s="939">
        <f t="shared" si="129"/>
        <v>0</v>
      </c>
      <c r="AJ911" s="939">
        <f t="shared" si="130"/>
        <v>0</v>
      </c>
    </row>
    <row r="912" spans="3:36" x14ac:dyDescent="0.2">
      <c r="C912" s="225" t="s">
        <v>595</v>
      </c>
      <c r="D912" s="426">
        <v>7</v>
      </c>
      <c r="E912" s="952"/>
      <c r="F912" s="952"/>
      <c r="G912" s="952"/>
      <c r="H912" s="981"/>
      <c r="I912" s="952"/>
      <c r="J912" s="952"/>
      <c r="K912" s="940">
        <f t="shared" si="128"/>
        <v>0</v>
      </c>
      <c r="L912" s="949"/>
      <c r="M912" s="949"/>
      <c r="N912" s="954"/>
      <c r="O912" s="927"/>
      <c r="P912" s="955"/>
      <c r="Q912" s="950"/>
      <c r="R912" s="949"/>
      <c r="S912" s="949"/>
      <c r="T912" s="907"/>
      <c r="U912" s="952"/>
      <c r="V912" s="952"/>
      <c r="W912" s="951"/>
      <c r="X912" s="949"/>
      <c r="Y912" s="948"/>
      <c r="Z912" s="909"/>
      <c r="AA912" s="952"/>
      <c r="AB912" s="950"/>
      <c r="AC912" s="927"/>
      <c r="AD912" s="952"/>
      <c r="AE912" s="1095"/>
      <c r="AF912" s="950"/>
      <c r="AG912" s="953"/>
      <c r="AH912" s="953"/>
      <c r="AI912" s="939">
        <f t="shared" si="129"/>
        <v>0</v>
      </c>
      <c r="AJ912" s="939">
        <f t="shared" si="130"/>
        <v>0</v>
      </c>
    </row>
    <row r="913" spans="3:36" x14ac:dyDescent="0.2">
      <c r="C913" s="225" t="s">
        <v>20</v>
      </c>
      <c r="D913" s="426">
        <v>8</v>
      </c>
      <c r="E913" s="952"/>
      <c r="F913" s="952"/>
      <c r="G913" s="952"/>
      <c r="H913" s="981"/>
      <c r="I913" s="952"/>
      <c r="J913" s="952"/>
      <c r="K913" s="940">
        <f t="shared" si="128"/>
        <v>0</v>
      </c>
      <c r="L913" s="949"/>
      <c r="M913" s="949"/>
      <c r="N913" s="954"/>
      <c r="O913" s="927"/>
      <c r="P913" s="955"/>
      <c r="Q913" s="950"/>
      <c r="R913" s="949"/>
      <c r="S913" s="949"/>
      <c r="T913" s="907"/>
      <c r="U913" s="952"/>
      <c r="V913" s="952"/>
      <c r="W913" s="951"/>
      <c r="X913" s="949"/>
      <c r="Y913" s="948"/>
      <c r="Z913" s="909"/>
      <c r="AA913" s="952"/>
      <c r="AB913" s="950"/>
      <c r="AC913" s="927"/>
      <c r="AD913" s="952"/>
      <c r="AE913" s="1095"/>
      <c r="AF913" s="950"/>
      <c r="AG913" s="953"/>
      <c r="AH913" s="953"/>
      <c r="AI913" s="939">
        <f t="shared" si="129"/>
        <v>0</v>
      </c>
      <c r="AJ913" s="939">
        <f t="shared" si="130"/>
        <v>0</v>
      </c>
    </row>
    <row r="914" spans="3:36" x14ac:dyDescent="0.2">
      <c r="C914" s="225" t="s">
        <v>117</v>
      </c>
      <c r="D914" s="426">
        <v>9</v>
      </c>
      <c r="E914" s="952"/>
      <c r="F914" s="952"/>
      <c r="G914" s="952"/>
      <c r="H914" s="981"/>
      <c r="I914" s="952"/>
      <c r="J914" s="952"/>
      <c r="K914" s="940">
        <f t="shared" si="128"/>
        <v>0</v>
      </c>
      <c r="L914" s="949"/>
      <c r="M914" s="949"/>
      <c r="N914" s="954"/>
      <c r="O914" s="927"/>
      <c r="P914" s="955"/>
      <c r="Q914" s="950"/>
      <c r="R914" s="949"/>
      <c r="S914" s="949"/>
      <c r="T914" s="907"/>
      <c r="U914" s="952"/>
      <c r="V914" s="952"/>
      <c r="W914" s="951"/>
      <c r="X914" s="949"/>
      <c r="Y914" s="948"/>
      <c r="Z914" s="909"/>
      <c r="AA914" s="952"/>
      <c r="AB914" s="950"/>
      <c r="AC914" s="927"/>
      <c r="AD914" s="952"/>
      <c r="AE914" s="1095"/>
      <c r="AF914" s="950"/>
      <c r="AG914" s="953"/>
      <c r="AH914" s="953"/>
      <c r="AI914" s="939">
        <f t="shared" si="129"/>
        <v>0</v>
      </c>
      <c r="AJ914" s="939">
        <f t="shared" si="130"/>
        <v>0</v>
      </c>
    </row>
    <row r="915" spans="3:36" x14ac:dyDescent="0.2">
      <c r="C915" s="225" t="s">
        <v>613</v>
      </c>
      <c r="D915" s="426">
        <v>10</v>
      </c>
      <c r="E915" s="952"/>
      <c r="F915" s="952"/>
      <c r="G915" s="952"/>
      <c r="H915" s="981"/>
      <c r="I915" s="952"/>
      <c r="J915" s="952"/>
      <c r="K915" s="940">
        <f t="shared" si="128"/>
        <v>0</v>
      </c>
      <c r="L915" s="949"/>
      <c r="M915" s="949"/>
      <c r="N915" s="954"/>
      <c r="O915" s="927"/>
      <c r="P915" s="955"/>
      <c r="Q915" s="950"/>
      <c r="R915" s="949"/>
      <c r="S915" s="949"/>
      <c r="T915" s="907"/>
      <c r="U915" s="952"/>
      <c r="V915" s="952"/>
      <c r="W915" s="951"/>
      <c r="X915" s="949"/>
      <c r="Y915" s="948"/>
      <c r="Z915" s="909"/>
      <c r="AA915" s="952"/>
      <c r="AB915" s="950"/>
      <c r="AC915" s="927"/>
      <c r="AD915" s="952"/>
      <c r="AE915" s="1095"/>
      <c r="AF915" s="950"/>
      <c r="AG915" s="953"/>
      <c r="AH915" s="953"/>
      <c r="AI915" s="939">
        <f t="shared" si="129"/>
        <v>0</v>
      </c>
      <c r="AJ915" s="939">
        <f t="shared" si="130"/>
        <v>0</v>
      </c>
    </row>
    <row r="916" spans="3:36" x14ac:dyDescent="0.2">
      <c r="C916" s="225" t="s">
        <v>23</v>
      </c>
      <c r="D916" s="426">
        <v>11</v>
      </c>
      <c r="E916" s="952"/>
      <c r="F916" s="952"/>
      <c r="G916" s="952"/>
      <c r="H916" s="981"/>
      <c r="I916" s="952"/>
      <c r="J916" s="952"/>
      <c r="K916" s="940">
        <f t="shared" si="128"/>
        <v>0</v>
      </c>
      <c r="L916" s="949"/>
      <c r="M916" s="949"/>
      <c r="N916" s="954"/>
      <c r="O916" s="927"/>
      <c r="P916" s="955"/>
      <c r="Q916" s="950"/>
      <c r="R916" s="949"/>
      <c r="S916" s="949"/>
      <c r="T916" s="907"/>
      <c r="U916" s="952"/>
      <c r="V916" s="952"/>
      <c r="W916" s="951"/>
      <c r="X916" s="949"/>
      <c r="Y916" s="948"/>
      <c r="Z916" s="909"/>
      <c r="AA916" s="952"/>
      <c r="AB916" s="950"/>
      <c r="AC916" s="927"/>
      <c r="AD916" s="952"/>
      <c r="AE916" s="1095"/>
      <c r="AF916" s="950"/>
      <c r="AG916" s="953"/>
      <c r="AH916" s="953"/>
      <c r="AI916" s="939">
        <f t="shared" si="129"/>
        <v>0</v>
      </c>
      <c r="AJ916" s="939">
        <f t="shared" si="130"/>
        <v>0</v>
      </c>
    </row>
    <row r="917" spans="3:36" x14ac:dyDescent="0.2">
      <c r="C917" s="225" t="s">
        <v>964</v>
      </c>
      <c r="D917" s="426">
        <v>12</v>
      </c>
      <c r="E917" s="952"/>
      <c r="F917" s="952"/>
      <c r="G917" s="952"/>
      <c r="H917" s="981"/>
      <c r="I917" s="952"/>
      <c r="J917" s="952"/>
      <c r="K917" s="940">
        <f t="shared" si="128"/>
        <v>0</v>
      </c>
      <c r="L917" s="949"/>
      <c r="M917" s="949"/>
      <c r="N917" s="954"/>
      <c r="O917" s="927"/>
      <c r="P917" s="955"/>
      <c r="Q917" s="950"/>
      <c r="R917" s="949"/>
      <c r="S917" s="949"/>
      <c r="T917" s="907"/>
      <c r="U917" s="952"/>
      <c r="V917" s="952"/>
      <c r="W917" s="951"/>
      <c r="X917" s="949"/>
      <c r="Y917" s="948"/>
      <c r="Z917" s="909"/>
      <c r="AA917" s="952"/>
      <c r="AB917" s="950"/>
      <c r="AC917" s="927"/>
      <c r="AD917" s="952"/>
      <c r="AE917" s="1095"/>
      <c r="AF917" s="950"/>
      <c r="AG917" s="953"/>
      <c r="AH917" s="953"/>
      <c r="AI917" s="939">
        <f t="shared" si="129"/>
        <v>0</v>
      </c>
      <c r="AJ917" s="939">
        <f t="shared" si="130"/>
        <v>0</v>
      </c>
    </row>
    <row r="918" spans="3:36" x14ac:dyDescent="0.2">
      <c r="C918" s="225" t="s">
        <v>567</v>
      </c>
      <c r="D918" s="426">
        <v>13</v>
      </c>
      <c r="E918" s="952"/>
      <c r="F918" s="952"/>
      <c r="G918" s="952"/>
      <c r="H918" s="981"/>
      <c r="I918" s="952"/>
      <c r="J918" s="952"/>
      <c r="K918" s="940">
        <f t="shared" si="128"/>
        <v>0</v>
      </c>
      <c r="L918" s="949"/>
      <c r="M918" s="949"/>
      <c r="N918" s="954"/>
      <c r="O918" s="927"/>
      <c r="P918" s="955"/>
      <c r="Q918" s="950"/>
      <c r="R918" s="949"/>
      <c r="S918" s="949"/>
      <c r="T918" s="907"/>
      <c r="U918" s="952"/>
      <c r="V918" s="952"/>
      <c r="W918" s="951"/>
      <c r="X918" s="949"/>
      <c r="Y918" s="948"/>
      <c r="Z918" s="909"/>
      <c r="AA918" s="952"/>
      <c r="AB918" s="950"/>
      <c r="AC918" s="927"/>
      <c r="AD918" s="952"/>
      <c r="AE918" s="1095"/>
      <c r="AF918" s="950"/>
      <c r="AG918" s="953"/>
      <c r="AH918" s="953"/>
      <c r="AI918" s="939">
        <f t="shared" si="129"/>
        <v>0</v>
      </c>
      <c r="AJ918" s="939">
        <f t="shared" si="130"/>
        <v>0</v>
      </c>
    </row>
    <row r="919" spans="3:36" x14ac:dyDescent="0.2">
      <c r="C919" s="225" t="s">
        <v>150</v>
      </c>
      <c r="D919" s="426">
        <v>14</v>
      </c>
      <c r="E919" s="952"/>
      <c r="F919" s="952"/>
      <c r="G919" s="952"/>
      <c r="H919" s="981"/>
      <c r="I919" s="952"/>
      <c r="J919" s="952"/>
      <c r="K919" s="940">
        <f t="shared" si="128"/>
        <v>0</v>
      </c>
      <c r="L919" s="949"/>
      <c r="M919" s="949"/>
      <c r="N919" s="954"/>
      <c r="O919" s="927"/>
      <c r="P919" s="955"/>
      <c r="Q919" s="950"/>
      <c r="R919" s="949"/>
      <c r="S919" s="949"/>
      <c r="T919" s="907"/>
      <c r="U919" s="952"/>
      <c r="V919" s="952"/>
      <c r="W919" s="951"/>
      <c r="X919" s="949"/>
      <c r="Y919" s="948"/>
      <c r="Z919" s="909"/>
      <c r="AA919" s="952"/>
      <c r="AB919" s="950"/>
      <c r="AC919" s="927"/>
      <c r="AD919" s="952"/>
      <c r="AE919" s="1095"/>
      <c r="AF919" s="950"/>
      <c r="AG919" s="953"/>
      <c r="AH919" s="953"/>
      <c r="AI919" s="939">
        <f t="shared" si="129"/>
        <v>0</v>
      </c>
      <c r="AJ919" s="939">
        <f t="shared" si="130"/>
        <v>0</v>
      </c>
    </row>
    <row r="920" spans="3:36" x14ac:dyDescent="0.2">
      <c r="C920" s="225" t="s">
        <v>25</v>
      </c>
      <c r="D920" s="426">
        <v>15</v>
      </c>
      <c r="E920" s="952"/>
      <c r="F920" s="952"/>
      <c r="G920" s="952"/>
      <c r="H920" s="981"/>
      <c r="I920" s="952"/>
      <c r="J920" s="952"/>
      <c r="K920" s="940">
        <f t="shared" si="128"/>
        <v>0</v>
      </c>
      <c r="L920" s="949"/>
      <c r="M920" s="949"/>
      <c r="N920" s="954"/>
      <c r="O920" s="927"/>
      <c r="P920" s="955"/>
      <c r="Q920" s="950"/>
      <c r="R920" s="949"/>
      <c r="S920" s="949"/>
      <c r="T920" s="907"/>
      <c r="U920" s="952"/>
      <c r="V920" s="952"/>
      <c r="W920" s="951"/>
      <c r="X920" s="949"/>
      <c r="Y920" s="948"/>
      <c r="Z920" s="909"/>
      <c r="AA920" s="952"/>
      <c r="AB920" s="950"/>
      <c r="AC920" s="927"/>
      <c r="AD920" s="952"/>
      <c r="AE920" s="1095"/>
      <c r="AF920" s="950"/>
      <c r="AG920" s="953"/>
      <c r="AH920" s="953"/>
      <c r="AI920" s="939">
        <f t="shared" si="129"/>
        <v>0</v>
      </c>
      <c r="AJ920" s="939">
        <f t="shared" si="130"/>
        <v>0</v>
      </c>
    </row>
    <row r="921" spans="3:36" x14ac:dyDescent="0.2">
      <c r="C921" s="225" t="s">
        <v>118</v>
      </c>
      <c r="D921" s="426">
        <v>16</v>
      </c>
      <c r="E921" s="952"/>
      <c r="F921" s="952"/>
      <c r="G921" s="952"/>
      <c r="H921" s="981"/>
      <c r="I921" s="952"/>
      <c r="J921" s="952"/>
      <c r="K921" s="940">
        <f t="shared" si="128"/>
        <v>0</v>
      </c>
      <c r="L921" s="949"/>
      <c r="M921" s="949"/>
      <c r="N921" s="954"/>
      <c r="O921" s="927"/>
      <c r="P921" s="955"/>
      <c r="Q921" s="950"/>
      <c r="R921" s="949"/>
      <c r="S921" s="949"/>
      <c r="T921" s="907"/>
      <c r="U921" s="952"/>
      <c r="V921" s="952"/>
      <c r="W921" s="951"/>
      <c r="X921" s="949"/>
      <c r="Y921" s="948"/>
      <c r="Z921" s="909"/>
      <c r="AA921" s="952"/>
      <c r="AB921" s="950"/>
      <c r="AC921" s="927"/>
      <c r="AD921" s="952"/>
      <c r="AE921" s="1095"/>
      <c r="AF921" s="950"/>
      <c r="AG921" s="953"/>
      <c r="AH921" s="953"/>
      <c r="AI921" s="939">
        <f t="shared" si="129"/>
        <v>0</v>
      </c>
      <c r="AJ921" s="939">
        <f t="shared" si="130"/>
        <v>0</v>
      </c>
    </row>
    <row r="922" spans="3:36" x14ac:dyDescent="0.2">
      <c r="C922" s="225" t="s">
        <v>557</v>
      </c>
      <c r="D922" s="426">
        <v>17</v>
      </c>
      <c r="E922" s="952"/>
      <c r="F922" s="952"/>
      <c r="G922" s="952"/>
      <c r="H922" s="981"/>
      <c r="I922" s="952"/>
      <c r="J922" s="952"/>
      <c r="K922" s="940">
        <f t="shared" si="128"/>
        <v>0</v>
      </c>
      <c r="L922" s="949"/>
      <c r="M922" s="949"/>
      <c r="N922" s="954"/>
      <c r="O922" s="927"/>
      <c r="P922" s="955"/>
      <c r="Q922" s="950"/>
      <c r="R922" s="949"/>
      <c r="S922" s="949"/>
      <c r="T922" s="907"/>
      <c r="U922" s="952"/>
      <c r="V922" s="952"/>
      <c r="W922" s="951"/>
      <c r="X922" s="949"/>
      <c r="Y922" s="948"/>
      <c r="Z922" s="909"/>
      <c r="AA922" s="952"/>
      <c r="AB922" s="950"/>
      <c r="AC922" s="927"/>
      <c r="AD922" s="952"/>
      <c r="AE922" s="1095"/>
      <c r="AF922" s="950"/>
      <c r="AG922" s="953"/>
      <c r="AH922" s="953"/>
      <c r="AI922" s="939">
        <f t="shared" si="129"/>
        <v>0</v>
      </c>
      <c r="AJ922" s="939">
        <f t="shared" si="130"/>
        <v>0</v>
      </c>
    </row>
    <row r="923" spans="3:36" x14ac:dyDescent="0.2">
      <c r="C923" s="225" t="s">
        <v>119</v>
      </c>
      <c r="D923" s="426">
        <v>18</v>
      </c>
      <c r="E923" s="952"/>
      <c r="F923" s="952"/>
      <c r="G923" s="952"/>
      <c r="H923" s="981"/>
      <c r="I923" s="952"/>
      <c r="J923" s="952"/>
      <c r="K923" s="940">
        <f t="shared" si="128"/>
        <v>0</v>
      </c>
      <c r="L923" s="949"/>
      <c r="M923" s="949"/>
      <c r="N923" s="954"/>
      <c r="O923" s="927"/>
      <c r="P923" s="955"/>
      <c r="Q923" s="950"/>
      <c r="R923" s="949"/>
      <c r="S923" s="949"/>
      <c r="T923" s="907"/>
      <c r="U923" s="952"/>
      <c r="V923" s="952"/>
      <c r="W923" s="951"/>
      <c r="X923" s="949"/>
      <c r="Y923" s="948"/>
      <c r="Z923" s="909"/>
      <c r="AA923" s="952"/>
      <c r="AB923" s="950"/>
      <c r="AC923" s="927"/>
      <c r="AD923" s="952"/>
      <c r="AE923" s="1095"/>
      <c r="AF923" s="950"/>
      <c r="AG923" s="953"/>
      <c r="AH923" s="953"/>
      <c r="AI923" s="939">
        <f t="shared" si="129"/>
        <v>0</v>
      </c>
      <c r="AJ923" s="939">
        <f t="shared" si="130"/>
        <v>0</v>
      </c>
    </row>
    <row r="924" spans="3:36" x14ac:dyDescent="0.2">
      <c r="C924" s="225" t="s">
        <v>30</v>
      </c>
      <c r="D924" s="426">
        <v>19</v>
      </c>
      <c r="E924" s="952"/>
      <c r="F924" s="952"/>
      <c r="G924" s="952"/>
      <c r="H924" s="981"/>
      <c r="I924" s="952"/>
      <c r="J924" s="952"/>
      <c r="K924" s="940">
        <f t="shared" si="128"/>
        <v>0</v>
      </c>
      <c r="L924" s="949"/>
      <c r="M924" s="949"/>
      <c r="N924" s="954"/>
      <c r="O924" s="927"/>
      <c r="P924" s="955"/>
      <c r="Q924" s="950"/>
      <c r="R924" s="949"/>
      <c r="S924" s="949"/>
      <c r="T924" s="907"/>
      <c r="U924" s="952"/>
      <c r="V924" s="952"/>
      <c r="W924" s="951"/>
      <c r="X924" s="949"/>
      <c r="Y924" s="948"/>
      <c r="Z924" s="909"/>
      <c r="AA924" s="952"/>
      <c r="AB924" s="950"/>
      <c r="AC924" s="927"/>
      <c r="AD924" s="952"/>
      <c r="AE924" s="1095"/>
      <c r="AF924" s="950"/>
      <c r="AG924" s="953"/>
      <c r="AH924" s="953"/>
      <c r="AI924" s="939">
        <f t="shared" si="129"/>
        <v>0</v>
      </c>
      <c r="AJ924" s="939">
        <f t="shared" si="130"/>
        <v>0</v>
      </c>
    </row>
    <row r="925" spans="3:36" x14ac:dyDescent="0.2">
      <c r="C925" s="225" t="s">
        <v>558</v>
      </c>
      <c r="D925" s="426">
        <v>20</v>
      </c>
      <c r="E925" s="952"/>
      <c r="F925" s="952"/>
      <c r="G925" s="952"/>
      <c r="H925" s="981"/>
      <c r="I925" s="952"/>
      <c r="J925" s="952"/>
      <c r="K925" s="940">
        <f t="shared" si="128"/>
        <v>0</v>
      </c>
      <c r="L925" s="949"/>
      <c r="M925" s="949"/>
      <c r="N925" s="954"/>
      <c r="O925" s="927"/>
      <c r="P925" s="955"/>
      <c r="Q925" s="950"/>
      <c r="R925" s="949"/>
      <c r="S925" s="949"/>
      <c r="T925" s="907"/>
      <c r="U925" s="952"/>
      <c r="V925" s="952"/>
      <c r="W925" s="951"/>
      <c r="X925" s="949"/>
      <c r="Y925" s="948"/>
      <c r="Z925" s="909"/>
      <c r="AA925" s="952"/>
      <c r="AB925" s="950"/>
      <c r="AC925" s="927"/>
      <c r="AD925" s="952"/>
      <c r="AE925" s="1095"/>
      <c r="AF925" s="950"/>
      <c r="AG925" s="953"/>
      <c r="AH925" s="953"/>
      <c r="AI925" s="939">
        <f t="shared" si="129"/>
        <v>0</v>
      </c>
      <c r="AJ925" s="939">
        <f t="shared" si="130"/>
        <v>0</v>
      </c>
    </row>
    <row r="926" spans="3:36" x14ac:dyDescent="0.2">
      <c r="C926" s="225" t="s">
        <v>120</v>
      </c>
      <c r="D926" s="426">
        <v>21</v>
      </c>
      <c r="E926" s="952"/>
      <c r="F926" s="952"/>
      <c r="G926" s="952"/>
      <c r="H926" s="981"/>
      <c r="I926" s="952"/>
      <c r="J926" s="952"/>
      <c r="K926" s="940">
        <f t="shared" si="128"/>
        <v>0</v>
      </c>
      <c r="L926" s="949"/>
      <c r="M926" s="949"/>
      <c r="N926" s="954"/>
      <c r="O926" s="927"/>
      <c r="P926" s="955"/>
      <c r="Q926" s="950"/>
      <c r="R926" s="949"/>
      <c r="S926" s="949"/>
      <c r="T926" s="907"/>
      <c r="U926" s="952"/>
      <c r="V926" s="952"/>
      <c r="W926" s="951"/>
      <c r="X926" s="949"/>
      <c r="Y926" s="948"/>
      <c r="Z926" s="909"/>
      <c r="AA926" s="952"/>
      <c r="AB926" s="950"/>
      <c r="AC926" s="927"/>
      <c r="AD926" s="952"/>
      <c r="AE926" s="1095"/>
      <c r="AF926" s="950"/>
      <c r="AG926" s="953"/>
      <c r="AH926" s="953"/>
      <c r="AI926" s="939">
        <f t="shared" si="129"/>
        <v>0</v>
      </c>
      <c r="AJ926" s="939">
        <f t="shared" si="130"/>
        <v>0</v>
      </c>
    </row>
    <row r="927" spans="3:36" x14ac:dyDescent="0.2">
      <c r="C927" s="225" t="s">
        <v>121</v>
      </c>
      <c r="D927" s="426">
        <v>22</v>
      </c>
      <c r="E927" s="952"/>
      <c r="F927" s="952"/>
      <c r="G927" s="952"/>
      <c r="H927" s="981"/>
      <c r="I927" s="952"/>
      <c r="J927" s="952"/>
      <c r="K927" s="940">
        <f t="shared" si="128"/>
        <v>0</v>
      </c>
      <c r="L927" s="949"/>
      <c r="M927" s="949"/>
      <c r="N927" s="954"/>
      <c r="O927" s="927"/>
      <c r="P927" s="955"/>
      <c r="Q927" s="950"/>
      <c r="R927" s="949"/>
      <c r="S927" s="949"/>
      <c r="T927" s="907"/>
      <c r="U927" s="952"/>
      <c r="V927" s="952"/>
      <c r="W927" s="951"/>
      <c r="X927" s="949"/>
      <c r="Y927" s="948"/>
      <c r="Z927" s="909"/>
      <c r="AA927" s="952"/>
      <c r="AB927" s="950"/>
      <c r="AC927" s="927"/>
      <c r="AD927" s="952"/>
      <c r="AE927" s="1095"/>
      <c r="AF927" s="950"/>
      <c r="AG927" s="953"/>
      <c r="AH927" s="953"/>
      <c r="AI927" s="939">
        <f t="shared" si="129"/>
        <v>0</v>
      </c>
      <c r="AJ927" s="939">
        <f t="shared" si="130"/>
        <v>0</v>
      </c>
    </row>
    <row r="928" spans="3:36" x14ac:dyDescent="0.2">
      <c r="C928" s="225" t="s">
        <v>122</v>
      </c>
      <c r="D928" s="426">
        <v>23</v>
      </c>
      <c r="E928" s="952"/>
      <c r="F928" s="952"/>
      <c r="G928" s="952"/>
      <c r="H928" s="981"/>
      <c r="I928" s="952"/>
      <c r="J928" s="952"/>
      <c r="K928" s="940">
        <f t="shared" si="128"/>
        <v>0</v>
      </c>
      <c r="L928" s="949"/>
      <c r="M928" s="949"/>
      <c r="N928" s="954"/>
      <c r="O928" s="927"/>
      <c r="P928" s="955"/>
      <c r="Q928" s="950"/>
      <c r="R928" s="949"/>
      <c r="S928" s="949"/>
      <c r="T928" s="907"/>
      <c r="U928" s="952"/>
      <c r="V928" s="952"/>
      <c r="W928" s="951"/>
      <c r="X928" s="949"/>
      <c r="Y928" s="948"/>
      <c r="Z928" s="909"/>
      <c r="AA928" s="952"/>
      <c r="AB928" s="950"/>
      <c r="AC928" s="927"/>
      <c r="AD928" s="952"/>
      <c r="AE928" s="1095"/>
      <c r="AF928" s="950"/>
      <c r="AG928" s="953"/>
      <c r="AH928" s="953"/>
      <c r="AI928" s="939">
        <f t="shared" si="129"/>
        <v>0</v>
      </c>
      <c r="AJ928" s="939">
        <f t="shared" si="130"/>
        <v>0</v>
      </c>
    </row>
    <row r="929" spans="3:36" x14ac:dyDescent="0.2">
      <c r="C929" s="225" t="s">
        <v>123</v>
      </c>
      <c r="D929" s="426">
        <v>24</v>
      </c>
      <c r="E929" s="952"/>
      <c r="F929" s="952"/>
      <c r="G929" s="952"/>
      <c r="H929" s="981"/>
      <c r="I929" s="952"/>
      <c r="J929" s="952"/>
      <c r="K929" s="940">
        <f t="shared" si="128"/>
        <v>0</v>
      </c>
      <c r="L929" s="949"/>
      <c r="M929" s="949"/>
      <c r="N929" s="954"/>
      <c r="O929" s="927"/>
      <c r="P929" s="955"/>
      <c r="Q929" s="950"/>
      <c r="R929" s="949"/>
      <c r="S929" s="949"/>
      <c r="T929" s="907"/>
      <c r="U929" s="952"/>
      <c r="V929" s="952"/>
      <c r="W929" s="951"/>
      <c r="X929" s="949"/>
      <c r="Y929" s="948"/>
      <c r="Z929" s="909"/>
      <c r="AA929" s="952"/>
      <c r="AB929" s="950"/>
      <c r="AC929" s="927"/>
      <c r="AD929" s="952"/>
      <c r="AE929" s="1095"/>
      <c r="AF929" s="950"/>
      <c r="AG929" s="953"/>
      <c r="AH929" s="953"/>
      <c r="AI929" s="939">
        <f t="shared" si="129"/>
        <v>0</v>
      </c>
      <c r="AJ929" s="939">
        <f t="shared" si="130"/>
        <v>0</v>
      </c>
    </row>
    <row r="930" spans="3:36" x14ac:dyDescent="0.2">
      <c r="C930" s="225" t="s">
        <v>124</v>
      </c>
      <c r="D930" s="426">
        <v>25</v>
      </c>
      <c r="E930" s="952"/>
      <c r="F930" s="952"/>
      <c r="G930" s="952"/>
      <c r="H930" s="981"/>
      <c r="I930" s="952"/>
      <c r="J930" s="952"/>
      <c r="K930" s="940">
        <f t="shared" si="128"/>
        <v>0</v>
      </c>
      <c r="L930" s="949"/>
      <c r="M930" s="949"/>
      <c r="N930" s="954"/>
      <c r="O930" s="927"/>
      <c r="P930" s="955"/>
      <c r="Q930" s="950"/>
      <c r="R930" s="949"/>
      <c r="S930" s="949"/>
      <c r="T930" s="907"/>
      <c r="U930" s="952"/>
      <c r="V930" s="952"/>
      <c r="W930" s="951"/>
      <c r="X930" s="949"/>
      <c r="Y930" s="948"/>
      <c r="Z930" s="909"/>
      <c r="AA930" s="952"/>
      <c r="AB930" s="950"/>
      <c r="AC930" s="927"/>
      <c r="AD930" s="952"/>
      <c r="AE930" s="1095"/>
      <c r="AF930" s="950"/>
      <c r="AG930" s="953"/>
      <c r="AH930" s="953"/>
      <c r="AI930" s="939">
        <f t="shared" si="129"/>
        <v>0</v>
      </c>
      <c r="AJ930" s="939">
        <f t="shared" si="130"/>
        <v>0</v>
      </c>
    </row>
    <row r="931" spans="3:36" x14ac:dyDescent="0.2">
      <c r="C931" s="225" t="s">
        <v>97</v>
      </c>
      <c r="D931" s="426">
        <v>26</v>
      </c>
      <c r="E931" s="952"/>
      <c r="F931" s="952"/>
      <c r="G931" s="952"/>
      <c r="H931" s="981"/>
      <c r="I931" s="952"/>
      <c r="J931" s="952"/>
      <c r="K931" s="940">
        <f t="shared" si="128"/>
        <v>0</v>
      </c>
      <c r="L931" s="949"/>
      <c r="M931" s="949"/>
      <c r="N931" s="954"/>
      <c r="O931" s="927"/>
      <c r="P931" s="955"/>
      <c r="Q931" s="950"/>
      <c r="R931" s="949"/>
      <c r="S931" s="949"/>
      <c r="T931" s="907"/>
      <c r="U931" s="952"/>
      <c r="V931" s="952"/>
      <c r="W931" s="951"/>
      <c r="X931" s="949"/>
      <c r="Y931" s="948"/>
      <c r="Z931" s="909"/>
      <c r="AA931" s="952"/>
      <c r="AB931" s="950"/>
      <c r="AC931" s="927"/>
      <c r="AD931" s="952"/>
      <c r="AE931" s="1095"/>
      <c r="AF931" s="950"/>
      <c r="AG931" s="953"/>
      <c r="AH931" s="953"/>
      <c r="AI931" s="939">
        <f t="shared" si="129"/>
        <v>0</v>
      </c>
      <c r="AJ931" s="939">
        <f t="shared" si="130"/>
        <v>0</v>
      </c>
    </row>
    <row r="932" spans="3:36" x14ac:dyDescent="0.2">
      <c r="C932" s="225" t="s">
        <v>125</v>
      </c>
      <c r="D932" s="426">
        <v>27</v>
      </c>
      <c r="E932" s="952"/>
      <c r="F932" s="952"/>
      <c r="G932" s="952"/>
      <c r="H932" s="981"/>
      <c r="I932" s="952"/>
      <c r="J932" s="952"/>
      <c r="K932" s="940">
        <f t="shared" si="128"/>
        <v>0</v>
      </c>
      <c r="L932" s="949"/>
      <c r="M932" s="949"/>
      <c r="N932" s="954"/>
      <c r="O932" s="927"/>
      <c r="P932" s="955"/>
      <c r="Q932" s="950"/>
      <c r="R932" s="949"/>
      <c r="S932" s="949"/>
      <c r="T932" s="907"/>
      <c r="U932" s="952"/>
      <c r="V932" s="952"/>
      <c r="W932" s="951"/>
      <c r="X932" s="949"/>
      <c r="Y932" s="948"/>
      <c r="Z932" s="909"/>
      <c r="AA932" s="952"/>
      <c r="AB932" s="950"/>
      <c r="AC932" s="927"/>
      <c r="AD932" s="952"/>
      <c r="AE932" s="1095"/>
      <c r="AF932" s="950"/>
      <c r="AG932" s="953"/>
      <c r="AH932" s="953"/>
      <c r="AI932" s="939">
        <f t="shared" si="129"/>
        <v>0</v>
      </c>
      <c r="AJ932" s="939">
        <f t="shared" si="130"/>
        <v>0</v>
      </c>
    </row>
    <row r="933" spans="3:36" x14ac:dyDescent="0.2">
      <c r="C933" s="225" t="s">
        <v>126</v>
      </c>
      <c r="D933" s="426">
        <v>28</v>
      </c>
      <c r="E933" s="952"/>
      <c r="F933" s="952"/>
      <c r="G933" s="952"/>
      <c r="H933" s="981"/>
      <c r="I933" s="952"/>
      <c r="J933" s="952"/>
      <c r="K933" s="940">
        <f t="shared" si="128"/>
        <v>0</v>
      </c>
      <c r="L933" s="949"/>
      <c r="M933" s="949"/>
      <c r="N933" s="954"/>
      <c r="O933" s="927"/>
      <c r="P933" s="955"/>
      <c r="Q933" s="950"/>
      <c r="R933" s="949"/>
      <c r="S933" s="949"/>
      <c r="T933" s="907"/>
      <c r="U933" s="952"/>
      <c r="V933" s="952"/>
      <c r="W933" s="951"/>
      <c r="X933" s="949"/>
      <c r="Y933" s="948"/>
      <c r="Z933" s="909"/>
      <c r="AA933" s="952"/>
      <c r="AB933" s="950"/>
      <c r="AC933" s="927"/>
      <c r="AD933" s="952"/>
      <c r="AE933" s="1095"/>
      <c r="AF933" s="950"/>
      <c r="AG933" s="953"/>
      <c r="AH933" s="953"/>
      <c r="AI933" s="939">
        <f t="shared" si="129"/>
        <v>0</v>
      </c>
      <c r="AJ933" s="939">
        <f t="shared" si="130"/>
        <v>0</v>
      </c>
    </row>
    <row r="934" spans="3:36" x14ac:dyDescent="0.2">
      <c r="C934" s="225" t="s">
        <v>127</v>
      </c>
      <c r="D934" s="426">
        <v>29</v>
      </c>
      <c r="E934" s="952"/>
      <c r="F934" s="952"/>
      <c r="G934" s="952"/>
      <c r="H934" s="981"/>
      <c r="I934" s="952"/>
      <c r="J934" s="952"/>
      <c r="K934" s="940">
        <f t="shared" si="128"/>
        <v>0</v>
      </c>
      <c r="L934" s="949"/>
      <c r="M934" s="949"/>
      <c r="N934" s="954"/>
      <c r="O934" s="927"/>
      <c r="P934" s="955"/>
      <c r="Q934" s="950"/>
      <c r="R934" s="949"/>
      <c r="S934" s="949"/>
      <c r="T934" s="907"/>
      <c r="U934" s="952"/>
      <c r="V934" s="952"/>
      <c r="W934" s="951"/>
      <c r="X934" s="949"/>
      <c r="Y934" s="948"/>
      <c r="Z934" s="909"/>
      <c r="AA934" s="952"/>
      <c r="AB934" s="950"/>
      <c r="AC934" s="927"/>
      <c r="AD934" s="952"/>
      <c r="AE934" s="1095"/>
      <c r="AF934" s="950"/>
      <c r="AG934" s="953"/>
      <c r="AH934" s="953"/>
      <c r="AI934" s="939">
        <f t="shared" si="129"/>
        <v>0</v>
      </c>
      <c r="AJ934" s="939">
        <f t="shared" si="130"/>
        <v>0</v>
      </c>
    </row>
    <row r="935" spans="3:36" x14ac:dyDescent="0.2">
      <c r="C935" s="225" t="s">
        <v>936</v>
      </c>
      <c r="D935" s="426">
        <v>30</v>
      </c>
      <c r="E935" s="952"/>
      <c r="F935" s="952"/>
      <c r="G935" s="952"/>
      <c r="H935" s="981"/>
      <c r="I935" s="952"/>
      <c r="J935" s="952"/>
      <c r="K935" s="940">
        <f t="shared" si="128"/>
        <v>0</v>
      </c>
      <c r="L935" s="949"/>
      <c r="M935" s="949"/>
      <c r="N935" s="954"/>
      <c r="O935" s="927"/>
      <c r="P935" s="955"/>
      <c r="Q935" s="950"/>
      <c r="R935" s="949"/>
      <c r="S935" s="949"/>
      <c r="T935" s="907"/>
      <c r="U935" s="952"/>
      <c r="V935" s="952"/>
      <c r="W935" s="951"/>
      <c r="X935" s="949"/>
      <c r="Y935" s="948"/>
      <c r="Z935" s="909"/>
      <c r="AA935" s="952"/>
      <c r="AB935" s="950"/>
      <c r="AC935" s="927"/>
      <c r="AD935" s="952"/>
      <c r="AE935" s="1095"/>
      <c r="AF935" s="950"/>
      <c r="AG935" s="953"/>
      <c r="AH935" s="953"/>
      <c r="AI935" s="939">
        <f t="shared" si="129"/>
        <v>0</v>
      </c>
      <c r="AJ935" s="939">
        <f t="shared" si="130"/>
        <v>0</v>
      </c>
    </row>
    <row r="936" spans="3:36" x14ac:dyDescent="0.2">
      <c r="C936" s="225" t="s">
        <v>561</v>
      </c>
      <c r="D936" s="426">
        <v>31</v>
      </c>
      <c r="E936" s="952"/>
      <c r="F936" s="952"/>
      <c r="G936" s="952"/>
      <c r="H936" s="981"/>
      <c r="I936" s="952"/>
      <c r="J936" s="952"/>
      <c r="K936" s="940">
        <f t="shared" si="128"/>
        <v>0</v>
      </c>
      <c r="L936" s="949"/>
      <c r="M936" s="949"/>
      <c r="N936" s="954"/>
      <c r="O936" s="927"/>
      <c r="P936" s="955"/>
      <c r="Q936" s="950"/>
      <c r="R936" s="949"/>
      <c r="S936" s="949"/>
      <c r="T936" s="907"/>
      <c r="U936" s="952"/>
      <c r="V936" s="952"/>
      <c r="W936" s="951"/>
      <c r="X936" s="949"/>
      <c r="Y936" s="948"/>
      <c r="Z936" s="909"/>
      <c r="AA936" s="952"/>
      <c r="AB936" s="950"/>
      <c r="AC936" s="927"/>
      <c r="AD936" s="952"/>
      <c r="AE936" s="1095"/>
      <c r="AF936" s="950"/>
      <c r="AG936" s="953"/>
      <c r="AH936" s="953"/>
      <c r="AI936" s="939">
        <f t="shared" si="129"/>
        <v>0</v>
      </c>
      <c r="AJ936" s="939">
        <f t="shared" si="130"/>
        <v>0</v>
      </c>
    </row>
    <row r="937" spans="3:36" x14ac:dyDescent="0.2">
      <c r="C937" s="225" t="s">
        <v>562</v>
      </c>
      <c r="D937" s="426">
        <v>32</v>
      </c>
      <c r="E937" s="952"/>
      <c r="F937" s="952"/>
      <c r="G937" s="952"/>
      <c r="H937" s="981"/>
      <c r="I937" s="952"/>
      <c r="J937" s="952"/>
      <c r="K937" s="940">
        <f t="shared" si="128"/>
        <v>0</v>
      </c>
      <c r="L937" s="949"/>
      <c r="M937" s="949"/>
      <c r="N937" s="954"/>
      <c r="O937" s="927"/>
      <c r="P937" s="955"/>
      <c r="Q937" s="950"/>
      <c r="R937" s="949"/>
      <c r="S937" s="949"/>
      <c r="T937" s="907"/>
      <c r="U937" s="952"/>
      <c r="V937" s="952"/>
      <c r="W937" s="951"/>
      <c r="X937" s="949"/>
      <c r="Y937" s="948"/>
      <c r="Z937" s="909"/>
      <c r="AA937" s="952"/>
      <c r="AB937" s="950"/>
      <c r="AC937" s="927"/>
      <c r="AD937" s="952"/>
      <c r="AE937" s="1095"/>
      <c r="AF937" s="950"/>
      <c r="AG937" s="953"/>
      <c r="AH937" s="953"/>
      <c r="AI937" s="939">
        <f t="shared" si="129"/>
        <v>0</v>
      </c>
      <c r="AJ937" s="939">
        <f t="shared" si="130"/>
        <v>0</v>
      </c>
    </row>
    <row r="938" spans="3:36" x14ac:dyDescent="0.2">
      <c r="C938" s="225" t="s">
        <v>128</v>
      </c>
      <c r="D938" s="426">
        <v>33</v>
      </c>
      <c r="E938" s="952"/>
      <c r="F938" s="952"/>
      <c r="G938" s="952"/>
      <c r="H938" s="981"/>
      <c r="I938" s="952"/>
      <c r="J938" s="952"/>
      <c r="K938" s="940">
        <f t="shared" si="128"/>
        <v>0</v>
      </c>
      <c r="L938" s="949"/>
      <c r="M938" s="949"/>
      <c r="N938" s="952"/>
      <c r="O938" s="927"/>
      <c r="P938" s="949"/>
      <c r="Q938" s="950"/>
      <c r="R938" s="949"/>
      <c r="S938" s="949"/>
      <c r="T938" s="907"/>
      <c r="U938" s="952"/>
      <c r="V938" s="952"/>
      <c r="W938" s="951"/>
      <c r="X938" s="949"/>
      <c r="Y938" s="948"/>
      <c r="Z938" s="909"/>
      <c r="AA938" s="952"/>
      <c r="AB938" s="950"/>
      <c r="AC938" s="927"/>
      <c r="AD938" s="952"/>
      <c r="AE938" s="1095"/>
      <c r="AF938" s="950"/>
      <c r="AG938" s="953"/>
      <c r="AH938" s="953"/>
      <c r="AI938" s="939">
        <f t="shared" ref="AI938:AI962" si="131">ROUND(SUM(L938:O938,R938:T938,W938,Z938,AC938,AG938:AH938),3)</f>
        <v>0</v>
      </c>
      <c r="AJ938" s="939">
        <f t="shared" ref="AJ938:AJ962" si="132">ROUND(SUM(K938,AI938),3)</f>
        <v>0</v>
      </c>
    </row>
    <row r="939" spans="3:36" x14ac:dyDescent="0.2">
      <c r="C939" s="225" t="s">
        <v>151</v>
      </c>
      <c r="D939" s="426">
        <v>34</v>
      </c>
      <c r="E939" s="952"/>
      <c r="F939" s="952"/>
      <c r="G939" s="952"/>
      <c r="H939" s="981"/>
      <c r="I939" s="952"/>
      <c r="J939" s="952"/>
      <c r="K939" s="940">
        <f t="shared" si="128"/>
        <v>0</v>
      </c>
      <c r="L939" s="949"/>
      <c r="M939" s="949"/>
      <c r="N939" s="952"/>
      <c r="O939" s="927"/>
      <c r="P939" s="949"/>
      <c r="Q939" s="950"/>
      <c r="R939" s="949"/>
      <c r="S939" s="949"/>
      <c r="T939" s="907"/>
      <c r="U939" s="952"/>
      <c r="V939" s="952"/>
      <c r="W939" s="951"/>
      <c r="X939" s="949"/>
      <c r="Y939" s="948"/>
      <c r="Z939" s="909"/>
      <c r="AA939" s="952"/>
      <c r="AB939" s="950"/>
      <c r="AC939" s="927"/>
      <c r="AD939" s="952"/>
      <c r="AE939" s="1095"/>
      <c r="AF939" s="950"/>
      <c r="AG939" s="953"/>
      <c r="AH939" s="953"/>
      <c r="AI939" s="939">
        <f t="shared" si="131"/>
        <v>0</v>
      </c>
      <c r="AJ939" s="939">
        <f t="shared" si="132"/>
        <v>0</v>
      </c>
    </row>
    <row r="940" spans="3:36" x14ac:dyDescent="0.2">
      <c r="C940" s="74" t="s">
        <v>129</v>
      </c>
      <c r="D940" s="426">
        <v>35</v>
      </c>
      <c r="E940" s="952"/>
      <c r="F940" s="952"/>
      <c r="G940" s="952"/>
      <c r="H940" s="981"/>
      <c r="I940" s="952"/>
      <c r="J940" s="952"/>
      <c r="K940" s="940">
        <f t="shared" si="128"/>
        <v>0</v>
      </c>
      <c r="L940" s="949"/>
      <c r="M940" s="949"/>
      <c r="N940" s="952"/>
      <c r="O940" s="927"/>
      <c r="P940" s="949"/>
      <c r="Q940" s="950"/>
      <c r="R940" s="949"/>
      <c r="S940" s="949"/>
      <c r="T940" s="907"/>
      <c r="U940" s="952"/>
      <c r="V940" s="952"/>
      <c r="W940" s="951"/>
      <c r="X940" s="949"/>
      <c r="Y940" s="948"/>
      <c r="Z940" s="909"/>
      <c r="AA940" s="952"/>
      <c r="AB940" s="950"/>
      <c r="AC940" s="927"/>
      <c r="AD940" s="952"/>
      <c r="AE940" s="1095"/>
      <c r="AF940" s="950"/>
      <c r="AG940" s="953"/>
      <c r="AH940" s="953"/>
      <c r="AI940" s="939">
        <f t="shared" si="131"/>
        <v>0</v>
      </c>
      <c r="AJ940" s="939">
        <f t="shared" si="132"/>
        <v>0</v>
      </c>
    </row>
    <row r="941" spans="3:36" x14ac:dyDescent="0.2">
      <c r="C941" s="225" t="s">
        <v>939</v>
      </c>
      <c r="D941" s="426">
        <v>36</v>
      </c>
      <c r="E941" s="952"/>
      <c r="F941" s="952"/>
      <c r="G941" s="952"/>
      <c r="H941" s="981"/>
      <c r="I941" s="952"/>
      <c r="J941" s="952"/>
      <c r="K941" s="940">
        <f t="shared" si="128"/>
        <v>0</v>
      </c>
      <c r="L941" s="949"/>
      <c r="M941" s="949"/>
      <c r="N941" s="952"/>
      <c r="O941" s="927"/>
      <c r="P941" s="949"/>
      <c r="Q941" s="950"/>
      <c r="R941" s="949"/>
      <c r="S941" s="949"/>
      <c r="T941" s="907"/>
      <c r="U941" s="952"/>
      <c r="V941" s="952"/>
      <c r="W941" s="951"/>
      <c r="X941" s="949"/>
      <c r="Y941" s="948"/>
      <c r="Z941" s="909"/>
      <c r="AA941" s="952"/>
      <c r="AB941" s="950"/>
      <c r="AC941" s="927"/>
      <c r="AD941" s="952"/>
      <c r="AE941" s="1095"/>
      <c r="AF941" s="950"/>
      <c r="AG941" s="953"/>
      <c r="AH941" s="953"/>
      <c r="AI941" s="939">
        <f t="shared" si="131"/>
        <v>0</v>
      </c>
      <c r="AJ941" s="939">
        <f t="shared" si="132"/>
        <v>0</v>
      </c>
    </row>
    <row r="942" spans="3:36" x14ac:dyDescent="0.2">
      <c r="C942" s="225" t="s">
        <v>568</v>
      </c>
      <c r="D942" s="426">
        <v>37</v>
      </c>
      <c r="E942" s="952"/>
      <c r="F942" s="952"/>
      <c r="G942" s="952"/>
      <c r="H942" s="981"/>
      <c r="I942" s="952"/>
      <c r="J942" s="952"/>
      <c r="K942" s="940">
        <f t="shared" ref="K942:K962" si="133">ROUND(SUM(E942:H942,J942),3)</f>
        <v>0</v>
      </c>
      <c r="L942" s="949"/>
      <c r="M942" s="949"/>
      <c r="N942" s="954"/>
      <c r="O942" s="927"/>
      <c r="P942" s="955"/>
      <c r="Q942" s="950"/>
      <c r="R942" s="949"/>
      <c r="S942" s="949"/>
      <c r="T942" s="907"/>
      <c r="U942" s="952"/>
      <c r="V942" s="952"/>
      <c r="W942" s="951"/>
      <c r="X942" s="949"/>
      <c r="Y942" s="948"/>
      <c r="Z942" s="909"/>
      <c r="AA942" s="952"/>
      <c r="AB942" s="950"/>
      <c r="AC942" s="927"/>
      <c r="AD942" s="952"/>
      <c r="AE942" s="1095"/>
      <c r="AF942" s="950"/>
      <c r="AG942" s="953"/>
      <c r="AH942" s="953"/>
      <c r="AI942" s="939">
        <f t="shared" si="131"/>
        <v>0</v>
      </c>
      <c r="AJ942" s="939">
        <f t="shared" si="132"/>
        <v>0</v>
      </c>
    </row>
    <row r="943" spans="3:36" x14ac:dyDescent="0.2">
      <c r="C943" s="225" t="s">
        <v>130</v>
      </c>
      <c r="D943" s="426">
        <v>38</v>
      </c>
      <c r="E943" s="952"/>
      <c r="F943" s="952"/>
      <c r="G943" s="952"/>
      <c r="H943" s="981"/>
      <c r="I943" s="952"/>
      <c r="J943" s="952"/>
      <c r="K943" s="940">
        <f t="shared" si="133"/>
        <v>0</v>
      </c>
      <c r="L943" s="949"/>
      <c r="M943" s="949"/>
      <c r="N943" s="954"/>
      <c r="O943" s="927"/>
      <c r="P943" s="955"/>
      <c r="Q943" s="950"/>
      <c r="R943" s="949"/>
      <c r="S943" s="949"/>
      <c r="T943" s="907"/>
      <c r="U943" s="952"/>
      <c r="V943" s="952"/>
      <c r="W943" s="951"/>
      <c r="X943" s="949"/>
      <c r="Y943" s="948"/>
      <c r="Z943" s="909"/>
      <c r="AA943" s="952"/>
      <c r="AB943" s="950"/>
      <c r="AC943" s="927"/>
      <c r="AD943" s="952"/>
      <c r="AE943" s="1095"/>
      <c r="AF943" s="950"/>
      <c r="AG943" s="953"/>
      <c r="AH943" s="953"/>
      <c r="AI943" s="939">
        <f t="shared" si="131"/>
        <v>0</v>
      </c>
      <c r="AJ943" s="939">
        <f t="shared" si="132"/>
        <v>0</v>
      </c>
    </row>
    <row r="944" spans="3:36" x14ac:dyDescent="0.2">
      <c r="C944" s="225" t="s">
        <v>131</v>
      </c>
      <c r="D944" s="426">
        <v>39</v>
      </c>
      <c r="E944" s="952"/>
      <c r="F944" s="952"/>
      <c r="G944" s="952"/>
      <c r="H944" s="981"/>
      <c r="I944" s="952"/>
      <c r="J944" s="952"/>
      <c r="K944" s="940">
        <f t="shared" si="133"/>
        <v>0</v>
      </c>
      <c r="L944" s="949"/>
      <c r="M944" s="949"/>
      <c r="N944" s="954"/>
      <c r="O944" s="927"/>
      <c r="P944" s="955"/>
      <c r="Q944" s="950"/>
      <c r="R944" s="949"/>
      <c r="S944" s="949"/>
      <c r="T944" s="907"/>
      <c r="U944" s="952"/>
      <c r="V944" s="952"/>
      <c r="W944" s="951"/>
      <c r="X944" s="949"/>
      <c r="Y944" s="948"/>
      <c r="Z944" s="909"/>
      <c r="AA944" s="952"/>
      <c r="AB944" s="950"/>
      <c r="AC944" s="927"/>
      <c r="AD944" s="952"/>
      <c r="AE944" s="1095"/>
      <c r="AF944" s="950"/>
      <c r="AG944" s="953"/>
      <c r="AH944" s="953"/>
      <c r="AI944" s="939">
        <f t="shared" si="131"/>
        <v>0</v>
      </c>
      <c r="AJ944" s="939">
        <f t="shared" si="132"/>
        <v>0</v>
      </c>
    </row>
    <row r="945" spans="3:36" x14ac:dyDescent="0.2">
      <c r="C945" s="74" t="s">
        <v>1365</v>
      </c>
      <c r="D945" s="426">
        <v>40</v>
      </c>
      <c r="E945" s="952"/>
      <c r="F945" s="952"/>
      <c r="G945" s="952"/>
      <c r="H945" s="981"/>
      <c r="I945" s="952"/>
      <c r="J945" s="952"/>
      <c r="K945" s="940">
        <f t="shared" si="133"/>
        <v>0</v>
      </c>
      <c r="L945" s="949"/>
      <c r="M945" s="949"/>
      <c r="N945" s="954"/>
      <c r="O945" s="927"/>
      <c r="P945" s="955"/>
      <c r="Q945" s="950"/>
      <c r="R945" s="949"/>
      <c r="S945" s="949"/>
      <c r="T945" s="907"/>
      <c r="U945" s="952"/>
      <c r="V945" s="952"/>
      <c r="W945" s="951"/>
      <c r="X945" s="949"/>
      <c r="Y945" s="948"/>
      <c r="Z945" s="909"/>
      <c r="AA945" s="952"/>
      <c r="AB945" s="950"/>
      <c r="AC945" s="927"/>
      <c r="AD945" s="952"/>
      <c r="AE945" s="1095"/>
      <c r="AF945" s="950"/>
      <c r="AG945" s="953"/>
      <c r="AH945" s="953"/>
      <c r="AI945" s="939">
        <f t="shared" si="131"/>
        <v>0</v>
      </c>
      <c r="AJ945" s="939">
        <f t="shared" si="132"/>
        <v>0</v>
      </c>
    </row>
    <row r="946" spans="3:36" x14ac:dyDescent="0.2">
      <c r="C946" s="427" t="s">
        <v>132</v>
      </c>
      <c r="D946" s="426">
        <v>41</v>
      </c>
      <c r="E946" s="952"/>
      <c r="F946" s="952"/>
      <c r="G946" s="952"/>
      <c r="H946" s="981"/>
      <c r="I946" s="952"/>
      <c r="J946" s="952"/>
      <c r="K946" s="940">
        <f t="shared" si="133"/>
        <v>0</v>
      </c>
      <c r="L946" s="949"/>
      <c r="M946" s="949"/>
      <c r="N946" s="954"/>
      <c r="O946" s="927"/>
      <c r="P946" s="955"/>
      <c r="Q946" s="950"/>
      <c r="R946" s="949"/>
      <c r="S946" s="949"/>
      <c r="T946" s="907"/>
      <c r="U946" s="952"/>
      <c r="V946" s="952"/>
      <c r="W946" s="951"/>
      <c r="X946" s="949"/>
      <c r="Y946" s="948"/>
      <c r="Z946" s="909"/>
      <c r="AA946" s="952"/>
      <c r="AB946" s="950"/>
      <c r="AC946" s="927"/>
      <c r="AD946" s="952"/>
      <c r="AE946" s="1095"/>
      <c r="AF946" s="950"/>
      <c r="AG946" s="953"/>
      <c r="AH946" s="953"/>
      <c r="AI946" s="939">
        <f t="shared" si="131"/>
        <v>0</v>
      </c>
      <c r="AJ946" s="939">
        <f t="shared" si="132"/>
        <v>0</v>
      </c>
    </row>
    <row r="947" spans="3:36" x14ac:dyDescent="0.2">
      <c r="C947" s="427" t="s">
        <v>133</v>
      </c>
      <c r="D947" s="426">
        <v>42</v>
      </c>
      <c r="E947" s="952"/>
      <c r="F947" s="952"/>
      <c r="G947" s="952"/>
      <c r="H947" s="981"/>
      <c r="I947" s="952"/>
      <c r="J947" s="952"/>
      <c r="K947" s="940">
        <f t="shared" si="133"/>
        <v>0</v>
      </c>
      <c r="L947" s="949"/>
      <c r="M947" s="949"/>
      <c r="N947" s="952"/>
      <c r="O947" s="927"/>
      <c r="P947" s="949"/>
      <c r="Q947" s="950"/>
      <c r="R947" s="949"/>
      <c r="S947" s="949"/>
      <c r="T947" s="907"/>
      <c r="U947" s="952"/>
      <c r="V947" s="952"/>
      <c r="W947" s="951"/>
      <c r="X947" s="949"/>
      <c r="Y947" s="948"/>
      <c r="Z947" s="909"/>
      <c r="AA947" s="952"/>
      <c r="AB947" s="950"/>
      <c r="AC947" s="927"/>
      <c r="AD947" s="952"/>
      <c r="AE947" s="1095"/>
      <c r="AF947" s="950"/>
      <c r="AG947" s="953"/>
      <c r="AH947" s="953"/>
      <c r="AI947" s="939">
        <f t="shared" si="131"/>
        <v>0</v>
      </c>
      <c r="AJ947" s="939">
        <f t="shared" si="132"/>
        <v>0</v>
      </c>
    </row>
    <row r="948" spans="3:36" x14ac:dyDescent="0.2">
      <c r="C948" s="427" t="s">
        <v>134</v>
      </c>
      <c r="D948" s="426">
        <v>43</v>
      </c>
      <c r="E948" s="952"/>
      <c r="F948" s="952"/>
      <c r="G948" s="952"/>
      <c r="H948" s="981"/>
      <c r="I948" s="952"/>
      <c r="J948" s="952"/>
      <c r="K948" s="940">
        <f t="shared" si="133"/>
        <v>0</v>
      </c>
      <c r="L948" s="949"/>
      <c r="M948" s="949"/>
      <c r="N948" s="952"/>
      <c r="O948" s="927"/>
      <c r="P948" s="949"/>
      <c r="Q948" s="950"/>
      <c r="R948" s="949"/>
      <c r="S948" s="949"/>
      <c r="T948" s="907"/>
      <c r="U948" s="952"/>
      <c r="V948" s="952"/>
      <c r="W948" s="951"/>
      <c r="X948" s="949"/>
      <c r="Y948" s="948"/>
      <c r="Z948" s="909"/>
      <c r="AA948" s="952"/>
      <c r="AB948" s="950"/>
      <c r="AC948" s="927"/>
      <c r="AD948" s="952"/>
      <c r="AE948" s="1095"/>
      <c r="AF948" s="950"/>
      <c r="AG948" s="953"/>
      <c r="AH948" s="953"/>
      <c r="AI948" s="939">
        <f t="shared" si="131"/>
        <v>0</v>
      </c>
      <c r="AJ948" s="939">
        <f t="shared" si="132"/>
        <v>0</v>
      </c>
    </row>
    <row r="949" spans="3:36" x14ac:dyDescent="0.2">
      <c r="C949" s="427" t="s">
        <v>59</v>
      </c>
      <c r="D949" s="426">
        <v>44</v>
      </c>
      <c r="E949" s="952"/>
      <c r="F949" s="952"/>
      <c r="G949" s="952"/>
      <c r="H949" s="981"/>
      <c r="I949" s="952"/>
      <c r="J949" s="952"/>
      <c r="K949" s="940">
        <f t="shared" si="133"/>
        <v>0</v>
      </c>
      <c r="L949" s="949"/>
      <c r="M949" s="949"/>
      <c r="N949" s="952"/>
      <c r="O949" s="927"/>
      <c r="P949" s="949"/>
      <c r="Q949" s="950"/>
      <c r="R949" s="949"/>
      <c r="S949" s="949"/>
      <c r="T949" s="907"/>
      <c r="U949" s="952"/>
      <c r="V949" s="952"/>
      <c r="W949" s="951"/>
      <c r="X949" s="949"/>
      <c r="Y949" s="948"/>
      <c r="Z949" s="909"/>
      <c r="AA949" s="952"/>
      <c r="AB949" s="950"/>
      <c r="AC949" s="927"/>
      <c r="AD949" s="952"/>
      <c r="AE949" s="1095"/>
      <c r="AF949" s="950"/>
      <c r="AG949" s="953"/>
      <c r="AH949" s="953"/>
      <c r="AI949" s="939">
        <f t="shared" si="131"/>
        <v>0</v>
      </c>
      <c r="AJ949" s="939">
        <f t="shared" si="132"/>
        <v>0</v>
      </c>
    </row>
    <row r="950" spans="3:36" x14ac:dyDescent="0.2">
      <c r="C950" s="427" t="s">
        <v>621</v>
      </c>
      <c r="D950" s="426">
        <v>45</v>
      </c>
      <c r="E950" s="952"/>
      <c r="F950" s="952"/>
      <c r="G950" s="952"/>
      <c r="H950" s="981"/>
      <c r="I950" s="952"/>
      <c r="J950" s="952"/>
      <c r="K950" s="940">
        <f t="shared" si="133"/>
        <v>0</v>
      </c>
      <c r="L950" s="949"/>
      <c r="M950" s="949"/>
      <c r="N950" s="952"/>
      <c r="O950" s="927"/>
      <c r="P950" s="949"/>
      <c r="Q950" s="950"/>
      <c r="R950" s="949"/>
      <c r="S950" s="949"/>
      <c r="T950" s="907"/>
      <c r="U950" s="952"/>
      <c r="V950" s="952"/>
      <c r="W950" s="951"/>
      <c r="X950" s="949"/>
      <c r="Y950" s="948"/>
      <c r="Z950" s="909"/>
      <c r="AA950" s="952"/>
      <c r="AB950" s="950"/>
      <c r="AC950" s="927"/>
      <c r="AD950" s="952"/>
      <c r="AE950" s="1095"/>
      <c r="AF950" s="950"/>
      <c r="AG950" s="953"/>
      <c r="AH950" s="953"/>
      <c r="AI950" s="939">
        <f t="shared" si="131"/>
        <v>0</v>
      </c>
      <c r="AJ950" s="939">
        <f t="shared" si="132"/>
        <v>0</v>
      </c>
    </row>
    <row r="951" spans="3:36" x14ac:dyDescent="0.2">
      <c r="C951" s="427" t="s">
        <v>569</v>
      </c>
      <c r="D951" s="426">
        <v>46</v>
      </c>
      <c r="E951" s="952"/>
      <c r="F951" s="952"/>
      <c r="G951" s="952"/>
      <c r="H951" s="981"/>
      <c r="I951" s="952"/>
      <c r="J951" s="952"/>
      <c r="K951" s="940">
        <f t="shared" si="133"/>
        <v>0</v>
      </c>
      <c r="L951" s="949"/>
      <c r="M951" s="949"/>
      <c r="N951" s="954"/>
      <c r="O951" s="927"/>
      <c r="P951" s="955"/>
      <c r="Q951" s="950"/>
      <c r="R951" s="949"/>
      <c r="S951" s="949"/>
      <c r="T951" s="907"/>
      <c r="U951" s="952"/>
      <c r="V951" s="952"/>
      <c r="W951" s="951"/>
      <c r="X951" s="949"/>
      <c r="Y951" s="948"/>
      <c r="Z951" s="909"/>
      <c r="AA951" s="952"/>
      <c r="AB951" s="950"/>
      <c r="AC951" s="927"/>
      <c r="AD951" s="952"/>
      <c r="AE951" s="1095"/>
      <c r="AF951" s="950"/>
      <c r="AG951" s="953"/>
      <c r="AH951" s="953"/>
      <c r="AI951" s="939">
        <f t="shared" si="131"/>
        <v>0</v>
      </c>
      <c r="AJ951" s="939">
        <f t="shared" si="132"/>
        <v>0</v>
      </c>
    </row>
    <row r="952" spans="3:36" x14ac:dyDescent="0.2">
      <c r="C952" s="427" t="s">
        <v>99</v>
      </c>
      <c r="D952" s="426">
        <v>47</v>
      </c>
      <c r="E952" s="952"/>
      <c r="F952" s="952"/>
      <c r="G952" s="952"/>
      <c r="H952" s="981"/>
      <c r="I952" s="952"/>
      <c r="J952" s="952"/>
      <c r="K952" s="940">
        <f t="shared" si="133"/>
        <v>0</v>
      </c>
      <c r="L952" s="949"/>
      <c r="M952" s="949"/>
      <c r="N952" s="952"/>
      <c r="O952" s="927"/>
      <c r="P952" s="949"/>
      <c r="Q952" s="950"/>
      <c r="R952" s="949"/>
      <c r="S952" s="949"/>
      <c r="T952" s="907"/>
      <c r="U952" s="952"/>
      <c r="V952" s="952"/>
      <c r="W952" s="951"/>
      <c r="X952" s="949"/>
      <c r="Y952" s="948"/>
      <c r="Z952" s="909"/>
      <c r="AA952" s="952"/>
      <c r="AB952" s="950"/>
      <c r="AC952" s="927"/>
      <c r="AD952" s="952"/>
      <c r="AE952" s="1095"/>
      <c r="AF952" s="950"/>
      <c r="AG952" s="953"/>
      <c r="AH952" s="953"/>
      <c r="AI952" s="939">
        <f t="shared" si="131"/>
        <v>0</v>
      </c>
      <c r="AJ952" s="939">
        <f t="shared" si="132"/>
        <v>0</v>
      </c>
    </row>
    <row r="953" spans="3:36" x14ac:dyDescent="0.2">
      <c r="C953" s="427" t="s">
        <v>570</v>
      </c>
      <c r="D953" s="426">
        <v>48</v>
      </c>
      <c r="E953" s="952"/>
      <c r="F953" s="952"/>
      <c r="G953" s="952"/>
      <c r="H953" s="981"/>
      <c r="I953" s="952"/>
      <c r="J953" s="952"/>
      <c r="K953" s="940">
        <f t="shared" si="133"/>
        <v>0</v>
      </c>
      <c r="L953" s="949"/>
      <c r="M953" s="949"/>
      <c r="N953" s="952"/>
      <c r="O953" s="927"/>
      <c r="P953" s="949"/>
      <c r="Q953" s="950"/>
      <c r="R953" s="949"/>
      <c r="S953" s="949"/>
      <c r="T953" s="907"/>
      <c r="U953" s="952"/>
      <c r="V953" s="952"/>
      <c r="W953" s="951"/>
      <c r="X953" s="949"/>
      <c r="Y953" s="948"/>
      <c r="Z953" s="909"/>
      <c r="AA953" s="952"/>
      <c r="AB953" s="950"/>
      <c r="AC953" s="927"/>
      <c r="AD953" s="952"/>
      <c r="AE953" s="1095"/>
      <c r="AF953" s="950"/>
      <c r="AG953" s="953"/>
      <c r="AH953" s="953"/>
      <c r="AI953" s="939">
        <f t="shared" si="131"/>
        <v>0</v>
      </c>
      <c r="AJ953" s="939">
        <f t="shared" si="132"/>
        <v>0</v>
      </c>
    </row>
    <row r="954" spans="3:36" x14ac:dyDescent="0.2">
      <c r="C954" s="427" t="s">
        <v>135</v>
      </c>
      <c r="D954" s="426">
        <v>49</v>
      </c>
      <c r="E954" s="952"/>
      <c r="F954" s="952"/>
      <c r="G954" s="952"/>
      <c r="H954" s="981"/>
      <c r="I954" s="952"/>
      <c r="J954" s="952"/>
      <c r="K954" s="940">
        <f t="shared" si="133"/>
        <v>0</v>
      </c>
      <c r="L954" s="949"/>
      <c r="M954" s="949"/>
      <c r="N954" s="952"/>
      <c r="O954" s="927"/>
      <c r="P954" s="949"/>
      <c r="Q954" s="950"/>
      <c r="R954" s="949"/>
      <c r="S954" s="949"/>
      <c r="T954" s="907"/>
      <c r="U954" s="952"/>
      <c r="V954" s="952"/>
      <c r="W954" s="951"/>
      <c r="X954" s="949"/>
      <c r="Y954" s="948"/>
      <c r="Z954" s="909"/>
      <c r="AA954" s="952"/>
      <c r="AB954" s="950"/>
      <c r="AC954" s="927"/>
      <c r="AD954" s="952"/>
      <c r="AE954" s="1095"/>
      <c r="AF954" s="950"/>
      <c r="AG954" s="953"/>
      <c r="AH954" s="953"/>
      <c r="AI954" s="939">
        <f t="shared" si="131"/>
        <v>0</v>
      </c>
      <c r="AJ954" s="939">
        <f t="shared" si="132"/>
        <v>0</v>
      </c>
    </row>
    <row r="955" spans="3:36" x14ac:dyDescent="0.2">
      <c r="C955" s="427" t="s">
        <v>136</v>
      </c>
      <c r="D955" s="426">
        <v>50</v>
      </c>
      <c r="E955" s="952"/>
      <c r="F955" s="952"/>
      <c r="G955" s="952"/>
      <c r="H955" s="981"/>
      <c r="I955" s="952"/>
      <c r="J955" s="952"/>
      <c r="K955" s="940">
        <f t="shared" si="133"/>
        <v>0</v>
      </c>
      <c r="L955" s="949"/>
      <c r="M955" s="949"/>
      <c r="N955" s="952"/>
      <c r="O955" s="927"/>
      <c r="P955" s="949"/>
      <c r="Q955" s="950"/>
      <c r="R955" s="949"/>
      <c r="S955" s="949"/>
      <c r="T955" s="907"/>
      <c r="U955" s="952"/>
      <c r="V955" s="952"/>
      <c r="W955" s="951"/>
      <c r="X955" s="949"/>
      <c r="Y955" s="948"/>
      <c r="Z955" s="909"/>
      <c r="AA955" s="952"/>
      <c r="AB955" s="950"/>
      <c r="AC955" s="927"/>
      <c r="AD955" s="952"/>
      <c r="AE955" s="1095"/>
      <c r="AF955" s="950"/>
      <c r="AG955" s="953"/>
      <c r="AH955" s="953"/>
      <c r="AI955" s="939">
        <f t="shared" si="131"/>
        <v>0</v>
      </c>
      <c r="AJ955" s="939">
        <f t="shared" si="132"/>
        <v>0</v>
      </c>
    </row>
    <row r="956" spans="3:36" x14ac:dyDescent="0.2">
      <c r="C956" s="427" t="s">
        <v>137</v>
      </c>
      <c r="D956" s="426">
        <v>51</v>
      </c>
      <c r="E956" s="952"/>
      <c r="F956" s="952"/>
      <c r="G956" s="952"/>
      <c r="H956" s="981"/>
      <c r="I956" s="952"/>
      <c r="J956" s="952"/>
      <c r="K956" s="940">
        <f t="shared" si="133"/>
        <v>0</v>
      </c>
      <c r="L956" s="949"/>
      <c r="M956" s="949"/>
      <c r="N956" s="952"/>
      <c r="O956" s="927"/>
      <c r="P956" s="949"/>
      <c r="Q956" s="950"/>
      <c r="R956" s="949"/>
      <c r="S956" s="949"/>
      <c r="T956" s="907"/>
      <c r="U956" s="952"/>
      <c r="V956" s="952"/>
      <c r="W956" s="951"/>
      <c r="X956" s="949"/>
      <c r="Y956" s="948"/>
      <c r="Z956" s="909"/>
      <c r="AA956" s="952"/>
      <c r="AB956" s="950"/>
      <c r="AC956" s="927"/>
      <c r="AD956" s="952"/>
      <c r="AE956" s="1095"/>
      <c r="AF956" s="950"/>
      <c r="AG956" s="953"/>
      <c r="AH956" s="953"/>
      <c r="AI956" s="939">
        <f t="shared" si="131"/>
        <v>0</v>
      </c>
      <c r="AJ956" s="939">
        <f t="shared" si="132"/>
        <v>0</v>
      </c>
    </row>
    <row r="957" spans="3:36" x14ac:dyDescent="0.2">
      <c r="C957" s="427" t="s">
        <v>138</v>
      </c>
      <c r="D957" s="426">
        <v>52</v>
      </c>
      <c r="E957" s="952"/>
      <c r="F957" s="952"/>
      <c r="G957" s="952"/>
      <c r="H957" s="981"/>
      <c r="I957" s="952"/>
      <c r="J957" s="952"/>
      <c r="K957" s="940">
        <f t="shared" si="133"/>
        <v>0</v>
      </c>
      <c r="L957" s="949"/>
      <c r="M957" s="949"/>
      <c r="N957" s="952"/>
      <c r="O957" s="927"/>
      <c r="P957" s="949"/>
      <c r="Q957" s="950"/>
      <c r="R957" s="949"/>
      <c r="S957" s="949"/>
      <c r="T957" s="907"/>
      <c r="U957" s="952"/>
      <c r="V957" s="952"/>
      <c r="W957" s="951"/>
      <c r="X957" s="949"/>
      <c r="Y957" s="948"/>
      <c r="Z957" s="909"/>
      <c r="AA957" s="952"/>
      <c r="AB957" s="950"/>
      <c r="AC957" s="927"/>
      <c r="AD957" s="952"/>
      <c r="AE957" s="1095"/>
      <c r="AF957" s="950"/>
      <c r="AG957" s="953"/>
      <c r="AH957" s="953"/>
      <c r="AI957" s="939">
        <f t="shared" si="131"/>
        <v>0</v>
      </c>
      <c r="AJ957" s="939">
        <f t="shared" si="132"/>
        <v>0</v>
      </c>
    </row>
    <row r="958" spans="3:36" x14ac:dyDescent="0.2">
      <c r="C958" s="427" t="s">
        <v>565</v>
      </c>
      <c r="D958" s="426">
        <v>53</v>
      </c>
      <c r="E958" s="952"/>
      <c r="F958" s="952"/>
      <c r="G958" s="952"/>
      <c r="H958" s="981"/>
      <c r="I958" s="952"/>
      <c r="J958" s="952"/>
      <c r="K958" s="940">
        <f t="shared" si="133"/>
        <v>0</v>
      </c>
      <c r="L958" s="949"/>
      <c r="M958" s="949"/>
      <c r="N958" s="954"/>
      <c r="O958" s="927"/>
      <c r="P958" s="955"/>
      <c r="Q958" s="950"/>
      <c r="R958" s="949"/>
      <c r="S958" s="949"/>
      <c r="T958" s="907"/>
      <c r="U958" s="952"/>
      <c r="V958" s="952"/>
      <c r="W958" s="951"/>
      <c r="X958" s="949"/>
      <c r="Y958" s="948"/>
      <c r="Z958" s="909"/>
      <c r="AA958" s="952"/>
      <c r="AB958" s="950"/>
      <c r="AC958" s="927"/>
      <c r="AD958" s="952"/>
      <c r="AE958" s="1095"/>
      <c r="AF958" s="950"/>
      <c r="AG958" s="953"/>
      <c r="AH958" s="953"/>
      <c r="AI958" s="939">
        <f t="shared" si="131"/>
        <v>0</v>
      </c>
      <c r="AJ958" s="939">
        <f t="shared" si="132"/>
        <v>0</v>
      </c>
    </row>
    <row r="959" spans="3:36" x14ac:dyDescent="0.2">
      <c r="C959" s="427" t="s">
        <v>67</v>
      </c>
      <c r="D959" s="426">
        <v>54</v>
      </c>
      <c r="E959" s="952"/>
      <c r="F959" s="952"/>
      <c r="G959" s="952"/>
      <c r="H959" s="981"/>
      <c r="I959" s="952"/>
      <c r="J959" s="952"/>
      <c r="K959" s="940">
        <f t="shared" si="133"/>
        <v>0</v>
      </c>
      <c r="L959" s="949"/>
      <c r="M959" s="949"/>
      <c r="N959" s="954"/>
      <c r="O959" s="927"/>
      <c r="P959" s="955"/>
      <c r="Q959" s="950"/>
      <c r="R959" s="949"/>
      <c r="S959" s="949"/>
      <c r="T959" s="907"/>
      <c r="U959" s="952"/>
      <c r="V959" s="952"/>
      <c r="W959" s="951"/>
      <c r="X959" s="949"/>
      <c r="Y959" s="948"/>
      <c r="Z959" s="909"/>
      <c r="AA959" s="952"/>
      <c r="AB959" s="950"/>
      <c r="AC959" s="927"/>
      <c r="AD959" s="952"/>
      <c r="AE959" s="1095"/>
      <c r="AF959" s="950"/>
      <c r="AG959" s="953"/>
      <c r="AH959" s="953"/>
      <c r="AI959" s="939">
        <f t="shared" si="131"/>
        <v>0</v>
      </c>
      <c r="AJ959" s="939">
        <f t="shared" si="132"/>
        <v>0</v>
      </c>
    </row>
    <row r="960" spans="3:36" x14ac:dyDescent="0.2">
      <c r="C960" s="427" t="s">
        <v>139</v>
      </c>
      <c r="D960" s="426">
        <v>55</v>
      </c>
      <c r="E960" s="952"/>
      <c r="F960" s="952"/>
      <c r="G960" s="952"/>
      <c r="H960" s="981"/>
      <c r="I960" s="952"/>
      <c r="J960" s="952"/>
      <c r="K960" s="940">
        <f t="shared" si="133"/>
        <v>0</v>
      </c>
      <c r="L960" s="949"/>
      <c r="M960" s="949"/>
      <c r="N960" s="954"/>
      <c r="O960" s="927"/>
      <c r="P960" s="955"/>
      <c r="Q960" s="950"/>
      <c r="R960" s="949"/>
      <c r="S960" s="949"/>
      <c r="T960" s="907"/>
      <c r="U960" s="952"/>
      <c r="V960" s="952"/>
      <c r="W960" s="951"/>
      <c r="X960" s="949"/>
      <c r="Y960" s="948"/>
      <c r="Z960" s="909"/>
      <c r="AA960" s="952"/>
      <c r="AB960" s="950"/>
      <c r="AC960" s="927"/>
      <c r="AD960" s="952"/>
      <c r="AE960" s="1095"/>
      <c r="AF960" s="950"/>
      <c r="AG960" s="953"/>
      <c r="AH960" s="953"/>
      <c r="AI960" s="939">
        <f t="shared" si="131"/>
        <v>0</v>
      </c>
      <c r="AJ960" s="939">
        <f t="shared" si="132"/>
        <v>0</v>
      </c>
    </row>
    <row r="961" spans="3:36" ht="13.5" thickBot="1" x14ac:dyDescent="0.25">
      <c r="C961" s="207" t="s">
        <v>95</v>
      </c>
      <c r="D961" s="426">
        <v>56</v>
      </c>
      <c r="E961" s="952"/>
      <c r="F961" s="952"/>
      <c r="G961" s="952"/>
      <c r="H961" s="981"/>
      <c r="I961" s="952"/>
      <c r="J961" s="952"/>
      <c r="K961" s="940">
        <f t="shared" si="133"/>
        <v>0</v>
      </c>
      <c r="L961" s="949"/>
      <c r="M961" s="949"/>
      <c r="N961" s="954"/>
      <c r="O961" s="982"/>
      <c r="P961" s="955"/>
      <c r="Q961" s="950"/>
      <c r="R961" s="949"/>
      <c r="S961" s="949"/>
      <c r="T961" s="934"/>
      <c r="U961" s="952"/>
      <c r="V961" s="952"/>
      <c r="W961" s="951"/>
      <c r="X961" s="949"/>
      <c r="Y961" s="948"/>
      <c r="Z961" s="983"/>
      <c r="AA961" s="952"/>
      <c r="AB961" s="950"/>
      <c r="AC961" s="982"/>
      <c r="AD961" s="952"/>
      <c r="AE961" s="1095"/>
      <c r="AF961" s="950"/>
      <c r="AG961" s="953"/>
      <c r="AH961" s="953"/>
      <c r="AI961" s="939">
        <f t="shared" si="131"/>
        <v>0</v>
      </c>
      <c r="AJ961" s="939">
        <f t="shared" si="132"/>
        <v>0</v>
      </c>
    </row>
    <row r="962" spans="3:36" ht="13.5" thickBot="1" x14ac:dyDescent="0.25">
      <c r="C962" s="73" t="s">
        <v>899</v>
      </c>
      <c r="D962" s="158">
        <v>57</v>
      </c>
      <c r="E962" s="935">
        <f t="shared" ref="E962:J962" si="134">ROUND(SUM(E906:E961),3)</f>
        <v>0</v>
      </c>
      <c r="F962" s="935">
        <f t="shared" si="134"/>
        <v>0</v>
      </c>
      <c r="G962" s="935">
        <f t="shared" si="134"/>
        <v>0</v>
      </c>
      <c r="H962" s="935">
        <f t="shared" si="134"/>
        <v>0</v>
      </c>
      <c r="I962" s="935">
        <f t="shared" si="134"/>
        <v>0</v>
      </c>
      <c r="J962" s="935">
        <f t="shared" si="134"/>
        <v>0</v>
      </c>
      <c r="K962" s="984">
        <f t="shared" si="133"/>
        <v>0</v>
      </c>
      <c r="L962" s="985">
        <f t="shared" ref="L962:AH962" si="135">ROUND(SUM(L906:L961),3)</f>
        <v>0</v>
      </c>
      <c r="M962" s="935">
        <f t="shared" si="135"/>
        <v>0</v>
      </c>
      <c r="N962" s="984">
        <f t="shared" si="135"/>
        <v>0</v>
      </c>
      <c r="O962" s="986">
        <f t="shared" si="135"/>
        <v>0</v>
      </c>
      <c r="P962" s="935">
        <f t="shared" si="135"/>
        <v>0</v>
      </c>
      <c r="Q962" s="984">
        <f t="shared" si="135"/>
        <v>0</v>
      </c>
      <c r="R962" s="936">
        <f t="shared" si="135"/>
        <v>0</v>
      </c>
      <c r="S962" s="935">
        <f t="shared" si="135"/>
        <v>0</v>
      </c>
      <c r="T962" s="987">
        <f t="shared" si="135"/>
        <v>0</v>
      </c>
      <c r="U962" s="935">
        <f t="shared" si="135"/>
        <v>0</v>
      </c>
      <c r="V962" s="935">
        <f t="shared" si="135"/>
        <v>0</v>
      </c>
      <c r="W962" s="984">
        <f t="shared" si="135"/>
        <v>0</v>
      </c>
      <c r="X962" s="936">
        <f t="shared" si="135"/>
        <v>0</v>
      </c>
      <c r="Y962" s="935">
        <f t="shared" si="135"/>
        <v>0</v>
      </c>
      <c r="Z962" s="988">
        <f t="shared" si="135"/>
        <v>0</v>
      </c>
      <c r="AA962" s="935">
        <f t="shared" si="135"/>
        <v>0</v>
      </c>
      <c r="AB962" s="984">
        <f t="shared" si="135"/>
        <v>0</v>
      </c>
      <c r="AC962" s="986">
        <f t="shared" si="135"/>
        <v>0</v>
      </c>
      <c r="AD962" s="935">
        <f t="shared" si="135"/>
        <v>0</v>
      </c>
      <c r="AE962" s="935">
        <f t="shared" si="135"/>
        <v>0</v>
      </c>
      <c r="AF962" s="984">
        <f t="shared" si="135"/>
        <v>0</v>
      </c>
      <c r="AG962" s="935">
        <f t="shared" si="135"/>
        <v>0</v>
      </c>
      <c r="AH962" s="936">
        <f t="shared" si="135"/>
        <v>0</v>
      </c>
      <c r="AI962" s="987">
        <f t="shared" si="131"/>
        <v>0</v>
      </c>
      <c r="AJ962" s="938">
        <f t="shared" si="132"/>
        <v>0</v>
      </c>
    </row>
    <row r="963" spans="3:36" ht="13.5" thickBot="1" x14ac:dyDescent="0.25">
      <c r="C963" s="205"/>
      <c r="D963" s="204"/>
      <c r="E963" s="989"/>
      <c r="F963" s="989"/>
      <c r="G963" s="989"/>
      <c r="H963" s="989"/>
      <c r="I963" s="989"/>
      <c r="J963" s="989"/>
      <c r="K963" s="989"/>
      <c r="L963" s="989"/>
      <c r="M963" s="989"/>
      <c r="N963" s="989"/>
      <c r="O963" s="989"/>
      <c r="P963" s="989"/>
      <c r="Q963" s="989"/>
      <c r="R963" s="989"/>
      <c r="S963" s="989"/>
      <c r="T963" s="989"/>
      <c r="U963" s="989"/>
      <c r="V963" s="989"/>
      <c r="W963" s="989"/>
      <c r="X963" s="989"/>
      <c r="Y963" s="989"/>
      <c r="Z963" s="989"/>
      <c r="AA963" s="989"/>
      <c r="AB963" s="989"/>
      <c r="AC963" s="989"/>
      <c r="AD963" s="989"/>
      <c r="AE963" s="989"/>
      <c r="AF963" s="989"/>
      <c r="AG963" s="989"/>
      <c r="AH963" s="989"/>
      <c r="AI963" s="989"/>
      <c r="AJ963" s="989"/>
    </row>
    <row r="964" spans="3:36" ht="13.5" thickBot="1" x14ac:dyDescent="0.25">
      <c r="C964" s="206" t="str">
        <f>IF(EnCMember=1,"Total EnC Contracting Parties","Total EU MS")</f>
        <v>Total EU MS</v>
      </c>
      <c r="D964" s="208">
        <v>58</v>
      </c>
      <c r="E964" s="811">
        <f>ROUND(IF('Table 1'!$G$3&gt;1,IF(EnCMember=1,E906+E912+E945+E925+E935+E941+E942+E951+E958+E909+E911+E913+E918+E919+E920+E921+E922+E923+E924+E926+E927+E928+E930+E932+E936+E937+E938+E939+E943+E947+E948+E949+E952+E953+E954+E955+E959,E909+E911+E913+E918+E919+E920+E921+E922+E923+E924+E926+E927+E928+E930+E932+E936+E937+E938+E939+E943+E947+E948+E949+E952+E953+E954+E955+E959),IF(EnCMember=1,E906+E912+E945+E925+E935+E941+E942+E951+E958+E909+E911+E913+E918+E919+E920+E921+E922+E923+E924+E926+E927+E928+E930+E932+E936+E937+E938+E939+E943+E947+E948+E949+E952+E953+E954+E955,E909+E911+E913+E918+E919+E920+E921+E922+E923+E924+E926+E927+E928+E930+E932+E936+E937+E938+E939+E943+E947+E948+E949+E952+E953+E954+E955)),3)</f>
        <v>0</v>
      </c>
      <c r="F964" s="811">
        <f>ROUND(IF('Table 1'!$G$3&gt;1,IF(EnCMember=1,F906+F912+F945+F925+F935+F941+F942+F951+F958+F909+F911+F913+F918+F919+F920+F921+F922+F923+F924+F926+F927+F928+F930+F932+F936+F937+F938+F939+F943+F947+F948+F949+F952+F953+F954+F955+F959,F909+F911+F913+F918+F919+F920+F921+F922+F923+F924+F926+F927+F928+F930+F932+F936+F937+F938+F939+F943+F947+F948+F949+F952+F953+F954+F955+F959),IF(EnCMember=1,F906+F912+F945+F925+F935+F941+F942+F951+F958+F909+F911+F913+F918+F919+F920+F921+F922+F923+F924+F926+F927+F928+F930+F932+F936+F937+F938+F939+F943+F947+F948+F949+F952+F953+F954+F955,F909+F911+F913+F918+F919+F920+F921+F922+F923+F924+F926+F927+F928+F930+F932+F936+F937+F938+F939+F943+F947+F948+F949+F952+F953+F954+F955)),3)</f>
        <v>0</v>
      </c>
      <c r="G964" s="811">
        <f>ROUND(IF('Table 1'!$G$3&gt;1,IF(EnCMember=1,G906+G912+G945+G925+G935+G941+G942+G951+G958+G909+G911+G913+G918+G919+G920+G921+G922+G923+G924+G926+G927+G928+G930+G932+G936+G937+G938+G939+G943+G947+G948+G949+G952+G953+G954+G955+G959,G909+G911+G913+G918+G919+G920+G921+G922+G923+G924+G926+G927+G928+G930+G932+G936+G937+G938+G939+G943+G947+G948+G949+G952+G953+G954+G955+G959),IF(EnCMember=1,G906+G912+G945+G925+G935+G941+G942+G951+G958+G909+G911+G913+G918+G919+G920+G921+G922+G923+G924+G926+G927+G928+G930+G932+G936+G937+G938+G939+G943+G947+G948+G949+G952+G953+G954+G955,G909+G911+G913+G918+G919+G920+G921+G922+G923+G924+G926+G927+G928+G930+G932+G936+G937+G938+G939+G943+G947+G948+G949+G952+G953+G954+G955)),3)</f>
        <v>0</v>
      </c>
      <c r="H964" s="811">
        <f>ROUND(IF('Table 1'!$G$3&gt;1,IF(EnCMember=1,H906+H912+H945+H925+H935+H941+H942+H951+H958+H909+H911+H913+H918+H919+H920+H921+H922+H923+H924+H926+H927+H928+H930+H932+H936+H937+H938+H939+H943+H947+H948+H949+H952+H953+H954+H955+H959,H909+H911+H913+H918+H919+H920+H921+H922+H923+H924+H926+H927+H928+H930+H932+H936+H937+H938+H939+H943+H947+H948+H949+H952+H953+H954+H955+H959),IF(EnCMember=1,H906+H912+H945+H925+H935+H941+H942+H951+H958+H909+H911+H913+H918+H919+H920+H921+H922+H923+H924+H926+H927+H928+H930+H932+H936+H937+H938+H939+H943+H947+H948+H949+H952+H953+H954+H955,H909+H911+H913+H918+H919+H920+H921+H922+H923+H924+H926+H927+H928+H930+H932+H936+H937+H938+H939+H943+H947+H948+H949+H952+H953+H954+H955)),3)</f>
        <v>0</v>
      </c>
      <c r="I964" s="811">
        <f>ROUND(IF('Table 1'!$G$3&gt;1,IF(EnCMember=1,I906+I912+I945+I925+I935+I941+I942+I951+I958+I909+I911+I913+I918+I919+I920+I921+I922+I923+I924+I926+I927+I928+I930+I932+I936+I937+I938+I939+I943+I947+I948+I949+I952+I953+I954+I955+I959,I909+I911+I913+I918+I919+I920+I921+I922+I923+I924+I926+I927+I928+I930+I932+I936+I937+I938+I939+I943+I947+I948+I949+I952+I953+I954+I955+I959),IF(EnCMember=1,I906+I912+I945+I925+I935+I941+I942+I951+I958+I909+I911+I913+I918+I919+I920+I921+I922+I923+I924+I926+I927+I928+I930+I932+I936+I937+I938+I939+I943+I947+I948+I949+I952+I953+I954+I955,I909+I911+I913+I918+I919+I920+I921+I922+I923+I924+I926+I927+I928+I930+I932+I936+I937+I938+I939+I943+I947+I948+I949+I952+I953+I954+I955)),3)</f>
        <v>0</v>
      </c>
      <c r="J964" s="811">
        <f>ROUND(IF('Table 1'!$G$3&gt;1,IF(EnCMember=1,J906+J912+J945+J925+J935+J941+J942+J951+J958+J909+J911+J913+J918+J919+J920+J921+J922+J923+J924+J926+J927+J928+J930+J932+J936+J937+J938+J939+J943+J947+J948+J949+J952+J953+J954+J955+J959,J909+J911+J913+J918+J919+J920+J921+J922+J923+J924+J926+J927+J928+J930+J932+J936+J937+J938+J939+J943+J947+J948+J949+J952+J953+J954+J955+J959),IF(EnCMember=1,J906+J912+J945+J925+J935+J941+J942+J951+J958+J909+J911+J913+J918+J919+J920+J921+J922+J923+J924+J926+J927+J928+J930+J932+J936+J937+J938+J939+J943+J947+J948+J949+J952+J953+J954+J955,J909+J911+J913+J918+J919+J920+J921+J922+J923+J924+J926+J927+J928+J930+J932+J936+J937+J938+J939+J943+J947+J948+J949+J952+J953+J954+J955)),3)</f>
        <v>0</v>
      </c>
      <c r="K964" s="812">
        <f>ROUND(IF('Table 1'!$G$3&gt;1,IF(EnCMember=1,K906+K912+K945+K925+K935+K941+K942+K951+K958+K909+K911+K913+K918+K919+K920+K921+K922+K923+K924+K926+K927+K928+K930+K932+K936+K937+K938+K939+K943+K947+K948+K949+K952+K953+K954+K955+K959,K909+K911+K913+K918+K919+K920+K921+K922+K923+K924+K926+K927+K928+K930+K932+K936+K937+K938+K939+K943+K947+K948+K949+K952+K953+K954+K955+K959),IF(EnCMember=1,K906+K912+K945+K925+K935+K941+K942+K951+K958+K909+K911+K913+K918+K919+K920+K921+K922+K923+K924+K926+K927+K928+K930+K932+K936+K937+K938+K939+K943+K947+K948+K949+K952+K953+K954+K955,K909+K911+K913+K918+K919+K920+K921+K922+K923+K924+K926+K927+K928+K930+K932+K936+K937+K938+K939+K943+K947+K948+K949+K952+K953+K954+K955)),3)</f>
        <v>0</v>
      </c>
      <c r="L964" s="813">
        <f>ROUND(IF('Table 1'!$G$3&gt;1,IF(EnCMember=1,L906+L912+L945+L925+L935+L941+L942+L951+L958+L909+L911+L913+L918+L919+L920+L921+L922+L923+L924+L926+L927+L928+L930+L932+L936+L937+L938+L939+L943+L947+L948+L949+L952+L953+L954+L955+L959,L909+L911+L913+L918+L919+L920+L921+L922+L923+L924+L926+L927+L928+L930+L932+L936+L937+L938+L939+L943+L947+L948+L949+L952+L953+L954+L955+L959),IF(EnCMember=1,L906+L912+L945+L925+L935+L941+L942+L951+L958+L909+L911+L913+L918+L919+L920+L921+L922+L923+L924+L926+L927+L928+L930+L932+L936+L937+L938+L939+L943+L947+L948+L949+L952+L953+L954+L955,L909+L911+L913+L918+L919+L920+L921+L922+L923+L924+L926+L927+L928+L930+L932+L936+L937+L938+L939+L943+L947+L948+L949+L952+L953+L954+L955)),3)</f>
        <v>0</v>
      </c>
      <c r="M964" s="811">
        <f>ROUND(IF('Table 1'!$G$3&gt;1,IF(EnCMember=1,M906+M912+M945+M925+M935+M941+M942+M951+M958+M909+M911+M913+M918+M919+M920+M921+M922+M923+M924+M926+M927+M928+M930+M932+M936+M937+M938+M939+M943+M947+M948+M949+M952+M953+M954+M955+M959,M909+M911+M913+M918+M919+M920+M921+M922+M923+M924+M926+M927+M928+M930+M932+M936+M937+M938+M939+M943+M947+M948+M949+M952+M953+M954+M955+M959),IF(EnCMember=1,M906+M912+M945+M925+M935+M941+M942+M951+M958+M909+M911+M913+M918+M919+M920+M921+M922+M923+M924+M926+M927+M928+M930+M932+M936+M937+M938+M939+M943+M947+M948+M949+M952+M953+M954+M955,M909+M911+M913+M918+M919+M920+M921+M922+M923+M924+M926+M927+M928+M930+M932+M936+M937+M938+M939+M943+M947+M948+M949+M952+M953+M954+M955)),3)</f>
        <v>0</v>
      </c>
      <c r="N964" s="812">
        <f>ROUND(IF('Table 1'!$G$3&gt;1,IF(EnCMember=1,N906+N912+N945+N925+N935+N941+N942+N951+N958+N909+N911+N913+N918+N919+N920+N921+N922+N923+N924+N926+N927+N928+N930+N932+N936+N937+N938+N939+N943+N947+N948+N949+N952+N953+N954+N955+N959,N909+N911+N913+N918+N919+N920+N921+N922+N923+N924+N926+N927+N928+N930+N932+N936+N937+N938+N939+N943+N947+N948+N949+N952+N953+N954+N955+N959),IF(EnCMember=1,N906+N912+N945+N925+N935+N941+N942+N951+N958+N909+N911+N913+N918+N919+N920+N921+N922+N923+N924+N926+N927+N928+N930+N932+N936+N937+N938+N939+N943+N947+N948+N949+N952+N953+N954+N955,N909+N911+N913+N918+N919+N920+N921+N922+N923+N924+N926+N927+N928+N930+N932+N936+N937+N938+N939+N943+N947+N948+N949+N952+N953+N954+N955)),3)</f>
        <v>0</v>
      </c>
      <c r="O964" s="813">
        <f>ROUND(IF('Table 1'!$G$3&gt;1,IF(EnCMember=1,O906+O912+O945+O925+O935+O941+O942+O951+O958+O909+O911+O913+O918+O919+O920+O921+O922+O923+O924+O926+O927+O928+O930+O932+O936+O937+O938+O939+O943+O947+O948+O949+O952+O953+O954+O955+O959,O909+O911+O913+O918+O919+O920+O921+O922+O923+O924+O926+O927+O928+O930+O932+O936+O937+O938+O939+O943+O947+O948+O949+O952+O953+O954+O955+O959),IF(EnCMember=1,O906+O912+O945+O925+O935+O941+O942+O951+O958+O909+O911+O913+O918+O919+O920+O921+O922+O923+O924+O926+O927+O928+O930+O932+O936+O937+O938+O939+O943+O947+O948+O949+O952+O953+O954+O955,O909+O911+O913+O918+O919+O920+O921+O922+O923+O924+O926+O927+O928+O930+O932+O936+O937+O938+O939+O943+O947+O948+O949+O952+O953+O954+O955)),3)</f>
        <v>0</v>
      </c>
      <c r="P964" s="811">
        <f>ROUND(IF('Table 1'!$G$3&gt;1,IF(EnCMember=1,P906+P912+P945+P925+P935+P941+P942+P951+P958+P909+P911+P913+P918+P919+P920+P921+P922+P923+P924+P926+P927+P928+P930+P932+P936+P937+P938+P939+P943+P947+P948+P949+P952+P953+P954+P955+P959,P909+P911+P913+P918+P919+P920+P921+P922+P923+P924+P926+P927+P928+P930+P932+P936+P937+P938+P939+P943+P947+P948+P949+P952+P953+P954+P955+P959),IF(EnCMember=1,P906+P912+P945+P925+P935+P941+P942+P951+P958+P909+P911+P913+P918+P919+P920+P921+P922+P923+P924+P926+P927+P928+P930+P932+P936+P937+P938+P939+P943+P947+P948+P949+P952+P953+P954+P955,P909+P911+P913+P918+P919+P920+P921+P922+P923+P924+P926+P927+P928+P930+P932+P936+P937+P938+P939+P943+P947+P948+P949+P952+P953+P954+P955)),3)</f>
        <v>0</v>
      </c>
      <c r="Q964" s="812">
        <f>ROUND(IF('Table 1'!$G$3&gt;1,IF(EnCMember=1,Q906+Q912+Q945+Q925+Q935+Q941+Q942+Q951+Q958+Q909+Q911+Q913+Q918+Q919+Q920+Q921+Q922+Q923+Q924+Q926+Q927+Q928+Q930+Q932+Q936+Q937+Q938+Q939+Q943+Q947+Q948+Q949+Q952+Q953+Q954+Q955+Q959,Q909+Q911+Q913+Q918+Q919+Q920+Q921+Q922+Q923+Q924+Q926+Q927+Q928+Q930+Q932+Q936+Q937+Q938+Q939+Q943+Q947+Q948+Q949+Q952+Q953+Q954+Q955+Q959),IF(EnCMember=1,Q906+Q912+Q945+Q925+Q935+Q941+Q942+Q951+Q958+Q909+Q911+Q913+Q918+Q919+Q920+Q921+Q922+Q923+Q924+Q926+Q927+Q928+Q930+Q932+Q936+Q937+Q938+Q939+Q943+Q947+Q948+Q949+Q952+Q953+Q954+Q955,Q909+Q911+Q913+Q918+Q919+Q920+Q921+Q922+Q923+Q924+Q926+Q927+Q928+Q930+Q932+Q936+Q937+Q938+Q939+Q943+Q947+Q948+Q949+Q952+Q953+Q954+Q955)),3)</f>
        <v>0</v>
      </c>
      <c r="R964" s="813">
        <f>ROUND(IF('Table 1'!$G$3&gt;1,IF(EnCMember=1,R906+R912+R945+R925+R935+R941+R942+R951+R958+R909+R911+R913+R918+R919+R920+R921+R922+R923+R924+R926+R927+R928+R930+R932+R936+R937+R938+R939+R943+R947+R948+R949+R952+R953+R954+R955+R959,R909+R911+R913+R918+R919+R920+R921+R922+R923+R924+R926+R927+R928+R930+R932+R936+R937+R938+R939+R943+R947+R948+R949+R952+R953+R954+R955+R959),IF(EnCMember=1,R906+R912+R945+R925+R935+R941+R942+R951+R958+R909+R911+R913+R918+R919+R920+R921+R922+R923+R924+R926+R927+R928+R930+R932+R936+R937+R938+R939+R943+R947+R948+R949+R952+R953+R954+R955,R909+R911+R913+R918+R919+R920+R921+R922+R923+R924+R926+R927+R928+R930+R932+R936+R937+R938+R939+R943+R947+R948+R949+R952+R953+R954+R955)),3)</f>
        <v>0</v>
      </c>
      <c r="S964" s="811">
        <f>ROUND(IF('Table 1'!$G$3&gt;1,IF(EnCMember=1,S906+S912+S945+S925+S935+S941+S942+S951+S958+S909+S911+S913+S918+S919+S920+S921+S922+S923+S924+S926+S927+S928+S930+S932+S936+S937+S938+S939+S943+S947+S948+S949+S952+S953+S954+S955+S959,S909+S911+S913+S918+S919+S920+S921+S922+S923+S924+S926+S927+S928+S930+S932+S936+S937+S938+S939+S943+S947+S948+S949+S952+S953+S954+S955+S959),IF(EnCMember=1,S906+S912+S945+S925+S935+S941+S942+S951+S958+S909+S911+S913+S918+S919+S920+S921+S922+S923+S924+S926+S927+S928+S930+S932+S936+S937+S938+S939+S943+S947+S948+S949+S952+S953+S954+S955,S909+S911+S913+S918+S919+S920+S921+S922+S923+S924+S926+S927+S928+S930+S932+S936+S937+S938+S939+S943+S947+S948+S949+S952+S953+S954+S955)),3)</f>
        <v>0</v>
      </c>
      <c r="T964" s="811">
        <f>ROUND(IF('Table 1'!$G$3&gt;1,IF(EnCMember=1,T906+T912+T945+T925+T935+T941+T942+T951+T958+T909+T911+T913+T918+T919+T920+T921+T922+T923+T924+T926+T927+T928+T930+T932+T936+T937+T938+T939+T943+T947+T948+T949+T952+T953+T954+T955+T959,T909+T911+T913+T918+T919+T920+T921+T922+T923+T924+T926+T927+T928+T930+T932+T936+T937+T938+T939+T943+T947+T948+T949+T952+T953+T954+T955+T959),IF(EnCMember=1,T906+T912+T945+T925+T935+T941+T942+T951+T958+T909+T911+T913+T918+T919+T920+T921+T922+T923+T924+T926+T927+T928+T930+T932+T936+T937+T938+T939+T943+T947+T948+T949+T952+T953+T954+T955,T909+T911+T913+T918+T919+T920+T921+T922+T923+T924+T926+T927+T928+T930+T932+T936+T937+T938+T939+T943+T947+T948+T949+T952+T953+T954+T955)),3)</f>
        <v>0</v>
      </c>
      <c r="U964" s="811">
        <f>ROUND(IF('Table 1'!$G$3&gt;1,IF(EnCMember=1,U906+U912+U945+U925+U935+U941+U942+U951+U958+U909+U911+U913+U918+U919+U920+U921+U922+U923+U924+U926+U927+U928+U930+U932+U936+U937+U938+U939+U943+U947+U948+U949+U952+U953+U954+U955+U959,U909+U911+U913+U918+U919+U920+U921+U922+U923+U924+U926+U927+U928+U930+U932+U936+U937+U938+U939+U943+U947+U948+U949+U952+U953+U954+U955+U959),IF(EnCMember=1,U906+U912+U945+U925+U935+U941+U942+U951+U958+U909+U911+U913+U918+U919+U920+U921+U922+U923+U924+U926+U927+U928+U930+U932+U936+U937+U938+U939+U943+U947+U948+U949+U952+U953+U954+U955,U909+U911+U913+U918+U919+U920+U921+U922+U923+U924+U926+U927+U928+U930+U932+U936+U937+U938+U939+U943+U947+U948+U949+U952+U953+U954+U955)),3)</f>
        <v>0</v>
      </c>
      <c r="V964" s="811">
        <f>ROUND(IF('Table 1'!$G$3&gt;1,IF(EnCMember=1,V906+V912+V945+V925+V935+V941+V942+V951+V958+V909+V911+V913+V918+V919+V920+V921+V922+V923+V924+V926+V927+V928+V930+V932+V936+V937+V938+V939+V943+V947+V948+V949+V952+V953+V954+V955+V959,V909+V911+V913+V918+V919+V920+V921+V922+V923+V924+V926+V927+V928+V930+V932+V936+V937+V938+V939+V943+V947+V948+V949+V952+V953+V954+V955+V959),IF(EnCMember=1,V906+V912+V945+V925+V935+V941+V942+V951+V958+V909+V911+V913+V918+V919+V920+V921+V922+V923+V924+V926+V927+V928+V930+V932+V936+V937+V938+V939+V943+V947+V948+V949+V952+V953+V954+V955,V909+V911+V913+V918+V919+V920+V921+V922+V923+V924+V926+V927+V928+V930+V932+V936+V937+V938+V939+V943+V947+V948+V949+V952+V953+V954+V955)),3)</f>
        <v>0</v>
      </c>
      <c r="W964" s="812">
        <f>ROUND(IF('Table 1'!$G$3&gt;1,IF(EnCMember=1,W906+W912+W945+W925+W935+W941+W942+W951+W958+W909+W911+W913+W918+W919+W920+W921+W922+W923+W924+W926+W927+W928+W930+W932+W936+W937+W938+W939+W943+W947+W948+W949+W952+W953+W954+W955+W959,W909+W911+W913+W918+W919+W920+W921+W922+W923+W924+W926+W927+W928+W930+W932+W936+W937+W938+W939+W943+W947+W948+W949+W952+W953+W954+W955+W959),IF(EnCMember=1,W906+W912+W945+W925+W935+W941+W942+W951+W958+W909+W911+W913+W918+W919+W920+W921+W922+W923+W924+W926+W927+W928+W930+W932+W936+W937+W938+W939+W943+W947+W948+W949+W952+W953+W954+W955,W909+W911+W913+W918+W919+W920+W921+W922+W923+W924+W926+W927+W928+W930+W932+W936+W937+W938+W939+W943+W947+W948+W949+W952+W953+W954+W955)),3)</f>
        <v>0</v>
      </c>
      <c r="X964" s="813">
        <f>ROUND(IF('Table 1'!$G$3&gt;1,IF(EnCMember=1,X906+X912+X945+X925+X935+X941+X942+X951+X958+X909+X911+X913+X918+X919+X920+X921+X922+X923+X924+X926+X927+X928+X930+X932+X936+X937+X938+X939+X943+X947+X948+X949+X952+X953+X954+X955+X959,X909+X911+X913+X918+X919+X920+X921+X922+X923+X924+X926+X927+X928+X930+X932+X936+X937+X938+X939+X943+X947+X948+X949+X952+X953+X954+X955+X959),IF(EnCMember=1,X906+X912+X945+X925+X935+X941+X942+X951+X958+X909+X911+X913+X918+X919+X920+X921+X922+X923+X924+X926+X927+X928+X930+X932+X936+X937+X938+X939+X943+X947+X948+X949+X952+X953+X954+X955,X909+X911+X913+X918+X919+X920+X921+X922+X923+X924+X926+X927+X928+X930+X932+X936+X937+X938+X939+X943+X947+X948+X949+X952+X953+X954+X955)),3)</f>
        <v>0</v>
      </c>
      <c r="Y964" s="811">
        <f>ROUND(IF('Table 1'!$G$3&gt;1,IF(EnCMember=1,Y906+Y912+Y945+Y925+Y935+Y941+Y942+Y951+Y958+Y909+Y911+Y913+Y918+Y919+Y920+Y921+Y922+Y923+Y924+Y926+Y927+Y928+Y930+Y932+Y936+Y937+Y938+Y939+Y943+Y947+Y948+Y949+Y952+Y953+Y954+Y955+Y959,Y909+Y911+Y913+Y918+Y919+Y920+Y921+Y922+Y923+Y924+Y926+Y927+Y928+Y930+Y932+Y936+Y937+Y938+Y939+Y943+Y947+Y948+Y949+Y952+Y953+Y954+Y955+Y959),IF(EnCMember=1,Y906+Y912+Y945+Y925+Y935+Y941+Y942+Y951+Y958+Y909+Y911+Y913+Y918+Y919+Y920+Y921+Y922+Y923+Y924+Y926+Y927+Y928+Y930+Y932+Y936+Y937+Y938+Y939+Y943+Y947+Y948+Y949+Y952+Y953+Y954+Y955,Y909+Y911+Y913+Y918+Y919+Y920+Y921+Y922+Y923+Y924+Y926+Y927+Y928+Y930+Y932+Y936+Y937+Y938+Y939+Y943+Y947+Y948+Y949+Y952+Y953+Y954+Y955)),3)</f>
        <v>0</v>
      </c>
      <c r="Z964" s="811">
        <f>ROUND(IF('Table 1'!$G$3&gt;1,IF(EnCMember=1,Z906+Z912+Z945+Z925+Z935+Z941+Z942+Z951+Z958+Z909+Z911+Z913+Z918+Z919+Z920+Z921+Z922+Z923+Z924+Z926+Z927+Z928+Z930+Z932+Z936+Z937+Z938+Z939+Z943+Z947+Z948+Z949+Z952+Z953+Z954+Z955+Z959,Z909+Z911+Z913+Z918+Z919+Z920+Z921+Z922+Z923+Z924+Z926+Z927+Z928+Z930+Z932+Z936+Z937+Z938+Z939+Z943+Z947+Z948+Z949+Z952+Z953+Z954+Z955+Z959),IF(EnCMember=1,Z906+Z912+Z945+Z925+Z935+Z941+Z942+Z951+Z958+Z909+Z911+Z913+Z918+Z919+Z920+Z921+Z922+Z923+Z924+Z926+Z927+Z928+Z930+Z932+Z936+Z937+Z938+Z939+Z943+Z947+Z948+Z949+Z952+Z953+Z954+Z955,Z909+Z911+Z913+Z918+Z919+Z920+Z921+Z922+Z923+Z924+Z926+Z927+Z928+Z930+Z932+Z936+Z937+Z938+Z939+Z943+Z947+Z948+Z949+Z952+Z953+Z954+Z955)),3)</f>
        <v>0</v>
      </c>
      <c r="AA964" s="811">
        <f>ROUND(IF('Table 1'!$G$3&gt;1,IF(EnCMember=1,AA906+AA912+AA945+AA925+AA935+AA941+AA942+AA951+AA958+AA909+AA911+AA913+AA918+AA919+AA920+AA921+AA922+AA923+AA924+AA926+AA927+AA928+AA930+AA932+AA936+AA937+AA938+AA939+AA943+AA947+AA948+AA949+AA952+AA953+AA954+AA955+AA959,AA909+AA911+AA913+AA918+AA919+AA920+AA921+AA922+AA923+AA924+AA926+AA927+AA928+AA930+AA932+AA936+AA937+AA938+AA939+AA943+AA947+AA948+AA949+AA952+AA953+AA954+AA955+AA959),IF(EnCMember=1,AA906+AA912+AA945+AA925+AA935+AA941+AA942+AA951+AA958+AA909+AA911+AA913+AA918+AA919+AA920+AA921+AA922+AA923+AA924+AA926+AA927+AA928+AA930+AA932+AA936+AA937+AA938+AA939+AA943+AA947+AA948+AA949+AA952+AA953+AA954+AA955,AA909+AA911+AA913+AA918+AA919+AA920+AA921+AA922+AA923+AA924+AA926+AA927+AA928+AA930+AA932+AA936+AA937+AA938+AA939+AA943+AA947+AA948+AA949+AA952+AA953+AA954+AA955)),3)</f>
        <v>0</v>
      </c>
      <c r="AB964" s="812">
        <f>ROUND(IF('Table 1'!$G$3&gt;1,IF(EnCMember=1,AB906+AB912+AB945+AB925+AB935+AB941+AB942+AB951+AB958+AB909+AB911+AB913+AB918+AB919+AB920+AB921+AB922+AB923+AB924+AB926+AB927+AB928+AB930+AB932+AB936+AB937+AB938+AB939+AB943+AB947+AB948+AB949+AB952+AB953+AB954+AB955+AB959,AB909+AB911+AB913+AB918+AB919+AB920+AB921+AB922+AB923+AB924+AB926+AB927+AB928+AB930+AB932+AB936+AB937+AB938+AB939+AB943+AB947+AB948+AB949+AB952+AB953+AB954+AB955+AB959),IF(EnCMember=1,AB906+AB912+AB945+AB925+AB935+AB941+AB942+AB951+AB958+AB909+AB911+AB913+AB918+AB919+AB920+AB921+AB922+AB923+AB924+AB926+AB927+AB928+AB930+AB932+AB936+AB937+AB938+AB939+AB943+AB947+AB948+AB949+AB952+AB953+AB954+AB955,AB909+AB911+AB913+AB918+AB919+AB920+AB921+AB922+AB923+AB924+AB926+AB927+AB928+AB930+AB932+AB936+AB937+AB938+AB939+AB943+AB947+AB948+AB949+AB952+AB953+AB954+AB955)),3)</f>
        <v>0</v>
      </c>
      <c r="AC964" s="813">
        <f>ROUND(IF('Table 1'!$G$3&gt;1,IF(EnCMember=1,AC906+AC912+AC945+AC925+AC935+AC941+AC942+AC951+AC958+AC909+AC911+AC913+AC918+AC919+AC920+AC921+AC922+AC923+AC924+AC926+AC927+AC928+AC930+AC932+AC936+AC937+AC938+AC939+AC943+AC947+AC948+AC949+AC952+AC953+AC954+AC955+AC959,AC909+AC911+AC913+AC918+AC919+AC920+AC921+AC922+AC923+AC924+AC926+AC927+AC928+AC930+AC932+AC936+AC937+AC938+AC939+AC943+AC947+AC948+AC949+AC952+AC953+AC954+AC955+AC959),IF(EnCMember=1,AC906+AC912+AC945+AC925+AC935+AC941+AC942+AC951+AC958+AC909+AC911+AC913+AC918+AC919+AC920+AC921+AC922+AC923+AC924+AC926+AC927+AC928+AC930+AC932+AC936+AC937+AC938+AC939+AC943+AC947+AC948+AC949+AC952+AC953+AC954+AC955,AC909+AC911+AC913+AC918+AC919+AC920+AC921+AC922+AC923+AC924+AC926+AC927+AC928+AC930+AC932+AC936+AC937+AC938+AC939+AC943+AC947+AC948+AC949+AC952+AC953+AC954+AC955)),3)</f>
        <v>0</v>
      </c>
      <c r="AD964" s="811">
        <f>ROUND(IF('Table 1'!$G$3&gt;1,IF(EnCMember=1,AD906+AD912+AD945+AD925+AD935+AD941+AD942+AD951+AD958+AD909+AD911+AD913+AD918+AD919+AD920+AD921+AD922+AD923+AD924+AD926+AD927+AD928+AD930+AD932+AD936+AD937+AD938+AD939+AD943+AD947+AD948+AD949+AD952+AD953+AD954+AD955+AD959,AD909+AD911+AD913+AD918+AD919+AD920+AD921+AD922+AD923+AD924+AD926+AD927+AD928+AD930+AD932+AD936+AD937+AD938+AD939+AD943+AD947+AD948+AD949+AD952+AD953+AD954+AD955+AD959),IF(EnCMember=1,AD906+AD912+AD945+AD925+AD935+AD941+AD942+AD951+AD958+AD909+AD911+AD913+AD918+AD919+AD920+AD921+AD922+AD923+AD924+AD926+AD927+AD928+AD930+AD932+AD936+AD937+AD938+AD939+AD943+AD947+AD948+AD949+AD952+AD953+AD954+AD955,AD909+AD911+AD913+AD918+AD919+AD920+AD921+AD922+AD923+AD924+AD926+AD927+AD928+AD930+AD932+AD936+AD937+AD938+AD939+AD943+AD947+AD948+AD949+AD952+AD953+AD954+AD955)),3)</f>
        <v>0</v>
      </c>
      <c r="AE964" s="811">
        <f>ROUND(IF('Table 1'!$G$3&gt;1,IF(EnCMember=1,AE906+AE912+AE945+AE925+AE935+AE941+AE942+AE951+AE958+AE909+AE911+AE913+AE918+AE919+AE920+AE921+AE922+AE923+AE924+AE926+AE927+AE928+AE930+AE932+AE936+AE937+AE938+AE939+AE943+AE947+AE948+AE949+AE952+AE953+AE954+AE955+AE959,AE909+AE911+AE913+AE918+AE919+AE920+AE921+AE922+AE923+AE924+AE926+AE927+AE928+AE930+AE932+AE936+AE937+AE938+AE939+AE943+AE947+AE948+AE949+AE952+AE953+AE954+AE955+AE959),IF(EnCMember=1,AE906+AE912+AE945+AE925+AE935+AE941+AE942+AE951+AE958+AE909+AE911+AE913+AE918+AE919+AE920+AE921+AE922+AE923+AE924+AE926+AE927+AE928+AE930+AE932+AE936+AE937+AE938+AE939+AE943+AE947+AE948+AE949+AE952+AE953+AE954+AE955,AE909+AE911+AE913+AE918+AE919+AE920+AE921+AE922+AE923+AE924+AE926+AE927+AE928+AE930+AE932+AE936+AE937+AE938+AE939+AE943+AE947+AE948+AE949+AE952+AE953+AE954+AE955)),3)</f>
        <v>0</v>
      </c>
      <c r="AF964" s="812">
        <f>ROUND(IF('Table 1'!$G$3&gt;1,IF(EnCMember=1,AF906+AF912+AF945+AF925+AF935+AF941+AF942+AF951+AF958+AF909+AF911+AF913+AF918+AF919+AF920+AF921+AF922+AF923+AF924+AF926+AF927+AF928+AF930+AF932+AF936+AF937+AF938+AF939+AF943+AF947+AF948+AF949+AF952+AF953+AF954+AF955+AF959,AF909+AF911+AF913+AF918+AF919+AF920+AF921+AF922+AF923+AF924+AF926+AF927+AF928+AF930+AF932+AF936+AF937+AF938+AF939+AF943+AF947+AF948+AF949+AF952+AF953+AF954+AF955+AF959),IF(EnCMember=1,AF906+AF912+AF945+AF925+AF935+AF941+AF942+AF951+AF958+AF909+AF911+AF913+AF918+AF919+AF920+AF921+AF922+AF923+AF924+AF926+AF927+AF928+AF930+AF932+AF936+AF937+AF938+AF939+AF943+AF947+AF948+AF949+AF952+AF953+AF954+AF955,AF909+AF911+AF913+AF918+AF919+AF920+AF921+AF922+AF923+AF924+AF926+AF927+AF928+AF930+AF932+AF936+AF937+AF938+AF939+AF943+AF947+AF948+AF949+AF952+AF953+AF954+AF955)),3)</f>
        <v>0</v>
      </c>
      <c r="AG964" s="813">
        <f>ROUND(IF('Table 1'!$G$3&gt;1,IF(EnCMember=1,AG906+AG912+AG945+AG925+AG935+AG941+AG942+AG951+AG958+AG909+AG911+AG913+AG918+AG919+AG920+AG921+AG922+AG923+AG924+AG926+AG927+AG928+AG930+AG932+AG936+AG937+AG938+AG939+AG943+AG947+AG948+AG949+AG952+AG953+AG954+AG955+AG959,AG909+AG911+AG913+AG918+AG919+AG920+AG921+AG922+AG923+AG924+AG926+AG927+AG928+AG930+AG932+AG936+AG937+AG938+AG939+AG943+AG947+AG948+AG949+AG952+AG953+AG954+AG955+AG959),IF(EnCMember=1,AG906+AG912+AG945+AG925+AG935+AG941+AG942+AG951+AG958+AG909+AG911+AG913+AG918+AG919+AG920+AG921+AG922+AG923+AG924+AG926+AG927+AG928+AG930+AG932+AG936+AG937+AG938+AG939+AG943+AG947+AG948+AG949+AG952+AG953+AG954+AG955,AG909+AG911+AG913+AG918+AG919+AG920+AG921+AG922+AG923+AG924+AG926+AG927+AG928+AG930+AG932+AG936+AG937+AG938+AG939+AG943+AG947+AG948+AG949+AG952+AG953+AG954+AG955)),3)</f>
        <v>0</v>
      </c>
      <c r="AH964" s="811">
        <f>ROUND(IF('Table 1'!$G$3&gt;1,IF(EnCMember=1,AH906+AH912+AH945+AH925+AH935+AH941+AH942+AH951+AH958+AH909+AH911+AH913+AH918+AH919+AH920+AH921+AH922+AH923+AH924+AH926+AH927+AH928+AH930+AH932+AH936+AH937+AH938+AH939+AH943+AH947+AH948+AH949+AH952+AH953+AH954+AH955+AH959,AH909+AH911+AH913+AH918+AH919+AH920+AH921+AH922+AH923+AH924+AH926+AH927+AH928+AH930+AH932+AH936+AH937+AH938+AH939+AH943+AH947+AH948+AH949+AH952+AH953+AH954+AH955+AH959),IF(EnCMember=1,AH906+AH912+AH945+AH925+AH935+AH941+AH942+AH951+AH958+AH909+AH911+AH913+AH918+AH919+AH920+AH921+AH922+AH923+AH924+AH926+AH927+AH928+AH930+AH932+AH936+AH937+AH938+AH939+AH943+AH947+AH948+AH949+AH952+AH953+AH954+AH955,AH909+AH911+AH913+AH918+AH919+AH920+AH921+AH922+AH923+AH924+AH926+AH927+AH928+AH930+AH932+AH936+AH937+AH938+AH939+AH943+AH947+AH948+AH949+AH952+AH953+AH954+AH955)),3)</f>
        <v>0</v>
      </c>
      <c r="AI964" s="811">
        <f>ROUND(IF('Table 1'!$G$3&gt;1,IF(EnCMember=1,AI906+AI912+AI945+AI925+AI935+AI941+AI942+AI951+AI958+AI909+AI911+AI913+AI918+AI919+AI920+AI921+AI922+AI923+AI924+AI926+AI927+AI928+AI930+AI932+AI936+AI937+AI938+AI939+AI943+AI947+AI948+AI949+AI952+AI953+AI954+AI955+AI959,AI909+AI911+AI913+AI918+AI919+AI920+AI921+AI922+AI923+AI924+AI926+AI927+AI928+AI930+AI932+AI936+AI937+AI938+AI939+AI943+AI947+AI948+AI949+AI952+AI953+AI954+AI955+AI959),IF(EnCMember=1,AI906+AI912+AI945+AI925+AI935+AI941+AI942+AI951+AI958+AI909+AI911+AI913+AI918+AI919+AI920+AI921+AI922+AI923+AI924+AI926+AI927+AI928+AI930+AI932+AI936+AI937+AI938+AI939+AI943+AI947+AI948+AI949+AI952+AI953+AI954+AI955,AI909+AI911+AI913+AI918+AI919+AI920+AI921+AI922+AI923+AI924+AI926+AI927+AI928+AI930+AI932+AI936+AI937+AI938+AI939+AI943+AI947+AI948+AI949+AI952+AI953+AI954+AI955)),3)</f>
        <v>0</v>
      </c>
      <c r="AJ964" s="816">
        <f>ROUND(IF('Table 1'!$G$3&gt;1,IF(EnCMember=1,AJ906+AJ912+AJ945+AJ925+AJ935+AJ941+AJ942+AJ951+AJ958+AJ909+AJ911+AJ913+AJ918+AJ919+AJ920+AJ921+AJ922+AJ923+AJ924+AJ926+AJ927+AJ928+AJ930+AJ932+AJ936+AJ937+AJ938+AJ939+AJ943+AJ947+AJ948+AJ949+AJ952+AJ953+AJ954+AJ955+AJ959,AJ909+AJ911+AJ913+AJ918+AJ919+AJ920+AJ921+AJ922+AJ923+AJ924+AJ926+AJ927+AJ928+AJ930+AJ932+AJ936+AJ937+AJ938+AJ939+AJ943+AJ947+AJ948+AJ949+AJ952+AJ953+AJ954+AJ955+AJ959),IF(EnCMember=1,AJ906+AJ912+AJ945+AJ925+AJ935+AJ941+AJ942+AJ951+AJ958+AJ909+AJ911+AJ913+AJ918+AJ919+AJ920+AJ921+AJ922+AJ923+AJ924+AJ926+AJ927+AJ928+AJ930+AJ932+AJ936+AJ937+AJ938+AJ939+AJ943+AJ947+AJ948+AJ949+AJ952+AJ953+AJ954+AJ955,AJ909+AJ911+AJ913+AJ918+AJ919+AJ920+AJ921+AJ922+AJ923+AJ924+AJ926+AJ927+AJ928+AJ930+AJ932+AJ936+AJ937+AJ938+AJ939+AJ943+AJ947+AJ948+AJ949+AJ952+AJ953+AJ954+AJ955)),3)</f>
        <v>0</v>
      </c>
    </row>
  </sheetData>
  <sheetProtection algorithmName="SHA-512" hashValue="F8gHq1piCz/xawRb6rNgsC03/aQZw3vgcOmrNml+yPwxUFqyrP3BtPc9yJFbTLTW6OO2MG4YfnFa5HEO0mrKBA==" saltValue="6MigP7LYK9YBPqYtjOUdbQ==" spinCount="100000" sheet="1" objects="1" scenarios="1"/>
  <mergeCells count="264">
    <mergeCell ref="J10:J11"/>
    <mergeCell ref="E10:E11"/>
    <mergeCell ref="F10:F11"/>
    <mergeCell ref="G10:G11"/>
    <mergeCell ref="H10:H11"/>
    <mergeCell ref="E30:E31"/>
    <mergeCell ref="F30:F31"/>
    <mergeCell ref="G30:G31"/>
    <mergeCell ref="H30:H31"/>
    <mergeCell ref="I30:I31"/>
    <mergeCell ref="V30:V31"/>
    <mergeCell ref="Y30:Y31"/>
    <mergeCell ref="AC30:AC31"/>
    <mergeCell ref="AD30:AD31"/>
    <mergeCell ref="AE30:AE31"/>
    <mergeCell ref="E231:E232"/>
    <mergeCell ref="F231:F232"/>
    <mergeCell ref="G231:G232"/>
    <mergeCell ref="H231:H232"/>
    <mergeCell ref="I231:I232"/>
    <mergeCell ref="J30:J31"/>
    <mergeCell ref="K30:K31"/>
    <mergeCell ref="N30:N31"/>
    <mergeCell ref="O30:O31"/>
    <mergeCell ref="P30:P31"/>
    <mergeCell ref="S30:S31"/>
    <mergeCell ref="Y231:Y232"/>
    <mergeCell ref="AB231:AB232"/>
    <mergeCell ref="AH57:AH58"/>
    <mergeCell ref="AI57:AI58"/>
    <mergeCell ref="E57:E58"/>
    <mergeCell ref="F57:F58"/>
    <mergeCell ref="G57:G58"/>
    <mergeCell ref="H57:H58"/>
    <mergeCell ref="I57:I58"/>
    <mergeCell ref="J57:J58"/>
    <mergeCell ref="S57:S58"/>
    <mergeCell ref="V57:V58"/>
    <mergeCell ref="Y57:Y58"/>
    <mergeCell ref="AB57:AB58"/>
    <mergeCell ref="AF57:AF58"/>
    <mergeCell ref="AG57:AG58"/>
    <mergeCell ref="K57:K58"/>
    <mergeCell ref="L57:L58"/>
    <mergeCell ref="M57:M58"/>
    <mergeCell ref="N57:N58"/>
    <mergeCell ref="Q57:Q58"/>
    <mergeCell ref="R57:R58"/>
    <mergeCell ref="AF231:AF232"/>
    <mergeCell ref="K231:K232"/>
    <mergeCell ref="L231:L232"/>
    <mergeCell ref="M231:M232"/>
    <mergeCell ref="N231:N232"/>
    <mergeCell ref="Q231:Q232"/>
    <mergeCell ref="R231:R232"/>
    <mergeCell ref="AG231:AG232"/>
    <mergeCell ref="AH231:AH232"/>
    <mergeCell ref="AI231:AI232"/>
    <mergeCell ref="E507:E508"/>
    <mergeCell ref="F507:F508"/>
    <mergeCell ref="G507:G508"/>
    <mergeCell ref="H507:H508"/>
    <mergeCell ref="J507:J508"/>
    <mergeCell ref="K507:K508"/>
    <mergeCell ref="L507:L508"/>
    <mergeCell ref="S231:S232"/>
    <mergeCell ref="V231:V232"/>
    <mergeCell ref="J231:J232"/>
    <mergeCell ref="AD498:AD499"/>
    <mergeCell ref="AH498:AH499"/>
    <mergeCell ref="AI498:AI499"/>
    <mergeCell ref="H451:H452"/>
    <mergeCell ref="I451:I452"/>
    <mergeCell ref="K451:K452"/>
    <mergeCell ref="L451:L452"/>
    <mergeCell ref="M451:M452"/>
    <mergeCell ref="AH451:AH452"/>
    <mergeCell ref="U451:U452"/>
    <mergeCell ref="AA451:AA452"/>
    <mergeCell ref="AD451:AD452"/>
    <mergeCell ref="N451:N452"/>
    <mergeCell ref="AJ507:AJ508"/>
    <mergeCell ref="E573:E574"/>
    <mergeCell ref="F573:F574"/>
    <mergeCell ref="G573:G574"/>
    <mergeCell ref="H573:H574"/>
    <mergeCell ref="J573:J574"/>
    <mergeCell ref="K573:K574"/>
    <mergeCell ref="L573:L574"/>
    <mergeCell ref="M573:M574"/>
    <mergeCell ref="N573:N574"/>
    <mergeCell ref="W507:W508"/>
    <mergeCell ref="Z507:Z508"/>
    <mergeCell ref="AC507:AC508"/>
    <mergeCell ref="AG507:AG508"/>
    <mergeCell ref="AH507:AH508"/>
    <mergeCell ref="AI507:AI508"/>
    <mergeCell ref="M507:M508"/>
    <mergeCell ref="N507:N508"/>
    <mergeCell ref="O507:O508"/>
    <mergeCell ref="R507:R508"/>
    <mergeCell ref="S507:S508"/>
    <mergeCell ref="T507:T508"/>
    <mergeCell ref="AC573:AC574"/>
    <mergeCell ref="AG573:AG574"/>
    <mergeCell ref="AH573:AH574"/>
    <mergeCell ref="AI573:AI574"/>
    <mergeCell ref="AJ573:AJ574"/>
    <mergeCell ref="E639:E640"/>
    <mergeCell ref="F639:F640"/>
    <mergeCell ref="G639:G640"/>
    <mergeCell ref="H639:H640"/>
    <mergeCell ref="J639:J640"/>
    <mergeCell ref="O573:O574"/>
    <mergeCell ref="R573:R574"/>
    <mergeCell ref="S573:S574"/>
    <mergeCell ref="T573:T574"/>
    <mergeCell ref="W573:W574"/>
    <mergeCell ref="Z573:Z574"/>
    <mergeCell ref="AH639:AH640"/>
    <mergeCell ref="AI639:AI640"/>
    <mergeCell ref="AJ639:AJ640"/>
    <mergeCell ref="W639:W640"/>
    <mergeCell ref="Z639:Z640"/>
    <mergeCell ref="AC639:AC640"/>
    <mergeCell ref="AG639:AG640"/>
    <mergeCell ref="E705:E706"/>
    <mergeCell ref="F705:F706"/>
    <mergeCell ref="G705:G706"/>
    <mergeCell ref="H705:H706"/>
    <mergeCell ref="J705:J706"/>
    <mergeCell ref="K705:K706"/>
    <mergeCell ref="L705:L706"/>
    <mergeCell ref="S639:S640"/>
    <mergeCell ref="T639:T640"/>
    <mergeCell ref="K639:K640"/>
    <mergeCell ref="L639:L640"/>
    <mergeCell ref="M639:M640"/>
    <mergeCell ref="N639:N640"/>
    <mergeCell ref="O639:O640"/>
    <mergeCell ref="R639:R640"/>
    <mergeCell ref="AJ705:AJ706"/>
    <mergeCell ref="E771:E772"/>
    <mergeCell ref="F771:F772"/>
    <mergeCell ref="G771:G772"/>
    <mergeCell ref="H771:H772"/>
    <mergeCell ref="J771:J772"/>
    <mergeCell ref="K771:K772"/>
    <mergeCell ref="L771:L772"/>
    <mergeCell ref="M771:M772"/>
    <mergeCell ref="N771:N772"/>
    <mergeCell ref="W705:W706"/>
    <mergeCell ref="Z705:Z706"/>
    <mergeCell ref="AC705:AC706"/>
    <mergeCell ref="AG705:AG706"/>
    <mergeCell ref="AH705:AH706"/>
    <mergeCell ref="AI705:AI706"/>
    <mergeCell ref="M705:M706"/>
    <mergeCell ref="N705:N706"/>
    <mergeCell ref="O705:O706"/>
    <mergeCell ref="R705:R706"/>
    <mergeCell ref="S705:S706"/>
    <mergeCell ref="T705:T706"/>
    <mergeCell ref="AC771:AC772"/>
    <mergeCell ref="AG771:AG772"/>
    <mergeCell ref="K837:K838"/>
    <mergeCell ref="L837:L838"/>
    <mergeCell ref="M837:M838"/>
    <mergeCell ref="AH771:AH772"/>
    <mergeCell ref="AI771:AI772"/>
    <mergeCell ref="AJ771:AJ772"/>
    <mergeCell ref="E837:E838"/>
    <mergeCell ref="F837:F838"/>
    <mergeCell ref="G837:G838"/>
    <mergeCell ref="H837:H838"/>
    <mergeCell ref="J837:J838"/>
    <mergeCell ref="O771:O772"/>
    <mergeCell ref="R771:R772"/>
    <mergeCell ref="S771:S772"/>
    <mergeCell ref="T771:T772"/>
    <mergeCell ref="W771:W772"/>
    <mergeCell ref="Z771:Z772"/>
    <mergeCell ref="AH903:AH904"/>
    <mergeCell ref="AI903:AI904"/>
    <mergeCell ref="E903:E904"/>
    <mergeCell ref="F903:F904"/>
    <mergeCell ref="G903:G904"/>
    <mergeCell ref="H903:H904"/>
    <mergeCell ref="J903:J904"/>
    <mergeCell ref="K903:K904"/>
    <mergeCell ref="L903:L904"/>
    <mergeCell ref="M903:M904"/>
    <mergeCell ref="K405:K406"/>
    <mergeCell ref="L405:L406"/>
    <mergeCell ref="AJ903:AJ904"/>
    <mergeCell ref="N903:N904"/>
    <mergeCell ref="O903:O904"/>
    <mergeCell ref="R903:R904"/>
    <mergeCell ref="S903:S904"/>
    <mergeCell ref="T903:T904"/>
    <mergeCell ref="W903:W904"/>
    <mergeCell ref="AI837:AI838"/>
    <mergeCell ref="AJ837:AJ838"/>
    <mergeCell ref="AG837:AG838"/>
    <mergeCell ref="AH837:AH838"/>
    <mergeCell ref="N837:N838"/>
    <mergeCell ref="O837:O838"/>
    <mergeCell ref="R837:R838"/>
    <mergeCell ref="S837:S838"/>
    <mergeCell ref="Z903:Z904"/>
    <mergeCell ref="AC903:AC904"/>
    <mergeCell ref="AG903:AG904"/>
    <mergeCell ref="T837:T838"/>
    <mergeCell ref="W837:W838"/>
    <mergeCell ref="Z837:Z838"/>
    <mergeCell ref="AC837:AC838"/>
    <mergeCell ref="O498:O499"/>
    <mergeCell ref="X451:X452"/>
    <mergeCell ref="AI451:AI452"/>
    <mergeCell ref="AJ451:AJ452"/>
    <mergeCell ref="T451:T452"/>
    <mergeCell ref="AJ405:AJ406"/>
    <mergeCell ref="AK405:AK406"/>
    <mergeCell ref="U405:U406"/>
    <mergeCell ref="X405:X406"/>
    <mergeCell ref="AA405:AA406"/>
    <mergeCell ref="AD405:AD406"/>
    <mergeCell ref="AH405:AH406"/>
    <mergeCell ref="AI405:AI406"/>
    <mergeCell ref="F447:AJ449"/>
    <mergeCell ref="M405:M406"/>
    <mergeCell ref="N405:N406"/>
    <mergeCell ref="O405:O406"/>
    <mergeCell ref="P405:P406"/>
    <mergeCell ref="S405:S406"/>
    <mergeCell ref="T405:T406"/>
    <mergeCell ref="F405:F406"/>
    <mergeCell ref="G405:G406"/>
    <mergeCell ref="H405:H406"/>
    <mergeCell ref="I405:I406"/>
    <mergeCell ref="E492:E493"/>
    <mergeCell ref="F486:I486"/>
    <mergeCell ref="O451:O452"/>
    <mergeCell ref="P451:P452"/>
    <mergeCell ref="S451:S452"/>
    <mergeCell ref="AJ498:AJ499"/>
    <mergeCell ref="AK498:AK499"/>
    <mergeCell ref="F451:F452"/>
    <mergeCell ref="G451:G452"/>
    <mergeCell ref="P498:P499"/>
    <mergeCell ref="S498:S499"/>
    <mergeCell ref="T498:T499"/>
    <mergeCell ref="U498:U499"/>
    <mergeCell ref="X498:X499"/>
    <mergeCell ref="AA498:AA499"/>
    <mergeCell ref="AK451:AK452"/>
    <mergeCell ref="F498:F499"/>
    <mergeCell ref="G498:G499"/>
    <mergeCell ref="H498:H499"/>
    <mergeCell ref="I498:I499"/>
    <mergeCell ref="K498:K499"/>
    <mergeCell ref="L498:L499"/>
    <mergeCell ref="M498:M499"/>
    <mergeCell ref="N498:N499"/>
  </mergeCells>
  <phoneticPr fontId="44" type="noConversion"/>
  <conditionalFormatting sqref="I14 I19 I21 I23:I24">
    <cfRule type="cellIs" dxfId="270" priority="603" stopIfTrue="1" operator="greaterThan">
      <formula>H14</formula>
    </cfRule>
  </conditionalFormatting>
  <conditionalFormatting sqref="E14:F15 G13:G14 H15:J16 I13 I17:I18 F16 S46:AD46 E52:AD52 Y48:AD49">
    <cfRule type="cellIs" dxfId="269" priority="602" stopIfTrue="1" operator="notEqual">
      <formula>0</formula>
    </cfRule>
  </conditionalFormatting>
  <conditionalFormatting sqref="E13:F13 H13:H14 I14 J13:J14 G15:G16 E17:H19 I19 J17:J19 E23:J24 K13:K24 E21:J21 E33:AE39 E45:AE52 E41:AE41 E43:AE43">
    <cfRule type="cellIs" dxfId="268" priority="601" stopIfTrue="1" operator="lessThan">
      <formula>0</formula>
    </cfRule>
  </conditionalFormatting>
  <conditionalFormatting sqref="E22:J22">
    <cfRule type="cellIs" dxfId="267" priority="600" stopIfTrue="1" operator="notEqual">
      <formula>E21-E23</formula>
    </cfRule>
  </conditionalFormatting>
  <conditionalFormatting sqref="K13:K24">
    <cfRule type="cellIs" dxfId="266" priority="599" stopIfTrue="1" operator="notEqual">
      <formula>SUM(E13:H13,J13)</formula>
    </cfRule>
  </conditionalFormatting>
  <conditionalFormatting sqref="K510:K566 K576:K615 K642:K681 K708:K747 K774:K813 K840:K879">
    <cfRule type="cellIs" dxfId="265" priority="450" stopIfTrue="1" operator="notEqual">
      <formula>SUM(E510:H510,J510)</formula>
    </cfRule>
  </conditionalFormatting>
  <conditionalFormatting sqref="Y329:Y332 Y264:Y299 Y334:Y400 Z510:Z566 Z576:Z615 Z642:Z681 Z708:Z747 Z774:Z813 Z840:Z879">
    <cfRule type="expression" dxfId="264" priority="446" stopIfTrue="1">
      <formula>OR(AND(W264+X264=0,Y264&lt;&gt;0),AND(Z264+AA264=0,Y264&lt;&gt;0))</formula>
    </cfRule>
    <cfRule type="expression" dxfId="263" priority="447" stopIfTrue="1">
      <formula>OR(AND(OR(W264&lt;&gt;0,X264&lt;&gt;0),Y264&lt;&gt;W264+X264),AND(OR(Z264&lt;&gt;0,AA264&lt;&gt;0),Y264&lt;&gt;Z264+AA264))</formula>
    </cfRule>
  </conditionalFormatting>
  <conditionalFormatting sqref="N329:N332 S329:S332 N264:N299 S264:S299 N99:N149 N170 S99:S149 S170 N334:N400 S334:S400 T510:T566 O510:O549 T576:T615 O576:O615 T642:T681 O642:O681 T708:T747 O708:O747 T774:T813 O774:O813 T840:T879 O840:O879">
    <cfRule type="expression" dxfId="262" priority="442" stopIfTrue="1">
      <formula>AND(O99+P99=0,N99&lt;&gt;0)</formula>
    </cfRule>
    <cfRule type="cellIs" dxfId="261" priority="443" stopIfTrue="1" operator="notEqual">
      <formula>O99+P99</formula>
    </cfRule>
  </conditionalFormatting>
  <conditionalFormatting sqref="I510:I566 I576:I615 I642:I681 I708:I747 I774:I813 I840:I879">
    <cfRule type="cellIs" dxfId="260" priority="441" stopIfTrue="1" operator="greaterThan">
      <formula>H510</formula>
    </cfRule>
  </conditionalFormatting>
  <conditionalFormatting sqref="F408:AK443 F510:AJ566 E568:AJ568 F576:AJ632 E634:AJ634 F642:AJ698 E700:AJ700 F708:AJ764 E766:AJ766 F774:AJ830 E832:AJ832 F840:AJ896 E898:AJ898 E964:AJ964">
    <cfRule type="cellIs" dxfId="259" priority="440" stopIfTrue="1" operator="lessThan">
      <formula>0</formula>
    </cfRule>
  </conditionalFormatting>
  <conditionalFormatting sqref="E566:AJ566 E632:AJ632 E698:AJ698 E764:AJ764 E830:AJ830 E896:AJ896">
    <cfRule type="cellIs" dxfId="258" priority="439" stopIfTrue="1" operator="notEqual">
      <formula>SUM(E510:E565)</formula>
    </cfRule>
  </conditionalFormatting>
  <conditionalFormatting sqref="O550:O566">
    <cfRule type="expression" dxfId="257" priority="436" stopIfTrue="1">
      <formula>AND(P550+Q550=0,O550&lt;&gt;0)</formula>
    </cfRule>
    <cfRule type="cellIs" dxfId="256" priority="437" stopIfTrue="1" operator="notEqual">
      <formula>P550+Q550</formula>
    </cfRule>
  </conditionalFormatting>
  <conditionalFormatting sqref="K616:K632">
    <cfRule type="cellIs" dxfId="255" priority="435" stopIfTrue="1" operator="notEqual">
      <formula>SUM(E616:H616,J616)</formula>
    </cfRule>
  </conditionalFormatting>
  <conditionalFormatting sqref="Z616:Z632">
    <cfRule type="expression" dxfId="254" priority="431" stopIfTrue="1">
      <formula>OR(AND(X616+Y616=0,Z616&lt;&gt;0),AND(AA616+AB616=0,Z616&lt;&gt;0))</formula>
    </cfRule>
    <cfRule type="expression" dxfId="253" priority="432" stopIfTrue="1">
      <formula>OR(AND(OR(X616&lt;&gt;0,Y616&lt;&gt;0),Z616&lt;&gt;X616+Y616),AND(OR(AA616&lt;&gt;0,AB616&lt;&gt;0),Z616&lt;&gt;AA616+AB616))</formula>
    </cfRule>
  </conditionalFormatting>
  <conditionalFormatting sqref="T616:T632">
    <cfRule type="expression" dxfId="252" priority="427" stopIfTrue="1">
      <formula>AND(U616+V616=0,T616&lt;&gt;0)</formula>
    </cfRule>
    <cfRule type="cellIs" dxfId="251" priority="428" stopIfTrue="1" operator="notEqual">
      <formula>U616+V616</formula>
    </cfRule>
  </conditionalFormatting>
  <conditionalFormatting sqref="I616:I632">
    <cfRule type="cellIs" dxfId="250" priority="426" stopIfTrue="1" operator="greaterThan">
      <formula>H616</formula>
    </cfRule>
  </conditionalFormatting>
  <conditionalFormatting sqref="O616:O632">
    <cfRule type="expression" dxfId="249" priority="421" stopIfTrue="1">
      <formula>AND(P616+Q616=0,O616&lt;&gt;0)</formula>
    </cfRule>
    <cfRule type="cellIs" dxfId="248" priority="422" stopIfTrue="1" operator="notEqual">
      <formula>P616+Q616</formula>
    </cfRule>
  </conditionalFormatting>
  <conditionalFormatting sqref="K682:K698">
    <cfRule type="cellIs" dxfId="247" priority="420" stopIfTrue="1" operator="notEqual">
      <formula>SUM(E682:H682,J682)</formula>
    </cfRule>
  </conditionalFormatting>
  <conditionalFormatting sqref="Z682:Z698">
    <cfRule type="expression" dxfId="246" priority="416" stopIfTrue="1">
      <formula>OR(AND(X682+Y682=0,Z682&lt;&gt;0),AND(AA682+AB682=0,Z682&lt;&gt;0))</formula>
    </cfRule>
    <cfRule type="expression" dxfId="245" priority="417" stopIfTrue="1">
      <formula>OR(AND(OR(X682&lt;&gt;0,Y682&lt;&gt;0),Z682&lt;&gt;X682+Y682),AND(OR(AA682&lt;&gt;0,AB682&lt;&gt;0),Z682&lt;&gt;AA682+AB682))</formula>
    </cfRule>
  </conditionalFormatting>
  <conditionalFormatting sqref="T682:T698">
    <cfRule type="expression" dxfId="244" priority="412" stopIfTrue="1">
      <formula>AND(U682+V682=0,T682&lt;&gt;0)</formula>
    </cfRule>
    <cfRule type="cellIs" dxfId="243" priority="413" stopIfTrue="1" operator="notEqual">
      <formula>U682+V682</formula>
    </cfRule>
  </conditionalFormatting>
  <conditionalFormatting sqref="I682:I698">
    <cfRule type="cellIs" dxfId="242" priority="411" stopIfTrue="1" operator="greaterThan">
      <formula>H682</formula>
    </cfRule>
  </conditionalFormatting>
  <conditionalFormatting sqref="O682:O698">
    <cfRule type="expression" dxfId="241" priority="406" stopIfTrue="1">
      <formula>AND(P682+Q682=0,O682&lt;&gt;0)</formula>
    </cfRule>
    <cfRule type="cellIs" dxfId="240" priority="407" stopIfTrue="1" operator="notEqual">
      <formula>P682+Q682</formula>
    </cfRule>
  </conditionalFormatting>
  <conditionalFormatting sqref="K748:K764">
    <cfRule type="cellIs" dxfId="239" priority="405" stopIfTrue="1" operator="notEqual">
      <formula>SUM(E748:H748,J748)</formula>
    </cfRule>
  </conditionalFormatting>
  <conditionalFormatting sqref="Z748:Z764">
    <cfRule type="expression" dxfId="238" priority="401" stopIfTrue="1">
      <formula>OR(AND(X748+Y748=0,Z748&lt;&gt;0),AND(AA748+AB748=0,Z748&lt;&gt;0))</formula>
    </cfRule>
    <cfRule type="expression" dxfId="237" priority="402" stopIfTrue="1">
      <formula>OR(AND(OR(X748&lt;&gt;0,Y748&lt;&gt;0),Z748&lt;&gt;X748+Y748),AND(OR(AA748&lt;&gt;0,AB748&lt;&gt;0),Z748&lt;&gt;AA748+AB748))</formula>
    </cfRule>
  </conditionalFormatting>
  <conditionalFormatting sqref="T748:T764">
    <cfRule type="expression" dxfId="236" priority="397" stopIfTrue="1">
      <formula>AND(U748+V748=0,T748&lt;&gt;0)</formula>
    </cfRule>
    <cfRule type="cellIs" dxfId="235" priority="398" stopIfTrue="1" operator="notEqual">
      <formula>U748+V748</formula>
    </cfRule>
  </conditionalFormatting>
  <conditionalFormatting sqref="I748:I764">
    <cfRule type="cellIs" dxfId="234" priority="396" stopIfTrue="1" operator="greaterThan">
      <formula>H748</formula>
    </cfRule>
  </conditionalFormatting>
  <conditionalFormatting sqref="O748:O764">
    <cfRule type="expression" dxfId="233" priority="391" stopIfTrue="1">
      <formula>AND(P748+Q748=0,O748&lt;&gt;0)</formula>
    </cfRule>
    <cfRule type="cellIs" dxfId="232" priority="392" stopIfTrue="1" operator="notEqual">
      <formula>P748+Q748</formula>
    </cfRule>
  </conditionalFormatting>
  <conditionalFormatting sqref="K814:K830">
    <cfRule type="cellIs" dxfId="231" priority="390" stopIfTrue="1" operator="notEqual">
      <formula>SUM(E814:H814,J814)</formula>
    </cfRule>
  </conditionalFormatting>
  <conditionalFormatting sqref="Z814:Z830">
    <cfRule type="expression" dxfId="230" priority="386" stopIfTrue="1">
      <formula>OR(AND(X814+Y814=0,Z814&lt;&gt;0),AND(AA814+AB814=0,Z814&lt;&gt;0))</formula>
    </cfRule>
    <cfRule type="expression" dxfId="229" priority="387" stopIfTrue="1">
      <formula>OR(AND(OR(X814&lt;&gt;0,Y814&lt;&gt;0),Z814&lt;&gt;X814+Y814),AND(OR(AA814&lt;&gt;0,AB814&lt;&gt;0),Z814&lt;&gt;AA814+AB814))</formula>
    </cfRule>
  </conditionalFormatting>
  <conditionalFormatting sqref="T814:T830">
    <cfRule type="expression" dxfId="228" priority="382" stopIfTrue="1">
      <formula>AND(U814+V814=0,T814&lt;&gt;0)</formula>
    </cfRule>
    <cfRule type="cellIs" dxfId="227" priority="383" stopIfTrue="1" operator="notEqual">
      <formula>U814+V814</formula>
    </cfRule>
  </conditionalFormatting>
  <conditionalFormatting sqref="I814:I830">
    <cfRule type="cellIs" dxfId="226" priority="381" stopIfTrue="1" operator="greaterThan">
      <formula>H814</formula>
    </cfRule>
  </conditionalFormatting>
  <conditionalFormatting sqref="O814:O830">
    <cfRule type="expression" dxfId="225" priority="376" stopIfTrue="1">
      <formula>AND(P814+Q814=0,O814&lt;&gt;0)</formula>
    </cfRule>
    <cfRule type="cellIs" dxfId="224" priority="377" stopIfTrue="1" operator="notEqual">
      <formula>P814+Q814</formula>
    </cfRule>
  </conditionalFormatting>
  <conditionalFormatting sqref="K880:K896">
    <cfRule type="cellIs" dxfId="223" priority="375" stopIfTrue="1" operator="notEqual">
      <formula>SUM(E880:H880,J880)</formula>
    </cfRule>
  </conditionalFormatting>
  <conditionalFormatting sqref="Z880:Z896">
    <cfRule type="expression" dxfId="222" priority="371" stopIfTrue="1">
      <formula>OR(AND(X880+Y880=0,Z880&lt;&gt;0),AND(AA880+AB880=0,Z880&lt;&gt;0))</formula>
    </cfRule>
    <cfRule type="expression" dxfId="221" priority="372" stopIfTrue="1">
      <formula>OR(AND(OR(X880&lt;&gt;0,Y880&lt;&gt;0),Z880&lt;&gt;X880+Y880),AND(OR(AA880&lt;&gt;0,AB880&lt;&gt;0),Z880&lt;&gt;AA880+AB880))</formula>
    </cfRule>
  </conditionalFormatting>
  <conditionalFormatting sqref="T880:T896">
    <cfRule type="expression" dxfId="220" priority="367" stopIfTrue="1">
      <formula>AND(U880+V880=0,T880&lt;&gt;0)</formula>
    </cfRule>
    <cfRule type="cellIs" dxfId="219" priority="368" stopIfTrue="1" operator="notEqual">
      <formula>U880+V880</formula>
    </cfRule>
  </conditionalFormatting>
  <conditionalFormatting sqref="I880:I896">
    <cfRule type="cellIs" dxfId="218" priority="366" stopIfTrue="1" operator="greaterThan">
      <formula>H880</formula>
    </cfRule>
  </conditionalFormatting>
  <conditionalFormatting sqref="O880:O896">
    <cfRule type="expression" dxfId="217" priority="361" stopIfTrue="1">
      <formula>AND(P880+Q880=0,O880&lt;&gt;0)</formula>
    </cfRule>
    <cfRule type="cellIs" dxfId="216" priority="362" stopIfTrue="1" operator="notEqual">
      <formula>P880+Q880</formula>
    </cfRule>
  </conditionalFormatting>
  <conditionalFormatting sqref="E34:F39 G37:G38 E42:G42 E48:H49 E46:M46 E51:F51 J48:T49 U48:X48 I49 E41:F41">
    <cfRule type="cellIs" dxfId="215" priority="359" stopIfTrue="1" operator="notEqual">
      <formula>0</formula>
    </cfRule>
  </conditionalFormatting>
  <conditionalFormatting sqref="E44:F44">
    <cfRule type="cellIs" dxfId="214" priority="358" stopIfTrue="1" operator="notEqual">
      <formula>0</formula>
    </cfRule>
  </conditionalFormatting>
  <conditionalFormatting sqref="AE52">
    <cfRule type="cellIs" dxfId="213" priority="357" stopIfTrue="1" operator="notEqual">
      <formula>$AC$20-$AC$26</formula>
    </cfRule>
  </conditionalFormatting>
  <conditionalFormatting sqref="V33:V45 V47 V49:V51">
    <cfRule type="expression" dxfId="212" priority="354" stopIfTrue="1">
      <formula>OR(AND(T33+U33=0,V33&lt;&gt;0),AND(W33+X33=0,V33&lt;&gt;0))</formula>
    </cfRule>
    <cfRule type="expression" dxfId="211" priority="355" stopIfTrue="1">
      <formula>OR(AND(OR(T33&lt;&gt;0,U33&lt;&gt;0),V33&lt;&gt;T33+U33),AND(OR(W33&lt;&gt;0,X33&lt;&gt;0),V33&lt;&gt;W33+X33))</formula>
    </cfRule>
  </conditionalFormatting>
  <conditionalFormatting sqref="P33:P47 P50:P51">
    <cfRule type="expression" dxfId="210" priority="350" stopIfTrue="1">
      <formula>AND(Q33+R33=0,P33&lt;&gt;0)</formula>
    </cfRule>
    <cfRule type="cellIs" dxfId="209" priority="351" stopIfTrue="1" operator="notEqual">
      <formula>Q33+R33</formula>
    </cfRule>
  </conditionalFormatting>
  <conditionalFormatting sqref="K33:K45 K47 K50:K51">
    <cfRule type="expression" dxfId="208" priority="348" stopIfTrue="1">
      <formula>AND(L33+M33=0,K33&lt;&gt;0)</formula>
    </cfRule>
    <cfRule type="cellIs" dxfId="207" priority="349" stopIfTrue="1" operator="notEqual">
      <formula>L33+M33</formula>
    </cfRule>
  </conditionalFormatting>
  <conditionalFormatting sqref="E43:AD43">
    <cfRule type="cellIs" dxfId="206" priority="347" stopIfTrue="1" operator="notEqual">
      <formula>SUM(E33:E35,E37,E40)-SUM(E36,E38:E39,E41:E42)</formula>
    </cfRule>
  </conditionalFormatting>
  <conditionalFormatting sqref="E44:AD44">
    <cfRule type="cellIs" dxfId="205" priority="346" stopIfTrue="1" operator="notEqual">
      <formula>E43-E45</formula>
    </cfRule>
  </conditionalFormatting>
  <conditionalFormatting sqref="E329:I329 K328:AI329 E330:AI400 E60:AI226 E234:AI327">
    <cfRule type="cellIs" dxfId="204" priority="345" stopIfTrue="1" operator="lessThan">
      <formula>0</formula>
    </cfRule>
  </conditionalFormatting>
  <conditionalFormatting sqref="Y60:Y97 Y99:Y170">
    <cfRule type="expression" dxfId="203" priority="344" stopIfTrue="1">
      <formula>OR(AND(OR(W60&lt;&gt;0,X60&lt;&gt;0),Y60&lt;&gt;W60+X60),AND(OR(Z60&lt;&gt;0,AA60&lt;&gt;0),Y60&lt;&gt;Z60+AA60))</formula>
    </cfRule>
  </conditionalFormatting>
  <conditionalFormatting sqref="Y60:Y97 Y99:Y170">
    <cfRule type="expression" dxfId="202" priority="342" stopIfTrue="1">
      <formula>OR(AND(W60+X60=0,Y60&lt;&gt;0),AND(Z60+AA60=0,Y60&lt;&gt;0))</formula>
    </cfRule>
  </conditionalFormatting>
  <conditionalFormatting sqref="N60:N97 N150:N169">
    <cfRule type="expression" dxfId="201" priority="340" stopIfTrue="1">
      <formula>AND(O60+P60=0,N60&lt;&gt;0)</formula>
    </cfRule>
    <cfRule type="cellIs" dxfId="200" priority="341" stopIfTrue="1" operator="notEqual">
      <formula>O60+P60</formula>
    </cfRule>
  </conditionalFormatting>
  <conditionalFormatting sqref="S60:S97 S150:S169">
    <cfRule type="expression" dxfId="199" priority="338" stopIfTrue="1">
      <formula>AND(T60+U60=0,S60&lt;&gt;0)</formula>
    </cfRule>
    <cfRule type="cellIs" dxfId="198" priority="339" stopIfTrue="1" operator="notEqual">
      <formula>T60+U60</formula>
    </cfRule>
  </conditionalFormatting>
  <conditionalFormatting sqref="J62:J97 J99:J170">
    <cfRule type="cellIs" dxfId="197" priority="335" stopIfTrue="1" operator="notEqual">
      <formula>SUM(E62:I62)</formula>
    </cfRule>
  </conditionalFormatting>
  <conditionalFormatting sqref="J328:J329">
    <cfRule type="cellIs" dxfId="196" priority="332" stopIfTrue="1" operator="lessThan">
      <formula>0</formula>
    </cfRule>
  </conditionalFormatting>
  <conditionalFormatting sqref="N300:N327">
    <cfRule type="expression" dxfId="195" priority="329" stopIfTrue="1">
      <formula>AND(O300+P300=0,N300&lt;&gt;0)</formula>
    </cfRule>
    <cfRule type="cellIs" dxfId="194" priority="330" stopIfTrue="1" operator="notEqual">
      <formula>O300+P300</formula>
    </cfRule>
  </conditionalFormatting>
  <conditionalFormatting sqref="S300:S327">
    <cfRule type="expression" dxfId="193" priority="327" stopIfTrue="1">
      <formula>AND(T300+U300=0,S300&lt;&gt;0)</formula>
    </cfRule>
    <cfRule type="cellIs" dxfId="192" priority="328" stopIfTrue="1" operator="notEqual">
      <formula>T300+U300</formula>
    </cfRule>
  </conditionalFormatting>
  <conditionalFormatting sqref="Y300:Y327">
    <cfRule type="expression" dxfId="191" priority="323" stopIfTrue="1">
      <formula>OR(AND(W300+X300=0,Y300&lt;&gt;0),AND(Z300+AA300=0,Y300&lt;&gt;0))</formula>
    </cfRule>
    <cfRule type="expression" dxfId="190" priority="324" stopIfTrue="1">
      <formula>OR(AND(OR(W300&lt;&gt;0,X300&lt;&gt;0),Y300&lt;&gt;W300+X300),AND(OR(Z300&lt;&gt;0,AA300&lt;&gt;0),Y300&lt;&gt;Z300+AA300))</formula>
    </cfRule>
  </conditionalFormatting>
  <conditionalFormatting sqref="J334:J400 J264:J332">
    <cfRule type="cellIs" dxfId="189" priority="320" stopIfTrue="1" operator="notEqual">
      <formula>SUM(E264:I264)</formula>
    </cfRule>
  </conditionalFormatting>
  <conditionalFormatting sqref="L408:L443">
    <cfRule type="cellIs" dxfId="188" priority="318" stopIfTrue="1" operator="notEqual">
      <formula>SUM(F408:I408,K408)</formula>
    </cfRule>
  </conditionalFormatting>
  <conditionalFormatting sqref="P408:P443">
    <cfRule type="cellIs" dxfId="187" priority="317" stopIfTrue="1" operator="notEqual">
      <formula>Q408+R408</formula>
    </cfRule>
  </conditionalFormatting>
  <conditionalFormatting sqref="U408:U443">
    <cfRule type="expression" dxfId="186" priority="315" stopIfTrue="1">
      <formula>AND(V408+W408=0,U408&lt;&gt;0)</formula>
    </cfRule>
    <cfRule type="cellIs" dxfId="185" priority="316" stopIfTrue="1" operator="notEqual">
      <formula>V408+W408</formula>
    </cfRule>
  </conditionalFormatting>
  <conditionalFormatting sqref="AA408:AA443">
    <cfRule type="expression" dxfId="184" priority="313" stopIfTrue="1">
      <formula>OR(AND(Y408+Z408=0,AA408&lt;&gt;0),AND(AB408+AC408=0,AA408&lt;&gt;0))</formula>
    </cfRule>
    <cfRule type="expression" dxfId="183" priority="314" stopIfTrue="1">
      <formula>OR(AND(OR(Y408&lt;&gt;0,Z408&lt;&gt;0),AA408&lt;&gt;Y408+Z408),AND(OR(AB408&lt;&gt;0,AC408&lt;&gt;0),AA408&lt;&gt;AB408+AC408))</formula>
    </cfRule>
  </conditionalFormatting>
  <conditionalFormatting sqref="P408:P443">
    <cfRule type="expression" dxfId="182" priority="308" stopIfTrue="1">
      <formula>AND(Q408+R408=0,P408&lt;&gt;0)</formula>
    </cfRule>
  </conditionalFormatting>
  <conditionalFormatting sqref="F408:AK409">
    <cfRule type="expression" dxfId="181" priority="307" stopIfTrue="1">
      <formula>SUM(F410,F412,F414,F416,F418,F420,F422,F424)</formula>
    </cfRule>
  </conditionalFormatting>
  <conditionalFormatting sqref="I14 I19 I21 I23:I24">
    <cfRule type="cellIs" dxfId="180" priority="305" stopIfTrue="1" operator="greaterThan">
      <formula>H14</formula>
    </cfRule>
  </conditionalFormatting>
  <conditionalFormatting sqref="E14:F15 G13:G14 H15:J16 I13 I17:I18 F16">
    <cfRule type="cellIs" dxfId="179" priority="304" stopIfTrue="1" operator="notEqual">
      <formula>0</formula>
    </cfRule>
  </conditionalFormatting>
  <conditionalFormatting sqref="E13:F13 H13:H14 I14 J13:J14 G15:G16 E17:H19 I19 J17:J19 E23:J24 K13:K24 E21:J21">
    <cfRule type="cellIs" dxfId="178" priority="303" stopIfTrue="1" operator="lessThan">
      <formula>0</formula>
    </cfRule>
  </conditionalFormatting>
  <conditionalFormatting sqref="E22:J22">
    <cfRule type="cellIs" dxfId="177" priority="302" stopIfTrue="1" operator="notEqual">
      <formula>E21-E23</formula>
    </cfRule>
  </conditionalFormatting>
  <conditionalFormatting sqref="K13:K24">
    <cfRule type="cellIs" dxfId="176" priority="301" stopIfTrue="1" operator="notEqual">
      <formula>SUM(E13:H13,J13)</formula>
    </cfRule>
  </conditionalFormatting>
  <conditionalFormatting sqref="AI550:AI564">
    <cfRule type="cellIs" dxfId="175" priority="299" stopIfTrue="1" operator="lessThan">
      <formula>0</formula>
    </cfRule>
  </conditionalFormatting>
  <conditionalFormatting sqref="Y98">
    <cfRule type="expression" dxfId="174" priority="255" stopIfTrue="1">
      <formula>OR(AND(OR(W98&lt;&gt;0,X98&lt;&gt;0),Y98&lt;&gt;W98+X98),AND(OR(Z98&lt;&gt;0,AA98&lt;&gt;0),Y98&lt;&gt;Z98+AA98))</formula>
    </cfRule>
  </conditionalFormatting>
  <conditionalFormatting sqref="Y98">
    <cfRule type="expression" dxfId="173" priority="254" stopIfTrue="1">
      <formula>OR(AND(W98+X98=0,Y98&lt;&gt;0),AND(Z98+AA98=0,Y98&lt;&gt;0))</formula>
    </cfRule>
  </conditionalFormatting>
  <conditionalFormatting sqref="N98">
    <cfRule type="expression" dxfId="172" priority="252" stopIfTrue="1">
      <formula>AND(O98+P98=0,N98&lt;&gt;0)</formula>
    </cfRule>
    <cfRule type="cellIs" dxfId="171" priority="253" stopIfTrue="1" operator="notEqual">
      <formula>O98+P98</formula>
    </cfRule>
  </conditionalFormatting>
  <conditionalFormatting sqref="S98">
    <cfRule type="expression" dxfId="170" priority="250" stopIfTrue="1">
      <formula>AND(T98+U98=0,S98&lt;&gt;0)</formula>
    </cfRule>
    <cfRule type="cellIs" dxfId="169" priority="251" stopIfTrue="1" operator="notEqual">
      <formula>T98+U98</formula>
    </cfRule>
  </conditionalFormatting>
  <conditionalFormatting sqref="J98">
    <cfRule type="cellIs" dxfId="168" priority="247" stopIfTrue="1" operator="notEqual">
      <formula>SUM(E98:I98)</formula>
    </cfRule>
  </conditionalFormatting>
  <conditionalFormatting sqref="E328:I328">
    <cfRule type="cellIs" dxfId="167" priority="244" stopIfTrue="1" operator="lessThan">
      <formula>0</formula>
    </cfRule>
  </conditionalFormatting>
  <conditionalFormatting sqref="Y328">
    <cfRule type="expression" dxfId="166" priority="243" stopIfTrue="1">
      <formula>OR(AND(OR(W328&lt;&gt;0,X328&lt;&gt;0),Y328&lt;&gt;W328+X328),AND(OR(Z328&lt;&gt;0,AA328&lt;&gt;0),Y328&lt;&gt;Z328+AA328))</formula>
    </cfRule>
  </conditionalFormatting>
  <conditionalFormatting sqref="Y328">
    <cfRule type="expression" dxfId="165" priority="242" stopIfTrue="1">
      <formula>OR(AND(W328+X328=0,Y328&lt;&gt;0),AND(Z328+AA328=0,Y328&lt;&gt;0))</formula>
    </cfRule>
  </conditionalFormatting>
  <conditionalFormatting sqref="N328">
    <cfRule type="expression" dxfId="164" priority="240" stopIfTrue="1">
      <formula>AND(O328+P328=0,N328&lt;&gt;0)</formula>
    </cfRule>
    <cfRule type="cellIs" dxfId="163" priority="241" stopIfTrue="1" operator="notEqual">
      <formula>O328+P328</formula>
    </cfRule>
  </conditionalFormatting>
  <conditionalFormatting sqref="S328">
    <cfRule type="expression" dxfId="162" priority="238" stopIfTrue="1">
      <formula>AND(T328+U328=0,S328&lt;&gt;0)</formula>
    </cfRule>
    <cfRule type="cellIs" dxfId="161" priority="239" stopIfTrue="1" operator="notEqual">
      <formula>T328+U328</formula>
    </cfRule>
  </conditionalFormatting>
  <conditionalFormatting sqref="Y171:Y207 Y209:Y225">
    <cfRule type="expression" dxfId="160" priority="231" stopIfTrue="1">
      <formula>OR(AND(OR(W171&lt;&gt;0,X171&lt;&gt;0),Y171&lt;&gt;W171+X171),AND(OR(Z171&lt;&gt;0,AA171&lt;&gt;0),Y171&lt;&gt;Z171+AA171))</formula>
    </cfRule>
  </conditionalFormatting>
  <conditionalFormatting sqref="Y171:Y207 Y209:Y225">
    <cfRule type="expression" dxfId="159" priority="230" stopIfTrue="1">
      <formula>OR(AND(W171+X171=0,Y171&lt;&gt;0),AND(Z171+AA171=0,Y171&lt;&gt;0))</formula>
    </cfRule>
  </conditionalFormatting>
  <conditionalFormatting sqref="N171:N207 N209:N225">
    <cfRule type="expression" dxfId="158" priority="228" stopIfTrue="1">
      <formula>AND(O171+P171=0,N171&lt;&gt;0)</formula>
    </cfRule>
    <cfRule type="cellIs" dxfId="157" priority="229" stopIfTrue="1" operator="notEqual">
      <formula>O171+P171</formula>
    </cfRule>
  </conditionalFormatting>
  <conditionalFormatting sqref="S171:S207 S209:S225">
    <cfRule type="expression" dxfId="156" priority="226" stopIfTrue="1">
      <formula>AND(T171+U171=0,S171&lt;&gt;0)</formula>
    </cfRule>
    <cfRule type="cellIs" dxfId="155" priority="227" stopIfTrue="1" operator="notEqual">
      <formula>T171+U171</formula>
    </cfRule>
  </conditionalFormatting>
  <conditionalFormatting sqref="J173:J207 J209:J225">
    <cfRule type="cellIs" dxfId="154" priority="223" stopIfTrue="1" operator="notEqual">
      <formula>SUM(E173:I173)</formula>
    </cfRule>
  </conditionalFormatting>
  <conditionalFormatting sqref="Y208">
    <cfRule type="expression" dxfId="153" priority="219" stopIfTrue="1">
      <formula>OR(AND(OR(W208&lt;&gt;0,X208&lt;&gt;0),Y208&lt;&gt;W208+X208),AND(OR(Z208&lt;&gt;0,AA208&lt;&gt;0),Y208&lt;&gt;Z208+AA208))</formula>
    </cfRule>
  </conditionalFormatting>
  <conditionalFormatting sqref="Y208">
    <cfRule type="expression" dxfId="152" priority="218" stopIfTrue="1">
      <formula>OR(AND(W208+X208=0,Y208&lt;&gt;0),AND(Z208+AA208=0,Y208&lt;&gt;0))</formula>
    </cfRule>
  </conditionalFormatting>
  <conditionalFormatting sqref="N208">
    <cfRule type="expression" dxfId="151" priority="216" stopIfTrue="1">
      <formula>AND(O208+P208=0,N208&lt;&gt;0)</formula>
    </cfRule>
    <cfRule type="cellIs" dxfId="150" priority="217" stopIfTrue="1" operator="notEqual">
      <formula>O208+P208</formula>
    </cfRule>
  </conditionalFormatting>
  <conditionalFormatting sqref="S208">
    <cfRule type="expression" dxfId="149" priority="214" stopIfTrue="1">
      <formula>AND(T208+U208=0,S208&lt;&gt;0)</formula>
    </cfRule>
    <cfRule type="cellIs" dxfId="148" priority="215" stopIfTrue="1" operator="notEqual">
      <formula>T208+U208</formula>
    </cfRule>
  </conditionalFormatting>
  <conditionalFormatting sqref="J208">
    <cfRule type="cellIs" dxfId="147" priority="211" stopIfTrue="1" operator="notEqual">
      <formula>SUM(E208:I208)</formula>
    </cfRule>
  </conditionalFormatting>
  <conditionalFormatting sqref="E226:AI226">
    <cfRule type="cellIs" dxfId="146" priority="195" stopIfTrue="1" operator="notEqual">
      <formula>SUM(E58:E166)</formula>
    </cfRule>
  </conditionalFormatting>
  <conditionalFormatting sqref="Y226">
    <cfRule type="expression" dxfId="145" priority="194" stopIfTrue="1">
      <formula>OR(AND(W226+X226=0,Y226&lt;&gt;0),AND(Z226+AA226=0,Y226&lt;&gt;0))</formula>
    </cfRule>
  </conditionalFormatting>
  <conditionalFormatting sqref="N226">
    <cfRule type="expression" dxfId="144" priority="192" stopIfTrue="1">
      <formula>AND(O226+P226=0,N226&lt;&gt;0)</formula>
    </cfRule>
    <cfRule type="cellIs" dxfId="143" priority="193" stopIfTrue="1" operator="notEqual">
      <formula>O226+P226</formula>
    </cfRule>
  </conditionalFormatting>
  <conditionalFormatting sqref="S226">
    <cfRule type="expression" dxfId="142" priority="190" stopIfTrue="1">
      <formula>AND(T226+U226=0,S226&lt;&gt;0)</formula>
    </cfRule>
    <cfRule type="cellIs" dxfId="141" priority="191" stopIfTrue="1" operator="notEqual">
      <formula>T226+U226</formula>
    </cfRule>
  </conditionalFormatting>
  <conditionalFormatting sqref="J226">
    <cfRule type="cellIs" dxfId="140" priority="187" stopIfTrue="1" operator="notEqual">
      <formula>SUM(E226:I226)</formula>
    </cfRule>
  </conditionalFormatting>
  <conditionalFormatting sqref="Y263">
    <cfRule type="expression" dxfId="139" priority="170" stopIfTrue="1">
      <formula>OR(AND(W263+X263=0,Y263&lt;&gt;0),AND(Z263+AA263=0,Y263&lt;&gt;0))</formula>
    </cfRule>
  </conditionalFormatting>
  <conditionalFormatting sqref="N263">
    <cfRule type="expression" dxfId="138" priority="168" stopIfTrue="1">
      <formula>AND(O263+P263=0,N263&lt;&gt;0)</formula>
    </cfRule>
    <cfRule type="cellIs" dxfId="137" priority="169" stopIfTrue="1" operator="notEqual">
      <formula>O263+P263</formula>
    </cfRule>
  </conditionalFormatting>
  <conditionalFormatting sqref="S263">
    <cfRule type="expression" dxfId="136" priority="166" stopIfTrue="1">
      <formula>AND(T263+U263=0,S263&lt;&gt;0)</formula>
    </cfRule>
    <cfRule type="cellIs" dxfId="135" priority="167" stopIfTrue="1" operator="notEqual">
      <formula>T263+U263</formula>
    </cfRule>
  </conditionalFormatting>
  <conditionalFormatting sqref="J263">
    <cfRule type="cellIs" dxfId="134" priority="163" stopIfTrue="1" operator="notEqual">
      <formula>SUM(E263:I263)</formula>
    </cfRule>
  </conditionalFormatting>
  <conditionalFormatting sqref="N234:N262">
    <cfRule type="expression" dxfId="133" priority="182" stopIfTrue="1">
      <formula>AND(O234+P234=0,N234&lt;&gt;0)</formula>
    </cfRule>
    <cfRule type="cellIs" dxfId="132" priority="183" stopIfTrue="1" operator="notEqual">
      <formula>O234+P234</formula>
    </cfRule>
  </conditionalFormatting>
  <conditionalFormatting sqref="S234:S262">
    <cfRule type="expression" dxfId="131" priority="180" stopIfTrue="1">
      <formula>AND(T234+U234=0,S234&lt;&gt;0)</formula>
    </cfRule>
    <cfRule type="cellIs" dxfId="130" priority="181" stopIfTrue="1" operator="notEqual">
      <formula>T234+U234</formula>
    </cfRule>
  </conditionalFormatting>
  <conditionalFormatting sqref="Y234:Y262">
    <cfRule type="expression" dxfId="129" priority="176" stopIfTrue="1">
      <formula>OR(AND(W234+X234=0,Y234&lt;&gt;0),AND(Z234+AA234=0,Y234&lt;&gt;0))</formula>
    </cfRule>
    <cfRule type="expression" dxfId="128" priority="177" stopIfTrue="1">
      <formula>OR(AND(OR(W234&lt;&gt;0,X234&lt;&gt;0),Y234&lt;&gt;W234+X234),AND(OR(Z234&lt;&gt;0,AA234&lt;&gt;0),Y234&lt;&gt;Z234+AA234))</formula>
    </cfRule>
  </conditionalFormatting>
  <conditionalFormatting sqref="J234:J262">
    <cfRule type="cellIs" dxfId="127" priority="173" stopIfTrue="1" operator="notEqual">
      <formula>SUM(E234:I234)</formula>
    </cfRule>
  </conditionalFormatting>
  <conditionalFormatting sqref="Y263">
    <cfRule type="expression" dxfId="126" priority="171" stopIfTrue="1">
      <formula>OR(AND(OR(W263&lt;&gt;0,X263&lt;&gt;0),Y263&lt;&gt;W263+X263),AND(OR(Z263&lt;&gt;0,AA263&lt;&gt;0),Y263&lt;&gt;Z263+AA263))</formula>
    </cfRule>
  </conditionalFormatting>
  <conditionalFormatting sqref="E400:AI400">
    <cfRule type="cellIs" dxfId="125" priority="606" stopIfTrue="1" operator="notEqual">
      <formula>SUM(E300:E399)</formula>
    </cfRule>
  </conditionalFormatting>
  <conditionalFormatting sqref="Y333">
    <cfRule type="expression" dxfId="124" priority="158" stopIfTrue="1">
      <formula>OR(AND(W333+X333=0,Y333&lt;&gt;0),AND(Z333+AA333=0,Y333&lt;&gt;0))</formula>
    </cfRule>
    <cfRule type="expression" dxfId="123" priority="159" stopIfTrue="1">
      <formula>OR(AND(OR(W333&lt;&gt;0,X333&lt;&gt;0),Y333&lt;&gt;W333+X333),AND(OR(Z333&lt;&gt;0,AA333&lt;&gt;0),Y333&lt;&gt;Z333+AA333))</formula>
    </cfRule>
  </conditionalFormatting>
  <conditionalFormatting sqref="N333 S333">
    <cfRule type="expression" dxfId="122" priority="154" stopIfTrue="1">
      <formula>AND(O333+P333=0,N333&lt;&gt;0)</formula>
    </cfRule>
    <cfRule type="cellIs" dxfId="121" priority="155" stopIfTrue="1" operator="notEqual">
      <formula>O333+P333</formula>
    </cfRule>
  </conditionalFormatting>
  <conditionalFormatting sqref="J333">
    <cfRule type="cellIs" dxfId="120" priority="151" stopIfTrue="1" operator="notEqual">
      <formula>SUM(E333:I333)</formula>
    </cfRule>
  </conditionalFormatting>
  <conditionalFormatting sqref="K568">
    <cfRule type="cellIs" dxfId="119" priority="138" stopIfTrue="1" operator="notEqual">
      <formula>SUM(E568:H568,J568)</formula>
    </cfRule>
  </conditionalFormatting>
  <conditionalFormatting sqref="Z568">
    <cfRule type="expression" dxfId="118" priority="149" stopIfTrue="1">
      <formula>OR(AND(OR(X568&lt;&gt;0,Y568&lt;&gt;0),Z568&lt;&gt;X568+Y568),AND(OR(AA568&lt;&gt;0,AB568&lt;&gt;0),Z568&lt;&gt;AA568+AB568))</formula>
    </cfRule>
    <cfRule type="expression" dxfId="117" priority="150" stopIfTrue="1">
      <formula>OR(AND(X568+Y568=0,Z568&lt;&gt;0),AND(AA568+AB568=0,Z568&lt;&gt;0))</formula>
    </cfRule>
  </conditionalFormatting>
  <conditionalFormatting sqref="T568">
    <cfRule type="expression" dxfId="116" priority="145" stopIfTrue="1">
      <formula>AND(U568+V568=0,T568&lt;&gt;0)</formula>
    </cfRule>
    <cfRule type="cellIs" dxfId="115" priority="146" stopIfTrue="1" operator="notEqual">
      <formula>U568+V568</formula>
    </cfRule>
  </conditionalFormatting>
  <conditionalFormatting sqref="I568">
    <cfRule type="cellIs" dxfId="114" priority="142" stopIfTrue="1" operator="greaterThan">
      <formula>H568</formula>
    </cfRule>
  </conditionalFormatting>
  <conditionalFormatting sqref="O568">
    <cfRule type="expression" dxfId="113" priority="143" stopIfTrue="1">
      <formula>AND(P568+Q568=0,O568&lt;&gt;0)</formula>
    </cfRule>
    <cfRule type="cellIs" dxfId="112" priority="144" stopIfTrue="1" operator="notEqual">
      <formula>P568+Q568</formula>
    </cfRule>
  </conditionalFormatting>
  <conditionalFormatting sqref="N568">
    <cfRule type="cellIs" dxfId="111" priority="137" stopIfTrue="1" operator="notEqual">
      <formula>SUM(H568:K568,M568)</formula>
    </cfRule>
  </conditionalFormatting>
  <conditionalFormatting sqref="Q568">
    <cfRule type="cellIs" dxfId="110" priority="136" stopIfTrue="1" operator="notEqual">
      <formula>SUM(K568:N568,P568)</formula>
    </cfRule>
  </conditionalFormatting>
  <conditionalFormatting sqref="W568">
    <cfRule type="cellIs" dxfId="109" priority="135" stopIfTrue="1" operator="notEqual">
      <formula>SUM(Q568:T568,V568)</formula>
    </cfRule>
  </conditionalFormatting>
  <conditionalFormatting sqref="AB568">
    <cfRule type="cellIs" dxfId="108" priority="134" stopIfTrue="1" operator="notEqual">
      <formula>SUM(V568:Y568,AA568)</formula>
    </cfRule>
  </conditionalFormatting>
  <conditionalFormatting sqref="AF568">
    <cfRule type="cellIs" dxfId="107" priority="133" stopIfTrue="1" operator="notEqual">
      <formula>SUM(Y568:AB568,AD568)</formula>
    </cfRule>
  </conditionalFormatting>
  <conditionalFormatting sqref="K634">
    <cfRule type="cellIs" dxfId="106" priority="119" stopIfTrue="1" operator="notEqual">
      <formula>SUM(E634:H634,J634)</formula>
    </cfRule>
  </conditionalFormatting>
  <conditionalFormatting sqref="Z634">
    <cfRule type="expression" dxfId="105" priority="130" stopIfTrue="1">
      <formula>OR(AND(OR(X634&lt;&gt;0,Y634&lt;&gt;0),Z634&lt;&gt;X634+Y634),AND(OR(AA634&lt;&gt;0,AB634&lt;&gt;0),Z634&lt;&gt;AA634+AB634))</formula>
    </cfRule>
    <cfRule type="expression" dxfId="104" priority="131" stopIfTrue="1">
      <formula>OR(AND(X634+Y634=0,Z634&lt;&gt;0),AND(AA634+AB634=0,Z634&lt;&gt;0))</formula>
    </cfRule>
  </conditionalFormatting>
  <conditionalFormatting sqref="T634">
    <cfRule type="expression" dxfId="103" priority="126" stopIfTrue="1">
      <formula>AND(U634+V634=0,T634&lt;&gt;0)</formula>
    </cfRule>
    <cfRule type="cellIs" dxfId="102" priority="127" stopIfTrue="1" operator="notEqual">
      <formula>U634+V634</formula>
    </cfRule>
  </conditionalFormatting>
  <conditionalFormatting sqref="I634">
    <cfRule type="cellIs" dxfId="101" priority="123" stopIfTrue="1" operator="greaterThan">
      <formula>H634</formula>
    </cfRule>
  </conditionalFormatting>
  <conditionalFormatting sqref="O634">
    <cfRule type="expression" dxfId="100" priority="124" stopIfTrue="1">
      <formula>AND(P634+Q634=0,O634&lt;&gt;0)</formula>
    </cfRule>
    <cfRule type="cellIs" dxfId="99" priority="125" stopIfTrue="1" operator="notEqual">
      <formula>P634+Q634</formula>
    </cfRule>
  </conditionalFormatting>
  <conditionalFormatting sqref="N634">
    <cfRule type="cellIs" dxfId="98" priority="118" stopIfTrue="1" operator="notEqual">
      <formula>SUM(H634:K634,M634)</formula>
    </cfRule>
  </conditionalFormatting>
  <conditionalFormatting sqref="Q634">
    <cfRule type="cellIs" dxfId="97" priority="117" stopIfTrue="1" operator="notEqual">
      <formula>SUM(K634:N634,P634)</formula>
    </cfRule>
  </conditionalFormatting>
  <conditionalFormatting sqref="W634">
    <cfRule type="cellIs" dxfId="96" priority="116" stopIfTrue="1" operator="notEqual">
      <formula>SUM(Q634:T634,V634)</formula>
    </cfRule>
  </conditionalFormatting>
  <conditionalFormatting sqref="AB634">
    <cfRule type="cellIs" dxfId="95" priority="115" stopIfTrue="1" operator="notEqual">
      <formula>SUM(V634:Y634,AA634)</formula>
    </cfRule>
  </conditionalFormatting>
  <conditionalFormatting sqref="AF634">
    <cfRule type="cellIs" dxfId="94" priority="114" stopIfTrue="1" operator="notEqual">
      <formula>SUM(Y634:AB634,AD634)</formula>
    </cfRule>
  </conditionalFormatting>
  <conditionalFormatting sqref="K700">
    <cfRule type="cellIs" dxfId="93" priority="100" stopIfTrue="1" operator="notEqual">
      <formula>SUM(E700:H700,J700)</formula>
    </cfRule>
  </conditionalFormatting>
  <conditionalFormatting sqref="Z700">
    <cfRule type="expression" dxfId="92" priority="111" stopIfTrue="1">
      <formula>OR(AND(OR(X700&lt;&gt;0,Y700&lt;&gt;0),Z700&lt;&gt;X700+Y700),AND(OR(AA700&lt;&gt;0,AB700&lt;&gt;0),Z700&lt;&gt;AA700+AB700))</formula>
    </cfRule>
    <cfRule type="expression" dxfId="91" priority="112" stopIfTrue="1">
      <formula>OR(AND(X700+Y700=0,Z700&lt;&gt;0),AND(AA700+AB700=0,Z700&lt;&gt;0))</formula>
    </cfRule>
  </conditionalFormatting>
  <conditionalFormatting sqref="T700">
    <cfRule type="expression" dxfId="90" priority="107" stopIfTrue="1">
      <formula>AND(U700+V700=0,T700&lt;&gt;0)</formula>
    </cfRule>
    <cfRule type="cellIs" dxfId="89" priority="108" stopIfTrue="1" operator="notEqual">
      <formula>U700+V700</formula>
    </cfRule>
  </conditionalFormatting>
  <conditionalFormatting sqref="I700">
    <cfRule type="cellIs" dxfId="88" priority="104" stopIfTrue="1" operator="greaterThan">
      <formula>H700</formula>
    </cfRule>
  </conditionalFormatting>
  <conditionalFormatting sqref="O700">
    <cfRule type="expression" dxfId="87" priority="105" stopIfTrue="1">
      <formula>AND(P700+Q700=0,O700&lt;&gt;0)</formula>
    </cfRule>
    <cfRule type="cellIs" dxfId="86" priority="106" stopIfTrue="1" operator="notEqual">
      <formula>P700+Q700</formula>
    </cfRule>
  </conditionalFormatting>
  <conditionalFormatting sqref="N700">
    <cfRule type="cellIs" dxfId="85" priority="99" stopIfTrue="1" operator="notEqual">
      <formula>SUM(H700:K700,M700)</formula>
    </cfRule>
  </conditionalFormatting>
  <conditionalFormatting sqref="Q700">
    <cfRule type="cellIs" dxfId="84" priority="98" stopIfTrue="1" operator="notEqual">
      <formula>SUM(K700:N700,P700)</formula>
    </cfRule>
  </conditionalFormatting>
  <conditionalFormatting sqref="W700">
    <cfRule type="cellIs" dxfId="83" priority="97" stopIfTrue="1" operator="notEqual">
      <formula>SUM(Q700:T700,V700)</formula>
    </cfRule>
  </conditionalFormatting>
  <conditionalFormatting sqref="AB700">
    <cfRule type="cellIs" dxfId="82" priority="96" stopIfTrue="1" operator="notEqual">
      <formula>SUM(V700:Y700,AA700)</formula>
    </cfRule>
  </conditionalFormatting>
  <conditionalFormatting sqref="AF700">
    <cfRule type="cellIs" dxfId="81" priority="95" stopIfTrue="1" operator="notEqual">
      <formula>SUM(Y700:AB700,AD700)</formula>
    </cfRule>
  </conditionalFormatting>
  <conditionalFormatting sqref="K766">
    <cfRule type="cellIs" dxfId="80" priority="81" stopIfTrue="1" operator="notEqual">
      <formula>SUM(E766:H766,J766)</formula>
    </cfRule>
  </conditionalFormatting>
  <conditionalFormatting sqref="Z766">
    <cfRule type="expression" dxfId="79" priority="92" stopIfTrue="1">
      <formula>OR(AND(OR(X766&lt;&gt;0,Y766&lt;&gt;0),Z766&lt;&gt;X766+Y766),AND(OR(AA766&lt;&gt;0,AB766&lt;&gt;0),Z766&lt;&gt;AA766+AB766))</formula>
    </cfRule>
    <cfRule type="expression" dxfId="78" priority="93" stopIfTrue="1">
      <formula>OR(AND(X766+Y766=0,Z766&lt;&gt;0),AND(AA766+AB766=0,Z766&lt;&gt;0))</formula>
    </cfRule>
  </conditionalFormatting>
  <conditionalFormatting sqref="T766">
    <cfRule type="expression" dxfId="77" priority="88" stopIfTrue="1">
      <formula>AND(U766+V766=0,T766&lt;&gt;0)</formula>
    </cfRule>
    <cfRule type="cellIs" dxfId="76" priority="89" stopIfTrue="1" operator="notEqual">
      <formula>U766+V766</formula>
    </cfRule>
  </conditionalFormatting>
  <conditionalFormatting sqref="I766">
    <cfRule type="cellIs" dxfId="75" priority="85" stopIfTrue="1" operator="greaterThan">
      <formula>H766</formula>
    </cfRule>
  </conditionalFormatting>
  <conditionalFormatting sqref="O766">
    <cfRule type="expression" dxfId="74" priority="86" stopIfTrue="1">
      <formula>AND(P766+Q766=0,O766&lt;&gt;0)</formula>
    </cfRule>
    <cfRule type="cellIs" dxfId="73" priority="87" stopIfTrue="1" operator="notEqual">
      <formula>P766+Q766</formula>
    </cfRule>
  </conditionalFormatting>
  <conditionalFormatting sqref="N766">
    <cfRule type="cellIs" dxfId="72" priority="80" stopIfTrue="1" operator="notEqual">
      <formula>SUM(H766:K766,M766)</formula>
    </cfRule>
  </conditionalFormatting>
  <conditionalFormatting sqref="Q766">
    <cfRule type="cellIs" dxfId="71" priority="79" stopIfTrue="1" operator="notEqual">
      <formula>SUM(K766:N766,P766)</formula>
    </cfRule>
  </conditionalFormatting>
  <conditionalFormatting sqref="W766">
    <cfRule type="cellIs" dxfId="70" priority="78" stopIfTrue="1" operator="notEqual">
      <formula>SUM(Q766:T766,V766)</formula>
    </cfRule>
  </conditionalFormatting>
  <conditionalFormatting sqref="AB766">
    <cfRule type="cellIs" dxfId="69" priority="77" stopIfTrue="1" operator="notEqual">
      <formula>SUM(V766:Y766,AA766)</formula>
    </cfRule>
  </conditionalFormatting>
  <conditionalFormatting sqref="AF766">
    <cfRule type="cellIs" dxfId="68" priority="76" stopIfTrue="1" operator="notEqual">
      <formula>SUM(Y766:AB766,AD766)</formula>
    </cfRule>
  </conditionalFormatting>
  <conditionalFormatting sqref="K832">
    <cfRule type="cellIs" dxfId="67" priority="62" stopIfTrue="1" operator="notEqual">
      <formula>SUM(E832:H832,J832)</formula>
    </cfRule>
  </conditionalFormatting>
  <conditionalFormatting sqref="Z832">
    <cfRule type="expression" dxfId="66" priority="73" stopIfTrue="1">
      <formula>OR(AND(OR(X832&lt;&gt;0,Y832&lt;&gt;0),Z832&lt;&gt;X832+Y832),AND(OR(AA832&lt;&gt;0,AB832&lt;&gt;0),Z832&lt;&gt;AA832+AB832))</formula>
    </cfRule>
    <cfRule type="expression" dxfId="65" priority="74" stopIfTrue="1">
      <formula>OR(AND(X832+Y832=0,Z832&lt;&gt;0),AND(AA832+AB832=0,Z832&lt;&gt;0))</formula>
    </cfRule>
  </conditionalFormatting>
  <conditionalFormatting sqref="T832">
    <cfRule type="expression" dxfId="64" priority="69" stopIfTrue="1">
      <formula>AND(U832+V832=0,T832&lt;&gt;0)</formula>
    </cfRule>
    <cfRule type="cellIs" dxfId="63" priority="70" stopIfTrue="1" operator="notEqual">
      <formula>U832+V832</formula>
    </cfRule>
  </conditionalFormatting>
  <conditionalFormatting sqref="I832">
    <cfRule type="cellIs" dxfId="62" priority="66" stopIfTrue="1" operator="greaterThan">
      <formula>H832</formula>
    </cfRule>
  </conditionalFormatting>
  <conditionalFormatting sqref="O832">
    <cfRule type="expression" dxfId="61" priority="67" stopIfTrue="1">
      <formula>AND(P832+Q832=0,O832&lt;&gt;0)</formula>
    </cfRule>
    <cfRule type="cellIs" dxfId="60" priority="68" stopIfTrue="1" operator="notEqual">
      <formula>P832+Q832</formula>
    </cfRule>
  </conditionalFormatting>
  <conditionalFormatting sqref="N832">
    <cfRule type="cellIs" dxfId="59" priority="61" stopIfTrue="1" operator="notEqual">
      <formula>SUM(H832:K832,M832)</formula>
    </cfRule>
  </conditionalFormatting>
  <conditionalFormatting sqref="Q832">
    <cfRule type="cellIs" dxfId="58" priority="60" stopIfTrue="1" operator="notEqual">
      <formula>SUM(K832:N832,P832)</formula>
    </cfRule>
  </conditionalFormatting>
  <conditionalFormatting sqref="W832">
    <cfRule type="cellIs" dxfId="57" priority="59" stopIfTrue="1" operator="notEqual">
      <formula>SUM(Q832:T832,V832)</formula>
    </cfRule>
  </conditionalFormatting>
  <conditionalFormatting sqref="AB832">
    <cfRule type="cellIs" dxfId="56" priority="58" stopIfTrue="1" operator="notEqual">
      <formula>SUM(V832:Y832,AA832)</formula>
    </cfRule>
  </conditionalFormatting>
  <conditionalFormatting sqref="AF832">
    <cfRule type="cellIs" dxfId="55" priority="57" stopIfTrue="1" operator="notEqual">
      <formula>SUM(Y832:AB832,AD832)</formula>
    </cfRule>
  </conditionalFormatting>
  <conditionalFormatting sqref="K898">
    <cfRule type="cellIs" dxfId="54" priority="43" stopIfTrue="1" operator="notEqual">
      <formula>SUM(E898:H898,J898)</formula>
    </cfRule>
  </conditionalFormatting>
  <conditionalFormatting sqref="Z898">
    <cfRule type="expression" dxfId="53" priority="54" stopIfTrue="1">
      <formula>OR(AND(OR(X898&lt;&gt;0,Y898&lt;&gt;0),Z898&lt;&gt;X898+Y898),AND(OR(AA898&lt;&gt;0,AB898&lt;&gt;0),Z898&lt;&gt;AA898+AB898))</formula>
    </cfRule>
    <cfRule type="expression" dxfId="52" priority="55" stopIfTrue="1">
      <formula>OR(AND(X898+Y898=0,Z898&lt;&gt;0),AND(AA898+AB898=0,Z898&lt;&gt;0))</formula>
    </cfRule>
  </conditionalFormatting>
  <conditionalFormatting sqref="T898">
    <cfRule type="expression" dxfId="51" priority="50" stopIfTrue="1">
      <formula>AND(U898+V898=0,T898&lt;&gt;0)</formula>
    </cfRule>
    <cfRule type="cellIs" dxfId="50" priority="51" stopIfTrue="1" operator="notEqual">
      <formula>U898+V898</formula>
    </cfRule>
  </conditionalFormatting>
  <conditionalFormatting sqref="I898">
    <cfRule type="cellIs" dxfId="49" priority="47" stopIfTrue="1" operator="greaterThan">
      <formula>H898</formula>
    </cfRule>
  </conditionalFormatting>
  <conditionalFormatting sqref="O898">
    <cfRule type="expression" dxfId="48" priority="48" stopIfTrue="1">
      <formula>AND(P898+Q898=0,O898&lt;&gt;0)</formula>
    </cfRule>
    <cfRule type="cellIs" dxfId="47" priority="49" stopIfTrue="1" operator="notEqual">
      <formula>P898+Q898</formula>
    </cfRule>
  </conditionalFormatting>
  <conditionalFormatting sqref="N898">
    <cfRule type="cellIs" dxfId="46" priority="42" stopIfTrue="1" operator="notEqual">
      <formula>SUM(H898:K898,M898)</formula>
    </cfRule>
  </conditionalFormatting>
  <conditionalFormatting sqref="Q898">
    <cfRule type="cellIs" dxfId="45" priority="41" stopIfTrue="1" operator="notEqual">
      <formula>SUM(K898:N898,P898)</formula>
    </cfRule>
  </conditionalFormatting>
  <conditionalFormatting sqref="W898">
    <cfRule type="cellIs" dxfId="44" priority="40" stopIfTrue="1" operator="notEqual">
      <formula>SUM(Q898:T898,V898)</formula>
    </cfRule>
  </conditionalFormatting>
  <conditionalFormatting sqref="AB898">
    <cfRule type="cellIs" dxfId="43" priority="39" stopIfTrue="1" operator="notEqual">
      <formula>SUM(V898:Y898,AA898)</formula>
    </cfRule>
  </conditionalFormatting>
  <conditionalFormatting sqref="AF898">
    <cfRule type="cellIs" dxfId="42" priority="38" stopIfTrue="1" operator="notEqual">
      <formula>SUM(Y898:AB898,AD898)</formula>
    </cfRule>
  </conditionalFormatting>
  <conditionalFormatting sqref="K964">
    <cfRule type="cellIs" dxfId="41" priority="24" stopIfTrue="1" operator="notEqual">
      <formula>SUM(E964:H964,J964)</formula>
    </cfRule>
  </conditionalFormatting>
  <conditionalFormatting sqref="Z964">
    <cfRule type="expression" dxfId="40" priority="35" stopIfTrue="1">
      <formula>OR(AND(OR(X964&lt;&gt;0,Y964&lt;&gt;0),Z964&lt;&gt;X964+Y964),AND(OR(AA964&lt;&gt;0,AB964&lt;&gt;0),Z964&lt;&gt;AA964+AB964))</formula>
    </cfRule>
    <cfRule type="expression" dxfId="39" priority="36" stopIfTrue="1">
      <formula>OR(AND(X964+Y964=0,Z964&lt;&gt;0),AND(AA964+AB964=0,Z964&lt;&gt;0))</formula>
    </cfRule>
  </conditionalFormatting>
  <conditionalFormatting sqref="T964">
    <cfRule type="expression" dxfId="38" priority="31" stopIfTrue="1">
      <formula>AND(U964+V964=0,T964&lt;&gt;0)</formula>
    </cfRule>
    <cfRule type="cellIs" dxfId="37" priority="32" stopIfTrue="1" operator="notEqual">
      <formula>U964+V964</formula>
    </cfRule>
  </conditionalFormatting>
  <conditionalFormatting sqref="I964">
    <cfRule type="cellIs" dxfId="36" priority="28" stopIfTrue="1" operator="greaterThan">
      <formula>H964</formula>
    </cfRule>
  </conditionalFormatting>
  <conditionalFormatting sqref="O964">
    <cfRule type="expression" dxfId="35" priority="29" stopIfTrue="1">
      <formula>AND(P964+Q964=0,O964&lt;&gt;0)</formula>
    </cfRule>
    <cfRule type="cellIs" dxfId="34" priority="30" stopIfTrue="1" operator="notEqual">
      <formula>P964+Q964</formula>
    </cfRule>
  </conditionalFormatting>
  <conditionalFormatting sqref="N964">
    <cfRule type="cellIs" dxfId="33" priority="23" stopIfTrue="1" operator="notEqual">
      <formula>SUM(H964:K964,M964)</formula>
    </cfRule>
  </conditionalFormatting>
  <conditionalFormatting sqref="Q964">
    <cfRule type="cellIs" dxfId="32" priority="22" stopIfTrue="1" operator="notEqual">
      <formula>SUM(K964:N964,P964)</formula>
    </cfRule>
  </conditionalFormatting>
  <conditionalFormatting sqref="W964">
    <cfRule type="cellIs" dxfId="31" priority="21" stopIfTrue="1" operator="notEqual">
      <formula>SUM(Q964:T964,V964)</formula>
    </cfRule>
  </conditionalFormatting>
  <conditionalFormatting sqref="AB964">
    <cfRule type="cellIs" dxfId="30" priority="20" stopIfTrue="1" operator="notEqual">
      <formula>SUM(V964:Y964,AA964)</formula>
    </cfRule>
  </conditionalFormatting>
  <conditionalFormatting sqref="AF964">
    <cfRule type="cellIs" dxfId="29" priority="19" stopIfTrue="1" operator="notEqual">
      <formula>SUM(Y964:AB964,AD964)</formula>
    </cfRule>
  </conditionalFormatting>
  <conditionalFormatting sqref="N568">
    <cfRule type="cellIs" dxfId="28" priority="17" stopIfTrue="1" operator="notEqual">
      <formula>SUM(H568:K568,M568)</formula>
    </cfRule>
  </conditionalFormatting>
  <conditionalFormatting sqref="Q568">
    <cfRule type="cellIs" dxfId="27" priority="16" stopIfTrue="1" operator="notEqual">
      <formula>SUM(K568:N568,P568)</formula>
    </cfRule>
  </conditionalFormatting>
  <conditionalFormatting sqref="Q568">
    <cfRule type="cellIs" dxfId="26" priority="15" stopIfTrue="1" operator="notEqual">
      <formula>SUM(K568:N568,P568)</formula>
    </cfRule>
  </conditionalFormatting>
  <conditionalFormatting sqref="W568">
    <cfRule type="cellIs" dxfId="25" priority="14" stopIfTrue="1" operator="notEqual">
      <formula>SUM(Q568:T568,V568)</formula>
    </cfRule>
  </conditionalFormatting>
  <conditionalFormatting sqref="W568">
    <cfRule type="cellIs" dxfId="24" priority="13" stopIfTrue="1" operator="notEqual">
      <formula>SUM(Q568:T568,V568)</formula>
    </cfRule>
  </conditionalFormatting>
  <conditionalFormatting sqref="W568">
    <cfRule type="cellIs" dxfId="23" priority="12" stopIfTrue="1" operator="notEqual">
      <formula>SUM(Q568:T568,V568)</formula>
    </cfRule>
  </conditionalFormatting>
  <conditionalFormatting sqref="AB568">
    <cfRule type="cellIs" dxfId="22" priority="11" stopIfTrue="1" operator="notEqual">
      <formula>SUM(V568:Y568,AA568)</formula>
    </cfRule>
  </conditionalFormatting>
  <conditionalFormatting sqref="AB568">
    <cfRule type="cellIs" dxfId="21" priority="10" stopIfTrue="1" operator="notEqual">
      <formula>SUM(V568:Y568,AA568)</formula>
    </cfRule>
  </conditionalFormatting>
  <conditionalFormatting sqref="AB568">
    <cfRule type="cellIs" dxfId="20" priority="9" stopIfTrue="1" operator="notEqual">
      <formula>SUM(V568:Y568,AA568)</formula>
    </cfRule>
  </conditionalFormatting>
  <conditionalFormatting sqref="AB568">
    <cfRule type="cellIs" dxfId="19" priority="8" stopIfTrue="1" operator="notEqual">
      <formula>SUM(V568:Y568,AA568)</formula>
    </cfRule>
  </conditionalFormatting>
  <conditionalFormatting sqref="AF568">
    <cfRule type="cellIs" dxfId="18" priority="7" stopIfTrue="1" operator="notEqual">
      <formula>SUM(Y568:AB568,AD568)</formula>
    </cfRule>
  </conditionalFormatting>
  <conditionalFormatting sqref="AF568">
    <cfRule type="cellIs" dxfId="17" priority="6" stopIfTrue="1" operator="notEqual">
      <formula>SUM(Y568:AB568,AD568)</formula>
    </cfRule>
  </conditionalFormatting>
  <conditionalFormatting sqref="AF568">
    <cfRule type="cellIs" dxfId="16" priority="5" stopIfTrue="1" operator="notEqual">
      <formula>SUM(Y568:AB568,AD568)</formula>
    </cfRule>
  </conditionalFormatting>
  <conditionalFormatting sqref="AF568">
    <cfRule type="cellIs" dxfId="15" priority="4" stopIfTrue="1" operator="notEqual">
      <formula>SUM(Y568:AB568,AD568)</formula>
    </cfRule>
  </conditionalFormatting>
  <conditionalFormatting sqref="AF568">
    <cfRule type="cellIs" dxfId="14" priority="3" stopIfTrue="1" operator="notEqual">
      <formula>SUM(Y568:AB568,AD568)</formula>
    </cfRule>
  </conditionalFormatting>
  <conditionalFormatting sqref="E16">
    <cfRule type="cellIs" dxfId="13" priority="2" stopIfTrue="1" operator="lessThan">
      <formula>0</formula>
    </cfRule>
  </conditionalFormatting>
  <conditionalFormatting sqref="E16">
    <cfRule type="cellIs" dxfId="12" priority="1" stopIfTrue="1" operator="lessThan">
      <formula>0</formula>
    </cfRule>
  </conditionalFormatting>
  <conditionalFormatting sqref="F432:AK433">
    <cfRule type="expression" dxfId="11" priority="608" stopIfTrue="1">
      <formula>SUM(F408,F428,F430)-SUM(F410,F412)</formula>
    </cfRule>
  </conditionalFormatting>
  <conditionalFormatting sqref="AE33:AE51">
    <cfRule type="cellIs" dxfId="10" priority="623" stopIfTrue="1" operator="notEqual">
      <formula>SUM(E33:K33,N33:P33,S33,V33,Y33,AC33:AD33)</formula>
    </cfRule>
  </conditionalFormatting>
  <conditionalFormatting sqref="Y33:Y45 Y47 Y50:Y51">
    <cfRule type="expression" dxfId="9" priority="624" stopIfTrue="1">
      <formula>AND(Z33+AB33=0,Y33&lt;&gt;0)</formula>
    </cfRule>
    <cfRule type="cellIs" dxfId="8" priority="625" stopIfTrue="1" operator="notEqual">
      <formula>Z33+AB33</formula>
    </cfRule>
  </conditionalFormatting>
  <conditionalFormatting sqref="AK408:AK443 AJ510:AJ566 AJ576:AJ632 AJ642:AJ698 AJ708:AJ764 AJ774:AJ830 AJ840:AJ896 AJ568 AJ634 AJ700 AJ766 AJ832 AJ898 AJ964 AI60:AI226 AI234:AI400">
    <cfRule type="cellIs" dxfId="7" priority="626" stopIfTrue="1" operator="notEqual">
      <formula>J60+AH60</formula>
    </cfRule>
  </conditionalFormatting>
  <conditionalFormatting sqref="AB60:AB226 AB234:AB400 AD408:AD443 AC510:AC566 AC576:AC632 AC642:AC698 AC708:AC764 AC774:AC830 AC840:AC896">
    <cfRule type="expression" dxfId="6" priority="628" stopIfTrue="1">
      <formula>AND(AB60+AC60=0,AA60&lt;&gt;0)</formula>
    </cfRule>
    <cfRule type="cellIs" dxfId="5" priority="629" stopIfTrue="1" operator="notEqual">
      <formula>AC60+AE60</formula>
    </cfRule>
  </conditionalFormatting>
  <conditionalFormatting sqref="AJ408:AJ443 AH60:AH226 AH234:AH400">
    <cfRule type="cellIs" dxfId="4" priority="640" stopIfTrue="1" operator="notEqual">
      <formula>SUM(K60:N60,Q60:S60,V60,Y60,AB60,AF60:AG60)</formula>
    </cfRule>
  </conditionalFormatting>
  <conditionalFormatting sqref="AI576:AI632 AI642:AI698 AI708:AI764 AI774:AI830 AI840:AI896 AI510:AI566 AI568 AI634 AI700 AI766 AI832 AI898 AI964">
    <cfRule type="cellIs" dxfId="3" priority="641" stopIfTrue="1" operator="notEqual">
      <formula>SUM(L510:N510,O510,R510:T510,W510,Z510,AC510,AG510:AH510)</formula>
    </cfRule>
  </conditionalFormatting>
  <conditionalFormatting sqref="AC568 AC634 AC700 AC766 AC832 AC898 AC964">
    <cfRule type="expression" dxfId="2" priority="722" stopIfTrue="1">
      <formula>AND(AD568+AF568=0,AC568&lt;&gt;0)</formula>
    </cfRule>
    <cfRule type="cellIs" dxfId="1" priority="723" stopIfTrue="1" operator="notEqual">
      <formula>AD568+AF568</formula>
    </cfRule>
  </conditionalFormatting>
  <conditionalFormatting sqref="AJ568 AJ634 AJ700 AJ766 AJ832 AJ898 AJ964">
    <cfRule type="cellIs" dxfId="0" priority="726" stopIfTrue="1" operator="notEqual">
      <formula>SUM(AC568:AG568,AI568)</formula>
    </cfRule>
  </conditionalFormatting>
  <pageMargins left="0.75" right="0.75" top="1" bottom="1" header="0.5" footer="0.5"/>
  <pageSetup paperSize="9" orientation="portrait" horizontalDpi="1200" verticalDpi="1200" r:id="rId1"/>
  <headerFooter alignWithMargins="0"/>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FF0000"/>
  </sheetPr>
  <dimension ref="A1:F347"/>
  <sheetViews>
    <sheetView workbookViewId="0"/>
  </sheetViews>
  <sheetFormatPr defaultRowHeight="12.75" x14ac:dyDescent="0.2"/>
  <cols>
    <col min="1" max="1" width="11" customWidth="1"/>
    <col min="2" max="2" width="13.140625" customWidth="1"/>
    <col min="3" max="3" width="9.28515625" customWidth="1"/>
    <col min="4" max="4" width="14.7109375" customWidth="1"/>
    <col min="5" max="5" width="31.42578125" bestFit="1" customWidth="1"/>
    <col min="6" max="6" width="20.7109375" customWidth="1"/>
  </cols>
  <sheetData>
    <row r="1" spans="1:6" x14ac:dyDescent="0.2">
      <c r="A1" t="s">
        <v>907</v>
      </c>
    </row>
    <row r="2" spans="1:6" x14ac:dyDescent="0.2">
      <c r="A2" t="s">
        <v>908</v>
      </c>
      <c r="B2" s="481" t="s">
        <v>909</v>
      </c>
      <c r="C2" s="481" t="s">
        <v>586</v>
      </c>
      <c r="D2" s="481" t="s">
        <v>910</v>
      </c>
      <c r="E2" s="481" t="s">
        <v>920</v>
      </c>
      <c r="F2" s="482"/>
    </row>
    <row r="3" spans="1:6" x14ac:dyDescent="0.2">
      <c r="B3" s="481"/>
      <c r="C3" s="481"/>
      <c r="D3" s="481"/>
      <c r="E3" s="481"/>
      <c r="F3" s="482"/>
    </row>
    <row r="4" spans="1:6" x14ac:dyDescent="0.2">
      <c r="A4" t="s">
        <v>336</v>
      </c>
      <c r="B4" s="483" t="s">
        <v>911</v>
      </c>
      <c r="D4" s="128" t="s">
        <v>330</v>
      </c>
      <c r="E4" t="str">
        <f>A4&amp;"."&amp;D4&amp;"."&amp;B4&amp;"."&amp;C4</f>
        <v>BALANCE.CRUDEOIL.TRANSBAK.</v>
      </c>
    </row>
    <row r="5" spans="1:6" x14ac:dyDescent="0.2">
      <c r="A5" t="s">
        <v>336</v>
      </c>
      <c r="B5" s="483" t="s">
        <v>911</v>
      </c>
      <c r="D5" s="128" t="s">
        <v>6</v>
      </c>
      <c r="E5" t="str">
        <f t="shared" ref="E5:E68" si="0">A5&amp;"."&amp;D5&amp;"."&amp;B5&amp;"."&amp;C5</f>
        <v>BALANCE.NGL.TRANSBAK.</v>
      </c>
    </row>
    <row r="6" spans="1:6" x14ac:dyDescent="0.2">
      <c r="A6" t="s">
        <v>336</v>
      </c>
      <c r="B6" s="483" t="s">
        <v>911</v>
      </c>
      <c r="D6" s="128" t="s">
        <v>331</v>
      </c>
      <c r="E6" t="str">
        <f t="shared" si="0"/>
        <v>BALANCE.REFFEEDS.TRANSBAK.</v>
      </c>
    </row>
    <row r="7" spans="1:6" x14ac:dyDescent="0.2">
      <c r="A7" t="s">
        <v>336</v>
      </c>
      <c r="B7" s="483" t="s">
        <v>911</v>
      </c>
      <c r="D7" s="128" t="s">
        <v>332</v>
      </c>
      <c r="E7" t="str">
        <f t="shared" si="0"/>
        <v>BALANCE.ADDITIVE.TRANSBAK.</v>
      </c>
    </row>
    <row r="8" spans="1:6" x14ac:dyDescent="0.2">
      <c r="A8" t="s">
        <v>336</v>
      </c>
      <c r="B8" s="483" t="s">
        <v>911</v>
      </c>
      <c r="D8" s="128" t="s">
        <v>333</v>
      </c>
      <c r="E8" t="str">
        <f t="shared" si="0"/>
        <v>BALANCE.BIOFUELS.TRANSBAK.</v>
      </c>
    </row>
    <row r="9" spans="1:6" x14ac:dyDescent="0.2">
      <c r="A9" t="s">
        <v>336</v>
      </c>
      <c r="B9" s="483" t="s">
        <v>911</v>
      </c>
      <c r="D9" s="128" t="s">
        <v>334</v>
      </c>
      <c r="E9" t="str">
        <f t="shared" si="0"/>
        <v>BALANCE.NONCRUDE.TRANSBAK.</v>
      </c>
    </row>
    <row r="10" spans="1:6" x14ac:dyDescent="0.2">
      <c r="A10" t="s">
        <v>336</v>
      </c>
      <c r="B10" s="483" t="s">
        <v>911</v>
      </c>
      <c r="D10" s="128" t="s">
        <v>335</v>
      </c>
      <c r="E10" t="str">
        <f t="shared" si="0"/>
        <v>BALANCE.CRNGFEED.TRANSBAK.</v>
      </c>
    </row>
    <row r="11" spans="1:6" x14ac:dyDescent="0.2">
      <c r="A11" t="s">
        <v>336</v>
      </c>
      <c r="B11" s="139" t="s">
        <v>338</v>
      </c>
      <c r="D11" t="s">
        <v>912</v>
      </c>
      <c r="E11" t="str">
        <f t="shared" si="0"/>
        <v>BALANCE.OTHTONE.INDPROD.</v>
      </c>
    </row>
    <row r="12" spans="1:6" x14ac:dyDescent="0.2">
      <c r="A12" t="s">
        <v>336</v>
      </c>
      <c r="B12" s="139" t="s">
        <v>339</v>
      </c>
      <c r="D12" t="s">
        <v>912</v>
      </c>
      <c r="E12" t="str">
        <f t="shared" si="0"/>
        <v>BALANCE.OTHTONE.OSOURCES.</v>
      </c>
    </row>
    <row r="13" spans="1:6" x14ac:dyDescent="0.2">
      <c r="A13" t="s">
        <v>336</v>
      </c>
      <c r="B13" s="139" t="s">
        <v>340</v>
      </c>
      <c r="D13" t="s">
        <v>912</v>
      </c>
      <c r="E13" t="str">
        <f t="shared" si="0"/>
        <v>BALANCE.OTHTONE.BACKFLOW.</v>
      </c>
    </row>
    <row r="14" spans="1:6" x14ac:dyDescent="0.2">
      <c r="A14" t="s">
        <v>336</v>
      </c>
      <c r="B14" s="139" t="s">
        <v>341</v>
      </c>
      <c r="D14" t="s">
        <v>912</v>
      </c>
      <c r="E14" t="str">
        <f t="shared" si="0"/>
        <v>BALANCE.OTHTONE.PTRANSF.</v>
      </c>
    </row>
    <row r="15" spans="1:6" x14ac:dyDescent="0.2">
      <c r="A15" t="s">
        <v>336</v>
      </c>
      <c r="B15" s="139" t="s">
        <v>342</v>
      </c>
      <c r="D15" t="s">
        <v>912</v>
      </c>
      <c r="E15" t="str">
        <f t="shared" si="0"/>
        <v>BALANCE.OTHTONE.TOTIMPSB.</v>
      </c>
    </row>
    <row r="16" spans="1:6" x14ac:dyDescent="0.2">
      <c r="A16" t="s">
        <v>336</v>
      </c>
      <c r="B16" s="139" t="s">
        <v>343</v>
      </c>
      <c r="D16" t="s">
        <v>912</v>
      </c>
      <c r="E16" t="str">
        <f t="shared" si="0"/>
        <v>BALANCE.OTHTONE.TOTEXPSB.</v>
      </c>
    </row>
    <row r="17" spans="1:5" x14ac:dyDescent="0.2">
      <c r="A17" t="s">
        <v>336</v>
      </c>
      <c r="B17" s="139" t="s">
        <v>344</v>
      </c>
      <c r="D17" t="s">
        <v>912</v>
      </c>
      <c r="E17" t="str">
        <f t="shared" si="0"/>
        <v>BALANCE.OTHTONE.DIRECUSE.</v>
      </c>
    </row>
    <row r="18" spans="1:5" x14ac:dyDescent="0.2">
      <c r="A18" t="s">
        <v>336</v>
      </c>
      <c r="B18" s="139" t="s">
        <v>345</v>
      </c>
      <c r="D18" t="s">
        <v>912</v>
      </c>
      <c r="E18" t="str">
        <f t="shared" si="0"/>
        <v>BALANCE.OTHTONE.STCHANAT.</v>
      </c>
    </row>
    <row r="19" spans="1:5" x14ac:dyDescent="0.2">
      <c r="A19" t="s">
        <v>336</v>
      </c>
      <c r="B19" s="139" t="s">
        <v>346</v>
      </c>
      <c r="D19" t="s">
        <v>912</v>
      </c>
      <c r="E19" t="str">
        <f t="shared" si="0"/>
        <v>BALANCE.OTHTONE.REFINCAL.</v>
      </c>
    </row>
    <row r="20" spans="1:5" x14ac:dyDescent="0.2">
      <c r="A20" t="s">
        <v>336</v>
      </c>
      <c r="B20" s="139" t="s">
        <v>347</v>
      </c>
      <c r="D20" t="s">
        <v>912</v>
      </c>
      <c r="E20" t="str">
        <f t="shared" si="0"/>
        <v>BALANCE.OTHTONE.STATDIFF.</v>
      </c>
    </row>
    <row r="21" spans="1:5" x14ac:dyDescent="0.2">
      <c r="A21" t="s">
        <v>336</v>
      </c>
      <c r="B21" s="140" t="s">
        <v>348</v>
      </c>
      <c r="D21" t="s">
        <v>912</v>
      </c>
      <c r="E21" t="str">
        <f t="shared" si="0"/>
        <v>BALANCE.OTHTONE.REFINOBS.</v>
      </c>
    </row>
    <row r="22" spans="1:5" x14ac:dyDescent="0.2">
      <c r="A22" t="s">
        <v>336</v>
      </c>
      <c r="B22" s="139" t="s">
        <v>349</v>
      </c>
      <c r="D22" t="s">
        <v>912</v>
      </c>
      <c r="E22" t="str">
        <f t="shared" si="0"/>
        <v>BALANCE.OTHTONE.REFLOSS.</v>
      </c>
    </row>
    <row r="23" spans="1:5" x14ac:dyDescent="0.2">
      <c r="A23" t="s">
        <v>336</v>
      </c>
      <c r="B23" s="483" t="s">
        <v>911</v>
      </c>
      <c r="D23" t="s">
        <v>912</v>
      </c>
      <c r="E23" t="str">
        <f t="shared" si="0"/>
        <v>BALANCE.OTHTONE.TRANSBAK.</v>
      </c>
    </row>
    <row r="24" spans="1:5" x14ac:dyDescent="0.2">
      <c r="A24" t="s">
        <v>336</v>
      </c>
      <c r="B24" t="s">
        <v>913</v>
      </c>
      <c r="D24" s="156" t="s">
        <v>330</v>
      </c>
      <c r="E24" t="str">
        <f t="shared" si="0"/>
        <v>BALANCE.CRUDEOIL.RECEIPTS.</v>
      </c>
    </row>
    <row r="25" spans="1:5" x14ac:dyDescent="0.2">
      <c r="A25" t="s">
        <v>336</v>
      </c>
      <c r="B25" t="s">
        <v>913</v>
      </c>
      <c r="D25" s="156" t="s">
        <v>6</v>
      </c>
      <c r="E25" t="str">
        <f t="shared" si="0"/>
        <v>BALANCE.NGL.RECEIPTS.</v>
      </c>
    </row>
    <row r="26" spans="1:5" x14ac:dyDescent="0.2">
      <c r="A26" t="s">
        <v>336</v>
      </c>
      <c r="B26" t="s">
        <v>913</v>
      </c>
      <c r="D26" s="156" t="s">
        <v>352</v>
      </c>
      <c r="E26" t="str">
        <f t="shared" si="0"/>
        <v>BALANCE.REFINGAS.RECEIPTS.</v>
      </c>
    </row>
    <row r="27" spans="1:5" x14ac:dyDescent="0.2">
      <c r="A27" t="s">
        <v>336</v>
      </c>
      <c r="B27" t="s">
        <v>913</v>
      </c>
      <c r="D27" s="156" t="s">
        <v>353</v>
      </c>
      <c r="E27" t="str">
        <f t="shared" si="0"/>
        <v>BALANCE.ETHANE.RECEIPTS.</v>
      </c>
    </row>
    <row r="28" spans="1:5" x14ac:dyDescent="0.2">
      <c r="A28" t="s">
        <v>336</v>
      </c>
      <c r="B28" t="s">
        <v>913</v>
      </c>
      <c r="D28" s="156" t="s">
        <v>9</v>
      </c>
      <c r="E28" t="str">
        <f t="shared" si="0"/>
        <v>BALANCE.LPG.RECEIPTS.</v>
      </c>
    </row>
    <row r="29" spans="1:5" x14ac:dyDescent="0.2">
      <c r="A29" t="s">
        <v>336</v>
      </c>
      <c r="B29" t="s">
        <v>913</v>
      </c>
      <c r="D29" s="156" t="s">
        <v>354</v>
      </c>
      <c r="E29" t="str">
        <f t="shared" si="0"/>
        <v>BALANCE.NAPHTHA.RECEIPTS.</v>
      </c>
    </row>
    <row r="30" spans="1:5" x14ac:dyDescent="0.2">
      <c r="A30" t="s">
        <v>336</v>
      </c>
      <c r="B30" t="s">
        <v>913</v>
      </c>
      <c r="D30" s="156" t="s">
        <v>355</v>
      </c>
      <c r="E30" t="str">
        <f t="shared" si="0"/>
        <v>BALANCE.MOTORGAS.RECEIPTS.</v>
      </c>
    </row>
    <row r="31" spans="1:5" x14ac:dyDescent="0.2">
      <c r="A31" t="s">
        <v>336</v>
      </c>
      <c r="B31" t="s">
        <v>913</v>
      </c>
      <c r="D31" s="156" t="s">
        <v>356</v>
      </c>
      <c r="E31" t="str">
        <f t="shared" si="0"/>
        <v>BALANCE.BIOGASOL.RECEIPTS.</v>
      </c>
    </row>
    <row r="32" spans="1:5" x14ac:dyDescent="0.2">
      <c r="A32" t="s">
        <v>336</v>
      </c>
      <c r="B32" t="s">
        <v>913</v>
      </c>
      <c r="D32" s="156" t="s">
        <v>891</v>
      </c>
      <c r="E32" t="str">
        <f t="shared" si="0"/>
        <v>BALANCE.NONBIOGASO.RECEIPTS.</v>
      </c>
    </row>
    <row r="33" spans="1:5" x14ac:dyDescent="0.2">
      <c r="A33" t="s">
        <v>336</v>
      </c>
      <c r="B33" t="s">
        <v>913</v>
      </c>
      <c r="D33" s="156" t="s">
        <v>357</v>
      </c>
      <c r="E33" t="str">
        <f t="shared" si="0"/>
        <v>BALANCE.AVGAS.RECEIPTS.</v>
      </c>
    </row>
    <row r="34" spans="1:5" x14ac:dyDescent="0.2">
      <c r="A34" t="s">
        <v>336</v>
      </c>
      <c r="B34" t="s">
        <v>913</v>
      </c>
      <c r="D34" s="156" t="s">
        <v>358</v>
      </c>
      <c r="E34" t="str">
        <f t="shared" si="0"/>
        <v>BALANCE.JETGAS.RECEIPTS.</v>
      </c>
    </row>
    <row r="35" spans="1:5" x14ac:dyDescent="0.2">
      <c r="A35" t="s">
        <v>336</v>
      </c>
      <c r="B35" t="s">
        <v>913</v>
      </c>
      <c r="D35" s="156" t="s">
        <v>359</v>
      </c>
      <c r="E35" t="str">
        <f t="shared" si="0"/>
        <v>BALANCE.JETKERO.RECEIPTS.</v>
      </c>
    </row>
    <row r="36" spans="1:5" x14ac:dyDescent="0.2">
      <c r="A36" t="s">
        <v>336</v>
      </c>
      <c r="B36" t="s">
        <v>913</v>
      </c>
      <c r="D36" s="156" t="s">
        <v>878</v>
      </c>
      <c r="E36" t="str">
        <f t="shared" si="0"/>
        <v>BALANCE.BIOJETKERO.RECEIPTS.</v>
      </c>
    </row>
    <row r="37" spans="1:5" x14ac:dyDescent="0.2">
      <c r="A37" t="s">
        <v>336</v>
      </c>
      <c r="B37" t="s">
        <v>913</v>
      </c>
      <c r="D37" s="156" t="s">
        <v>879</v>
      </c>
      <c r="E37" t="str">
        <f t="shared" si="0"/>
        <v>BALANCE.NONBIOJETK.RECEIPTS.</v>
      </c>
    </row>
    <row r="38" spans="1:5" x14ac:dyDescent="0.2">
      <c r="A38" t="s">
        <v>336</v>
      </c>
      <c r="B38" t="s">
        <v>913</v>
      </c>
      <c r="D38" s="156" t="s">
        <v>360</v>
      </c>
      <c r="E38" t="str">
        <f t="shared" si="0"/>
        <v>BALANCE.OTHKERO.RECEIPTS.</v>
      </c>
    </row>
    <row r="39" spans="1:5" x14ac:dyDescent="0.2">
      <c r="A39" t="s">
        <v>336</v>
      </c>
      <c r="B39" t="s">
        <v>913</v>
      </c>
      <c r="D39" s="156" t="s">
        <v>361</v>
      </c>
      <c r="E39" t="str">
        <f t="shared" si="0"/>
        <v>BALANCE.DIESEL.RECEIPTS.</v>
      </c>
    </row>
    <row r="40" spans="1:5" x14ac:dyDescent="0.2">
      <c r="A40" t="s">
        <v>336</v>
      </c>
      <c r="B40" t="s">
        <v>913</v>
      </c>
      <c r="D40" s="156" t="s">
        <v>363</v>
      </c>
      <c r="E40" t="str">
        <f t="shared" si="0"/>
        <v>BALANCE.HEATOIL.RECEIPTS.</v>
      </c>
    </row>
    <row r="41" spans="1:5" x14ac:dyDescent="0.2">
      <c r="A41" t="s">
        <v>336</v>
      </c>
      <c r="B41" t="s">
        <v>913</v>
      </c>
      <c r="D41" s="156" t="s">
        <v>364</v>
      </c>
      <c r="E41" t="str">
        <f t="shared" si="0"/>
        <v>BALANCE.GASDIES.RECEIPTS.</v>
      </c>
    </row>
    <row r="42" spans="1:5" x14ac:dyDescent="0.2">
      <c r="A42" t="s">
        <v>336</v>
      </c>
      <c r="B42" t="s">
        <v>913</v>
      </c>
      <c r="D42" s="156" t="s">
        <v>362</v>
      </c>
      <c r="E42" t="str">
        <f t="shared" si="0"/>
        <v>BALANCE.BIODIESEL.RECEIPTS.</v>
      </c>
    </row>
    <row r="43" spans="1:5" x14ac:dyDescent="0.2">
      <c r="A43" t="s">
        <v>336</v>
      </c>
      <c r="B43" t="s">
        <v>913</v>
      </c>
      <c r="D43" s="156" t="s">
        <v>880</v>
      </c>
      <c r="E43" t="str">
        <f t="shared" si="0"/>
        <v>BALANCE.NONBIODIES.RECEIPTS.</v>
      </c>
    </row>
    <row r="44" spans="1:5" x14ac:dyDescent="0.2">
      <c r="A44" t="s">
        <v>336</v>
      </c>
      <c r="B44" t="s">
        <v>913</v>
      </c>
      <c r="D44" s="156" t="s">
        <v>367</v>
      </c>
      <c r="E44" t="str">
        <f t="shared" si="0"/>
        <v>BALANCE.RESFUEL.RECEIPTS.</v>
      </c>
    </row>
    <row r="45" spans="1:5" x14ac:dyDescent="0.2">
      <c r="A45" t="s">
        <v>336</v>
      </c>
      <c r="B45" t="s">
        <v>913</v>
      </c>
      <c r="D45" s="156" t="s">
        <v>365</v>
      </c>
      <c r="E45" t="str">
        <f t="shared" si="0"/>
        <v>BALANCE.LOWSULF.RECEIPTS.</v>
      </c>
    </row>
    <row r="46" spans="1:5" x14ac:dyDescent="0.2">
      <c r="A46" t="s">
        <v>336</v>
      </c>
      <c r="B46" t="s">
        <v>913</v>
      </c>
      <c r="D46" s="156" t="s">
        <v>366</v>
      </c>
      <c r="E46" t="str">
        <f t="shared" si="0"/>
        <v>BALANCE.HIGHSULF.RECEIPTS.</v>
      </c>
    </row>
    <row r="47" spans="1:5" x14ac:dyDescent="0.2">
      <c r="A47" t="s">
        <v>336</v>
      </c>
      <c r="B47" t="s">
        <v>913</v>
      </c>
      <c r="D47" s="156" t="s">
        <v>368</v>
      </c>
      <c r="E47" t="str">
        <f t="shared" si="0"/>
        <v>BALANCE.PETCOKE.RECEIPTS.</v>
      </c>
    </row>
    <row r="48" spans="1:5" x14ac:dyDescent="0.2">
      <c r="A48" t="s">
        <v>336</v>
      </c>
      <c r="B48" t="s">
        <v>913</v>
      </c>
      <c r="D48" s="156" t="s">
        <v>606</v>
      </c>
      <c r="E48" t="str">
        <f t="shared" si="0"/>
        <v>BALANCE.OPRODS.RECEIPTS.</v>
      </c>
    </row>
    <row r="49" spans="1:5" x14ac:dyDescent="0.2">
      <c r="A49" t="s">
        <v>336</v>
      </c>
      <c r="B49" t="s">
        <v>913</v>
      </c>
      <c r="D49" s="156" t="s">
        <v>369</v>
      </c>
      <c r="E49" t="str">
        <f t="shared" si="0"/>
        <v>BALANCE.TOTPRODS.RECEIPTS.</v>
      </c>
    </row>
    <row r="50" spans="1:5" x14ac:dyDescent="0.2">
      <c r="A50" t="s">
        <v>336</v>
      </c>
      <c r="B50" t="s">
        <v>914</v>
      </c>
      <c r="D50" s="156" t="s">
        <v>330</v>
      </c>
      <c r="E50" t="str">
        <f t="shared" si="0"/>
        <v>BALANCE.CRUDEOIL.DEMAND.</v>
      </c>
    </row>
    <row r="51" spans="1:5" x14ac:dyDescent="0.2">
      <c r="A51" t="s">
        <v>336</v>
      </c>
      <c r="B51" t="s">
        <v>914</v>
      </c>
      <c r="D51" s="156" t="s">
        <v>6</v>
      </c>
      <c r="E51" t="str">
        <f t="shared" si="0"/>
        <v>BALANCE.NGL.DEMAND.</v>
      </c>
    </row>
    <row r="52" spans="1:5" x14ac:dyDescent="0.2">
      <c r="A52" t="s">
        <v>336</v>
      </c>
      <c r="B52" t="s">
        <v>914</v>
      </c>
      <c r="D52" s="156" t="s">
        <v>352</v>
      </c>
      <c r="E52" t="str">
        <f t="shared" si="0"/>
        <v>BALANCE.REFINGAS.DEMAND.</v>
      </c>
    </row>
    <row r="53" spans="1:5" x14ac:dyDescent="0.2">
      <c r="A53" t="s">
        <v>336</v>
      </c>
      <c r="B53" t="s">
        <v>914</v>
      </c>
      <c r="D53" s="156" t="s">
        <v>353</v>
      </c>
      <c r="E53" t="str">
        <f t="shared" si="0"/>
        <v>BALANCE.ETHANE.DEMAND.</v>
      </c>
    </row>
    <row r="54" spans="1:5" x14ac:dyDescent="0.2">
      <c r="A54" t="s">
        <v>336</v>
      </c>
      <c r="B54" t="s">
        <v>914</v>
      </c>
      <c r="D54" s="156" t="s">
        <v>9</v>
      </c>
      <c r="E54" t="str">
        <f t="shared" si="0"/>
        <v>BALANCE.LPG.DEMAND.</v>
      </c>
    </row>
    <row r="55" spans="1:5" x14ac:dyDescent="0.2">
      <c r="A55" t="s">
        <v>336</v>
      </c>
      <c r="B55" t="s">
        <v>914</v>
      </c>
      <c r="D55" s="156" t="s">
        <v>354</v>
      </c>
      <c r="E55" t="str">
        <f t="shared" si="0"/>
        <v>BALANCE.NAPHTHA.DEMAND.</v>
      </c>
    </row>
    <row r="56" spans="1:5" x14ac:dyDescent="0.2">
      <c r="A56" t="s">
        <v>336</v>
      </c>
      <c r="B56" t="s">
        <v>914</v>
      </c>
      <c r="D56" s="156" t="s">
        <v>355</v>
      </c>
      <c r="E56" t="str">
        <f t="shared" si="0"/>
        <v>BALANCE.MOTORGAS.DEMAND.</v>
      </c>
    </row>
    <row r="57" spans="1:5" x14ac:dyDescent="0.2">
      <c r="A57" t="s">
        <v>336</v>
      </c>
      <c r="B57" t="s">
        <v>914</v>
      </c>
      <c r="D57" s="156" t="s">
        <v>356</v>
      </c>
      <c r="E57" t="str">
        <f t="shared" si="0"/>
        <v>BALANCE.BIOGASOL.DEMAND.</v>
      </c>
    </row>
    <row r="58" spans="1:5" x14ac:dyDescent="0.2">
      <c r="A58" t="s">
        <v>336</v>
      </c>
      <c r="B58" t="s">
        <v>914</v>
      </c>
      <c r="D58" s="156" t="s">
        <v>891</v>
      </c>
      <c r="E58" t="str">
        <f t="shared" si="0"/>
        <v>BALANCE.NONBIOGASO.DEMAND.</v>
      </c>
    </row>
    <row r="59" spans="1:5" x14ac:dyDescent="0.2">
      <c r="A59" t="s">
        <v>336</v>
      </c>
      <c r="B59" t="s">
        <v>914</v>
      </c>
      <c r="D59" s="156" t="s">
        <v>357</v>
      </c>
      <c r="E59" t="str">
        <f t="shared" si="0"/>
        <v>BALANCE.AVGAS.DEMAND.</v>
      </c>
    </row>
    <row r="60" spans="1:5" x14ac:dyDescent="0.2">
      <c r="A60" t="s">
        <v>336</v>
      </c>
      <c r="B60" t="s">
        <v>914</v>
      </c>
      <c r="D60" s="156" t="s">
        <v>358</v>
      </c>
      <c r="E60" t="str">
        <f t="shared" si="0"/>
        <v>BALANCE.JETGAS.DEMAND.</v>
      </c>
    </row>
    <row r="61" spans="1:5" x14ac:dyDescent="0.2">
      <c r="A61" t="s">
        <v>336</v>
      </c>
      <c r="B61" t="s">
        <v>914</v>
      </c>
      <c r="D61" s="156" t="s">
        <v>359</v>
      </c>
      <c r="E61" t="str">
        <f t="shared" si="0"/>
        <v>BALANCE.JETKERO.DEMAND.</v>
      </c>
    </row>
    <row r="62" spans="1:5" x14ac:dyDescent="0.2">
      <c r="A62" t="s">
        <v>336</v>
      </c>
      <c r="B62" t="s">
        <v>914</v>
      </c>
      <c r="D62" s="156" t="s">
        <v>878</v>
      </c>
      <c r="E62" t="str">
        <f t="shared" si="0"/>
        <v>BALANCE.BIOJETKERO.DEMAND.</v>
      </c>
    </row>
    <row r="63" spans="1:5" x14ac:dyDescent="0.2">
      <c r="A63" t="s">
        <v>336</v>
      </c>
      <c r="B63" t="s">
        <v>914</v>
      </c>
      <c r="D63" s="156" t="s">
        <v>879</v>
      </c>
      <c r="E63" t="str">
        <f t="shared" si="0"/>
        <v>BALANCE.NONBIOJETK.DEMAND.</v>
      </c>
    </row>
    <row r="64" spans="1:5" x14ac:dyDescent="0.2">
      <c r="A64" t="s">
        <v>336</v>
      </c>
      <c r="B64" t="s">
        <v>914</v>
      </c>
      <c r="D64" s="156" t="s">
        <v>360</v>
      </c>
      <c r="E64" t="str">
        <f t="shared" si="0"/>
        <v>BALANCE.OTHKERO.DEMAND.</v>
      </c>
    </row>
    <row r="65" spans="1:5" x14ac:dyDescent="0.2">
      <c r="A65" t="s">
        <v>336</v>
      </c>
      <c r="B65" t="s">
        <v>914</v>
      </c>
      <c r="D65" s="156" t="s">
        <v>361</v>
      </c>
      <c r="E65" t="str">
        <f t="shared" si="0"/>
        <v>BALANCE.DIESEL.DEMAND.</v>
      </c>
    </row>
    <row r="66" spans="1:5" x14ac:dyDescent="0.2">
      <c r="A66" t="s">
        <v>336</v>
      </c>
      <c r="B66" t="s">
        <v>914</v>
      </c>
      <c r="D66" s="156" t="s">
        <v>363</v>
      </c>
      <c r="E66" t="str">
        <f t="shared" si="0"/>
        <v>BALANCE.HEATOIL.DEMAND.</v>
      </c>
    </row>
    <row r="67" spans="1:5" x14ac:dyDescent="0.2">
      <c r="A67" t="s">
        <v>336</v>
      </c>
      <c r="B67" t="s">
        <v>914</v>
      </c>
      <c r="D67" s="156" t="s">
        <v>364</v>
      </c>
      <c r="E67" t="str">
        <f t="shared" si="0"/>
        <v>BALANCE.GASDIES.DEMAND.</v>
      </c>
    </row>
    <row r="68" spans="1:5" x14ac:dyDescent="0.2">
      <c r="A68" t="s">
        <v>336</v>
      </c>
      <c r="B68" t="s">
        <v>914</v>
      </c>
      <c r="D68" s="156" t="s">
        <v>362</v>
      </c>
      <c r="E68" t="str">
        <f t="shared" si="0"/>
        <v>BALANCE.BIODIESEL.DEMAND.</v>
      </c>
    </row>
    <row r="69" spans="1:5" x14ac:dyDescent="0.2">
      <c r="A69" t="s">
        <v>336</v>
      </c>
      <c r="B69" t="s">
        <v>914</v>
      </c>
      <c r="D69" s="156" t="s">
        <v>880</v>
      </c>
      <c r="E69" t="str">
        <f t="shared" ref="E69:E132" si="1">A69&amp;"."&amp;D69&amp;"."&amp;B69&amp;"."&amp;C69</f>
        <v>BALANCE.NONBIODIES.DEMAND.</v>
      </c>
    </row>
    <row r="70" spans="1:5" x14ac:dyDescent="0.2">
      <c r="A70" t="s">
        <v>336</v>
      </c>
      <c r="B70" t="s">
        <v>914</v>
      </c>
      <c r="D70" s="156" t="s">
        <v>367</v>
      </c>
      <c r="E70" t="str">
        <f t="shared" si="1"/>
        <v>BALANCE.RESFUEL.DEMAND.</v>
      </c>
    </row>
    <row r="71" spans="1:5" x14ac:dyDescent="0.2">
      <c r="A71" t="s">
        <v>336</v>
      </c>
      <c r="B71" t="s">
        <v>914</v>
      </c>
      <c r="D71" s="156" t="s">
        <v>365</v>
      </c>
      <c r="E71" t="str">
        <f t="shared" si="1"/>
        <v>BALANCE.LOWSULF.DEMAND.</v>
      </c>
    </row>
    <row r="72" spans="1:5" x14ac:dyDescent="0.2">
      <c r="A72" t="s">
        <v>336</v>
      </c>
      <c r="B72" t="s">
        <v>914</v>
      </c>
      <c r="D72" s="156" t="s">
        <v>366</v>
      </c>
      <c r="E72" t="str">
        <f t="shared" si="1"/>
        <v>BALANCE.HIGHSULF.DEMAND.</v>
      </c>
    </row>
    <row r="73" spans="1:5" x14ac:dyDescent="0.2">
      <c r="A73" t="s">
        <v>336</v>
      </c>
      <c r="B73" t="s">
        <v>914</v>
      </c>
      <c r="D73" s="156" t="s">
        <v>368</v>
      </c>
      <c r="E73" t="str">
        <f t="shared" si="1"/>
        <v>BALANCE.PETCOKE.DEMAND.</v>
      </c>
    </row>
    <row r="74" spans="1:5" x14ac:dyDescent="0.2">
      <c r="A74" t="s">
        <v>336</v>
      </c>
      <c r="B74" t="s">
        <v>914</v>
      </c>
      <c r="D74" s="156" t="s">
        <v>606</v>
      </c>
      <c r="E74" t="str">
        <f t="shared" si="1"/>
        <v>BALANCE.OPRODS.DEMAND.</v>
      </c>
    </row>
    <row r="75" spans="1:5" x14ac:dyDescent="0.2">
      <c r="A75" t="s">
        <v>336</v>
      </c>
      <c r="B75" t="s">
        <v>914</v>
      </c>
      <c r="D75" s="156" t="s">
        <v>369</v>
      </c>
      <c r="E75" t="str">
        <f t="shared" si="1"/>
        <v>BALANCE.TOTPRODS.DEMAND.</v>
      </c>
    </row>
    <row r="76" spans="1:5" x14ac:dyDescent="0.2">
      <c r="A76" t="s">
        <v>336</v>
      </c>
      <c r="B76" s="130" t="s">
        <v>370</v>
      </c>
      <c r="D76" t="s">
        <v>915</v>
      </c>
      <c r="E76" t="str">
        <f t="shared" si="1"/>
        <v>BALANCE.GASOLINE.PPRECPTS.</v>
      </c>
    </row>
    <row r="77" spans="1:5" x14ac:dyDescent="0.2">
      <c r="A77" t="s">
        <v>336</v>
      </c>
      <c r="B77" s="130" t="s">
        <v>371</v>
      </c>
      <c r="D77" t="s">
        <v>915</v>
      </c>
      <c r="E77" t="str">
        <f t="shared" si="1"/>
        <v>BALANCE.GASOLINE.REFGROUT.</v>
      </c>
    </row>
    <row r="78" spans="1:5" x14ac:dyDescent="0.2">
      <c r="A78" t="s">
        <v>336</v>
      </c>
      <c r="B78" s="130" t="s">
        <v>372</v>
      </c>
      <c r="D78" t="s">
        <v>915</v>
      </c>
      <c r="E78" t="str">
        <f t="shared" si="1"/>
        <v>BALANCE.GASOLINE.RECYCLED.</v>
      </c>
    </row>
    <row r="79" spans="1:5" x14ac:dyDescent="0.2">
      <c r="A79" t="s">
        <v>336</v>
      </c>
      <c r="B79" s="130" t="s">
        <v>373</v>
      </c>
      <c r="D79" t="s">
        <v>915</v>
      </c>
      <c r="E79" t="str">
        <f t="shared" si="1"/>
        <v>BALANCE.GASOLINE.REFFUEL.</v>
      </c>
    </row>
    <row r="80" spans="1:5" x14ac:dyDescent="0.2">
      <c r="A80" t="s">
        <v>336</v>
      </c>
      <c r="B80" s="130" t="s">
        <v>342</v>
      </c>
      <c r="D80" t="s">
        <v>915</v>
      </c>
      <c r="E80" t="str">
        <f t="shared" si="1"/>
        <v>BALANCE.GASOLINE.TOTIMPSB.</v>
      </c>
    </row>
    <row r="81" spans="1:5" x14ac:dyDescent="0.2">
      <c r="A81" t="s">
        <v>336</v>
      </c>
      <c r="B81" s="130" t="s">
        <v>343</v>
      </c>
      <c r="D81" t="s">
        <v>915</v>
      </c>
      <c r="E81" t="str">
        <f t="shared" si="1"/>
        <v>BALANCE.GASOLINE.TOTEXPSB.</v>
      </c>
    </row>
    <row r="82" spans="1:5" x14ac:dyDescent="0.2">
      <c r="A82" t="s">
        <v>336</v>
      </c>
      <c r="B82" s="130" t="s">
        <v>374</v>
      </c>
      <c r="D82" t="s">
        <v>915</v>
      </c>
      <c r="E82" t="str">
        <f t="shared" si="1"/>
        <v>BALANCE.GASOLINE.BUNKERS.</v>
      </c>
    </row>
    <row r="83" spans="1:5" x14ac:dyDescent="0.2">
      <c r="A83" t="s">
        <v>336</v>
      </c>
      <c r="B83" s="130" t="s">
        <v>375</v>
      </c>
      <c r="D83" t="s">
        <v>915</v>
      </c>
      <c r="E83" t="str">
        <f t="shared" si="1"/>
        <v>BALANCE.GASOLINE.IPTRANSF.</v>
      </c>
    </row>
    <row r="84" spans="1:5" x14ac:dyDescent="0.2">
      <c r="A84" t="s">
        <v>336</v>
      </c>
      <c r="B84" s="130" t="s">
        <v>341</v>
      </c>
      <c r="D84" t="s">
        <v>915</v>
      </c>
      <c r="E84" t="str">
        <f t="shared" si="1"/>
        <v>BALANCE.GASOLINE.PTRANSF.</v>
      </c>
    </row>
    <row r="85" spans="1:5" x14ac:dyDescent="0.2">
      <c r="A85" t="s">
        <v>336</v>
      </c>
      <c r="B85" s="130" t="s">
        <v>345</v>
      </c>
      <c r="D85" t="s">
        <v>915</v>
      </c>
      <c r="E85" t="str">
        <f t="shared" si="1"/>
        <v>BALANCE.GASOLINE.STCHANAT.</v>
      </c>
    </row>
    <row r="86" spans="1:5" x14ac:dyDescent="0.2">
      <c r="A86" t="s">
        <v>336</v>
      </c>
      <c r="B86" s="130" t="s">
        <v>376</v>
      </c>
      <c r="D86" t="s">
        <v>915</v>
      </c>
      <c r="E86" t="str">
        <f t="shared" si="1"/>
        <v>BALANCE.GASOLINE.GDINCTRC.</v>
      </c>
    </row>
    <row r="87" spans="1:5" x14ac:dyDescent="0.2">
      <c r="A87" t="s">
        <v>336</v>
      </c>
      <c r="B87" s="130" t="s">
        <v>347</v>
      </c>
      <c r="D87" t="s">
        <v>915</v>
      </c>
      <c r="E87" t="str">
        <f t="shared" si="1"/>
        <v>BALANCE.GASOLINE.STATDIFF.</v>
      </c>
    </row>
    <row r="88" spans="1:5" x14ac:dyDescent="0.2">
      <c r="A88" t="s">
        <v>336</v>
      </c>
      <c r="B88" s="131" t="s">
        <v>377</v>
      </c>
      <c r="D88" t="s">
        <v>915</v>
      </c>
      <c r="E88" t="str">
        <f t="shared" si="1"/>
        <v>BALANCE.GASOLINE.GDINCTRO.</v>
      </c>
    </row>
    <row r="89" spans="1:5" x14ac:dyDescent="0.2">
      <c r="A89" t="s">
        <v>336</v>
      </c>
      <c r="B89" s="130" t="s">
        <v>607</v>
      </c>
      <c r="D89" t="s">
        <v>915</v>
      </c>
      <c r="E89" t="str">
        <f t="shared" si="1"/>
        <v>BALANCE.GASOLINE.INTLCIAV.</v>
      </c>
    </row>
    <row r="90" spans="1:5" x14ac:dyDescent="0.2">
      <c r="A90" t="s">
        <v>336</v>
      </c>
      <c r="B90" s="130" t="s">
        <v>608</v>
      </c>
      <c r="D90" t="s">
        <v>915</v>
      </c>
      <c r="E90" t="str">
        <f t="shared" si="1"/>
        <v>BALANCE.GASOLINE.PUBELEC.</v>
      </c>
    </row>
    <row r="91" spans="1:5" x14ac:dyDescent="0.2">
      <c r="A91" t="s">
        <v>336</v>
      </c>
      <c r="B91" s="130" t="s">
        <v>378</v>
      </c>
      <c r="D91" t="s">
        <v>915</v>
      </c>
      <c r="E91" t="str">
        <f t="shared" si="1"/>
        <v>BALANCE.GASOLINE.AUDILPG.</v>
      </c>
    </row>
    <row r="92" spans="1:5" x14ac:dyDescent="0.2">
      <c r="A92" t="s">
        <v>336</v>
      </c>
      <c r="B92" s="130" t="s">
        <v>890</v>
      </c>
      <c r="D92" t="s">
        <v>915</v>
      </c>
      <c r="E92" t="str">
        <f t="shared" si="1"/>
        <v>BALANCE.GASOLINE.ERAILMAR.</v>
      </c>
    </row>
    <row r="93" spans="1:5" x14ac:dyDescent="0.2">
      <c r="A93" t="s">
        <v>336</v>
      </c>
      <c r="B93" s="130" t="s">
        <v>379</v>
      </c>
      <c r="D93" t="s">
        <v>915</v>
      </c>
      <c r="E93" t="str">
        <f t="shared" si="1"/>
        <v>BALANCE.GASOLINE.GDPETCH.</v>
      </c>
    </row>
    <row r="94" spans="1:5" x14ac:dyDescent="0.2">
      <c r="A94" t="s">
        <v>336</v>
      </c>
      <c r="B94" s="130" t="s">
        <v>340</v>
      </c>
      <c r="D94" t="s">
        <v>915</v>
      </c>
      <c r="E94" t="str">
        <f t="shared" si="1"/>
        <v>BALANCE.GASOLINE.BACKFLOW.</v>
      </c>
    </row>
    <row r="95" spans="1:5" x14ac:dyDescent="0.2">
      <c r="A95" t="s">
        <v>336</v>
      </c>
      <c r="B95" s="130" t="s">
        <v>380</v>
      </c>
      <c r="D95" t="s">
        <v>915</v>
      </c>
      <c r="E95" t="str">
        <f t="shared" si="1"/>
        <v>BALANCE.GASOLINE.NETDELIC.</v>
      </c>
    </row>
    <row r="96" spans="1:5" x14ac:dyDescent="0.2">
      <c r="A96" t="s">
        <v>336</v>
      </c>
      <c r="B96" t="s">
        <v>913</v>
      </c>
      <c r="D96" t="s">
        <v>915</v>
      </c>
      <c r="E96" t="str">
        <f t="shared" si="1"/>
        <v>BALANCE.GASOLINE.RECEIPTS.</v>
      </c>
    </row>
    <row r="97" spans="1:5" x14ac:dyDescent="0.2">
      <c r="A97" t="s">
        <v>336</v>
      </c>
      <c r="B97" t="s">
        <v>914</v>
      </c>
      <c r="D97" t="s">
        <v>915</v>
      </c>
      <c r="E97" t="str">
        <f t="shared" si="1"/>
        <v>BALANCE.GASOLINE.DEMAND.</v>
      </c>
    </row>
    <row r="98" spans="1:5" x14ac:dyDescent="0.2">
      <c r="A98" t="s">
        <v>336</v>
      </c>
      <c r="B98" s="130" t="s">
        <v>370</v>
      </c>
      <c r="D98" t="s">
        <v>916</v>
      </c>
      <c r="E98" t="str">
        <f t="shared" si="1"/>
        <v>BALANCE.KEROSENE.PPRECPTS.</v>
      </c>
    </row>
    <row r="99" spans="1:5" x14ac:dyDescent="0.2">
      <c r="A99" t="s">
        <v>336</v>
      </c>
      <c r="B99" s="130" t="s">
        <v>371</v>
      </c>
      <c r="D99" t="s">
        <v>916</v>
      </c>
      <c r="E99" t="str">
        <f t="shared" si="1"/>
        <v>BALANCE.KEROSENE.REFGROUT.</v>
      </c>
    </row>
    <row r="100" spans="1:5" x14ac:dyDescent="0.2">
      <c r="A100" t="s">
        <v>336</v>
      </c>
      <c r="B100" s="130" t="s">
        <v>372</v>
      </c>
      <c r="D100" t="s">
        <v>916</v>
      </c>
      <c r="E100" t="str">
        <f t="shared" si="1"/>
        <v>BALANCE.KEROSENE.RECYCLED.</v>
      </c>
    </row>
    <row r="101" spans="1:5" x14ac:dyDescent="0.2">
      <c r="A101" t="s">
        <v>336</v>
      </c>
      <c r="B101" s="130" t="s">
        <v>373</v>
      </c>
      <c r="D101" t="s">
        <v>916</v>
      </c>
      <c r="E101" t="str">
        <f t="shared" si="1"/>
        <v>BALANCE.KEROSENE.REFFUEL.</v>
      </c>
    </row>
    <row r="102" spans="1:5" x14ac:dyDescent="0.2">
      <c r="A102" t="s">
        <v>336</v>
      </c>
      <c r="B102" s="130" t="s">
        <v>342</v>
      </c>
      <c r="D102" t="s">
        <v>916</v>
      </c>
      <c r="E102" t="str">
        <f t="shared" si="1"/>
        <v>BALANCE.KEROSENE.TOTIMPSB.</v>
      </c>
    </row>
    <row r="103" spans="1:5" x14ac:dyDescent="0.2">
      <c r="A103" t="s">
        <v>336</v>
      </c>
      <c r="B103" s="130" t="s">
        <v>343</v>
      </c>
      <c r="D103" t="s">
        <v>916</v>
      </c>
      <c r="E103" t="str">
        <f t="shared" si="1"/>
        <v>BALANCE.KEROSENE.TOTEXPSB.</v>
      </c>
    </row>
    <row r="104" spans="1:5" x14ac:dyDescent="0.2">
      <c r="A104" t="s">
        <v>336</v>
      </c>
      <c r="B104" s="130" t="s">
        <v>374</v>
      </c>
      <c r="D104" t="s">
        <v>916</v>
      </c>
      <c r="E104" t="str">
        <f t="shared" si="1"/>
        <v>BALANCE.KEROSENE.BUNKERS.</v>
      </c>
    </row>
    <row r="105" spans="1:5" x14ac:dyDescent="0.2">
      <c r="A105" t="s">
        <v>336</v>
      </c>
      <c r="B105" s="130" t="s">
        <v>375</v>
      </c>
      <c r="D105" t="s">
        <v>916</v>
      </c>
      <c r="E105" t="str">
        <f t="shared" si="1"/>
        <v>BALANCE.KEROSENE.IPTRANSF.</v>
      </c>
    </row>
    <row r="106" spans="1:5" x14ac:dyDescent="0.2">
      <c r="A106" t="s">
        <v>336</v>
      </c>
      <c r="B106" s="130" t="s">
        <v>341</v>
      </c>
      <c r="D106" t="s">
        <v>916</v>
      </c>
      <c r="E106" t="str">
        <f t="shared" si="1"/>
        <v>BALANCE.KEROSENE.PTRANSF.</v>
      </c>
    </row>
    <row r="107" spans="1:5" x14ac:dyDescent="0.2">
      <c r="A107" t="s">
        <v>336</v>
      </c>
      <c r="B107" s="130" t="s">
        <v>345</v>
      </c>
      <c r="D107" t="s">
        <v>916</v>
      </c>
      <c r="E107" t="str">
        <f t="shared" si="1"/>
        <v>BALANCE.KEROSENE.STCHANAT.</v>
      </c>
    </row>
    <row r="108" spans="1:5" x14ac:dyDescent="0.2">
      <c r="A108" t="s">
        <v>336</v>
      </c>
      <c r="B108" s="130" t="s">
        <v>376</v>
      </c>
      <c r="D108" t="s">
        <v>916</v>
      </c>
      <c r="E108" t="str">
        <f t="shared" si="1"/>
        <v>BALANCE.KEROSENE.GDINCTRC.</v>
      </c>
    </row>
    <row r="109" spans="1:5" x14ac:dyDescent="0.2">
      <c r="A109" t="s">
        <v>336</v>
      </c>
      <c r="B109" s="130" t="s">
        <v>347</v>
      </c>
      <c r="D109" t="s">
        <v>916</v>
      </c>
      <c r="E109" t="str">
        <f t="shared" si="1"/>
        <v>BALANCE.KEROSENE.STATDIFF.</v>
      </c>
    </row>
    <row r="110" spans="1:5" x14ac:dyDescent="0.2">
      <c r="A110" t="s">
        <v>336</v>
      </c>
      <c r="B110" s="131" t="s">
        <v>377</v>
      </c>
      <c r="D110" t="s">
        <v>916</v>
      </c>
      <c r="E110" t="str">
        <f t="shared" si="1"/>
        <v>BALANCE.KEROSENE.GDINCTRO.</v>
      </c>
    </row>
    <row r="111" spans="1:5" x14ac:dyDescent="0.2">
      <c r="A111" t="s">
        <v>336</v>
      </c>
      <c r="B111" s="130" t="s">
        <v>607</v>
      </c>
      <c r="D111" t="s">
        <v>916</v>
      </c>
      <c r="E111" t="str">
        <f t="shared" si="1"/>
        <v>BALANCE.KEROSENE.INTLCIAV.</v>
      </c>
    </row>
    <row r="112" spans="1:5" x14ac:dyDescent="0.2">
      <c r="A112" t="s">
        <v>336</v>
      </c>
      <c r="B112" s="130" t="s">
        <v>608</v>
      </c>
      <c r="D112" t="s">
        <v>916</v>
      </c>
      <c r="E112" t="str">
        <f t="shared" si="1"/>
        <v>BALANCE.KEROSENE.PUBELEC.</v>
      </c>
    </row>
    <row r="113" spans="1:5" x14ac:dyDescent="0.2">
      <c r="A113" t="s">
        <v>336</v>
      </c>
      <c r="B113" s="130" t="s">
        <v>378</v>
      </c>
      <c r="D113" t="s">
        <v>916</v>
      </c>
      <c r="E113" t="str">
        <f t="shared" si="1"/>
        <v>BALANCE.KEROSENE.AUDILPG.</v>
      </c>
    </row>
    <row r="114" spans="1:5" x14ac:dyDescent="0.2">
      <c r="A114" t="s">
        <v>336</v>
      </c>
      <c r="B114" s="130" t="s">
        <v>890</v>
      </c>
      <c r="D114" t="s">
        <v>916</v>
      </c>
      <c r="E114" t="str">
        <f t="shared" si="1"/>
        <v>BALANCE.KEROSENE.ERAILMAR.</v>
      </c>
    </row>
    <row r="115" spans="1:5" x14ac:dyDescent="0.2">
      <c r="A115" t="s">
        <v>336</v>
      </c>
      <c r="B115" s="130" t="s">
        <v>379</v>
      </c>
      <c r="D115" t="s">
        <v>916</v>
      </c>
      <c r="E115" t="str">
        <f t="shared" si="1"/>
        <v>BALANCE.KEROSENE.GDPETCH.</v>
      </c>
    </row>
    <row r="116" spans="1:5" x14ac:dyDescent="0.2">
      <c r="A116" t="s">
        <v>336</v>
      </c>
      <c r="B116" s="130" t="s">
        <v>340</v>
      </c>
      <c r="D116" t="s">
        <v>916</v>
      </c>
      <c r="E116" t="str">
        <f t="shared" si="1"/>
        <v>BALANCE.KEROSENE.BACKFLOW.</v>
      </c>
    </row>
    <row r="117" spans="1:5" x14ac:dyDescent="0.2">
      <c r="A117" t="s">
        <v>336</v>
      </c>
      <c r="B117" s="130" t="s">
        <v>380</v>
      </c>
      <c r="D117" t="s">
        <v>916</v>
      </c>
      <c r="E117" t="str">
        <f t="shared" si="1"/>
        <v>BALANCE.KEROSENE.NETDELIC.</v>
      </c>
    </row>
    <row r="118" spans="1:5" x14ac:dyDescent="0.2">
      <c r="A118" t="s">
        <v>336</v>
      </c>
      <c r="B118" t="s">
        <v>913</v>
      </c>
      <c r="D118" t="s">
        <v>916</v>
      </c>
      <c r="E118" t="str">
        <f t="shared" si="1"/>
        <v>BALANCE.KEROSENE.RECEIPTS.</v>
      </c>
    </row>
    <row r="119" spans="1:5" x14ac:dyDescent="0.2">
      <c r="A119" t="s">
        <v>336</v>
      </c>
      <c r="B119" t="s">
        <v>914</v>
      </c>
      <c r="D119" t="s">
        <v>916</v>
      </c>
      <c r="E119" t="str">
        <f t="shared" si="1"/>
        <v>BALANCE.KEROSENE.DEMAND.</v>
      </c>
    </row>
    <row r="120" spans="1:5" x14ac:dyDescent="0.2">
      <c r="A120" t="s">
        <v>336</v>
      </c>
      <c r="B120" s="130" t="s">
        <v>370</v>
      </c>
      <c r="D120" t="s">
        <v>917</v>
      </c>
      <c r="E120" t="str">
        <f t="shared" si="1"/>
        <v>BALANCE.OTHTTWO.PPRECPTS.</v>
      </c>
    </row>
    <row r="121" spans="1:5" x14ac:dyDescent="0.2">
      <c r="A121" t="s">
        <v>336</v>
      </c>
      <c r="B121" s="130" t="s">
        <v>371</v>
      </c>
      <c r="D121" t="s">
        <v>917</v>
      </c>
      <c r="E121" t="str">
        <f t="shared" si="1"/>
        <v>BALANCE.OTHTTWO.REFGROUT.</v>
      </c>
    </row>
    <row r="122" spans="1:5" x14ac:dyDescent="0.2">
      <c r="A122" t="s">
        <v>336</v>
      </c>
      <c r="B122" s="130" t="s">
        <v>372</v>
      </c>
      <c r="D122" t="s">
        <v>917</v>
      </c>
      <c r="E122" t="str">
        <f t="shared" si="1"/>
        <v>BALANCE.OTHTTWO.RECYCLED.</v>
      </c>
    </row>
    <row r="123" spans="1:5" x14ac:dyDescent="0.2">
      <c r="A123" t="s">
        <v>336</v>
      </c>
      <c r="B123" s="130" t="s">
        <v>373</v>
      </c>
      <c r="D123" t="s">
        <v>917</v>
      </c>
      <c r="E123" t="str">
        <f t="shared" si="1"/>
        <v>BALANCE.OTHTTWO.REFFUEL.</v>
      </c>
    </row>
    <row r="124" spans="1:5" x14ac:dyDescent="0.2">
      <c r="A124" t="s">
        <v>336</v>
      </c>
      <c r="B124" s="130" t="s">
        <v>342</v>
      </c>
      <c r="D124" t="s">
        <v>917</v>
      </c>
      <c r="E124" t="str">
        <f t="shared" si="1"/>
        <v>BALANCE.OTHTTWO.TOTIMPSB.</v>
      </c>
    </row>
    <row r="125" spans="1:5" x14ac:dyDescent="0.2">
      <c r="A125" t="s">
        <v>336</v>
      </c>
      <c r="B125" s="130" t="s">
        <v>343</v>
      </c>
      <c r="D125" t="s">
        <v>917</v>
      </c>
      <c r="E125" t="str">
        <f t="shared" si="1"/>
        <v>BALANCE.OTHTTWO.TOTEXPSB.</v>
      </c>
    </row>
    <row r="126" spans="1:5" x14ac:dyDescent="0.2">
      <c r="A126" t="s">
        <v>336</v>
      </c>
      <c r="B126" s="130" t="s">
        <v>374</v>
      </c>
      <c r="D126" t="s">
        <v>917</v>
      </c>
      <c r="E126" t="str">
        <f t="shared" si="1"/>
        <v>BALANCE.OTHTTWO.BUNKERS.</v>
      </c>
    </row>
    <row r="127" spans="1:5" x14ac:dyDescent="0.2">
      <c r="A127" t="s">
        <v>336</v>
      </c>
      <c r="B127" s="130" t="s">
        <v>375</v>
      </c>
      <c r="D127" t="s">
        <v>917</v>
      </c>
      <c r="E127" t="str">
        <f t="shared" si="1"/>
        <v>BALANCE.OTHTTWO.IPTRANSF.</v>
      </c>
    </row>
    <row r="128" spans="1:5" x14ac:dyDescent="0.2">
      <c r="A128" t="s">
        <v>336</v>
      </c>
      <c r="B128" s="130" t="s">
        <v>341</v>
      </c>
      <c r="D128" t="s">
        <v>917</v>
      </c>
      <c r="E128" t="str">
        <f t="shared" si="1"/>
        <v>BALANCE.OTHTTWO.PTRANSF.</v>
      </c>
    </row>
    <row r="129" spans="1:5" x14ac:dyDescent="0.2">
      <c r="A129" t="s">
        <v>336</v>
      </c>
      <c r="B129" s="130" t="s">
        <v>345</v>
      </c>
      <c r="D129" t="s">
        <v>917</v>
      </c>
      <c r="E129" t="str">
        <f t="shared" si="1"/>
        <v>BALANCE.OTHTTWO.STCHANAT.</v>
      </c>
    </row>
    <row r="130" spans="1:5" x14ac:dyDescent="0.2">
      <c r="A130" t="s">
        <v>336</v>
      </c>
      <c r="B130" s="130" t="s">
        <v>376</v>
      </c>
      <c r="D130" t="s">
        <v>917</v>
      </c>
      <c r="E130" t="str">
        <f t="shared" si="1"/>
        <v>BALANCE.OTHTTWO.GDINCTRC.</v>
      </c>
    </row>
    <row r="131" spans="1:5" x14ac:dyDescent="0.2">
      <c r="A131" t="s">
        <v>336</v>
      </c>
      <c r="B131" s="130" t="s">
        <v>347</v>
      </c>
      <c r="D131" t="s">
        <v>917</v>
      </c>
      <c r="E131" t="str">
        <f t="shared" si="1"/>
        <v>BALANCE.OTHTTWO.STATDIFF.</v>
      </c>
    </row>
    <row r="132" spans="1:5" x14ac:dyDescent="0.2">
      <c r="A132" t="s">
        <v>336</v>
      </c>
      <c r="B132" s="131" t="s">
        <v>377</v>
      </c>
      <c r="D132" t="s">
        <v>917</v>
      </c>
      <c r="E132" t="str">
        <f t="shared" si="1"/>
        <v>BALANCE.OTHTTWO.GDINCTRO.</v>
      </c>
    </row>
    <row r="133" spans="1:5" x14ac:dyDescent="0.2">
      <c r="A133" t="s">
        <v>336</v>
      </c>
      <c r="B133" s="130" t="s">
        <v>607</v>
      </c>
      <c r="D133" t="s">
        <v>917</v>
      </c>
      <c r="E133" t="str">
        <f t="shared" ref="E133:E196" si="2">A133&amp;"."&amp;D133&amp;"."&amp;B133&amp;"."&amp;C133</f>
        <v>BALANCE.OTHTTWO.INTLCIAV.</v>
      </c>
    </row>
    <row r="134" spans="1:5" x14ac:dyDescent="0.2">
      <c r="A134" t="s">
        <v>336</v>
      </c>
      <c r="B134" s="130" t="s">
        <v>608</v>
      </c>
      <c r="D134" t="s">
        <v>917</v>
      </c>
      <c r="E134" t="str">
        <f t="shared" si="2"/>
        <v>BALANCE.OTHTTWO.PUBELEC.</v>
      </c>
    </row>
    <row r="135" spans="1:5" x14ac:dyDescent="0.2">
      <c r="A135" t="s">
        <v>336</v>
      </c>
      <c r="B135" s="130" t="s">
        <v>378</v>
      </c>
      <c r="D135" t="s">
        <v>917</v>
      </c>
      <c r="E135" t="str">
        <f t="shared" si="2"/>
        <v>BALANCE.OTHTTWO.AUDILPG.</v>
      </c>
    </row>
    <row r="136" spans="1:5" x14ac:dyDescent="0.2">
      <c r="A136" t="s">
        <v>336</v>
      </c>
      <c r="B136" s="130" t="s">
        <v>890</v>
      </c>
      <c r="D136" t="s">
        <v>917</v>
      </c>
      <c r="E136" t="str">
        <f t="shared" si="2"/>
        <v>BALANCE.OTHTTWO.ERAILMAR.</v>
      </c>
    </row>
    <row r="137" spans="1:5" x14ac:dyDescent="0.2">
      <c r="A137" t="s">
        <v>336</v>
      </c>
      <c r="B137" s="130" t="s">
        <v>379</v>
      </c>
      <c r="D137" t="s">
        <v>917</v>
      </c>
      <c r="E137" t="str">
        <f t="shared" si="2"/>
        <v>BALANCE.OTHTTWO.GDPETCH.</v>
      </c>
    </row>
    <row r="138" spans="1:5" x14ac:dyDescent="0.2">
      <c r="A138" t="s">
        <v>336</v>
      </c>
      <c r="B138" s="130" t="s">
        <v>340</v>
      </c>
      <c r="D138" t="s">
        <v>917</v>
      </c>
      <c r="E138" t="str">
        <f t="shared" si="2"/>
        <v>BALANCE.OTHTTWO.BACKFLOW.</v>
      </c>
    </row>
    <row r="139" spans="1:5" x14ac:dyDescent="0.2">
      <c r="A139" t="s">
        <v>336</v>
      </c>
      <c r="B139" s="130" t="s">
        <v>380</v>
      </c>
      <c r="D139" t="s">
        <v>917</v>
      </c>
      <c r="E139" t="str">
        <f t="shared" si="2"/>
        <v>BALANCE.OTHTTWO.NETDELIC.</v>
      </c>
    </row>
    <row r="140" spans="1:5" x14ac:dyDescent="0.2">
      <c r="A140" t="s">
        <v>336</v>
      </c>
      <c r="B140" t="s">
        <v>913</v>
      </c>
      <c r="D140" t="s">
        <v>917</v>
      </c>
      <c r="E140" t="str">
        <f t="shared" si="2"/>
        <v>BALANCE.OTHTTWO.RECEIPTS.</v>
      </c>
    </row>
    <row r="141" spans="1:5" x14ac:dyDescent="0.2">
      <c r="A141" t="s">
        <v>336</v>
      </c>
      <c r="B141" t="s">
        <v>914</v>
      </c>
      <c r="D141" t="s">
        <v>917</v>
      </c>
      <c r="E141" t="str">
        <f t="shared" si="2"/>
        <v>BALANCE.OTHTTWO.DEMAND.</v>
      </c>
    </row>
    <row r="142" spans="1:5" x14ac:dyDescent="0.2">
      <c r="A142" t="s">
        <v>336</v>
      </c>
      <c r="B142" t="s">
        <v>918</v>
      </c>
      <c r="D142" s="373" t="s">
        <v>330</v>
      </c>
      <c r="E142" t="str">
        <f t="shared" si="2"/>
        <v>BALANCE.CRUDEOIL.CSABRBFG.</v>
      </c>
    </row>
    <row r="143" spans="1:5" x14ac:dyDescent="0.2">
      <c r="A143" t="s">
        <v>336</v>
      </c>
      <c r="B143" t="s">
        <v>918</v>
      </c>
      <c r="D143" s="373" t="s">
        <v>6</v>
      </c>
      <c r="E143" t="str">
        <f t="shared" si="2"/>
        <v>BALANCE.NGL.CSABRBFG.</v>
      </c>
    </row>
    <row r="144" spans="1:5" x14ac:dyDescent="0.2">
      <c r="A144" t="s">
        <v>336</v>
      </c>
      <c r="B144" t="s">
        <v>918</v>
      </c>
      <c r="D144" s="373" t="s">
        <v>331</v>
      </c>
      <c r="E144" t="str">
        <f t="shared" si="2"/>
        <v>BALANCE.REFFEEDS.CSABRBFG.</v>
      </c>
    </row>
    <row r="145" spans="1:5" x14ac:dyDescent="0.2">
      <c r="A145" t="s">
        <v>336</v>
      </c>
      <c r="B145" t="s">
        <v>918</v>
      </c>
      <c r="D145" s="373" t="s">
        <v>332</v>
      </c>
      <c r="E145" t="str">
        <f t="shared" si="2"/>
        <v>BALANCE.ADDITIVE.CSABRBFG.</v>
      </c>
    </row>
    <row r="146" spans="1:5" x14ac:dyDescent="0.2">
      <c r="A146" t="s">
        <v>336</v>
      </c>
      <c r="B146" t="s">
        <v>918</v>
      </c>
      <c r="D146" s="373" t="s">
        <v>333</v>
      </c>
      <c r="E146" t="str">
        <f t="shared" si="2"/>
        <v>BALANCE.BIOFUELS.CSABRBFG.</v>
      </c>
    </row>
    <row r="147" spans="1:5" x14ac:dyDescent="0.2">
      <c r="A147" t="s">
        <v>336</v>
      </c>
      <c r="B147" t="s">
        <v>918</v>
      </c>
      <c r="D147" s="373" t="s">
        <v>334</v>
      </c>
      <c r="E147" t="str">
        <f t="shared" si="2"/>
        <v>BALANCE.NONCRUDE.CSABRBFG.</v>
      </c>
    </row>
    <row r="148" spans="1:5" x14ac:dyDescent="0.2">
      <c r="A148" t="s">
        <v>336</v>
      </c>
      <c r="B148" t="s">
        <v>918</v>
      </c>
      <c r="D148" s="373" t="s">
        <v>335</v>
      </c>
      <c r="E148" t="str">
        <f t="shared" si="2"/>
        <v>BALANCE.CRNGFEED.CSABRBFG.</v>
      </c>
    </row>
    <row r="149" spans="1:5" x14ac:dyDescent="0.2">
      <c r="A149" t="s">
        <v>336</v>
      </c>
      <c r="B149" t="s">
        <v>918</v>
      </c>
      <c r="D149" s="373" t="s">
        <v>353</v>
      </c>
      <c r="E149" t="str">
        <f t="shared" si="2"/>
        <v>BALANCE.ETHANE.CSABRBFG.</v>
      </c>
    </row>
    <row r="150" spans="1:5" x14ac:dyDescent="0.2">
      <c r="A150" t="s">
        <v>336</v>
      </c>
      <c r="B150" t="s">
        <v>918</v>
      </c>
      <c r="D150" s="156" t="s">
        <v>9</v>
      </c>
      <c r="E150" t="str">
        <f t="shared" si="2"/>
        <v>BALANCE.LPG.CSABRBFG.</v>
      </c>
    </row>
    <row r="151" spans="1:5" x14ac:dyDescent="0.2">
      <c r="A151" t="s">
        <v>336</v>
      </c>
      <c r="B151" t="s">
        <v>918</v>
      </c>
      <c r="D151" s="156" t="s">
        <v>354</v>
      </c>
      <c r="E151" t="str">
        <f t="shared" si="2"/>
        <v>BALANCE.NAPHTHA.CSABRBFG.</v>
      </c>
    </row>
    <row r="152" spans="1:5" x14ac:dyDescent="0.2">
      <c r="A152" t="s">
        <v>336</v>
      </c>
      <c r="B152" t="s">
        <v>918</v>
      </c>
      <c r="D152" s="156" t="s">
        <v>355</v>
      </c>
      <c r="E152" t="str">
        <f t="shared" si="2"/>
        <v>BALANCE.MOTORGAS.CSABRBFG.</v>
      </c>
    </row>
    <row r="153" spans="1:5" x14ac:dyDescent="0.2">
      <c r="A153" t="s">
        <v>336</v>
      </c>
      <c r="B153" t="s">
        <v>918</v>
      </c>
      <c r="D153" s="156" t="s">
        <v>356</v>
      </c>
      <c r="E153" t="str">
        <f t="shared" si="2"/>
        <v>BALANCE.BIOGASOL.CSABRBFG.</v>
      </c>
    </row>
    <row r="154" spans="1:5" x14ac:dyDescent="0.2">
      <c r="A154" t="s">
        <v>336</v>
      </c>
      <c r="B154" t="s">
        <v>918</v>
      </c>
      <c r="D154" s="156" t="s">
        <v>891</v>
      </c>
      <c r="E154" t="str">
        <f t="shared" si="2"/>
        <v>BALANCE.NONBIOGASO.CSABRBFG.</v>
      </c>
    </row>
    <row r="155" spans="1:5" x14ac:dyDescent="0.2">
      <c r="A155" t="s">
        <v>336</v>
      </c>
      <c r="B155" t="s">
        <v>918</v>
      </c>
      <c r="D155" s="156" t="s">
        <v>357</v>
      </c>
      <c r="E155" t="str">
        <f t="shared" si="2"/>
        <v>BALANCE.AVGAS.CSABRBFG.</v>
      </c>
    </row>
    <row r="156" spans="1:5" x14ac:dyDescent="0.2">
      <c r="A156" t="s">
        <v>336</v>
      </c>
      <c r="B156" t="s">
        <v>918</v>
      </c>
      <c r="D156" s="156" t="s">
        <v>358</v>
      </c>
      <c r="E156" t="str">
        <f t="shared" si="2"/>
        <v>BALANCE.JETGAS.CSABRBFG.</v>
      </c>
    </row>
    <row r="157" spans="1:5" x14ac:dyDescent="0.2">
      <c r="A157" t="s">
        <v>336</v>
      </c>
      <c r="B157" t="s">
        <v>918</v>
      </c>
      <c r="D157" s="156" t="s">
        <v>359</v>
      </c>
      <c r="E157" t="str">
        <f t="shared" si="2"/>
        <v>BALANCE.JETKERO.CSABRBFG.</v>
      </c>
    </row>
    <row r="158" spans="1:5" x14ac:dyDescent="0.2">
      <c r="A158" t="s">
        <v>336</v>
      </c>
      <c r="B158" t="s">
        <v>918</v>
      </c>
      <c r="D158" s="156" t="s">
        <v>878</v>
      </c>
      <c r="E158" t="str">
        <f t="shared" si="2"/>
        <v>BALANCE.BIOJETKERO.CSABRBFG.</v>
      </c>
    </row>
    <row r="159" spans="1:5" x14ac:dyDescent="0.2">
      <c r="A159" t="s">
        <v>336</v>
      </c>
      <c r="B159" t="s">
        <v>918</v>
      </c>
      <c r="D159" s="156" t="s">
        <v>879</v>
      </c>
      <c r="E159" t="str">
        <f t="shared" si="2"/>
        <v>BALANCE.NONBIOJETK.CSABRBFG.</v>
      </c>
    </row>
    <row r="160" spans="1:5" x14ac:dyDescent="0.2">
      <c r="A160" t="s">
        <v>336</v>
      </c>
      <c r="B160" t="s">
        <v>918</v>
      </c>
      <c r="D160" s="156" t="s">
        <v>360</v>
      </c>
      <c r="E160" t="str">
        <f t="shared" si="2"/>
        <v>BALANCE.OTHKERO.CSABRBFG.</v>
      </c>
    </row>
    <row r="161" spans="1:5" x14ac:dyDescent="0.2">
      <c r="A161" t="s">
        <v>336</v>
      </c>
      <c r="B161" t="s">
        <v>918</v>
      </c>
      <c r="D161" s="156" t="s">
        <v>361</v>
      </c>
      <c r="E161" t="str">
        <f t="shared" si="2"/>
        <v>BALANCE.DIESEL.CSABRBFG.</v>
      </c>
    </row>
    <row r="162" spans="1:5" x14ac:dyDescent="0.2">
      <c r="A162" t="s">
        <v>336</v>
      </c>
      <c r="B162" t="s">
        <v>918</v>
      </c>
      <c r="D162" s="156" t="s">
        <v>363</v>
      </c>
      <c r="E162" t="str">
        <f t="shared" si="2"/>
        <v>BALANCE.HEATOIL.CSABRBFG.</v>
      </c>
    </row>
    <row r="163" spans="1:5" x14ac:dyDescent="0.2">
      <c r="A163" t="s">
        <v>336</v>
      </c>
      <c r="B163" t="s">
        <v>918</v>
      </c>
      <c r="D163" s="156" t="s">
        <v>364</v>
      </c>
      <c r="E163" t="str">
        <f t="shared" si="2"/>
        <v>BALANCE.GASDIES.CSABRBFG.</v>
      </c>
    </row>
    <row r="164" spans="1:5" x14ac:dyDescent="0.2">
      <c r="A164" t="s">
        <v>336</v>
      </c>
      <c r="B164" t="s">
        <v>918</v>
      </c>
      <c r="D164" s="156" t="s">
        <v>362</v>
      </c>
      <c r="E164" t="str">
        <f t="shared" si="2"/>
        <v>BALANCE.BIODIESEL.CSABRBFG.</v>
      </c>
    </row>
    <row r="165" spans="1:5" x14ac:dyDescent="0.2">
      <c r="A165" t="s">
        <v>336</v>
      </c>
      <c r="B165" t="s">
        <v>918</v>
      </c>
      <c r="D165" s="156" t="s">
        <v>880</v>
      </c>
      <c r="E165" t="str">
        <f t="shared" si="2"/>
        <v>BALANCE.NONBIODIES.CSABRBFG.</v>
      </c>
    </row>
    <row r="166" spans="1:5" x14ac:dyDescent="0.2">
      <c r="A166" t="s">
        <v>336</v>
      </c>
      <c r="B166" t="s">
        <v>918</v>
      </c>
      <c r="D166" s="156" t="s">
        <v>367</v>
      </c>
      <c r="E166" t="str">
        <f t="shared" si="2"/>
        <v>BALANCE.RESFUEL.CSABRBFG.</v>
      </c>
    </row>
    <row r="167" spans="1:5" x14ac:dyDescent="0.2">
      <c r="A167" t="s">
        <v>336</v>
      </c>
      <c r="B167" t="s">
        <v>918</v>
      </c>
      <c r="D167" s="156" t="s">
        <v>365</v>
      </c>
      <c r="E167" t="str">
        <f t="shared" si="2"/>
        <v>BALANCE.LOWSULF.CSABRBFG.</v>
      </c>
    </row>
    <row r="168" spans="1:5" x14ac:dyDescent="0.2">
      <c r="A168" t="s">
        <v>336</v>
      </c>
      <c r="B168" t="s">
        <v>918</v>
      </c>
      <c r="D168" s="156" t="s">
        <v>366</v>
      </c>
      <c r="E168" t="str">
        <f t="shared" si="2"/>
        <v>BALANCE.HIGHSULF.CSABRBFG.</v>
      </c>
    </row>
    <row r="169" spans="1:5" x14ac:dyDescent="0.2">
      <c r="A169" t="s">
        <v>336</v>
      </c>
      <c r="B169" t="s">
        <v>918</v>
      </c>
      <c r="D169" s="156" t="s">
        <v>368</v>
      </c>
      <c r="E169" t="str">
        <f t="shared" si="2"/>
        <v>BALANCE.PETCOKE.CSABRBFG.</v>
      </c>
    </row>
    <row r="170" spans="1:5" x14ac:dyDescent="0.2">
      <c r="A170" t="s">
        <v>336</v>
      </c>
      <c r="B170" t="s">
        <v>918</v>
      </c>
      <c r="D170" s="156" t="s">
        <v>606</v>
      </c>
      <c r="E170" t="str">
        <f t="shared" si="2"/>
        <v>BALANCE.OPRODS.CSABRBFG.</v>
      </c>
    </row>
    <row r="171" spans="1:5" x14ac:dyDescent="0.2">
      <c r="A171" t="s">
        <v>336</v>
      </c>
      <c r="B171" t="s">
        <v>918</v>
      </c>
      <c r="D171" s="156" t="s">
        <v>369</v>
      </c>
      <c r="E171" t="str">
        <f t="shared" si="2"/>
        <v>BALANCE.TOTPRODS.CSABRBFG.</v>
      </c>
    </row>
    <row r="172" spans="1:5" x14ac:dyDescent="0.2">
      <c r="A172" t="s">
        <v>336</v>
      </c>
      <c r="B172" t="s">
        <v>918</v>
      </c>
      <c r="D172" s="156" t="s">
        <v>416</v>
      </c>
      <c r="E172" t="str">
        <f t="shared" si="2"/>
        <v>BALANCE.TOTALOIL.CSABRBFG.</v>
      </c>
    </row>
    <row r="173" spans="1:5" x14ac:dyDescent="0.2">
      <c r="A173" t="s">
        <v>336</v>
      </c>
      <c r="B173" t="s">
        <v>919</v>
      </c>
      <c r="D173" s="373" t="s">
        <v>330</v>
      </c>
      <c r="E173" t="str">
        <f t="shared" si="2"/>
        <v>BALANCE.CRUDEOIL.CSABRBFA.</v>
      </c>
    </row>
    <row r="174" spans="1:5" x14ac:dyDescent="0.2">
      <c r="A174" t="s">
        <v>336</v>
      </c>
      <c r="B174" t="s">
        <v>919</v>
      </c>
      <c r="D174" s="373" t="s">
        <v>6</v>
      </c>
      <c r="E174" t="str">
        <f t="shared" si="2"/>
        <v>BALANCE.NGL.CSABRBFA.</v>
      </c>
    </row>
    <row r="175" spans="1:5" x14ac:dyDescent="0.2">
      <c r="A175" t="s">
        <v>336</v>
      </c>
      <c r="B175" t="s">
        <v>919</v>
      </c>
      <c r="D175" s="373" t="s">
        <v>331</v>
      </c>
      <c r="E175" t="str">
        <f t="shared" si="2"/>
        <v>BALANCE.REFFEEDS.CSABRBFA.</v>
      </c>
    </row>
    <row r="176" spans="1:5" x14ac:dyDescent="0.2">
      <c r="A176" t="s">
        <v>336</v>
      </c>
      <c r="B176" t="s">
        <v>919</v>
      </c>
      <c r="D176" s="373" t="s">
        <v>332</v>
      </c>
      <c r="E176" t="str">
        <f t="shared" si="2"/>
        <v>BALANCE.ADDITIVE.CSABRBFA.</v>
      </c>
    </row>
    <row r="177" spans="1:5" x14ac:dyDescent="0.2">
      <c r="A177" t="s">
        <v>336</v>
      </c>
      <c r="B177" t="s">
        <v>919</v>
      </c>
      <c r="D177" s="373" t="s">
        <v>333</v>
      </c>
      <c r="E177" t="str">
        <f t="shared" si="2"/>
        <v>BALANCE.BIOFUELS.CSABRBFA.</v>
      </c>
    </row>
    <row r="178" spans="1:5" x14ac:dyDescent="0.2">
      <c r="A178" t="s">
        <v>336</v>
      </c>
      <c r="B178" t="s">
        <v>919</v>
      </c>
      <c r="D178" s="373" t="s">
        <v>334</v>
      </c>
      <c r="E178" t="str">
        <f t="shared" si="2"/>
        <v>BALANCE.NONCRUDE.CSABRBFA.</v>
      </c>
    </row>
    <row r="179" spans="1:5" x14ac:dyDescent="0.2">
      <c r="A179" t="s">
        <v>336</v>
      </c>
      <c r="B179" t="s">
        <v>919</v>
      </c>
      <c r="D179" s="373" t="s">
        <v>335</v>
      </c>
      <c r="E179" t="str">
        <f t="shared" si="2"/>
        <v>BALANCE.CRNGFEED.CSABRBFA.</v>
      </c>
    </row>
    <row r="180" spans="1:5" x14ac:dyDescent="0.2">
      <c r="A180" t="s">
        <v>336</v>
      </c>
      <c r="B180" t="s">
        <v>919</v>
      </c>
      <c r="D180" s="373" t="s">
        <v>353</v>
      </c>
      <c r="E180" t="str">
        <f t="shared" si="2"/>
        <v>BALANCE.ETHANE.CSABRBFA.</v>
      </c>
    </row>
    <row r="181" spans="1:5" x14ac:dyDescent="0.2">
      <c r="A181" t="s">
        <v>336</v>
      </c>
      <c r="B181" t="s">
        <v>919</v>
      </c>
      <c r="D181" s="156" t="s">
        <v>9</v>
      </c>
      <c r="E181" t="str">
        <f t="shared" si="2"/>
        <v>BALANCE.LPG.CSABRBFA.</v>
      </c>
    </row>
    <row r="182" spans="1:5" x14ac:dyDescent="0.2">
      <c r="A182" t="s">
        <v>336</v>
      </c>
      <c r="B182" t="s">
        <v>919</v>
      </c>
      <c r="D182" s="156" t="s">
        <v>354</v>
      </c>
      <c r="E182" t="str">
        <f t="shared" si="2"/>
        <v>BALANCE.NAPHTHA.CSABRBFA.</v>
      </c>
    </row>
    <row r="183" spans="1:5" x14ac:dyDescent="0.2">
      <c r="A183" t="s">
        <v>336</v>
      </c>
      <c r="B183" t="s">
        <v>919</v>
      </c>
      <c r="D183" s="156" t="s">
        <v>355</v>
      </c>
      <c r="E183" t="str">
        <f t="shared" si="2"/>
        <v>BALANCE.MOTORGAS.CSABRBFA.</v>
      </c>
    </row>
    <row r="184" spans="1:5" x14ac:dyDescent="0.2">
      <c r="A184" t="s">
        <v>336</v>
      </c>
      <c r="B184" t="s">
        <v>919</v>
      </c>
      <c r="D184" s="156" t="s">
        <v>356</v>
      </c>
      <c r="E184" t="str">
        <f t="shared" si="2"/>
        <v>BALANCE.BIOGASOL.CSABRBFA.</v>
      </c>
    </row>
    <row r="185" spans="1:5" x14ac:dyDescent="0.2">
      <c r="A185" t="s">
        <v>336</v>
      </c>
      <c r="B185" t="s">
        <v>919</v>
      </c>
      <c r="D185" s="156" t="s">
        <v>891</v>
      </c>
      <c r="E185" t="str">
        <f t="shared" si="2"/>
        <v>BALANCE.NONBIOGASO.CSABRBFA.</v>
      </c>
    </row>
    <row r="186" spans="1:5" x14ac:dyDescent="0.2">
      <c r="A186" t="s">
        <v>336</v>
      </c>
      <c r="B186" t="s">
        <v>919</v>
      </c>
      <c r="D186" s="156" t="s">
        <v>357</v>
      </c>
      <c r="E186" t="str">
        <f t="shared" si="2"/>
        <v>BALANCE.AVGAS.CSABRBFA.</v>
      </c>
    </row>
    <row r="187" spans="1:5" x14ac:dyDescent="0.2">
      <c r="A187" t="s">
        <v>336</v>
      </c>
      <c r="B187" t="s">
        <v>919</v>
      </c>
      <c r="D187" s="156" t="s">
        <v>358</v>
      </c>
      <c r="E187" t="str">
        <f t="shared" si="2"/>
        <v>BALANCE.JETGAS.CSABRBFA.</v>
      </c>
    </row>
    <row r="188" spans="1:5" x14ac:dyDescent="0.2">
      <c r="A188" t="s">
        <v>336</v>
      </c>
      <c r="B188" t="s">
        <v>919</v>
      </c>
      <c r="D188" s="156" t="s">
        <v>359</v>
      </c>
      <c r="E188" t="str">
        <f t="shared" si="2"/>
        <v>BALANCE.JETKERO.CSABRBFA.</v>
      </c>
    </row>
    <row r="189" spans="1:5" x14ac:dyDescent="0.2">
      <c r="A189" t="s">
        <v>336</v>
      </c>
      <c r="B189" t="s">
        <v>919</v>
      </c>
      <c r="D189" s="156" t="s">
        <v>878</v>
      </c>
      <c r="E189" t="str">
        <f t="shared" si="2"/>
        <v>BALANCE.BIOJETKERO.CSABRBFA.</v>
      </c>
    </row>
    <row r="190" spans="1:5" x14ac:dyDescent="0.2">
      <c r="A190" t="s">
        <v>336</v>
      </c>
      <c r="B190" t="s">
        <v>919</v>
      </c>
      <c r="D190" s="156" t="s">
        <v>879</v>
      </c>
      <c r="E190" t="str">
        <f t="shared" si="2"/>
        <v>BALANCE.NONBIOJETK.CSABRBFA.</v>
      </c>
    </row>
    <row r="191" spans="1:5" x14ac:dyDescent="0.2">
      <c r="A191" t="s">
        <v>336</v>
      </c>
      <c r="B191" t="s">
        <v>919</v>
      </c>
      <c r="D191" s="156" t="s">
        <v>360</v>
      </c>
      <c r="E191" t="str">
        <f t="shared" si="2"/>
        <v>BALANCE.OTHKERO.CSABRBFA.</v>
      </c>
    </row>
    <row r="192" spans="1:5" x14ac:dyDescent="0.2">
      <c r="A192" t="s">
        <v>336</v>
      </c>
      <c r="B192" t="s">
        <v>919</v>
      </c>
      <c r="D192" s="156" t="s">
        <v>361</v>
      </c>
      <c r="E192" t="str">
        <f t="shared" si="2"/>
        <v>BALANCE.DIESEL.CSABRBFA.</v>
      </c>
    </row>
    <row r="193" spans="1:5" x14ac:dyDescent="0.2">
      <c r="A193" t="s">
        <v>336</v>
      </c>
      <c r="B193" t="s">
        <v>919</v>
      </c>
      <c r="D193" s="156" t="s">
        <v>363</v>
      </c>
      <c r="E193" t="str">
        <f t="shared" si="2"/>
        <v>BALANCE.HEATOIL.CSABRBFA.</v>
      </c>
    </row>
    <row r="194" spans="1:5" x14ac:dyDescent="0.2">
      <c r="A194" t="s">
        <v>336</v>
      </c>
      <c r="B194" t="s">
        <v>919</v>
      </c>
      <c r="D194" s="156" t="s">
        <v>364</v>
      </c>
      <c r="E194" t="str">
        <f t="shared" si="2"/>
        <v>BALANCE.GASDIES.CSABRBFA.</v>
      </c>
    </row>
    <row r="195" spans="1:5" x14ac:dyDescent="0.2">
      <c r="A195" t="s">
        <v>336</v>
      </c>
      <c r="B195" t="s">
        <v>919</v>
      </c>
      <c r="D195" s="156" t="s">
        <v>362</v>
      </c>
      <c r="E195" t="str">
        <f t="shared" si="2"/>
        <v>BALANCE.BIODIESEL.CSABRBFA.</v>
      </c>
    </row>
    <row r="196" spans="1:5" x14ac:dyDescent="0.2">
      <c r="A196" t="s">
        <v>336</v>
      </c>
      <c r="B196" t="s">
        <v>919</v>
      </c>
      <c r="D196" s="156" t="s">
        <v>880</v>
      </c>
      <c r="E196" t="str">
        <f t="shared" si="2"/>
        <v>BALANCE.NONBIODIES.CSABRBFA.</v>
      </c>
    </row>
    <row r="197" spans="1:5" x14ac:dyDescent="0.2">
      <c r="A197" t="s">
        <v>336</v>
      </c>
      <c r="B197" t="s">
        <v>919</v>
      </c>
      <c r="D197" s="156" t="s">
        <v>367</v>
      </c>
      <c r="E197" t="str">
        <f t="shared" ref="E197:E260" si="3">A197&amp;"."&amp;D197&amp;"."&amp;B197&amp;"."&amp;C197</f>
        <v>BALANCE.RESFUEL.CSABRBFA.</v>
      </c>
    </row>
    <row r="198" spans="1:5" x14ac:dyDescent="0.2">
      <c r="A198" t="s">
        <v>336</v>
      </c>
      <c r="B198" t="s">
        <v>919</v>
      </c>
      <c r="D198" s="156" t="s">
        <v>365</v>
      </c>
      <c r="E198" t="str">
        <f t="shared" si="3"/>
        <v>BALANCE.LOWSULF.CSABRBFA.</v>
      </c>
    </row>
    <row r="199" spans="1:5" x14ac:dyDescent="0.2">
      <c r="A199" t="s">
        <v>336</v>
      </c>
      <c r="B199" t="s">
        <v>919</v>
      </c>
      <c r="D199" s="156" t="s">
        <v>366</v>
      </c>
      <c r="E199" t="str">
        <f t="shared" si="3"/>
        <v>BALANCE.HIGHSULF.CSABRBFA.</v>
      </c>
    </row>
    <row r="200" spans="1:5" x14ac:dyDescent="0.2">
      <c r="A200" t="s">
        <v>336</v>
      </c>
      <c r="B200" t="s">
        <v>919</v>
      </c>
      <c r="D200" s="156" t="s">
        <v>368</v>
      </c>
      <c r="E200" t="str">
        <f t="shared" si="3"/>
        <v>BALANCE.PETCOKE.CSABRBFA.</v>
      </c>
    </row>
    <row r="201" spans="1:5" x14ac:dyDescent="0.2">
      <c r="A201" t="s">
        <v>336</v>
      </c>
      <c r="B201" t="s">
        <v>919</v>
      </c>
      <c r="D201" s="156" t="s">
        <v>606</v>
      </c>
      <c r="E201" t="str">
        <f t="shared" si="3"/>
        <v>BALANCE.OPRODS.CSABRBFA.</v>
      </c>
    </row>
    <row r="202" spans="1:5" x14ac:dyDescent="0.2">
      <c r="A202" t="s">
        <v>336</v>
      </c>
      <c r="B202" t="s">
        <v>919</v>
      </c>
      <c r="D202" s="156" t="s">
        <v>369</v>
      </c>
      <c r="E202" t="str">
        <f t="shared" si="3"/>
        <v>BALANCE.TOTPRODS.CSABRBFA.</v>
      </c>
    </row>
    <row r="203" spans="1:5" x14ac:dyDescent="0.2">
      <c r="A203" t="s">
        <v>336</v>
      </c>
      <c r="B203" t="s">
        <v>919</v>
      </c>
      <c r="D203" s="156" t="s">
        <v>416</v>
      </c>
      <c r="E203" t="str">
        <f t="shared" si="3"/>
        <v>BALANCE.TOTALOIL.CSABRBFA.</v>
      </c>
    </row>
    <row r="204" spans="1:5" x14ac:dyDescent="0.2">
      <c r="A204" t="s">
        <v>336</v>
      </c>
      <c r="B204" s="139" t="s">
        <v>381</v>
      </c>
      <c r="D204" t="s">
        <v>915</v>
      </c>
      <c r="E204" t="str">
        <f t="shared" si="3"/>
        <v>BALANCE.GASOLINE.OSNATTER.</v>
      </c>
    </row>
    <row r="205" spans="1:5" x14ac:dyDescent="0.2">
      <c r="A205" t="s">
        <v>336</v>
      </c>
      <c r="B205" s="139" t="s">
        <v>382</v>
      </c>
      <c r="D205" t="s">
        <v>915</v>
      </c>
      <c r="E205" t="str">
        <f t="shared" si="3"/>
        <v>BALANCE.GASOLINE.CSNATTER.</v>
      </c>
    </row>
    <row r="206" spans="1:5" x14ac:dyDescent="0.2">
      <c r="A206" t="s">
        <v>336</v>
      </c>
      <c r="B206" s="139" t="s">
        <v>383</v>
      </c>
      <c r="D206" t="s">
        <v>915</v>
      </c>
      <c r="E206" t="str">
        <f t="shared" si="3"/>
        <v>BALANCE.GASOLINE.OSOTHBIL.</v>
      </c>
    </row>
    <row r="207" spans="1:5" x14ac:dyDescent="0.2">
      <c r="A207" t="s">
        <v>336</v>
      </c>
      <c r="B207" s="139" t="s">
        <v>384</v>
      </c>
      <c r="D207" t="s">
        <v>915</v>
      </c>
      <c r="E207" t="str">
        <f t="shared" si="3"/>
        <v>BALANCE.GASOLINE.CSOTHBIL.</v>
      </c>
    </row>
    <row r="208" spans="1:5" x14ac:dyDescent="0.2">
      <c r="A208" t="s">
        <v>336</v>
      </c>
      <c r="B208" s="139" t="s">
        <v>385</v>
      </c>
      <c r="D208" t="s">
        <v>915</v>
      </c>
      <c r="E208" t="str">
        <f t="shared" si="3"/>
        <v>BALANCE.GASOLINE.OSOTHFOR.</v>
      </c>
    </row>
    <row r="209" spans="1:5" x14ac:dyDescent="0.2">
      <c r="A209" t="s">
        <v>336</v>
      </c>
      <c r="B209" s="139" t="s">
        <v>386</v>
      </c>
      <c r="D209" t="s">
        <v>915</v>
      </c>
      <c r="E209" t="str">
        <f t="shared" si="3"/>
        <v>BALANCE.GASOLINE.CSOTHFOR.</v>
      </c>
    </row>
    <row r="210" spans="1:5" x14ac:dyDescent="0.2">
      <c r="A210" t="s">
        <v>336</v>
      </c>
      <c r="B210" s="139" t="s">
        <v>387</v>
      </c>
      <c r="D210" t="s">
        <v>915</v>
      </c>
      <c r="E210" t="str">
        <f t="shared" si="3"/>
        <v>BALANCE.GASOLINE.OSBONDED.</v>
      </c>
    </row>
    <row r="211" spans="1:5" x14ac:dyDescent="0.2">
      <c r="A211" t="s">
        <v>336</v>
      </c>
      <c r="B211" s="139" t="s">
        <v>388</v>
      </c>
      <c r="D211" t="s">
        <v>915</v>
      </c>
      <c r="E211" t="str">
        <f t="shared" si="3"/>
        <v>BALANCE.GASOLINE.CSBONDED.</v>
      </c>
    </row>
    <row r="212" spans="1:5" x14ac:dyDescent="0.2">
      <c r="A212" t="s">
        <v>336</v>
      </c>
      <c r="B212" s="139" t="s">
        <v>389</v>
      </c>
      <c r="D212" t="s">
        <v>915</v>
      </c>
      <c r="E212" t="str">
        <f t="shared" si="3"/>
        <v>BALANCE.GASOLINE.OSMAJCON.</v>
      </c>
    </row>
    <row r="213" spans="1:5" x14ac:dyDescent="0.2">
      <c r="A213" t="s">
        <v>336</v>
      </c>
      <c r="B213" s="139" t="s">
        <v>390</v>
      </c>
      <c r="D213" t="s">
        <v>915</v>
      </c>
      <c r="E213" t="str">
        <f t="shared" si="3"/>
        <v>BALANCE.GASOLINE.CSMAJCON.</v>
      </c>
    </row>
    <row r="214" spans="1:5" x14ac:dyDescent="0.2">
      <c r="A214" t="s">
        <v>336</v>
      </c>
      <c r="B214" s="139" t="s">
        <v>391</v>
      </c>
      <c r="D214" t="s">
        <v>915</v>
      </c>
      <c r="E214" t="str">
        <f t="shared" si="3"/>
        <v>BALANCE.GASOLINE.OSVESSEL.</v>
      </c>
    </row>
    <row r="215" spans="1:5" x14ac:dyDescent="0.2">
      <c r="A215" t="s">
        <v>336</v>
      </c>
      <c r="B215" s="139" t="s">
        <v>392</v>
      </c>
      <c r="D215" t="s">
        <v>915</v>
      </c>
      <c r="E215" t="str">
        <f t="shared" si="3"/>
        <v>BALANCE.GASOLINE.CSVESSEL.</v>
      </c>
    </row>
    <row r="216" spans="1:5" x14ac:dyDescent="0.2">
      <c r="A216" t="s">
        <v>336</v>
      </c>
      <c r="B216" s="139" t="s">
        <v>393</v>
      </c>
      <c r="D216" t="s">
        <v>915</v>
      </c>
      <c r="E216" t="str">
        <f t="shared" si="3"/>
        <v>BALANCE.GASOLINE.OSGOVT.</v>
      </c>
    </row>
    <row r="217" spans="1:5" x14ac:dyDescent="0.2">
      <c r="A217" t="s">
        <v>336</v>
      </c>
      <c r="B217" s="139" t="s">
        <v>394</v>
      </c>
      <c r="D217" t="s">
        <v>915</v>
      </c>
      <c r="E217" t="str">
        <f t="shared" si="3"/>
        <v>BALANCE.GASOLINE.CSGOVT.</v>
      </c>
    </row>
    <row r="218" spans="1:5" x14ac:dyDescent="0.2">
      <c r="A218" t="s">
        <v>336</v>
      </c>
      <c r="B218" s="139" t="s">
        <v>395</v>
      </c>
      <c r="D218" t="s">
        <v>915</v>
      </c>
      <c r="E218" t="str">
        <f t="shared" si="3"/>
        <v>BALANCE.GASOLINE.OSHOLD.</v>
      </c>
    </row>
    <row r="219" spans="1:5" x14ac:dyDescent="0.2">
      <c r="A219" t="s">
        <v>336</v>
      </c>
      <c r="B219" s="139" t="s">
        <v>396</v>
      </c>
      <c r="D219" t="s">
        <v>915</v>
      </c>
      <c r="E219" t="str">
        <f t="shared" si="3"/>
        <v>BALANCE.GASOLINE.CSHOLD.</v>
      </c>
    </row>
    <row r="220" spans="1:5" x14ac:dyDescent="0.2">
      <c r="A220" t="s">
        <v>336</v>
      </c>
      <c r="B220" s="139" t="s">
        <v>397</v>
      </c>
      <c r="D220" t="s">
        <v>915</v>
      </c>
      <c r="E220" t="str">
        <f t="shared" si="3"/>
        <v>BALANCE.GASOLINE.OSALLOTH.</v>
      </c>
    </row>
    <row r="221" spans="1:5" x14ac:dyDescent="0.2">
      <c r="A221" t="s">
        <v>336</v>
      </c>
      <c r="B221" s="139" t="s">
        <v>398</v>
      </c>
      <c r="D221" t="s">
        <v>915</v>
      </c>
      <c r="E221" t="str">
        <f t="shared" si="3"/>
        <v>BALANCE.GASOLINE.CSALLOTH.</v>
      </c>
    </row>
    <row r="222" spans="1:5" x14ac:dyDescent="0.2">
      <c r="A222" t="s">
        <v>336</v>
      </c>
      <c r="B222" s="139" t="s">
        <v>399</v>
      </c>
      <c r="D222" t="s">
        <v>915</v>
      </c>
      <c r="E222" t="str">
        <f t="shared" si="3"/>
        <v>BALANCE.GASOLINE.OSABRBIL.</v>
      </c>
    </row>
    <row r="223" spans="1:5" x14ac:dyDescent="0.2">
      <c r="A223" t="s">
        <v>336</v>
      </c>
      <c r="B223" s="139" t="s">
        <v>400</v>
      </c>
      <c r="D223" t="s">
        <v>915</v>
      </c>
      <c r="E223" t="str">
        <f t="shared" si="3"/>
        <v>BALANCE.GASOLINE.CSABRBIL.</v>
      </c>
    </row>
    <row r="224" spans="1:5" x14ac:dyDescent="0.2">
      <c r="A224" t="s">
        <v>336</v>
      </c>
      <c r="B224" s="139" t="s">
        <v>401</v>
      </c>
      <c r="D224" t="s">
        <v>915</v>
      </c>
      <c r="E224" t="str">
        <f t="shared" si="3"/>
        <v>BALANCE.GASOLINE.OSABRFOR.</v>
      </c>
    </row>
    <row r="225" spans="1:5" x14ac:dyDescent="0.2">
      <c r="A225" t="s">
        <v>336</v>
      </c>
      <c r="B225" s="139" t="s">
        <v>402</v>
      </c>
      <c r="D225" t="s">
        <v>915</v>
      </c>
      <c r="E225" t="str">
        <f t="shared" si="3"/>
        <v>BALANCE.GASOLINE.CSABRFOR.</v>
      </c>
    </row>
    <row r="226" spans="1:5" x14ac:dyDescent="0.2">
      <c r="A226" t="s">
        <v>336</v>
      </c>
      <c r="B226" s="139" t="s">
        <v>403</v>
      </c>
      <c r="D226" t="s">
        <v>915</v>
      </c>
      <c r="E226" t="str">
        <f t="shared" si="3"/>
        <v>BALANCE.GASOLINE.OSTOTAL.</v>
      </c>
    </row>
    <row r="227" spans="1:5" x14ac:dyDescent="0.2">
      <c r="A227" t="s">
        <v>336</v>
      </c>
      <c r="B227" s="139" t="s">
        <v>404</v>
      </c>
      <c r="D227" t="s">
        <v>915</v>
      </c>
      <c r="E227" t="str">
        <f t="shared" si="3"/>
        <v>BALANCE.GASOLINE.CSTOTAL.</v>
      </c>
    </row>
    <row r="228" spans="1:5" x14ac:dyDescent="0.2">
      <c r="A228" t="s">
        <v>336</v>
      </c>
      <c r="B228" s="139" t="s">
        <v>405</v>
      </c>
      <c r="D228" t="s">
        <v>915</v>
      </c>
      <c r="E228" t="str">
        <f t="shared" si="3"/>
        <v>BALANCE.GASOLINE.OSOTHBON.</v>
      </c>
    </row>
    <row r="229" spans="1:5" x14ac:dyDescent="0.2">
      <c r="A229" t="s">
        <v>336</v>
      </c>
      <c r="B229" s="139" t="s">
        <v>406</v>
      </c>
      <c r="D229" t="s">
        <v>915</v>
      </c>
      <c r="E229" t="str">
        <f t="shared" si="3"/>
        <v>BALANCE.GASOLINE.CSOTHBON.</v>
      </c>
    </row>
    <row r="230" spans="1:5" x14ac:dyDescent="0.2">
      <c r="A230" t="s">
        <v>336</v>
      </c>
      <c r="B230" s="139" t="s">
        <v>407</v>
      </c>
      <c r="D230" t="s">
        <v>915</v>
      </c>
      <c r="E230" t="str">
        <f t="shared" si="3"/>
        <v>BALANCE.GASOLINE.OSPIPE.</v>
      </c>
    </row>
    <row r="231" spans="1:5" x14ac:dyDescent="0.2">
      <c r="A231" t="s">
        <v>336</v>
      </c>
      <c r="B231" s="139" t="s">
        <v>408</v>
      </c>
      <c r="D231" t="s">
        <v>915</v>
      </c>
      <c r="E231" t="str">
        <f t="shared" si="3"/>
        <v>BALANCE.GASOLINE.CSPIPE.</v>
      </c>
    </row>
    <row r="232" spans="1:5" x14ac:dyDescent="0.2">
      <c r="A232" t="s">
        <v>336</v>
      </c>
      <c r="B232" s="139" t="s">
        <v>409</v>
      </c>
      <c r="D232" t="s">
        <v>915</v>
      </c>
      <c r="E232" t="str">
        <f t="shared" si="3"/>
        <v>BALANCE.GASOLINE.OSABILGV.</v>
      </c>
    </row>
    <row r="233" spans="1:5" x14ac:dyDescent="0.2">
      <c r="A233" t="s">
        <v>336</v>
      </c>
      <c r="B233" s="139" t="s">
        <v>410</v>
      </c>
      <c r="D233" t="s">
        <v>915</v>
      </c>
      <c r="E233" t="str">
        <f t="shared" si="3"/>
        <v>BALANCE.GASOLINE.CSABILGV.</v>
      </c>
    </row>
    <row r="234" spans="1:5" x14ac:dyDescent="0.2">
      <c r="A234" t="s">
        <v>336</v>
      </c>
      <c r="B234" s="139" t="s">
        <v>411</v>
      </c>
      <c r="D234" t="s">
        <v>915</v>
      </c>
      <c r="E234" t="str">
        <f t="shared" si="3"/>
        <v>BALANCE.GASOLINE.OSABILHD.</v>
      </c>
    </row>
    <row r="235" spans="1:5" x14ac:dyDescent="0.2">
      <c r="A235" t="s">
        <v>336</v>
      </c>
      <c r="B235" s="139" t="s">
        <v>412</v>
      </c>
      <c r="D235" t="s">
        <v>915</v>
      </c>
      <c r="E235" t="str">
        <f t="shared" si="3"/>
        <v>BALANCE.GASOLINE.CSABILHD.</v>
      </c>
    </row>
    <row r="236" spans="1:5" x14ac:dyDescent="0.2">
      <c r="A236" t="s">
        <v>336</v>
      </c>
      <c r="B236" s="139" t="s">
        <v>413</v>
      </c>
      <c r="D236" t="s">
        <v>915</v>
      </c>
      <c r="E236" t="str">
        <f t="shared" si="3"/>
        <v>BALANCE.GASOLINE.OSABILOT.</v>
      </c>
    </row>
    <row r="237" spans="1:5" x14ac:dyDescent="0.2">
      <c r="A237" t="s">
        <v>336</v>
      </c>
      <c r="B237" s="139" t="s">
        <v>414</v>
      </c>
      <c r="D237" t="s">
        <v>915</v>
      </c>
      <c r="E237" t="str">
        <f t="shared" si="3"/>
        <v>BALANCE.GASOLINE.CSABILOT.</v>
      </c>
    </row>
    <row r="238" spans="1:5" x14ac:dyDescent="0.2">
      <c r="A238" t="s">
        <v>336</v>
      </c>
      <c r="B238" t="s">
        <v>918</v>
      </c>
      <c r="D238" t="s">
        <v>915</v>
      </c>
      <c r="E238" t="str">
        <f t="shared" si="3"/>
        <v>BALANCE.GASOLINE.CSABRBFG.</v>
      </c>
    </row>
    <row r="239" spans="1:5" x14ac:dyDescent="0.2">
      <c r="A239" t="s">
        <v>336</v>
      </c>
      <c r="B239" t="s">
        <v>919</v>
      </c>
      <c r="D239" t="s">
        <v>915</v>
      </c>
      <c r="E239" t="str">
        <f t="shared" si="3"/>
        <v>BALANCE.GASOLINE.CSABRBFA.</v>
      </c>
    </row>
    <row r="240" spans="1:5" x14ac:dyDescent="0.2">
      <c r="A240" t="s">
        <v>336</v>
      </c>
      <c r="B240" s="139" t="s">
        <v>381</v>
      </c>
      <c r="D240" t="s">
        <v>916</v>
      </c>
      <c r="E240" t="str">
        <f t="shared" si="3"/>
        <v>BALANCE.KEROSENE.OSNATTER.</v>
      </c>
    </row>
    <row r="241" spans="1:5" x14ac:dyDescent="0.2">
      <c r="A241" t="s">
        <v>336</v>
      </c>
      <c r="B241" s="139" t="s">
        <v>382</v>
      </c>
      <c r="D241" t="s">
        <v>916</v>
      </c>
      <c r="E241" t="str">
        <f t="shared" si="3"/>
        <v>BALANCE.KEROSENE.CSNATTER.</v>
      </c>
    </row>
    <row r="242" spans="1:5" x14ac:dyDescent="0.2">
      <c r="A242" t="s">
        <v>336</v>
      </c>
      <c r="B242" s="139" t="s">
        <v>383</v>
      </c>
      <c r="D242" t="s">
        <v>916</v>
      </c>
      <c r="E242" t="str">
        <f t="shared" si="3"/>
        <v>BALANCE.KEROSENE.OSOTHBIL.</v>
      </c>
    </row>
    <row r="243" spans="1:5" x14ac:dyDescent="0.2">
      <c r="A243" t="s">
        <v>336</v>
      </c>
      <c r="B243" s="139" t="s">
        <v>384</v>
      </c>
      <c r="D243" t="s">
        <v>916</v>
      </c>
      <c r="E243" t="str">
        <f t="shared" si="3"/>
        <v>BALANCE.KEROSENE.CSOTHBIL.</v>
      </c>
    </row>
    <row r="244" spans="1:5" x14ac:dyDescent="0.2">
      <c r="A244" t="s">
        <v>336</v>
      </c>
      <c r="B244" s="139" t="s">
        <v>385</v>
      </c>
      <c r="D244" t="s">
        <v>916</v>
      </c>
      <c r="E244" t="str">
        <f t="shared" si="3"/>
        <v>BALANCE.KEROSENE.OSOTHFOR.</v>
      </c>
    </row>
    <row r="245" spans="1:5" x14ac:dyDescent="0.2">
      <c r="A245" t="s">
        <v>336</v>
      </c>
      <c r="B245" s="139" t="s">
        <v>386</v>
      </c>
      <c r="D245" t="s">
        <v>916</v>
      </c>
      <c r="E245" t="str">
        <f t="shared" si="3"/>
        <v>BALANCE.KEROSENE.CSOTHFOR.</v>
      </c>
    </row>
    <row r="246" spans="1:5" x14ac:dyDescent="0.2">
      <c r="A246" t="s">
        <v>336</v>
      </c>
      <c r="B246" s="139" t="s">
        <v>387</v>
      </c>
      <c r="D246" t="s">
        <v>916</v>
      </c>
      <c r="E246" t="str">
        <f t="shared" si="3"/>
        <v>BALANCE.KEROSENE.OSBONDED.</v>
      </c>
    </row>
    <row r="247" spans="1:5" x14ac:dyDescent="0.2">
      <c r="A247" t="s">
        <v>336</v>
      </c>
      <c r="B247" s="139" t="s">
        <v>388</v>
      </c>
      <c r="D247" t="s">
        <v>916</v>
      </c>
      <c r="E247" t="str">
        <f t="shared" si="3"/>
        <v>BALANCE.KEROSENE.CSBONDED.</v>
      </c>
    </row>
    <row r="248" spans="1:5" x14ac:dyDescent="0.2">
      <c r="A248" t="s">
        <v>336</v>
      </c>
      <c r="B248" s="139" t="s">
        <v>389</v>
      </c>
      <c r="D248" t="s">
        <v>916</v>
      </c>
      <c r="E248" t="str">
        <f t="shared" si="3"/>
        <v>BALANCE.KEROSENE.OSMAJCON.</v>
      </c>
    </row>
    <row r="249" spans="1:5" x14ac:dyDescent="0.2">
      <c r="A249" t="s">
        <v>336</v>
      </c>
      <c r="B249" s="139" t="s">
        <v>390</v>
      </c>
      <c r="D249" t="s">
        <v>916</v>
      </c>
      <c r="E249" t="str">
        <f t="shared" si="3"/>
        <v>BALANCE.KEROSENE.CSMAJCON.</v>
      </c>
    </row>
    <row r="250" spans="1:5" x14ac:dyDescent="0.2">
      <c r="A250" t="s">
        <v>336</v>
      </c>
      <c r="B250" s="139" t="s">
        <v>391</v>
      </c>
      <c r="D250" t="s">
        <v>916</v>
      </c>
      <c r="E250" t="str">
        <f t="shared" si="3"/>
        <v>BALANCE.KEROSENE.OSVESSEL.</v>
      </c>
    </row>
    <row r="251" spans="1:5" x14ac:dyDescent="0.2">
      <c r="A251" t="s">
        <v>336</v>
      </c>
      <c r="B251" s="139" t="s">
        <v>392</v>
      </c>
      <c r="D251" t="s">
        <v>916</v>
      </c>
      <c r="E251" t="str">
        <f t="shared" si="3"/>
        <v>BALANCE.KEROSENE.CSVESSEL.</v>
      </c>
    </row>
    <row r="252" spans="1:5" x14ac:dyDescent="0.2">
      <c r="A252" t="s">
        <v>336</v>
      </c>
      <c r="B252" s="139" t="s">
        <v>393</v>
      </c>
      <c r="D252" t="s">
        <v>916</v>
      </c>
      <c r="E252" t="str">
        <f t="shared" si="3"/>
        <v>BALANCE.KEROSENE.OSGOVT.</v>
      </c>
    </row>
    <row r="253" spans="1:5" x14ac:dyDescent="0.2">
      <c r="A253" t="s">
        <v>336</v>
      </c>
      <c r="B253" s="139" t="s">
        <v>394</v>
      </c>
      <c r="D253" t="s">
        <v>916</v>
      </c>
      <c r="E253" t="str">
        <f t="shared" si="3"/>
        <v>BALANCE.KEROSENE.CSGOVT.</v>
      </c>
    </row>
    <row r="254" spans="1:5" x14ac:dyDescent="0.2">
      <c r="A254" t="s">
        <v>336</v>
      </c>
      <c r="B254" s="139" t="s">
        <v>395</v>
      </c>
      <c r="D254" t="s">
        <v>916</v>
      </c>
      <c r="E254" t="str">
        <f t="shared" si="3"/>
        <v>BALANCE.KEROSENE.OSHOLD.</v>
      </c>
    </row>
    <row r="255" spans="1:5" x14ac:dyDescent="0.2">
      <c r="A255" t="s">
        <v>336</v>
      </c>
      <c r="B255" s="139" t="s">
        <v>396</v>
      </c>
      <c r="D255" t="s">
        <v>916</v>
      </c>
      <c r="E255" t="str">
        <f t="shared" si="3"/>
        <v>BALANCE.KEROSENE.CSHOLD.</v>
      </c>
    </row>
    <row r="256" spans="1:5" x14ac:dyDescent="0.2">
      <c r="A256" t="s">
        <v>336</v>
      </c>
      <c r="B256" s="139" t="s">
        <v>397</v>
      </c>
      <c r="D256" t="s">
        <v>916</v>
      </c>
      <c r="E256" t="str">
        <f t="shared" si="3"/>
        <v>BALANCE.KEROSENE.OSALLOTH.</v>
      </c>
    </row>
    <row r="257" spans="1:5" x14ac:dyDescent="0.2">
      <c r="A257" t="s">
        <v>336</v>
      </c>
      <c r="B257" s="139" t="s">
        <v>398</v>
      </c>
      <c r="D257" t="s">
        <v>916</v>
      </c>
      <c r="E257" t="str">
        <f t="shared" si="3"/>
        <v>BALANCE.KEROSENE.CSALLOTH.</v>
      </c>
    </row>
    <row r="258" spans="1:5" x14ac:dyDescent="0.2">
      <c r="A258" t="s">
        <v>336</v>
      </c>
      <c r="B258" s="139" t="s">
        <v>399</v>
      </c>
      <c r="D258" t="s">
        <v>916</v>
      </c>
      <c r="E258" t="str">
        <f t="shared" si="3"/>
        <v>BALANCE.KEROSENE.OSABRBIL.</v>
      </c>
    </row>
    <row r="259" spans="1:5" x14ac:dyDescent="0.2">
      <c r="A259" t="s">
        <v>336</v>
      </c>
      <c r="B259" s="139" t="s">
        <v>400</v>
      </c>
      <c r="D259" t="s">
        <v>916</v>
      </c>
      <c r="E259" t="str">
        <f t="shared" si="3"/>
        <v>BALANCE.KEROSENE.CSABRBIL.</v>
      </c>
    </row>
    <row r="260" spans="1:5" x14ac:dyDescent="0.2">
      <c r="A260" t="s">
        <v>336</v>
      </c>
      <c r="B260" s="139" t="s">
        <v>401</v>
      </c>
      <c r="D260" t="s">
        <v>916</v>
      </c>
      <c r="E260" t="str">
        <f t="shared" si="3"/>
        <v>BALANCE.KEROSENE.OSABRFOR.</v>
      </c>
    </row>
    <row r="261" spans="1:5" x14ac:dyDescent="0.2">
      <c r="A261" t="s">
        <v>336</v>
      </c>
      <c r="B261" s="139" t="s">
        <v>402</v>
      </c>
      <c r="D261" t="s">
        <v>916</v>
      </c>
      <c r="E261" t="str">
        <f t="shared" ref="E261:E324" si="4">A261&amp;"."&amp;D261&amp;"."&amp;B261&amp;"."&amp;C261</f>
        <v>BALANCE.KEROSENE.CSABRFOR.</v>
      </c>
    </row>
    <row r="262" spans="1:5" x14ac:dyDescent="0.2">
      <c r="A262" t="s">
        <v>336</v>
      </c>
      <c r="B262" s="139" t="s">
        <v>403</v>
      </c>
      <c r="D262" t="s">
        <v>916</v>
      </c>
      <c r="E262" t="str">
        <f t="shared" si="4"/>
        <v>BALANCE.KEROSENE.OSTOTAL.</v>
      </c>
    </row>
    <row r="263" spans="1:5" x14ac:dyDescent="0.2">
      <c r="A263" t="s">
        <v>336</v>
      </c>
      <c r="B263" s="139" t="s">
        <v>404</v>
      </c>
      <c r="D263" t="s">
        <v>916</v>
      </c>
      <c r="E263" t="str">
        <f t="shared" si="4"/>
        <v>BALANCE.KEROSENE.CSTOTAL.</v>
      </c>
    </row>
    <row r="264" spans="1:5" x14ac:dyDescent="0.2">
      <c r="A264" t="s">
        <v>336</v>
      </c>
      <c r="B264" s="139" t="s">
        <v>405</v>
      </c>
      <c r="D264" t="s">
        <v>916</v>
      </c>
      <c r="E264" t="str">
        <f t="shared" si="4"/>
        <v>BALANCE.KEROSENE.OSOTHBON.</v>
      </c>
    </row>
    <row r="265" spans="1:5" x14ac:dyDescent="0.2">
      <c r="A265" t="s">
        <v>336</v>
      </c>
      <c r="B265" s="139" t="s">
        <v>406</v>
      </c>
      <c r="D265" t="s">
        <v>916</v>
      </c>
      <c r="E265" t="str">
        <f t="shared" si="4"/>
        <v>BALANCE.KEROSENE.CSOTHBON.</v>
      </c>
    </row>
    <row r="266" spans="1:5" x14ac:dyDescent="0.2">
      <c r="A266" t="s">
        <v>336</v>
      </c>
      <c r="B266" s="139" t="s">
        <v>407</v>
      </c>
      <c r="D266" t="s">
        <v>916</v>
      </c>
      <c r="E266" t="str">
        <f t="shared" si="4"/>
        <v>BALANCE.KEROSENE.OSPIPE.</v>
      </c>
    </row>
    <row r="267" spans="1:5" x14ac:dyDescent="0.2">
      <c r="A267" t="s">
        <v>336</v>
      </c>
      <c r="B267" s="139" t="s">
        <v>408</v>
      </c>
      <c r="D267" t="s">
        <v>916</v>
      </c>
      <c r="E267" t="str">
        <f t="shared" si="4"/>
        <v>BALANCE.KEROSENE.CSPIPE.</v>
      </c>
    </row>
    <row r="268" spans="1:5" x14ac:dyDescent="0.2">
      <c r="A268" t="s">
        <v>336</v>
      </c>
      <c r="B268" s="139" t="s">
        <v>409</v>
      </c>
      <c r="D268" t="s">
        <v>916</v>
      </c>
      <c r="E268" t="str">
        <f t="shared" si="4"/>
        <v>BALANCE.KEROSENE.OSABILGV.</v>
      </c>
    </row>
    <row r="269" spans="1:5" x14ac:dyDescent="0.2">
      <c r="A269" t="s">
        <v>336</v>
      </c>
      <c r="B269" s="139" t="s">
        <v>410</v>
      </c>
      <c r="D269" t="s">
        <v>916</v>
      </c>
      <c r="E269" t="str">
        <f t="shared" si="4"/>
        <v>BALANCE.KEROSENE.CSABILGV.</v>
      </c>
    </row>
    <row r="270" spans="1:5" x14ac:dyDescent="0.2">
      <c r="A270" t="s">
        <v>336</v>
      </c>
      <c r="B270" s="139" t="s">
        <v>411</v>
      </c>
      <c r="D270" t="s">
        <v>916</v>
      </c>
      <c r="E270" t="str">
        <f t="shared" si="4"/>
        <v>BALANCE.KEROSENE.OSABILHD.</v>
      </c>
    </row>
    <row r="271" spans="1:5" x14ac:dyDescent="0.2">
      <c r="A271" t="s">
        <v>336</v>
      </c>
      <c r="B271" s="139" t="s">
        <v>412</v>
      </c>
      <c r="D271" t="s">
        <v>916</v>
      </c>
      <c r="E271" t="str">
        <f t="shared" si="4"/>
        <v>BALANCE.KEROSENE.CSABILHD.</v>
      </c>
    </row>
    <row r="272" spans="1:5" x14ac:dyDescent="0.2">
      <c r="A272" t="s">
        <v>336</v>
      </c>
      <c r="B272" s="139" t="s">
        <v>413</v>
      </c>
      <c r="D272" t="s">
        <v>916</v>
      </c>
      <c r="E272" t="str">
        <f t="shared" si="4"/>
        <v>BALANCE.KEROSENE.OSABILOT.</v>
      </c>
    </row>
    <row r="273" spans="1:5" x14ac:dyDescent="0.2">
      <c r="A273" t="s">
        <v>336</v>
      </c>
      <c r="B273" s="139" t="s">
        <v>414</v>
      </c>
      <c r="D273" t="s">
        <v>916</v>
      </c>
      <c r="E273" t="str">
        <f t="shared" si="4"/>
        <v>BALANCE.KEROSENE.CSABILOT.</v>
      </c>
    </row>
    <row r="274" spans="1:5" x14ac:dyDescent="0.2">
      <c r="A274" t="s">
        <v>336</v>
      </c>
      <c r="B274" t="s">
        <v>918</v>
      </c>
      <c r="D274" t="s">
        <v>916</v>
      </c>
      <c r="E274" t="str">
        <f t="shared" si="4"/>
        <v>BALANCE.KEROSENE.CSABRBFG.</v>
      </c>
    </row>
    <row r="275" spans="1:5" x14ac:dyDescent="0.2">
      <c r="A275" t="s">
        <v>336</v>
      </c>
      <c r="B275" t="s">
        <v>919</v>
      </c>
      <c r="D275" t="s">
        <v>916</v>
      </c>
      <c r="E275" t="str">
        <f t="shared" si="4"/>
        <v>BALANCE.KEROSENE.CSABRBFA.</v>
      </c>
    </row>
    <row r="276" spans="1:5" x14ac:dyDescent="0.2">
      <c r="A276" t="s">
        <v>336</v>
      </c>
      <c r="B276" s="139" t="s">
        <v>381</v>
      </c>
      <c r="D276" t="s">
        <v>912</v>
      </c>
      <c r="E276" t="str">
        <f t="shared" si="4"/>
        <v>BALANCE.OTHTONE.OSNATTER.</v>
      </c>
    </row>
    <row r="277" spans="1:5" x14ac:dyDescent="0.2">
      <c r="A277" t="s">
        <v>336</v>
      </c>
      <c r="B277" s="139" t="s">
        <v>382</v>
      </c>
      <c r="D277" t="s">
        <v>912</v>
      </c>
      <c r="E277" t="str">
        <f t="shared" si="4"/>
        <v>BALANCE.OTHTONE.CSNATTER.</v>
      </c>
    </row>
    <row r="278" spans="1:5" x14ac:dyDescent="0.2">
      <c r="A278" t="s">
        <v>336</v>
      </c>
      <c r="B278" s="139" t="s">
        <v>383</v>
      </c>
      <c r="D278" t="s">
        <v>912</v>
      </c>
      <c r="E278" t="str">
        <f t="shared" si="4"/>
        <v>BALANCE.OTHTONE.OSOTHBIL.</v>
      </c>
    </row>
    <row r="279" spans="1:5" x14ac:dyDescent="0.2">
      <c r="A279" t="s">
        <v>336</v>
      </c>
      <c r="B279" s="139" t="s">
        <v>384</v>
      </c>
      <c r="D279" t="s">
        <v>912</v>
      </c>
      <c r="E279" t="str">
        <f t="shared" si="4"/>
        <v>BALANCE.OTHTONE.CSOTHBIL.</v>
      </c>
    </row>
    <row r="280" spans="1:5" x14ac:dyDescent="0.2">
      <c r="A280" t="s">
        <v>336</v>
      </c>
      <c r="B280" s="139" t="s">
        <v>385</v>
      </c>
      <c r="D280" t="s">
        <v>912</v>
      </c>
      <c r="E280" t="str">
        <f t="shared" si="4"/>
        <v>BALANCE.OTHTONE.OSOTHFOR.</v>
      </c>
    </row>
    <row r="281" spans="1:5" x14ac:dyDescent="0.2">
      <c r="A281" t="s">
        <v>336</v>
      </c>
      <c r="B281" s="139" t="s">
        <v>386</v>
      </c>
      <c r="D281" t="s">
        <v>912</v>
      </c>
      <c r="E281" t="str">
        <f t="shared" si="4"/>
        <v>BALANCE.OTHTONE.CSOTHFOR.</v>
      </c>
    </row>
    <row r="282" spans="1:5" x14ac:dyDescent="0.2">
      <c r="A282" t="s">
        <v>336</v>
      </c>
      <c r="B282" s="139" t="s">
        <v>387</v>
      </c>
      <c r="D282" t="s">
        <v>912</v>
      </c>
      <c r="E282" t="str">
        <f t="shared" si="4"/>
        <v>BALANCE.OTHTONE.OSBONDED.</v>
      </c>
    </row>
    <row r="283" spans="1:5" x14ac:dyDescent="0.2">
      <c r="A283" t="s">
        <v>336</v>
      </c>
      <c r="B283" s="139" t="s">
        <v>388</v>
      </c>
      <c r="D283" t="s">
        <v>912</v>
      </c>
      <c r="E283" t="str">
        <f t="shared" si="4"/>
        <v>BALANCE.OTHTONE.CSBONDED.</v>
      </c>
    </row>
    <row r="284" spans="1:5" x14ac:dyDescent="0.2">
      <c r="A284" t="s">
        <v>336</v>
      </c>
      <c r="B284" s="139" t="s">
        <v>389</v>
      </c>
      <c r="D284" t="s">
        <v>912</v>
      </c>
      <c r="E284" t="str">
        <f t="shared" si="4"/>
        <v>BALANCE.OTHTONE.OSMAJCON.</v>
      </c>
    </row>
    <row r="285" spans="1:5" x14ac:dyDescent="0.2">
      <c r="A285" t="s">
        <v>336</v>
      </c>
      <c r="B285" s="139" t="s">
        <v>390</v>
      </c>
      <c r="D285" t="s">
        <v>912</v>
      </c>
      <c r="E285" t="str">
        <f t="shared" si="4"/>
        <v>BALANCE.OTHTONE.CSMAJCON.</v>
      </c>
    </row>
    <row r="286" spans="1:5" x14ac:dyDescent="0.2">
      <c r="A286" t="s">
        <v>336</v>
      </c>
      <c r="B286" s="139" t="s">
        <v>391</v>
      </c>
      <c r="D286" t="s">
        <v>912</v>
      </c>
      <c r="E286" t="str">
        <f t="shared" si="4"/>
        <v>BALANCE.OTHTONE.OSVESSEL.</v>
      </c>
    </row>
    <row r="287" spans="1:5" x14ac:dyDescent="0.2">
      <c r="A287" t="s">
        <v>336</v>
      </c>
      <c r="B287" s="139" t="s">
        <v>392</v>
      </c>
      <c r="D287" t="s">
        <v>912</v>
      </c>
      <c r="E287" t="str">
        <f t="shared" si="4"/>
        <v>BALANCE.OTHTONE.CSVESSEL.</v>
      </c>
    </row>
    <row r="288" spans="1:5" x14ac:dyDescent="0.2">
      <c r="A288" t="s">
        <v>336</v>
      </c>
      <c r="B288" s="139" t="s">
        <v>393</v>
      </c>
      <c r="D288" t="s">
        <v>912</v>
      </c>
      <c r="E288" t="str">
        <f t="shared" si="4"/>
        <v>BALANCE.OTHTONE.OSGOVT.</v>
      </c>
    </row>
    <row r="289" spans="1:5" x14ac:dyDescent="0.2">
      <c r="A289" t="s">
        <v>336</v>
      </c>
      <c r="B289" s="139" t="s">
        <v>394</v>
      </c>
      <c r="D289" t="s">
        <v>912</v>
      </c>
      <c r="E289" t="str">
        <f t="shared" si="4"/>
        <v>BALANCE.OTHTONE.CSGOVT.</v>
      </c>
    </row>
    <row r="290" spans="1:5" x14ac:dyDescent="0.2">
      <c r="A290" t="s">
        <v>336</v>
      </c>
      <c r="B290" s="139" t="s">
        <v>395</v>
      </c>
      <c r="D290" t="s">
        <v>912</v>
      </c>
      <c r="E290" t="str">
        <f t="shared" si="4"/>
        <v>BALANCE.OTHTONE.OSHOLD.</v>
      </c>
    </row>
    <row r="291" spans="1:5" x14ac:dyDescent="0.2">
      <c r="A291" t="s">
        <v>336</v>
      </c>
      <c r="B291" s="139" t="s">
        <v>396</v>
      </c>
      <c r="D291" t="s">
        <v>912</v>
      </c>
      <c r="E291" t="str">
        <f t="shared" si="4"/>
        <v>BALANCE.OTHTONE.CSHOLD.</v>
      </c>
    </row>
    <row r="292" spans="1:5" x14ac:dyDescent="0.2">
      <c r="A292" t="s">
        <v>336</v>
      </c>
      <c r="B292" s="139" t="s">
        <v>397</v>
      </c>
      <c r="D292" t="s">
        <v>912</v>
      </c>
      <c r="E292" t="str">
        <f t="shared" si="4"/>
        <v>BALANCE.OTHTONE.OSALLOTH.</v>
      </c>
    </row>
    <row r="293" spans="1:5" x14ac:dyDescent="0.2">
      <c r="A293" t="s">
        <v>336</v>
      </c>
      <c r="B293" s="139" t="s">
        <v>398</v>
      </c>
      <c r="D293" t="s">
        <v>912</v>
      </c>
      <c r="E293" t="str">
        <f t="shared" si="4"/>
        <v>BALANCE.OTHTONE.CSALLOTH.</v>
      </c>
    </row>
    <row r="294" spans="1:5" x14ac:dyDescent="0.2">
      <c r="A294" t="s">
        <v>336</v>
      </c>
      <c r="B294" s="139" t="s">
        <v>399</v>
      </c>
      <c r="D294" t="s">
        <v>912</v>
      </c>
      <c r="E294" t="str">
        <f t="shared" si="4"/>
        <v>BALANCE.OTHTONE.OSABRBIL.</v>
      </c>
    </row>
    <row r="295" spans="1:5" x14ac:dyDescent="0.2">
      <c r="A295" t="s">
        <v>336</v>
      </c>
      <c r="B295" s="139" t="s">
        <v>400</v>
      </c>
      <c r="D295" t="s">
        <v>912</v>
      </c>
      <c r="E295" t="str">
        <f t="shared" si="4"/>
        <v>BALANCE.OTHTONE.CSABRBIL.</v>
      </c>
    </row>
    <row r="296" spans="1:5" x14ac:dyDescent="0.2">
      <c r="A296" t="s">
        <v>336</v>
      </c>
      <c r="B296" s="139" t="s">
        <v>401</v>
      </c>
      <c r="D296" t="s">
        <v>912</v>
      </c>
      <c r="E296" t="str">
        <f t="shared" si="4"/>
        <v>BALANCE.OTHTONE.OSABRFOR.</v>
      </c>
    </row>
    <row r="297" spans="1:5" x14ac:dyDescent="0.2">
      <c r="A297" t="s">
        <v>336</v>
      </c>
      <c r="B297" s="139" t="s">
        <v>402</v>
      </c>
      <c r="D297" t="s">
        <v>912</v>
      </c>
      <c r="E297" t="str">
        <f t="shared" si="4"/>
        <v>BALANCE.OTHTONE.CSABRFOR.</v>
      </c>
    </row>
    <row r="298" spans="1:5" x14ac:dyDescent="0.2">
      <c r="A298" t="s">
        <v>336</v>
      </c>
      <c r="B298" s="139" t="s">
        <v>403</v>
      </c>
      <c r="D298" t="s">
        <v>912</v>
      </c>
      <c r="E298" t="str">
        <f t="shared" si="4"/>
        <v>BALANCE.OTHTONE.OSTOTAL.</v>
      </c>
    </row>
    <row r="299" spans="1:5" x14ac:dyDescent="0.2">
      <c r="A299" t="s">
        <v>336</v>
      </c>
      <c r="B299" s="139" t="s">
        <v>404</v>
      </c>
      <c r="D299" t="s">
        <v>912</v>
      </c>
      <c r="E299" t="str">
        <f t="shared" si="4"/>
        <v>BALANCE.OTHTONE.CSTOTAL.</v>
      </c>
    </row>
    <row r="300" spans="1:5" x14ac:dyDescent="0.2">
      <c r="A300" t="s">
        <v>336</v>
      </c>
      <c r="B300" s="139" t="s">
        <v>405</v>
      </c>
      <c r="D300" t="s">
        <v>912</v>
      </c>
      <c r="E300" t="str">
        <f t="shared" si="4"/>
        <v>BALANCE.OTHTONE.OSOTHBON.</v>
      </c>
    </row>
    <row r="301" spans="1:5" x14ac:dyDescent="0.2">
      <c r="A301" t="s">
        <v>336</v>
      </c>
      <c r="B301" s="139" t="s">
        <v>406</v>
      </c>
      <c r="D301" t="s">
        <v>912</v>
      </c>
      <c r="E301" t="str">
        <f t="shared" si="4"/>
        <v>BALANCE.OTHTONE.CSOTHBON.</v>
      </c>
    </row>
    <row r="302" spans="1:5" x14ac:dyDescent="0.2">
      <c r="A302" t="s">
        <v>336</v>
      </c>
      <c r="B302" s="139" t="s">
        <v>407</v>
      </c>
      <c r="D302" t="s">
        <v>912</v>
      </c>
      <c r="E302" t="str">
        <f t="shared" si="4"/>
        <v>BALANCE.OTHTONE.OSPIPE.</v>
      </c>
    </row>
    <row r="303" spans="1:5" x14ac:dyDescent="0.2">
      <c r="A303" t="s">
        <v>336</v>
      </c>
      <c r="B303" s="139" t="s">
        <v>408</v>
      </c>
      <c r="D303" t="s">
        <v>912</v>
      </c>
      <c r="E303" t="str">
        <f t="shared" si="4"/>
        <v>BALANCE.OTHTONE.CSPIPE.</v>
      </c>
    </row>
    <row r="304" spans="1:5" x14ac:dyDescent="0.2">
      <c r="A304" t="s">
        <v>336</v>
      </c>
      <c r="B304" s="139" t="s">
        <v>409</v>
      </c>
      <c r="D304" t="s">
        <v>912</v>
      </c>
      <c r="E304" t="str">
        <f t="shared" si="4"/>
        <v>BALANCE.OTHTONE.OSABILGV.</v>
      </c>
    </row>
    <row r="305" spans="1:5" x14ac:dyDescent="0.2">
      <c r="A305" t="s">
        <v>336</v>
      </c>
      <c r="B305" s="139" t="s">
        <v>410</v>
      </c>
      <c r="D305" t="s">
        <v>912</v>
      </c>
      <c r="E305" t="str">
        <f t="shared" si="4"/>
        <v>BALANCE.OTHTONE.CSABILGV.</v>
      </c>
    </row>
    <row r="306" spans="1:5" x14ac:dyDescent="0.2">
      <c r="A306" t="s">
        <v>336</v>
      </c>
      <c r="B306" s="139" t="s">
        <v>411</v>
      </c>
      <c r="D306" t="s">
        <v>912</v>
      </c>
      <c r="E306" t="str">
        <f t="shared" si="4"/>
        <v>BALANCE.OTHTONE.OSABILHD.</v>
      </c>
    </row>
    <row r="307" spans="1:5" x14ac:dyDescent="0.2">
      <c r="A307" t="s">
        <v>336</v>
      </c>
      <c r="B307" s="139" t="s">
        <v>412</v>
      </c>
      <c r="D307" t="s">
        <v>912</v>
      </c>
      <c r="E307" t="str">
        <f t="shared" si="4"/>
        <v>BALANCE.OTHTONE.CSABILHD.</v>
      </c>
    </row>
    <row r="308" spans="1:5" x14ac:dyDescent="0.2">
      <c r="A308" t="s">
        <v>336</v>
      </c>
      <c r="B308" s="139" t="s">
        <v>413</v>
      </c>
      <c r="D308" t="s">
        <v>912</v>
      </c>
      <c r="E308" t="str">
        <f t="shared" si="4"/>
        <v>BALANCE.OTHTONE.OSABILOT.</v>
      </c>
    </row>
    <row r="309" spans="1:5" x14ac:dyDescent="0.2">
      <c r="A309" t="s">
        <v>336</v>
      </c>
      <c r="B309" s="139" t="s">
        <v>414</v>
      </c>
      <c r="D309" t="s">
        <v>912</v>
      </c>
      <c r="E309" t="str">
        <f t="shared" si="4"/>
        <v>BALANCE.OTHTONE.CSABILOT.</v>
      </c>
    </row>
    <row r="310" spans="1:5" x14ac:dyDescent="0.2">
      <c r="A310" t="s">
        <v>336</v>
      </c>
      <c r="B310" t="s">
        <v>918</v>
      </c>
      <c r="D310" t="s">
        <v>912</v>
      </c>
      <c r="E310" t="str">
        <f t="shared" si="4"/>
        <v>BALANCE.OTHTONE.CSABRBFG.</v>
      </c>
    </row>
    <row r="311" spans="1:5" x14ac:dyDescent="0.2">
      <c r="A311" t="s">
        <v>336</v>
      </c>
      <c r="B311" t="s">
        <v>919</v>
      </c>
      <c r="D311" t="s">
        <v>912</v>
      </c>
      <c r="E311" t="str">
        <f t="shared" si="4"/>
        <v>BALANCE.OTHTONE.CSABRBFA.</v>
      </c>
    </row>
    <row r="312" spans="1:5" x14ac:dyDescent="0.2">
      <c r="A312" t="s">
        <v>336</v>
      </c>
      <c r="B312" s="139" t="s">
        <v>381</v>
      </c>
      <c r="D312" t="s">
        <v>917</v>
      </c>
      <c r="E312" t="str">
        <f t="shared" si="4"/>
        <v>BALANCE.OTHTTWO.OSNATTER.</v>
      </c>
    </row>
    <row r="313" spans="1:5" x14ac:dyDescent="0.2">
      <c r="A313" t="s">
        <v>336</v>
      </c>
      <c r="B313" s="139" t="s">
        <v>382</v>
      </c>
      <c r="D313" t="s">
        <v>917</v>
      </c>
      <c r="E313" t="str">
        <f t="shared" si="4"/>
        <v>BALANCE.OTHTTWO.CSNATTER.</v>
      </c>
    </row>
    <row r="314" spans="1:5" x14ac:dyDescent="0.2">
      <c r="A314" t="s">
        <v>336</v>
      </c>
      <c r="B314" s="139" t="s">
        <v>383</v>
      </c>
      <c r="D314" t="s">
        <v>917</v>
      </c>
      <c r="E314" t="str">
        <f t="shared" si="4"/>
        <v>BALANCE.OTHTTWO.OSOTHBIL.</v>
      </c>
    </row>
    <row r="315" spans="1:5" x14ac:dyDescent="0.2">
      <c r="A315" t="s">
        <v>336</v>
      </c>
      <c r="B315" s="139" t="s">
        <v>384</v>
      </c>
      <c r="D315" t="s">
        <v>917</v>
      </c>
      <c r="E315" t="str">
        <f t="shared" si="4"/>
        <v>BALANCE.OTHTTWO.CSOTHBIL.</v>
      </c>
    </row>
    <row r="316" spans="1:5" x14ac:dyDescent="0.2">
      <c r="A316" t="s">
        <v>336</v>
      </c>
      <c r="B316" s="139" t="s">
        <v>385</v>
      </c>
      <c r="D316" t="s">
        <v>917</v>
      </c>
      <c r="E316" t="str">
        <f t="shared" si="4"/>
        <v>BALANCE.OTHTTWO.OSOTHFOR.</v>
      </c>
    </row>
    <row r="317" spans="1:5" x14ac:dyDescent="0.2">
      <c r="A317" t="s">
        <v>336</v>
      </c>
      <c r="B317" s="139" t="s">
        <v>386</v>
      </c>
      <c r="D317" t="s">
        <v>917</v>
      </c>
      <c r="E317" t="str">
        <f t="shared" si="4"/>
        <v>BALANCE.OTHTTWO.CSOTHFOR.</v>
      </c>
    </row>
    <row r="318" spans="1:5" x14ac:dyDescent="0.2">
      <c r="A318" t="s">
        <v>336</v>
      </c>
      <c r="B318" s="139" t="s">
        <v>387</v>
      </c>
      <c r="D318" t="s">
        <v>917</v>
      </c>
      <c r="E318" t="str">
        <f t="shared" si="4"/>
        <v>BALANCE.OTHTTWO.OSBONDED.</v>
      </c>
    </row>
    <row r="319" spans="1:5" x14ac:dyDescent="0.2">
      <c r="A319" t="s">
        <v>336</v>
      </c>
      <c r="B319" s="139" t="s">
        <v>388</v>
      </c>
      <c r="D319" t="s">
        <v>917</v>
      </c>
      <c r="E319" t="str">
        <f t="shared" si="4"/>
        <v>BALANCE.OTHTTWO.CSBONDED.</v>
      </c>
    </row>
    <row r="320" spans="1:5" x14ac:dyDescent="0.2">
      <c r="A320" t="s">
        <v>336</v>
      </c>
      <c r="B320" s="139" t="s">
        <v>389</v>
      </c>
      <c r="D320" t="s">
        <v>917</v>
      </c>
      <c r="E320" t="str">
        <f t="shared" si="4"/>
        <v>BALANCE.OTHTTWO.OSMAJCON.</v>
      </c>
    </row>
    <row r="321" spans="1:5" x14ac:dyDescent="0.2">
      <c r="A321" t="s">
        <v>336</v>
      </c>
      <c r="B321" s="139" t="s">
        <v>390</v>
      </c>
      <c r="D321" t="s">
        <v>917</v>
      </c>
      <c r="E321" t="str">
        <f t="shared" si="4"/>
        <v>BALANCE.OTHTTWO.CSMAJCON.</v>
      </c>
    </row>
    <row r="322" spans="1:5" x14ac:dyDescent="0.2">
      <c r="A322" t="s">
        <v>336</v>
      </c>
      <c r="B322" s="139" t="s">
        <v>391</v>
      </c>
      <c r="D322" t="s">
        <v>917</v>
      </c>
      <c r="E322" t="str">
        <f t="shared" si="4"/>
        <v>BALANCE.OTHTTWO.OSVESSEL.</v>
      </c>
    </row>
    <row r="323" spans="1:5" x14ac:dyDescent="0.2">
      <c r="A323" t="s">
        <v>336</v>
      </c>
      <c r="B323" s="139" t="s">
        <v>392</v>
      </c>
      <c r="D323" t="s">
        <v>917</v>
      </c>
      <c r="E323" t="str">
        <f t="shared" si="4"/>
        <v>BALANCE.OTHTTWO.CSVESSEL.</v>
      </c>
    </row>
    <row r="324" spans="1:5" x14ac:dyDescent="0.2">
      <c r="A324" t="s">
        <v>336</v>
      </c>
      <c r="B324" s="139" t="s">
        <v>393</v>
      </c>
      <c r="D324" t="s">
        <v>917</v>
      </c>
      <c r="E324" t="str">
        <f t="shared" si="4"/>
        <v>BALANCE.OTHTTWO.OSGOVT.</v>
      </c>
    </row>
    <row r="325" spans="1:5" x14ac:dyDescent="0.2">
      <c r="A325" t="s">
        <v>336</v>
      </c>
      <c r="B325" s="139" t="s">
        <v>394</v>
      </c>
      <c r="D325" t="s">
        <v>917</v>
      </c>
      <c r="E325" t="str">
        <f t="shared" ref="E325:E347" si="5">A325&amp;"."&amp;D325&amp;"."&amp;B325&amp;"."&amp;C325</f>
        <v>BALANCE.OTHTTWO.CSGOVT.</v>
      </c>
    </row>
    <row r="326" spans="1:5" x14ac:dyDescent="0.2">
      <c r="A326" t="s">
        <v>336</v>
      </c>
      <c r="B326" s="139" t="s">
        <v>395</v>
      </c>
      <c r="D326" t="s">
        <v>917</v>
      </c>
      <c r="E326" t="str">
        <f t="shared" si="5"/>
        <v>BALANCE.OTHTTWO.OSHOLD.</v>
      </c>
    </row>
    <row r="327" spans="1:5" x14ac:dyDescent="0.2">
      <c r="A327" t="s">
        <v>336</v>
      </c>
      <c r="B327" s="139" t="s">
        <v>396</v>
      </c>
      <c r="D327" t="s">
        <v>917</v>
      </c>
      <c r="E327" t="str">
        <f t="shared" si="5"/>
        <v>BALANCE.OTHTTWO.CSHOLD.</v>
      </c>
    </row>
    <row r="328" spans="1:5" x14ac:dyDescent="0.2">
      <c r="A328" t="s">
        <v>336</v>
      </c>
      <c r="B328" s="139" t="s">
        <v>397</v>
      </c>
      <c r="D328" t="s">
        <v>917</v>
      </c>
      <c r="E328" t="str">
        <f t="shared" si="5"/>
        <v>BALANCE.OTHTTWO.OSALLOTH.</v>
      </c>
    </row>
    <row r="329" spans="1:5" x14ac:dyDescent="0.2">
      <c r="A329" t="s">
        <v>336</v>
      </c>
      <c r="B329" s="139" t="s">
        <v>398</v>
      </c>
      <c r="D329" t="s">
        <v>917</v>
      </c>
      <c r="E329" t="str">
        <f t="shared" si="5"/>
        <v>BALANCE.OTHTTWO.CSALLOTH.</v>
      </c>
    </row>
    <row r="330" spans="1:5" x14ac:dyDescent="0.2">
      <c r="A330" t="s">
        <v>336</v>
      </c>
      <c r="B330" s="139" t="s">
        <v>399</v>
      </c>
      <c r="D330" t="s">
        <v>917</v>
      </c>
      <c r="E330" t="str">
        <f t="shared" si="5"/>
        <v>BALANCE.OTHTTWO.OSABRBIL.</v>
      </c>
    </row>
    <row r="331" spans="1:5" x14ac:dyDescent="0.2">
      <c r="A331" t="s">
        <v>336</v>
      </c>
      <c r="B331" s="139" t="s">
        <v>400</v>
      </c>
      <c r="D331" t="s">
        <v>917</v>
      </c>
      <c r="E331" t="str">
        <f t="shared" si="5"/>
        <v>BALANCE.OTHTTWO.CSABRBIL.</v>
      </c>
    </row>
    <row r="332" spans="1:5" x14ac:dyDescent="0.2">
      <c r="A332" t="s">
        <v>336</v>
      </c>
      <c r="B332" s="139" t="s">
        <v>401</v>
      </c>
      <c r="D332" t="s">
        <v>917</v>
      </c>
      <c r="E332" t="str">
        <f t="shared" si="5"/>
        <v>BALANCE.OTHTTWO.OSABRFOR.</v>
      </c>
    </row>
    <row r="333" spans="1:5" x14ac:dyDescent="0.2">
      <c r="A333" t="s">
        <v>336</v>
      </c>
      <c r="B333" s="139" t="s">
        <v>402</v>
      </c>
      <c r="D333" t="s">
        <v>917</v>
      </c>
      <c r="E333" t="str">
        <f t="shared" si="5"/>
        <v>BALANCE.OTHTTWO.CSABRFOR.</v>
      </c>
    </row>
    <row r="334" spans="1:5" x14ac:dyDescent="0.2">
      <c r="A334" t="s">
        <v>336</v>
      </c>
      <c r="B334" s="139" t="s">
        <v>403</v>
      </c>
      <c r="D334" t="s">
        <v>917</v>
      </c>
      <c r="E334" t="str">
        <f t="shared" si="5"/>
        <v>BALANCE.OTHTTWO.OSTOTAL.</v>
      </c>
    </row>
    <row r="335" spans="1:5" x14ac:dyDescent="0.2">
      <c r="A335" t="s">
        <v>336</v>
      </c>
      <c r="B335" s="139" t="s">
        <v>404</v>
      </c>
      <c r="D335" t="s">
        <v>917</v>
      </c>
      <c r="E335" t="str">
        <f t="shared" si="5"/>
        <v>BALANCE.OTHTTWO.CSTOTAL.</v>
      </c>
    </row>
    <row r="336" spans="1:5" x14ac:dyDescent="0.2">
      <c r="A336" t="s">
        <v>336</v>
      </c>
      <c r="B336" s="139" t="s">
        <v>405</v>
      </c>
      <c r="D336" t="s">
        <v>917</v>
      </c>
      <c r="E336" t="str">
        <f t="shared" si="5"/>
        <v>BALANCE.OTHTTWO.OSOTHBON.</v>
      </c>
    </row>
    <row r="337" spans="1:5" x14ac:dyDescent="0.2">
      <c r="A337" t="s">
        <v>336</v>
      </c>
      <c r="B337" s="139" t="s">
        <v>406</v>
      </c>
      <c r="D337" t="s">
        <v>917</v>
      </c>
      <c r="E337" t="str">
        <f t="shared" si="5"/>
        <v>BALANCE.OTHTTWO.CSOTHBON.</v>
      </c>
    </row>
    <row r="338" spans="1:5" x14ac:dyDescent="0.2">
      <c r="A338" t="s">
        <v>336</v>
      </c>
      <c r="B338" s="139" t="s">
        <v>407</v>
      </c>
      <c r="D338" t="s">
        <v>917</v>
      </c>
      <c r="E338" t="str">
        <f t="shared" si="5"/>
        <v>BALANCE.OTHTTWO.OSPIPE.</v>
      </c>
    </row>
    <row r="339" spans="1:5" x14ac:dyDescent="0.2">
      <c r="A339" t="s">
        <v>336</v>
      </c>
      <c r="B339" s="139" t="s">
        <v>408</v>
      </c>
      <c r="D339" t="s">
        <v>917</v>
      </c>
      <c r="E339" t="str">
        <f t="shared" si="5"/>
        <v>BALANCE.OTHTTWO.CSPIPE.</v>
      </c>
    </row>
    <row r="340" spans="1:5" x14ac:dyDescent="0.2">
      <c r="A340" t="s">
        <v>336</v>
      </c>
      <c r="B340" s="139" t="s">
        <v>409</v>
      </c>
      <c r="D340" t="s">
        <v>917</v>
      </c>
      <c r="E340" t="str">
        <f t="shared" si="5"/>
        <v>BALANCE.OTHTTWO.OSABILGV.</v>
      </c>
    </row>
    <row r="341" spans="1:5" x14ac:dyDescent="0.2">
      <c r="A341" t="s">
        <v>336</v>
      </c>
      <c r="B341" s="139" t="s">
        <v>410</v>
      </c>
      <c r="D341" t="s">
        <v>917</v>
      </c>
      <c r="E341" t="str">
        <f t="shared" si="5"/>
        <v>BALANCE.OTHTTWO.CSABILGV.</v>
      </c>
    </row>
    <row r="342" spans="1:5" x14ac:dyDescent="0.2">
      <c r="A342" t="s">
        <v>336</v>
      </c>
      <c r="B342" s="139" t="s">
        <v>411</v>
      </c>
      <c r="D342" t="s">
        <v>917</v>
      </c>
      <c r="E342" t="str">
        <f t="shared" si="5"/>
        <v>BALANCE.OTHTTWO.OSABILHD.</v>
      </c>
    </row>
    <row r="343" spans="1:5" x14ac:dyDescent="0.2">
      <c r="A343" t="s">
        <v>336</v>
      </c>
      <c r="B343" s="139" t="s">
        <v>412</v>
      </c>
      <c r="D343" t="s">
        <v>917</v>
      </c>
      <c r="E343" t="str">
        <f t="shared" si="5"/>
        <v>BALANCE.OTHTTWO.CSABILHD.</v>
      </c>
    </row>
    <row r="344" spans="1:5" x14ac:dyDescent="0.2">
      <c r="A344" t="s">
        <v>336</v>
      </c>
      <c r="B344" s="139" t="s">
        <v>413</v>
      </c>
      <c r="D344" t="s">
        <v>917</v>
      </c>
      <c r="E344" t="str">
        <f t="shared" si="5"/>
        <v>BALANCE.OTHTTWO.OSABILOT.</v>
      </c>
    </row>
    <row r="345" spans="1:5" x14ac:dyDescent="0.2">
      <c r="A345" t="s">
        <v>336</v>
      </c>
      <c r="B345" s="139" t="s">
        <v>414</v>
      </c>
      <c r="D345" t="s">
        <v>917</v>
      </c>
      <c r="E345" t="str">
        <f t="shared" si="5"/>
        <v>BALANCE.OTHTTWO.CSABILOT.</v>
      </c>
    </row>
    <row r="346" spans="1:5" x14ac:dyDescent="0.2">
      <c r="A346" t="s">
        <v>336</v>
      </c>
      <c r="B346" t="s">
        <v>918</v>
      </c>
      <c r="D346" t="s">
        <v>917</v>
      </c>
      <c r="E346" t="str">
        <f t="shared" si="5"/>
        <v>BALANCE.OTHTTWO.CSABRBFG.</v>
      </c>
    </row>
    <row r="347" spans="1:5" x14ac:dyDescent="0.2">
      <c r="A347" t="s">
        <v>336</v>
      </c>
      <c r="B347" t="s">
        <v>919</v>
      </c>
      <c r="D347" t="s">
        <v>917</v>
      </c>
      <c r="E347" t="str">
        <f t="shared" si="5"/>
        <v>BALANCE.OTHTTWO.CSABRBFA.</v>
      </c>
    </row>
  </sheetData>
  <sheetProtection algorithmName="SHA-512" hashValue="qUfUIWLhphNWPSVz2sO/NgrzwoK3Uv+2815Us9Bj5jaitvNJ0Q2GKmHqIxMvcLlgR5DW05L65gzJeigamT8cvQ==" saltValue="YAbEOfwnHcH5pEYcnm+i+A==" spinCount="100000" sheet="1" objects="1" scenarios="1"/>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B15"/>
  <sheetViews>
    <sheetView workbookViewId="0"/>
  </sheetViews>
  <sheetFormatPr defaultRowHeight="12.75" x14ac:dyDescent="0.2"/>
  <cols>
    <col min="1" max="1" width="11" bestFit="1" customWidth="1"/>
    <col min="2" max="2" width="14.85546875" bestFit="1" customWidth="1"/>
  </cols>
  <sheetData>
    <row r="1" spans="1:2" x14ac:dyDescent="0.2">
      <c r="A1" s="656" t="s">
        <v>1205</v>
      </c>
      <c r="B1" s="656" t="s">
        <v>1206</v>
      </c>
    </row>
    <row r="2" spans="1:2" x14ac:dyDescent="0.2">
      <c r="A2" s="657" t="s">
        <v>1405</v>
      </c>
      <c r="B2" s="657" t="s">
        <v>1208</v>
      </c>
    </row>
    <row r="3" spans="1:2" x14ac:dyDescent="0.2">
      <c r="A3" s="657" t="s">
        <v>1207</v>
      </c>
      <c r="B3" s="657" t="s">
        <v>1208</v>
      </c>
    </row>
    <row r="4" spans="1:2" x14ac:dyDescent="0.2">
      <c r="A4" s="658" t="s">
        <v>1209</v>
      </c>
      <c r="B4" s="657" t="s">
        <v>1208</v>
      </c>
    </row>
    <row r="5" spans="1:2" x14ac:dyDescent="0.2">
      <c r="A5" s="658" t="s">
        <v>1210</v>
      </c>
      <c r="B5" s="657" t="s">
        <v>1208</v>
      </c>
    </row>
    <row r="6" spans="1:2" x14ac:dyDescent="0.2">
      <c r="A6" s="658" t="s">
        <v>1211</v>
      </c>
      <c r="B6" s="657" t="s">
        <v>1208</v>
      </c>
    </row>
    <row r="7" spans="1:2" x14ac:dyDescent="0.2">
      <c r="A7" s="658" t="s">
        <v>1212</v>
      </c>
      <c r="B7" s="657" t="s">
        <v>1208</v>
      </c>
    </row>
    <row r="8" spans="1:2" x14ac:dyDescent="0.2">
      <c r="A8" s="658" t="s">
        <v>1213</v>
      </c>
      <c r="B8" s="657" t="s">
        <v>1208</v>
      </c>
    </row>
    <row r="9" spans="1:2" x14ac:dyDescent="0.2">
      <c r="A9" s="658" t="s">
        <v>1214</v>
      </c>
      <c r="B9" s="657" t="s">
        <v>1208</v>
      </c>
    </row>
    <row r="10" spans="1:2" x14ac:dyDescent="0.2">
      <c r="A10" s="658" t="s">
        <v>1215</v>
      </c>
      <c r="B10" s="657" t="s">
        <v>1208</v>
      </c>
    </row>
    <row r="11" spans="1:2" x14ac:dyDescent="0.2">
      <c r="A11" s="658" t="s">
        <v>1216</v>
      </c>
      <c r="B11" s="657" t="s">
        <v>1208</v>
      </c>
    </row>
    <row r="12" spans="1:2" x14ac:dyDescent="0.2">
      <c r="A12" s="658" t="s">
        <v>1217</v>
      </c>
      <c r="B12" s="657" t="s">
        <v>1208</v>
      </c>
    </row>
    <row r="13" spans="1:2" x14ac:dyDescent="0.2">
      <c r="A13" s="658" t="s">
        <v>1218</v>
      </c>
      <c r="B13" s="657" t="s">
        <v>1208</v>
      </c>
    </row>
    <row r="14" spans="1:2" x14ac:dyDescent="0.2">
      <c r="A14" s="658" t="s">
        <v>1219</v>
      </c>
      <c r="B14" s="657" t="s">
        <v>1208</v>
      </c>
    </row>
    <row r="15" spans="1:2" x14ac:dyDescent="0.2">
      <c r="A15" s="658" t="s">
        <v>1220</v>
      </c>
      <c r="B15" s="657" t="s">
        <v>1208</v>
      </c>
    </row>
  </sheetData>
  <sheetProtection algorithmName="SHA-512" hashValue="nr8OnpfY8TBIFcwUHWawzGmDVQlZEZBktrz3Pr1sWViquJqSaYDtdP+l5OWWZTIxRdzFVsSp2BSlGDS9epqOFw==" saltValue="YyMbSi1jhvk/lxlpCBfZZQ==" spinCount="100000" sheet="1" objects="1" scenarios="1"/>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G21"/>
  <sheetViews>
    <sheetView workbookViewId="0"/>
  </sheetViews>
  <sheetFormatPr defaultRowHeight="12.75" x14ac:dyDescent="0.2"/>
  <cols>
    <col min="1" max="1" width="21.7109375" bestFit="1" customWidth="1"/>
    <col min="2" max="2" width="5.28515625" bestFit="1" customWidth="1"/>
    <col min="3" max="3" width="8.85546875" bestFit="1" customWidth="1"/>
    <col min="4" max="4" width="8.28515625" bestFit="1" customWidth="1"/>
    <col min="6" max="6" width="25.5703125" bestFit="1" customWidth="1"/>
    <col min="7" max="7" width="6.5703125" bestFit="1" customWidth="1"/>
  </cols>
  <sheetData>
    <row r="1" spans="1:7" ht="15" x14ac:dyDescent="0.25">
      <c r="A1" s="659" t="s">
        <v>1221</v>
      </c>
      <c r="B1" s="659" t="s">
        <v>1222</v>
      </c>
      <c r="C1" s="659" t="s">
        <v>1223</v>
      </c>
      <c r="D1" s="659" t="s">
        <v>1224</v>
      </c>
      <c r="E1" s="660"/>
      <c r="F1" s="659" t="s">
        <v>1225</v>
      </c>
      <c r="G1" s="661" t="s">
        <v>1226</v>
      </c>
    </row>
    <row r="2" spans="1:7" ht="15" x14ac:dyDescent="0.25">
      <c r="A2" s="660" t="s">
        <v>1227</v>
      </c>
      <c r="B2" s="660" t="s">
        <v>1228</v>
      </c>
      <c r="C2" s="660" t="s">
        <v>1229</v>
      </c>
      <c r="D2" s="662" t="s">
        <v>1230</v>
      </c>
      <c r="E2" s="660"/>
      <c r="F2" s="659" t="s">
        <v>1231</v>
      </c>
      <c r="G2" s="661" t="s">
        <v>1430</v>
      </c>
    </row>
    <row r="3" spans="1:7" ht="15" x14ac:dyDescent="0.25">
      <c r="A3" s="660" t="s">
        <v>1232</v>
      </c>
      <c r="B3" s="660" t="s">
        <v>1228</v>
      </c>
      <c r="C3" s="660" t="s">
        <v>1229</v>
      </c>
      <c r="D3" s="662" t="s">
        <v>164</v>
      </c>
      <c r="E3" s="660"/>
      <c r="F3" s="659" t="s">
        <v>1233</v>
      </c>
      <c r="G3" s="663" t="s">
        <v>1234</v>
      </c>
    </row>
    <row r="4" spans="1:7" ht="15" x14ac:dyDescent="0.25">
      <c r="A4" s="660" t="s">
        <v>1122</v>
      </c>
      <c r="B4" s="660" t="s">
        <v>1228</v>
      </c>
      <c r="C4" s="1059" t="s">
        <v>1390</v>
      </c>
      <c r="D4" s="662" t="s">
        <v>1391</v>
      </c>
      <c r="E4" s="660"/>
      <c r="F4" s="659"/>
      <c r="G4" s="664"/>
    </row>
    <row r="5" spans="1:7" ht="15" x14ac:dyDescent="0.25">
      <c r="A5" s="660" t="s">
        <v>1113</v>
      </c>
      <c r="B5" s="660" t="s">
        <v>1228</v>
      </c>
      <c r="C5" s="660" t="s">
        <v>1235</v>
      </c>
      <c r="D5" s="662">
        <v>1000</v>
      </c>
      <c r="E5" s="660"/>
      <c r="F5" s="656"/>
      <c r="G5" s="665"/>
    </row>
    <row r="6" spans="1:7" ht="15" x14ac:dyDescent="0.25">
      <c r="A6" s="660" t="s">
        <v>1123</v>
      </c>
      <c r="B6" s="660" t="s">
        <v>1228</v>
      </c>
      <c r="C6" s="660" t="s">
        <v>1236</v>
      </c>
      <c r="D6" s="662" t="s">
        <v>1237</v>
      </c>
      <c r="E6" s="660"/>
      <c r="F6" s="659"/>
      <c r="G6" s="664"/>
    </row>
    <row r="7" spans="1:7" ht="15" x14ac:dyDescent="0.25">
      <c r="A7" s="660" t="s">
        <v>1124</v>
      </c>
      <c r="B7" s="660" t="s">
        <v>1228</v>
      </c>
      <c r="C7" s="660" t="s">
        <v>1236</v>
      </c>
      <c r="D7" s="662" t="s">
        <v>1238</v>
      </c>
      <c r="E7" s="660"/>
      <c r="F7" s="659"/>
      <c r="G7" s="664"/>
    </row>
    <row r="8" spans="1:7" ht="15" x14ac:dyDescent="0.25">
      <c r="A8" s="660" t="s">
        <v>1125</v>
      </c>
      <c r="B8" s="660" t="s">
        <v>1228</v>
      </c>
      <c r="C8" s="660" t="s">
        <v>1236</v>
      </c>
      <c r="D8" s="662" t="s">
        <v>1239</v>
      </c>
      <c r="E8" s="660"/>
      <c r="F8" s="659"/>
      <c r="G8" s="664"/>
    </row>
    <row r="9" spans="1:7" ht="15" x14ac:dyDescent="0.25">
      <c r="A9" s="660" t="s">
        <v>1126</v>
      </c>
      <c r="B9" s="660" t="s">
        <v>1228</v>
      </c>
      <c r="C9" s="660" t="s">
        <v>1236</v>
      </c>
      <c r="D9" s="662" t="s">
        <v>1240</v>
      </c>
      <c r="E9" s="660"/>
      <c r="F9" s="659"/>
      <c r="G9" s="664"/>
    </row>
    <row r="10" spans="1:7" ht="15" x14ac:dyDescent="0.25">
      <c r="A10" s="660" t="s">
        <v>415</v>
      </c>
      <c r="B10" s="660" t="s">
        <v>1228</v>
      </c>
      <c r="C10" s="660" t="s">
        <v>1236</v>
      </c>
      <c r="D10" s="662" t="s">
        <v>1241</v>
      </c>
      <c r="E10" s="660"/>
      <c r="F10" s="659"/>
      <c r="G10" s="664"/>
    </row>
    <row r="11" spans="1:7" ht="15" x14ac:dyDescent="0.25">
      <c r="A11" s="660" t="s">
        <v>1127</v>
      </c>
      <c r="B11" s="660" t="s">
        <v>1228</v>
      </c>
      <c r="C11" s="660" t="s">
        <v>1236</v>
      </c>
      <c r="D11" s="662" t="s">
        <v>419</v>
      </c>
      <c r="E11" s="660"/>
      <c r="F11" s="659"/>
      <c r="G11" s="664"/>
    </row>
    <row r="12" spans="1:7" ht="15" x14ac:dyDescent="0.25">
      <c r="A12" s="660" t="s">
        <v>1128</v>
      </c>
      <c r="B12" s="660" t="s">
        <v>1228</v>
      </c>
      <c r="C12" s="660" t="s">
        <v>1236</v>
      </c>
      <c r="D12" s="662" t="s">
        <v>1242</v>
      </c>
      <c r="E12" s="660"/>
      <c r="F12" s="659"/>
      <c r="G12" s="664"/>
    </row>
    <row r="13" spans="1:7" ht="15" x14ac:dyDescent="0.25">
      <c r="A13" s="660" t="s">
        <v>1129</v>
      </c>
      <c r="B13" s="660" t="s">
        <v>1228</v>
      </c>
      <c r="C13" s="660" t="s">
        <v>1236</v>
      </c>
      <c r="D13" s="662" t="s">
        <v>1243</v>
      </c>
      <c r="E13" s="660"/>
      <c r="F13" s="659"/>
      <c r="G13" s="664"/>
    </row>
    <row r="14" spans="1:7" ht="15" x14ac:dyDescent="0.25">
      <c r="A14" s="1059" t="s">
        <v>1244</v>
      </c>
      <c r="B14" s="660" t="s">
        <v>1228</v>
      </c>
      <c r="C14" s="1059" t="s">
        <v>1390</v>
      </c>
      <c r="D14" s="662" t="s">
        <v>1389</v>
      </c>
      <c r="E14" s="660"/>
      <c r="F14" s="659"/>
      <c r="G14" s="664"/>
    </row>
    <row r="15" spans="1:7" ht="15" x14ac:dyDescent="0.25">
      <c r="A15" s="660" t="s">
        <v>1130</v>
      </c>
      <c r="B15" s="660" t="s">
        <v>1228</v>
      </c>
      <c r="C15" s="660" t="s">
        <v>1236</v>
      </c>
      <c r="D15" s="662" t="s">
        <v>447</v>
      </c>
      <c r="E15" s="660"/>
      <c r="F15" s="659"/>
      <c r="G15" s="664"/>
    </row>
    <row r="16" spans="1:7" ht="15" x14ac:dyDescent="0.25">
      <c r="A16" s="660" t="s">
        <v>1131</v>
      </c>
      <c r="B16" s="660" t="s">
        <v>1245</v>
      </c>
      <c r="C16" s="660" t="s">
        <v>1236</v>
      </c>
      <c r="D16" s="662" t="s">
        <v>1246</v>
      </c>
      <c r="E16" s="660"/>
      <c r="F16" s="659"/>
      <c r="G16" s="664"/>
    </row>
    <row r="17" spans="1:7" ht="15" x14ac:dyDescent="0.25">
      <c r="A17" s="660" t="s">
        <v>1247</v>
      </c>
      <c r="B17" s="660" t="s">
        <v>1245</v>
      </c>
      <c r="C17" s="660" t="s">
        <v>1248</v>
      </c>
      <c r="D17" s="662"/>
      <c r="E17" s="660"/>
      <c r="F17" s="659"/>
      <c r="G17" s="664"/>
    </row>
    <row r="18" spans="1:7" ht="15" x14ac:dyDescent="0.25">
      <c r="A18" s="660" t="s">
        <v>1249</v>
      </c>
      <c r="B18" s="660" t="s">
        <v>1245</v>
      </c>
      <c r="C18" s="660" t="s">
        <v>1248</v>
      </c>
      <c r="D18" s="662"/>
      <c r="E18" s="660"/>
      <c r="F18" s="659"/>
      <c r="G18" s="664"/>
    </row>
    <row r="19" spans="1:7" ht="15" x14ac:dyDescent="0.25">
      <c r="A19" s="660" t="s">
        <v>1250</v>
      </c>
      <c r="B19" s="660" t="s">
        <v>1245</v>
      </c>
      <c r="C19" s="660" t="s">
        <v>1248</v>
      </c>
      <c r="D19" s="662"/>
      <c r="E19" s="660"/>
      <c r="F19" s="659"/>
      <c r="G19" s="664"/>
    </row>
    <row r="20" spans="1:7" ht="15" x14ac:dyDescent="0.25">
      <c r="A20" s="660" t="s">
        <v>1251</v>
      </c>
      <c r="B20" s="660" t="s">
        <v>1245</v>
      </c>
      <c r="C20" s="660" t="s">
        <v>1248</v>
      </c>
      <c r="D20" s="662"/>
      <c r="E20" s="660"/>
      <c r="F20" s="659"/>
      <c r="G20" s="664"/>
    </row>
    <row r="21" spans="1:7" ht="15" x14ac:dyDescent="0.25">
      <c r="A21" s="660" t="s">
        <v>1252</v>
      </c>
      <c r="B21" s="660" t="s">
        <v>1245</v>
      </c>
      <c r="C21" s="660" t="s">
        <v>1248</v>
      </c>
      <c r="D21" s="662"/>
      <c r="E21" s="660"/>
      <c r="F21" s="659"/>
      <c r="G21" s="664"/>
    </row>
  </sheetData>
  <sheetProtection algorithmName="SHA-512" hashValue="6zLOwkhr7W/v9xbisoVptYMGsd5ZpSbWlpNCNm7OnTzIL0WavSA5AeyQeFs9j51Jr/dlVui2jOcAZZ+WSxMomw==" saltValue="AXLz2lrVtiXsKVDeoyYQX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17</vt:i4>
      </vt:variant>
      <vt:variant>
        <vt:lpstr>Benoemde bereiken</vt:lpstr>
      </vt:variant>
      <vt:variant>
        <vt:i4>184</vt:i4>
      </vt:variant>
    </vt:vector>
  </HeadingPairs>
  <TitlesOfParts>
    <vt:vector size="201" baseType="lpstr">
      <vt:lpstr>Summary</vt:lpstr>
      <vt:lpstr>Table 1</vt:lpstr>
      <vt:lpstr>Table 2</vt:lpstr>
      <vt:lpstr>Table 3</vt:lpstr>
      <vt:lpstr>Table 4</vt:lpstr>
      <vt:lpstr>Table 5</vt:lpstr>
      <vt:lpstr>Table 5b_5c</vt:lpstr>
      <vt:lpstr>Table 6</vt:lpstr>
      <vt:lpstr>Table 6b</vt:lpstr>
      <vt:lpstr>Table 7</vt:lpstr>
      <vt:lpstr>Table 8</vt:lpstr>
      <vt:lpstr>Table 8b</vt:lpstr>
      <vt:lpstr>Table 8c</vt:lpstr>
      <vt:lpstr>Table 9</vt:lpstr>
      <vt:lpstr>Remarks</vt:lpstr>
      <vt:lpstr>Days Equivalent Calculation</vt:lpstr>
      <vt:lpstr>New Days Equivalent Calculation</vt:lpstr>
      <vt:lpstr>'Days Equivalent Calculation'!Afdrukbereik</vt:lpstr>
      <vt:lpstr>'New Days Equivalent Calculation'!Afdrukbereik</vt:lpstr>
      <vt:lpstr>Remarks!Afdrukbereik</vt:lpstr>
      <vt:lpstr>Summary!Afdrukbereik</vt:lpstr>
      <vt:lpstr>'Table 1'!Afdrukbereik</vt:lpstr>
      <vt:lpstr>'Table 2'!Afdrukbereik</vt:lpstr>
      <vt:lpstr>'Table 3'!Afdrukbereik</vt:lpstr>
      <vt:lpstr>'Table 4'!Afdrukbereik</vt:lpstr>
      <vt:lpstr>'Table 5'!Afdrukbereik</vt:lpstr>
      <vt:lpstr>'Table 5b_5c'!Afdrukbereik</vt:lpstr>
      <vt:lpstr>'Table 6'!Afdrukbereik</vt:lpstr>
      <vt:lpstr>'Table 6b'!Afdrukbereik</vt:lpstr>
      <vt:lpstr>'Table 7'!Afdrukbereik</vt:lpstr>
      <vt:lpstr>'Table 8'!Afdrukbereik</vt:lpstr>
      <vt:lpstr>'Table 8b'!Afdrukbereik</vt:lpstr>
      <vt:lpstr>'Table 8c'!Afdrukbereik</vt:lpstr>
      <vt:lpstr>'Table 9'!Afdrukbereik</vt:lpstr>
      <vt:lpstr>'Table 2'!Afdruktitels</vt:lpstr>
      <vt:lpstr>'Table 3'!Afdruktitels</vt:lpstr>
      <vt:lpstr>'Table 4'!Afdruktitels</vt:lpstr>
      <vt:lpstr>CountryCode</vt:lpstr>
      <vt:lpstr>CountryIeaList</vt:lpstr>
      <vt:lpstr>CountryIndex</vt:lpstr>
      <vt:lpstr>CountryIsoList</vt:lpstr>
      <vt:lpstr>CountryList</vt:lpstr>
      <vt:lpstr>CountryUser</vt:lpstr>
      <vt:lpstr>CsvCountry</vt:lpstr>
      <vt:lpstr>CsvCountryName</vt:lpstr>
      <vt:lpstr>CsvMonth</vt:lpstr>
      <vt:lpstr>CsvMonthName</vt:lpstr>
      <vt:lpstr>CsvYear</vt:lpstr>
      <vt:lpstr>DataT1</vt:lpstr>
      <vt:lpstr>DataT2</vt:lpstr>
      <vt:lpstr>DataT3</vt:lpstr>
      <vt:lpstr>DataT4</vt:lpstr>
      <vt:lpstr>DataT5</vt:lpstr>
      <vt:lpstr>DataT5b_5c_1</vt:lpstr>
      <vt:lpstr>DataT5b_5c_2</vt:lpstr>
      <vt:lpstr>DataT5b_5c_3</vt:lpstr>
      <vt:lpstr>DataT5b_5c_4</vt:lpstr>
      <vt:lpstr>DataT6</vt:lpstr>
      <vt:lpstr>DataT6b</vt:lpstr>
      <vt:lpstr>DataT7</vt:lpstr>
      <vt:lpstr>DataT8</vt:lpstr>
      <vt:lpstr>DataT8b</vt:lpstr>
      <vt:lpstr>DataT8c</vt:lpstr>
      <vt:lpstr>DataT9</vt:lpstr>
      <vt:lpstr>DataTRem</vt:lpstr>
      <vt:lpstr>DatatypeT1</vt:lpstr>
      <vt:lpstr>DatatypeT2</vt:lpstr>
      <vt:lpstr>DatatypeT3</vt:lpstr>
      <vt:lpstr>DatatypeT4</vt:lpstr>
      <vt:lpstr>DatatypeT5</vt:lpstr>
      <vt:lpstr>DatatypeT5b_5c_1</vt:lpstr>
      <vt:lpstr>DatatypeT5b_5c_2</vt:lpstr>
      <vt:lpstr>DatatypeT5b_5c_3</vt:lpstr>
      <vt:lpstr>DatatypeT5b_5c_4</vt:lpstr>
      <vt:lpstr>DatatypeT6</vt:lpstr>
      <vt:lpstr>DatatypeT6b</vt:lpstr>
      <vt:lpstr>DatatypeT7</vt:lpstr>
      <vt:lpstr>DatatypeT8</vt:lpstr>
      <vt:lpstr>DatatypeT8b</vt:lpstr>
      <vt:lpstr>DatatypeT8c</vt:lpstr>
      <vt:lpstr>DatatypeT9</vt:lpstr>
      <vt:lpstr>DatatypeTRem</vt:lpstr>
      <vt:lpstr>DS</vt:lpstr>
      <vt:lpstr>EnCMember</vt:lpstr>
      <vt:lpstr>EUDSDCodesT1</vt:lpstr>
      <vt:lpstr>EUDSDCodesT2</vt:lpstr>
      <vt:lpstr>EUDSDCodesT3</vt:lpstr>
      <vt:lpstr>EUDSDCodesT4</vt:lpstr>
      <vt:lpstr>EUDSDCodesT5</vt:lpstr>
      <vt:lpstr>EUDSDCodesT5b_5c</vt:lpstr>
      <vt:lpstr>EUDSDCodesT6</vt:lpstr>
      <vt:lpstr>EUDSDCodesT6b</vt:lpstr>
      <vt:lpstr>EUDSDCodesT7</vt:lpstr>
      <vt:lpstr>EUDSDCodesT8</vt:lpstr>
      <vt:lpstr>EUDSDCodesT8b</vt:lpstr>
      <vt:lpstr>EUDSDCodesT8c</vt:lpstr>
      <vt:lpstr>EUDSDCodesT9</vt:lpstr>
      <vt:lpstr>EUMember</vt:lpstr>
      <vt:lpstr>EUMethod</vt:lpstr>
      <vt:lpstr>EUProdT1</vt:lpstr>
      <vt:lpstr>EUProdT2</vt:lpstr>
      <vt:lpstr>EUProdT3</vt:lpstr>
      <vt:lpstr>EUProdT4</vt:lpstr>
      <vt:lpstr>EUProdT5</vt:lpstr>
      <vt:lpstr>EUProdT5b_5c</vt:lpstr>
      <vt:lpstr>EUProdT6</vt:lpstr>
      <vt:lpstr>EUProdT6b</vt:lpstr>
      <vt:lpstr>EUProdT7</vt:lpstr>
      <vt:lpstr>EUProdT8</vt:lpstr>
      <vt:lpstr>EUProdT8b</vt:lpstr>
      <vt:lpstr>EUProdT8c</vt:lpstr>
      <vt:lpstr>EUProdT9</vt:lpstr>
      <vt:lpstr>EUYear</vt:lpstr>
      <vt:lpstr>FakeKeys</vt:lpstr>
      <vt:lpstr>FirstMonth</vt:lpstr>
      <vt:lpstr>FormulasDataT1</vt:lpstr>
      <vt:lpstr>FormulasDataT2</vt:lpstr>
      <vt:lpstr>FormulasDataT3</vt:lpstr>
      <vt:lpstr>FormulasDataT4</vt:lpstr>
      <vt:lpstr>FormulasDataT5</vt:lpstr>
      <vt:lpstr>FormulasDataT5b_5c_1</vt:lpstr>
      <vt:lpstr>FormulasDataT5b_5c_2</vt:lpstr>
      <vt:lpstr>FormulasDataT5b_5c_3</vt:lpstr>
      <vt:lpstr>FormulasDataT5b_5c_4</vt:lpstr>
      <vt:lpstr>FormulasDataT6</vt:lpstr>
      <vt:lpstr>FormulasDataT6b</vt:lpstr>
      <vt:lpstr>FormulasDataT7</vt:lpstr>
      <vt:lpstr>FormulasDataT8</vt:lpstr>
      <vt:lpstr>FormulasDataT8b</vt:lpstr>
      <vt:lpstr>FormulasDataT8c</vt:lpstr>
      <vt:lpstr>FormulasDataT9</vt:lpstr>
      <vt:lpstr>Item1T1</vt:lpstr>
      <vt:lpstr>Item1T2</vt:lpstr>
      <vt:lpstr>Item1T3</vt:lpstr>
      <vt:lpstr>Item1T4</vt:lpstr>
      <vt:lpstr>Item1T5</vt:lpstr>
      <vt:lpstr>Item1T5b_5c</vt:lpstr>
      <vt:lpstr>Item1T5b_5c_1</vt:lpstr>
      <vt:lpstr>Item1T5b_5c_2</vt:lpstr>
      <vt:lpstr>Item1T5b_5c_3</vt:lpstr>
      <vt:lpstr>Item1T5b_5c_4</vt:lpstr>
      <vt:lpstr>Item1T6</vt:lpstr>
      <vt:lpstr>Item1T6b</vt:lpstr>
      <vt:lpstr>Item1T7</vt:lpstr>
      <vt:lpstr>Item1T8</vt:lpstr>
      <vt:lpstr>Item1T8b</vt:lpstr>
      <vt:lpstr>Item1T8c</vt:lpstr>
      <vt:lpstr>Item1T9</vt:lpstr>
      <vt:lpstr>Item1TRem</vt:lpstr>
      <vt:lpstr>Item2T5b_5c_1</vt:lpstr>
      <vt:lpstr>Item2T5b_5c_2</vt:lpstr>
      <vt:lpstr>Item2T5b_5c_3</vt:lpstr>
      <vt:lpstr>Item2T5b_5c_4</vt:lpstr>
      <vt:lpstr>Item2T6</vt:lpstr>
      <vt:lpstr>Item2T6b</vt:lpstr>
      <vt:lpstr>Item2T7</vt:lpstr>
      <vt:lpstr>Item2T8</vt:lpstr>
      <vt:lpstr>Item2T8b</vt:lpstr>
      <vt:lpstr>Item2T8c</vt:lpstr>
      <vt:lpstr>Item2T9</vt:lpstr>
      <vt:lpstr>MonthCodes</vt:lpstr>
      <vt:lpstr>MonthIndex</vt:lpstr>
      <vt:lpstr>MonthList</vt:lpstr>
      <vt:lpstr>MsgAfterRounding</vt:lpstr>
      <vt:lpstr>NoDataT1</vt:lpstr>
      <vt:lpstr>NoDataT2</vt:lpstr>
      <vt:lpstr>NoDataT2_2</vt:lpstr>
      <vt:lpstr>NoDataT5b_5c_2_1</vt:lpstr>
      <vt:lpstr>NoDataT5b_5c_2_2</vt:lpstr>
      <vt:lpstr>NoDataT6</vt:lpstr>
      <vt:lpstr>NoDataT6b</vt:lpstr>
      <vt:lpstr>NoDataT7</vt:lpstr>
      <vt:lpstr>NoDataT8</vt:lpstr>
      <vt:lpstr>NoDataT8b</vt:lpstr>
      <vt:lpstr>NoDataT8c</vt:lpstr>
      <vt:lpstr>NoDataT9</vt:lpstr>
      <vt:lpstr>ParamCountry</vt:lpstr>
      <vt:lpstr>ParamMonth</vt:lpstr>
      <vt:lpstr>PosiMonth</vt:lpstr>
      <vt:lpstr>PosiMonth1</vt:lpstr>
      <vt:lpstr>ProdT1</vt:lpstr>
      <vt:lpstr>ProdT2</vt:lpstr>
      <vt:lpstr>ProdT3</vt:lpstr>
      <vt:lpstr>ProdT4</vt:lpstr>
      <vt:lpstr>ProdT5</vt:lpstr>
      <vt:lpstr>ProdT5b_5c</vt:lpstr>
      <vt:lpstr>ProdT5b_5c_1</vt:lpstr>
      <vt:lpstr>ProdT5b_5c_2</vt:lpstr>
      <vt:lpstr>ProdT5b_5c_3</vt:lpstr>
      <vt:lpstr>ProdT5b_5c_4</vt:lpstr>
      <vt:lpstr>ProdT6</vt:lpstr>
      <vt:lpstr>ProdT6b</vt:lpstr>
      <vt:lpstr>ProdT7</vt:lpstr>
      <vt:lpstr>ProdT8</vt:lpstr>
      <vt:lpstr>ProdT8b</vt:lpstr>
      <vt:lpstr>ProdT8c</vt:lpstr>
      <vt:lpstr>ProdT9</vt:lpstr>
      <vt:lpstr>QuestCountry</vt:lpstr>
      <vt:lpstr>QuestMonth</vt:lpstr>
      <vt:lpstr>QuestYear</vt:lpstr>
      <vt:lpstr>SumOil</vt:lpstr>
    </vt:vector>
  </TitlesOfParts>
  <Manager>MOS@iea.org</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Monthly Oil Questionnaire</dc:title>
  <dc:creator>International Energy Agency</dc:creator>
  <cp:lastModifiedBy>Brummelkamp, S.R. (Sander)</cp:lastModifiedBy>
  <cp:lastPrinted>2019-06-07T16:17:29Z</cp:lastPrinted>
  <dcterms:created xsi:type="dcterms:W3CDTF">2000-01-28T09:08:59Z</dcterms:created>
  <dcterms:modified xsi:type="dcterms:W3CDTF">2026-10-23T11:08:41Z</dcterms:modified>
  <cp:version>2026.1</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2025-10-29T13:40:57Z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dbc57ea9-dd2b-4aac-b9b2-e3670ad124f8</vt:lpwstr>
  </property>
  <property fmtid="{D5CDD505-2E9C-101B-9397-08002B2CF9AE}" pid="8" name="MSIP_Label_6bd9ddd1-4d20-43f6-abfa-fc3c07406f94_ContentBits">
    <vt:lpwstr>0</vt:lpwstr>
  </property>
  <property fmtid="{D5CDD505-2E9C-101B-9397-08002B2CF9AE}" pid="9" name="MSIP_Label_6bd9ddd1-4d20-43f6-abfa-fc3c07406f94_Tag">
    <vt:lpwstr>10, 3, 0, 1</vt:lpwstr>
  </property>
  <property fmtid="{D5CDD505-2E9C-101B-9397-08002B2CF9AE}" pid="10" name="MSIP_Label_7547d8fe-f8e0-4027-ab5c-9aff98a576a8_Enabled">
    <vt:lpwstr>true</vt:lpwstr>
  </property>
  <property fmtid="{D5CDD505-2E9C-101B-9397-08002B2CF9AE}" pid="11" name="MSIP_Label_7547d8fe-f8e0-4027-ab5c-9aff98a576a8_SetDate">
    <vt:lpwstr>2025-10-29T15:04:00Z</vt:lpwstr>
  </property>
  <property fmtid="{D5CDD505-2E9C-101B-9397-08002B2CF9AE}" pid="12" name="MSIP_Label_7547d8fe-f8e0-4027-ab5c-9aff98a576a8_Method">
    <vt:lpwstr>Privileged</vt:lpwstr>
  </property>
  <property fmtid="{D5CDD505-2E9C-101B-9397-08002B2CF9AE}" pid="13" name="MSIP_Label_7547d8fe-f8e0-4027-ab5c-9aff98a576a8_Name">
    <vt:lpwstr>RESTRICTED</vt:lpwstr>
  </property>
  <property fmtid="{D5CDD505-2E9C-101B-9397-08002B2CF9AE}" pid="14" name="MSIP_Label_7547d8fe-f8e0-4027-ab5c-9aff98a576a8_SiteId">
    <vt:lpwstr>fe3d9bf9-cec4-4361-8b78-e6f3edbaa3d0</vt:lpwstr>
  </property>
  <property fmtid="{D5CDD505-2E9C-101B-9397-08002B2CF9AE}" pid="15" name="MSIP_Label_7547d8fe-f8e0-4027-ab5c-9aff98a576a8_ActionId">
    <vt:lpwstr>e2981ad3-a52f-4c63-821d-e04edf55adc2</vt:lpwstr>
  </property>
  <property fmtid="{D5CDD505-2E9C-101B-9397-08002B2CF9AE}" pid="16" name="MSIP_Label_7547d8fe-f8e0-4027-ab5c-9aff98a576a8_ContentBits">
    <vt:lpwstr>0</vt:lpwstr>
  </property>
  <property fmtid="{D5CDD505-2E9C-101B-9397-08002B2CF9AE}" pid="17" name="MSIP_Label_7547d8fe-f8e0-4027-ab5c-9aff98a576a8_Tag">
    <vt:lpwstr>10, 0, 1, 1</vt:lpwstr>
  </property>
</Properties>
</file>