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bsp.nl\productie\primair\TEN\Werk\MEDEWERKERS\SBUP\EDAMIS\"/>
    </mc:Choice>
  </mc:AlternateContent>
  <xr:revisionPtr revIDLastSave="0" documentId="8_{6F467D13-D2D9-4743-8924-A946EA8386EF}" xr6:coauthVersionLast="47" xr6:coauthVersionMax="47" xr10:uidLastSave="{00000000-0000-0000-0000-000000000000}"/>
  <workbookProtection workbookAlgorithmName="SHA-512" workbookHashValue="xlNE86UKfsm5X5JkqykXfjr1KCU0RlWb3qDEU1Jc/41YdlkPMwPvLfvqzLWzocfshgGXLA4Qzg53U+aMrhsTdA==" workbookSaltValue="XJcy6szuWLL3htHIjL1yig==" workbookSpinCount="100000" lockStructure="1"/>
  <bookViews>
    <workbookView xWindow="-120" yWindow="-120" windowWidth="51840" windowHeight="21120" tabRatio="735" activeTab="1" xr2:uid="{00000000-000D-0000-FFFF-FFFF00000000}"/>
  </bookViews>
  <sheets>
    <sheet name="Instructions" sheetId="7" r:id="rId1"/>
    <sheet name="JODI_Oil" sheetId="1" r:id="rId2"/>
    <sheet name="MOS_Table_1" sheetId="8" r:id="rId3"/>
    <sheet name="MOS_Table_2" sheetId="9" r:id="rId4"/>
    <sheet name="MOS_Table_5" sheetId="10" r:id="rId5"/>
    <sheet name="Definitions - short" sheetId="3" r:id="rId6"/>
    <sheet name="Product Definitions Long" sheetId="4" r:id="rId7"/>
    <sheet name="Flows Definitions Long" sheetId="5" r:id="rId8"/>
    <sheet name="Param" sheetId="6" state="veryHidden" r:id="rId9"/>
    <sheet name="Import Errors-01" sheetId="12" r:id="rId10"/>
    <sheet name="Formulas" sheetId="11" state="veryHidden" r:id="rId11"/>
  </sheets>
  <definedNames>
    <definedName name="_Del01">JODI_Oil!$D$13:$E$13</definedName>
    <definedName name="_Del02">JODI_Oil!$D$16:$E$16</definedName>
    <definedName name="_Del03">MOS_Table_1!$D$15:$E$17</definedName>
    <definedName name="_Del04">MOS_Table_1!$F$14:$F$15</definedName>
    <definedName name="_Del05">MOS_Table_1!$G$16:$I$17</definedName>
    <definedName name="_Del06">MOS_Table_1!$H$18:$H$19</definedName>
    <definedName name="_Del07">MOS_Table_1!$H$14</definedName>
    <definedName name="_Del08">MOS_Table_2!$D$9:$E$14</definedName>
    <definedName name="_Del09">MOS_Table_2!$F$12:$F$13</definedName>
    <definedName name="_Del10">MOS_Table_2!$D$16:$E$17</definedName>
    <definedName name="_Del11">MOS_Table_2!$F$17</definedName>
    <definedName name="_Del12">MOS_Table_2!$D$21:$L$21</definedName>
    <definedName name="_Del13">MOS_Table_2!$R$21:$AB$21</definedName>
    <definedName name="_Del14">MOS_Table_2!$D$23:$G$23</definedName>
    <definedName name="_Del15">MOS_Table_2!$I$23:$AB$23</definedName>
    <definedName name="_Del16">MOS_Table_2!$D$24:$S$24</definedName>
    <definedName name="_Del17">MOS_Table_2!$X$24:$AB$24</definedName>
    <definedName name="_Del18">MOS_Table_2!$D$26:$E$26</definedName>
    <definedName name="_Del19">MOS_Table_2!$D$27:$AB$27</definedName>
    <definedName name="_xlnm._FilterDatabase" localSheetId="2" hidden="1">MOS_Table_1!$A$1:$D$6</definedName>
    <definedName name="_xlnm.Print_Area" localSheetId="5">'Definitions - short'!$A$1:$C$33</definedName>
    <definedName name="_xlnm.Print_Area" localSheetId="7">'Flows Definitions Long'!$C$4:$C$35</definedName>
    <definedName name="_xlnm.Print_Area" localSheetId="1">JODI_Oil!$A$1:$T$33</definedName>
    <definedName name="_xlnm.Print_Area" localSheetId="2">MOS_Table_1!$A$1:$L$31</definedName>
    <definedName name="_xlnm.Print_Area" localSheetId="3">MOS_Table_2!$A$1:$AC$44</definedName>
    <definedName name="_xlnm.Print_Area" localSheetId="4">MOS_Table_5!$A$1:$AH$47</definedName>
    <definedName name="_xlnm.Print_Area" localSheetId="6">'Product Definitions Long'!$C$4:$C$72</definedName>
    <definedName name="_xlnm.Print_Titles" localSheetId="5">'Definitions - short'!$1:$2</definedName>
    <definedName name="_xlnm.Print_Titles" localSheetId="7">'Flows Definitions Long'!$B:$B,'Flows Definitions Long'!$2:$3</definedName>
    <definedName name="_xlnm.Print_Titles" localSheetId="3">MOS_Table_2!$B:$B,MOS_Table_2!$2:$5</definedName>
    <definedName name="_xlnm.Print_Titles" localSheetId="6">'Product Definitions Long'!$B:$B,'Product Definitions Long'!$2:$3</definedName>
    <definedName name="CalcInconsist">JODI_Oil!$AM$9:$BV$23</definedName>
    <definedName name="CountryCode">Param!$D$101</definedName>
    <definedName name="CountryIeaList">Param!$D$8:$D$65</definedName>
    <definedName name="CountryIndex">Param!$D$98</definedName>
    <definedName name="CountryIsoList">Param!$E$8:$E$65</definedName>
    <definedName name="CountryList">Param!$C$8:$C$65</definedName>
    <definedName name="CountryUser">JODI_Oil!$D$5</definedName>
    <definedName name="Crude1">JODI_Oil!$D$12:$G$21</definedName>
    <definedName name="Crude1Formulas">Formulas!$D$31:$G$40</definedName>
    <definedName name="CrudeData">JODI_Oil!$D$12:$F$18,JODI_Oil!$D$20:$F$21</definedName>
    <definedName name="CrudeFormulas">Formulas!$D$12:$G$21</definedName>
    <definedName name="CrudeStatDiff1">JODI_Oil!$D$19:$E$19</definedName>
    <definedName name="CrudeStatDiff2">JODI_Oil!$F$19:$G$19</definedName>
    <definedName name="CrudeTotal">JODI_Oil!$G$12:$G$18,JODI_Oil!$G$20:$G$21</definedName>
    <definedName name="CsvCountry">Param!$D$107</definedName>
    <definedName name="CsvCountryName">Param!$D$109</definedName>
    <definedName name="CsvMonth1">Param!$D$103</definedName>
    <definedName name="CsvMonthName">Param!$D$110</definedName>
    <definedName name="CsvYear1">Param!$D$104</definedName>
    <definedName name="DataFromMOS">Param!$D$88</definedName>
    <definedName name="DataMosTable1">MOS_Table_1!$D$14:$J$25</definedName>
    <definedName name="DataMosTable2">MOS_Table_2!$D$8:$AC$27</definedName>
    <definedName name="DataMosTable5">MOS_Table_5!$D$8:$AH$41</definedName>
    <definedName name="DatatypeMaxi">JODI_Oil!$W$36</definedName>
    <definedName name="DatatypeTable1">MOS_Table_1!$AI$130</definedName>
    <definedName name="DatatypeTable2">MOS_Table_2!$AI$130</definedName>
    <definedName name="DatatypeTable5">MOS_Table_5!$AS$4</definedName>
    <definedName name="EuItems">JODI_Oil!$AI$12:$AI$21</definedName>
    <definedName name="EuProducts">JODI_Oil!$130:$130</definedName>
    <definedName name="FirstMonth">JODI_Oil!$D$7</definedName>
    <definedName name="ItemListCrude1">JODI_Oil!$W$12:$W$21</definedName>
    <definedName name="ItemListPetro1">JODI_Oil!$X$12:$X$21</definedName>
    <definedName name="ItemsTable1">MOS_Table_1!$AI$14:$AI$25</definedName>
    <definedName name="ItemsTable2">MOS_Table_2!$AS$8:$AS$27</definedName>
    <definedName name="ItemsTable5">MOS_Table_5!$AS$8:$AS$41</definedName>
    <definedName name="MonthCodes">Param!$D$72:$D$83</definedName>
    <definedName name="MonthIndex">Param!$D$94</definedName>
    <definedName name="MonthList">Param!$C$72:$C$83</definedName>
    <definedName name="MosOnly">Param!$D$112</definedName>
    <definedName name="MosOnlyT1">MOS_Table_1!$F$14:$I$25</definedName>
    <definedName name="MosOnlyT2">MOS_Table_2!$D$20:$E$27,MOS_Table_2!$F$8:$G$27,MOS_Table_2!$H$20:$I$27,MOS_Table_2!$J$8:$N$27,MOS_Table_2!$P$8:$T$27,MOS_Table_2!$V$8:$W$27,MOS_Table_2!$Y$8:$AB$27,MOS_Table_2!$O$20:$O$26,MOS_Table_2!$U$20:$U$27,MOS_Table_2!$X$20:$X$26</definedName>
    <definedName name="MosOnlyT5">MOS_Table_5!$D$10:$AH$30,MOS_Table_5!$D$8:$AH$8,MOS_Table_5!$D$32:$AH$41</definedName>
    <definedName name="MsgAfterRounding">Param!$D$86</definedName>
    <definedName name="NbInconsist">JODI_Oil!$BH$23</definedName>
    <definedName name="ParamCountry">Param!$C$8:$E$65</definedName>
    <definedName name="ParamMonth">Param!$C$72:$D$83</definedName>
    <definedName name="Petro1">JODI_Oil!$J$12:$R$21</definedName>
    <definedName name="Petro1Formulas">Formulas!$J$31:$R$40</definedName>
    <definedName name="PetroData">JODI_Oil!$J$12:$Q$18,JODI_Oil!$J$20:$Q$21</definedName>
    <definedName name="PetroFormulas">Formulas!$J$12:$R$21</definedName>
    <definedName name="PetroStatDiff">JODI_Oil!$J$19:$R$19</definedName>
    <definedName name="PetroTotal">JODI_Oil!$R$12:$R$18,JODI_Oil!$R$20:$R$21</definedName>
    <definedName name="PosiMonth1">Param!$D$105</definedName>
    <definedName name="ProductList1">JODI_Oil!$36:$36</definedName>
    <definedName name="ProductsTable1">MOS_Table_1!$130:$130</definedName>
    <definedName name="ProductsTable2">MOS_Table_2!$130:$130</definedName>
    <definedName name="ProductsTable5">MOS_Table_5!$130:$130</definedName>
    <definedName name="QuestCountry">Param!$D$100</definedName>
    <definedName name="QuestMonth">Param!$D$96</definedName>
    <definedName name="QuestYear">JODI_Oil!$F$7</definedName>
    <definedName name="solver_cvg" localSheetId="4" hidden="1">0.001</definedName>
    <definedName name="solver_drv" localSheetId="4" hidden="1">1</definedName>
    <definedName name="solver_est" localSheetId="4" hidden="1">1</definedName>
    <definedName name="solver_itr" localSheetId="4" hidden="1">100</definedName>
    <definedName name="solver_lin" localSheetId="4" hidden="1">2</definedName>
    <definedName name="solver_neg" localSheetId="4" hidden="1">2</definedName>
    <definedName name="solver_num" localSheetId="4" hidden="1">0</definedName>
    <definedName name="solver_nwt" localSheetId="4" hidden="1">1</definedName>
    <definedName name="solver_opt" localSheetId="4" hidden="1">MOS_Table_5!#REF!</definedName>
    <definedName name="solver_pre" localSheetId="4" hidden="1">0.000001</definedName>
    <definedName name="solver_scl" localSheetId="4" hidden="1">2</definedName>
    <definedName name="solver_sho" localSheetId="4" hidden="1">2</definedName>
    <definedName name="solver_tim" localSheetId="4" hidden="1">100</definedName>
    <definedName name="solver_tol" localSheetId="4" hidden="1">0.05</definedName>
    <definedName name="solver_typ" localSheetId="4" hidden="1">1</definedName>
    <definedName name="solver_val" localSheetId="4" hidden="1">0</definedName>
    <definedName name="StatDiffCrude">JODI_Oil!$D$19:$G$19</definedName>
    <definedName name="StatDiffPetro">JODI_Oil!$J$19:$R$19</definedName>
    <definedName name="Table1Formulas">Formulas!$W$46:$AC$57</definedName>
    <definedName name="Table2Formulas">Formulas!$AH$46:$BG$65</definedName>
    <definedName name="Table5Formulas">Formulas!$BL$46:$CP$79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1" i="1" l="1"/>
  <c r="Q21" i="1"/>
  <c r="P21" i="1"/>
  <c r="O21" i="1"/>
  <c r="N21" i="1"/>
  <c r="M21" i="1"/>
  <c r="L21" i="1"/>
  <c r="K21" i="1"/>
  <c r="J21" i="1"/>
  <c r="R20" i="1"/>
  <c r="Q20" i="1"/>
  <c r="P20" i="1"/>
  <c r="O20" i="1"/>
  <c r="N20" i="1"/>
  <c r="M20" i="1"/>
  <c r="L20" i="1"/>
  <c r="K20" i="1"/>
  <c r="J20" i="1"/>
  <c r="R19" i="1"/>
  <c r="Q19" i="1"/>
  <c r="P19" i="1"/>
  <c r="O19" i="1"/>
  <c r="N19" i="1"/>
  <c r="M19" i="1"/>
  <c r="L19" i="1"/>
  <c r="K19" i="1"/>
  <c r="J19" i="1"/>
  <c r="R18" i="1"/>
  <c r="Q18" i="1"/>
  <c r="P18" i="1"/>
  <c r="O18" i="1"/>
  <c r="N18" i="1"/>
  <c r="M18" i="1"/>
  <c r="L18" i="1"/>
  <c r="K18" i="1"/>
  <c r="J18" i="1"/>
  <c r="R17" i="1"/>
  <c r="Q17" i="1"/>
  <c r="P17" i="1"/>
  <c r="O17" i="1"/>
  <c r="N17" i="1"/>
  <c r="M17" i="1"/>
  <c r="L17" i="1"/>
  <c r="K17" i="1"/>
  <c r="J17" i="1"/>
  <c r="R16" i="1"/>
  <c r="Q16" i="1"/>
  <c r="P16" i="1"/>
  <c r="O16" i="1"/>
  <c r="N16" i="1"/>
  <c r="M16" i="1"/>
  <c r="L16" i="1"/>
  <c r="K16" i="1"/>
  <c r="J16" i="1"/>
  <c r="R15" i="1"/>
  <c r="Q15" i="1"/>
  <c r="P15" i="1"/>
  <c r="O15" i="1"/>
  <c r="N15" i="1"/>
  <c r="M15" i="1"/>
  <c r="L15" i="1"/>
  <c r="K15" i="1"/>
  <c r="J15" i="1"/>
  <c r="R14" i="1"/>
  <c r="Q14" i="1"/>
  <c r="P14" i="1"/>
  <c r="O14" i="1"/>
  <c r="N14" i="1"/>
  <c r="M14" i="1"/>
  <c r="L14" i="1"/>
  <c r="K14" i="1"/>
  <c r="J14" i="1"/>
  <c r="R13" i="1"/>
  <c r="Q13" i="1"/>
  <c r="P13" i="1"/>
  <c r="O13" i="1"/>
  <c r="N13" i="1"/>
  <c r="M13" i="1"/>
  <c r="L13" i="1"/>
  <c r="K13" i="1"/>
  <c r="J13" i="1"/>
  <c r="R12" i="1"/>
  <c r="Q12" i="1"/>
  <c r="P12" i="1"/>
  <c r="O12" i="1"/>
  <c r="N12" i="1"/>
  <c r="M12" i="1"/>
  <c r="L12" i="1"/>
  <c r="K12" i="1"/>
  <c r="J12" i="1"/>
  <c r="G21" i="1"/>
  <c r="F21" i="1"/>
  <c r="E21" i="1"/>
  <c r="D21" i="1"/>
  <c r="G20" i="1"/>
  <c r="F20" i="1"/>
  <c r="E20" i="1"/>
  <c r="D20" i="1"/>
  <c r="G19" i="1"/>
  <c r="F19" i="1"/>
  <c r="E19" i="1"/>
  <c r="D19" i="1"/>
  <c r="G18" i="1"/>
  <c r="F18" i="1"/>
  <c r="E18" i="1"/>
  <c r="D18" i="1"/>
  <c r="G17" i="1"/>
  <c r="F17" i="1"/>
  <c r="E17" i="1"/>
  <c r="D17" i="1"/>
  <c r="G16" i="1"/>
  <c r="F16" i="1"/>
  <c r="G15" i="1"/>
  <c r="F15" i="1"/>
  <c r="E15" i="1"/>
  <c r="D15" i="1"/>
  <c r="G14" i="1"/>
  <c r="F14" i="1"/>
  <c r="E14" i="1"/>
  <c r="D14" i="1"/>
  <c r="G13" i="1"/>
  <c r="F13" i="1"/>
  <c r="G12" i="1"/>
  <c r="F12" i="1"/>
  <c r="E12" i="1"/>
  <c r="D12" i="1"/>
  <c r="AG41" i="10"/>
  <c r="J41" i="10"/>
  <c r="AH41" i="10" s="1"/>
  <c r="AG40" i="10"/>
  <c r="J40" i="10"/>
  <c r="AH40" i="10" s="1"/>
  <c r="AG39" i="10"/>
  <c r="J39" i="10"/>
  <c r="AH39" i="10" s="1"/>
  <c r="AG38" i="10"/>
  <c r="J38" i="10"/>
  <c r="AH38" i="10" s="1"/>
  <c r="AG37" i="10"/>
  <c r="J37" i="10"/>
  <c r="AH37" i="10" s="1"/>
  <c r="AG36" i="10"/>
  <c r="J36" i="10"/>
  <c r="AH36" i="10" s="1"/>
  <c r="AG35" i="10"/>
  <c r="J35" i="10"/>
  <c r="AH35" i="10" s="1"/>
  <c r="AG34" i="10"/>
  <c r="J34" i="10"/>
  <c r="AH34" i="10" s="1"/>
  <c r="AG33" i="10"/>
  <c r="J33" i="10"/>
  <c r="AH33" i="10" s="1"/>
  <c r="AG32" i="10"/>
  <c r="J32" i="10"/>
  <c r="AH32" i="10" s="1"/>
  <c r="AF31" i="10"/>
  <c r="AD31" i="10"/>
  <c r="AC31" i="10"/>
  <c r="AA31" i="10"/>
  <c r="Z31" i="10"/>
  <c r="X31" i="10"/>
  <c r="W31" i="10"/>
  <c r="U31" i="10"/>
  <c r="T31" i="10"/>
  <c r="R31" i="10"/>
  <c r="Q31" i="10"/>
  <c r="O31" i="10"/>
  <c r="N31" i="10"/>
  <c r="L31" i="10"/>
  <c r="K31" i="10"/>
  <c r="I31" i="10"/>
  <c r="H31" i="10"/>
  <c r="F31" i="10"/>
  <c r="E31" i="10"/>
  <c r="AE30" i="10"/>
  <c r="AD30" i="10"/>
  <c r="AB30" i="10"/>
  <c r="AA30" i="10"/>
  <c r="Y30" i="10"/>
  <c r="X30" i="10"/>
  <c r="V30" i="10"/>
  <c r="U30" i="10"/>
  <c r="S30" i="10"/>
  <c r="R30" i="10"/>
  <c r="P30" i="10"/>
  <c r="O30" i="10"/>
  <c r="M30" i="10"/>
  <c r="L30" i="10"/>
  <c r="I30" i="10"/>
  <c r="G30" i="10"/>
  <c r="F30" i="10"/>
  <c r="D30" i="10"/>
  <c r="AH29" i="10"/>
  <c r="AG29" i="10"/>
  <c r="J29" i="10"/>
  <c r="AH28" i="10"/>
  <c r="AG28" i="10"/>
  <c r="J28" i="10"/>
  <c r="AH27" i="10"/>
  <c r="AG27" i="10"/>
  <c r="J27" i="10"/>
  <c r="AH26" i="10"/>
  <c r="AG26" i="10"/>
  <c r="J26" i="10"/>
  <c r="AH25" i="10"/>
  <c r="AG25" i="10"/>
  <c r="J25" i="10"/>
  <c r="AH24" i="10"/>
  <c r="AG24" i="10"/>
  <c r="J24" i="10"/>
  <c r="AH23" i="10"/>
  <c r="AG23" i="10"/>
  <c r="J23" i="10"/>
  <c r="AH22" i="10"/>
  <c r="AG22" i="10"/>
  <c r="J22" i="10"/>
  <c r="AH21" i="10"/>
  <c r="AG21" i="10"/>
  <c r="J21" i="10"/>
  <c r="AH20" i="10"/>
  <c r="AG20" i="10"/>
  <c r="J20" i="10"/>
  <c r="AH19" i="10"/>
  <c r="AG19" i="10"/>
  <c r="J19" i="10"/>
  <c r="AH18" i="10"/>
  <c r="AG18" i="10"/>
  <c r="J18" i="10"/>
  <c r="AH17" i="10"/>
  <c r="AG17" i="10"/>
  <c r="J17" i="10"/>
  <c r="AH16" i="10"/>
  <c r="AG16" i="10"/>
  <c r="J16" i="10"/>
  <c r="AH15" i="10"/>
  <c r="AG15" i="10"/>
  <c r="J15" i="10"/>
  <c r="AH14" i="10"/>
  <c r="AG14" i="10"/>
  <c r="J14" i="10"/>
  <c r="AH13" i="10"/>
  <c r="AG13" i="10"/>
  <c r="J13" i="10"/>
  <c r="AH12" i="10"/>
  <c r="AG12" i="10"/>
  <c r="J12" i="10"/>
  <c r="AH11" i="10"/>
  <c r="AG11" i="10"/>
  <c r="J11" i="10"/>
  <c r="AH10" i="10"/>
  <c r="AG10" i="10"/>
  <c r="J10" i="10"/>
  <c r="J8" i="10" s="1"/>
  <c r="AF9" i="10"/>
  <c r="AE9" i="10"/>
  <c r="AE31" i="10" s="1"/>
  <c r="AD9" i="10"/>
  <c r="AC9" i="10"/>
  <c r="AB9" i="10"/>
  <c r="AB31" i="10" s="1"/>
  <c r="AA9" i="10"/>
  <c r="Z9" i="10"/>
  <c r="Y9" i="10"/>
  <c r="Y31" i="10" s="1"/>
  <c r="X9" i="10"/>
  <c r="W9" i="10"/>
  <c r="V9" i="10"/>
  <c r="V31" i="10" s="1"/>
  <c r="U9" i="10"/>
  <c r="T9" i="10"/>
  <c r="S9" i="10"/>
  <c r="S31" i="10" s="1"/>
  <c r="R9" i="10"/>
  <c r="Q9" i="10"/>
  <c r="P9" i="10"/>
  <c r="P31" i="10" s="1"/>
  <c r="O9" i="10"/>
  <c r="N9" i="10"/>
  <c r="M9" i="10"/>
  <c r="M31" i="10" s="1"/>
  <c r="L9" i="10"/>
  <c r="K9" i="10"/>
  <c r="AG9" i="10" s="1"/>
  <c r="J9" i="10"/>
  <c r="J31" i="10" s="1"/>
  <c r="I9" i="10"/>
  <c r="H9" i="10"/>
  <c r="G9" i="10"/>
  <c r="G31" i="10" s="1"/>
  <c r="F9" i="10"/>
  <c r="E9" i="10"/>
  <c r="D9" i="10"/>
  <c r="D31" i="10" s="1"/>
  <c r="AF8" i="10"/>
  <c r="AF30" i="10" s="1"/>
  <c r="AE8" i="10"/>
  <c r="AD8" i="10"/>
  <c r="AC8" i="10"/>
  <c r="AC30" i="10" s="1"/>
  <c r="AB8" i="10"/>
  <c r="AA8" i="10"/>
  <c r="Z8" i="10"/>
  <c r="Z30" i="10" s="1"/>
  <c r="Y8" i="10"/>
  <c r="X8" i="10"/>
  <c r="W8" i="10"/>
  <c r="W30" i="10" s="1"/>
  <c r="V8" i="10"/>
  <c r="U8" i="10"/>
  <c r="T8" i="10"/>
  <c r="T30" i="10" s="1"/>
  <c r="S8" i="10"/>
  <c r="R8" i="10"/>
  <c r="Q8" i="10"/>
  <c r="Q30" i="10" s="1"/>
  <c r="P8" i="10"/>
  <c r="O8" i="10"/>
  <c r="N8" i="10"/>
  <c r="N30" i="10" s="1"/>
  <c r="M8" i="10"/>
  <c r="L8" i="10"/>
  <c r="K8" i="10"/>
  <c r="K30" i="10" s="1"/>
  <c r="AG30" i="10" s="1"/>
  <c r="I8" i="10"/>
  <c r="H8" i="10"/>
  <c r="H30" i="10" s="1"/>
  <c r="G8" i="10"/>
  <c r="F8" i="10"/>
  <c r="E8" i="10"/>
  <c r="E30" i="10" s="1"/>
  <c r="D8" i="10"/>
  <c r="AC26" i="9"/>
  <c r="AC25" i="9"/>
  <c r="AC24" i="9"/>
  <c r="AC23" i="9"/>
  <c r="AC22" i="9"/>
  <c r="AC21" i="9"/>
  <c r="AC20" i="9"/>
  <c r="AC27" i="9" s="1"/>
  <c r="AB19" i="9"/>
  <c r="AA19" i="9"/>
  <c r="Y19" i="9"/>
  <c r="X19" i="9"/>
  <c r="V19" i="9"/>
  <c r="U19" i="9"/>
  <c r="S19" i="9"/>
  <c r="R19" i="9"/>
  <c r="P19" i="9"/>
  <c r="O19" i="9"/>
  <c r="M19" i="9"/>
  <c r="L19" i="9"/>
  <c r="J19" i="9"/>
  <c r="I19" i="9"/>
  <c r="G19" i="9"/>
  <c r="F19" i="9"/>
  <c r="D19" i="9"/>
  <c r="AB18" i="9"/>
  <c r="AA18" i="9"/>
  <c r="Z18" i="9"/>
  <c r="Z19" i="9" s="1"/>
  <c r="Y18" i="9"/>
  <c r="X18" i="9"/>
  <c r="W18" i="9"/>
  <c r="W19" i="9" s="1"/>
  <c r="V18" i="9"/>
  <c r="U18" i="9"/>
  <c r="T18" i="9"/>
  <c r="T19" i="9" s="1"/>
  <c r="S18" i="9"/>
  <c r="R18" i="9"/>
  <c r="Q18" i="9"/>
  <c r="Q19" i="9" s="1"/>
  <c r="P18" i="9"/>
  <c r="O18" i="9"/>
  <c r="N18" i="9"/>
  <c r="N19" i="9" s="1"/>
  <c r="M18" i="9"/>
  <c r="L18" i="9"/>
  <c r="K18" i="9"/>
  <c r="K19" i="9" s="1"/>
  <c r="J18" i="9"/>
  <c r="I18" i="9"/>
  <c r="H18" i="9"/>
  <c r="H19" i="9" s="1"/>
  <c r="G18" i="9"/>
  <c r="F18" i="9"/>
  <c r="E18" i="9"/>
  <c r="E19" i="9" s="1"/>
  <c r="D18" i="9"/>
  <c r="AC17" i="9"/>
  <c r="AC16" i="9"/>
  <c r="AC15" i="9"/>
  <c r="AC14" i="9"/>
  <c r="AC13" i="9"/>
  <c r="AC12" i="9"/>
  <c r="AC11" i="9"/>
  <c r="AC10" i="9"/>
  <c r="AC9" i="9"/>
  <c r="AC8" i="9"/>
  <c r="J25" i="8"/>
  <c r="J24" i="8"/>
  <c r="I23" i="8"/>
  <c r="F23" i="8"/>
  <c r="I22" i="8"/>
  <c r="H22" i="8"/>
  <c r="H23" i="8" s="1"/>
  <c r="G22" i="8"/>
  <c r="G23" i="8" s="1"/>
  <c r="F22" i="8"/>
  <c r="E22" i="8"/>
  <c r="E23" i="8" s="1"/>
  <c r="D22" i="8"/>
  <c r="D23" i="8" s="1"/>
  <c r="J21" i="8"/>
  <c r="J20" i="8"/>
  <c r="J19" i="8"/>
  <c r="J18" i="8"/>
  <c r="J17" i="8"/>
  <c r="J16" i="8"/>
  <c r="J15" i="8"/>
  <c r="J14" i="8"/>
  <c r="J23" i="8" l="1"/>
  <c r="AC19" i="9"/>
  <c r="J30" i="10"/>
  <c r="AH30" i="10" s="1"/>
  <c r="AG31" i="10"/>
  <c r="AH31" i="10" s="1"/>
  <c r="J22" i="8"/>
  <c r="AC18" i="9"/>
  <c r="AH9" i="10"/>
  <c r="AG8" i="10"/>
  <c r="AH8" i="10" s="1"/>
  <c r="BC15" i="1" l="1"/>
  <c r="BC12" i="1"/>
  <c r="H29" i="8"/>
  <c r="I29" i="8" s="1"/>
  <c r="AR12" i="1"/>
  <c r="AE26" i="9"/>
  <c r="AE14" i="9"/>
  <c r="G20" i="11"/>
  <c r="M21" i="11"/>
  <c r="AR14" i="1"/>
  <c r="BA21" i="1"/>
  <c r="AE25" i="9"/>
  <c r="Q28" i="9"/>
  <c r="G28" i="9"/>
  <c r="E28" i="9"/>
  <c r="AE10" i="9"/>
  <c r="H7" i="1"/>
  <c r="I36" i="9"/>
  <c r="I38" i="9"/>
  <c r="I40" i="9"/>
  <c r="H38" i="9" s="1"/>
  <c r="I39" i="9"/>
  <c r="H37" i="9" s="1"/>
  <c r="AH4" i="10"/>
  <c r="AC4" i="9"/>
  <c r="J10" i="8"/>
  <c r="R7" i="1"/>
  <c r="AE24" i="9"/>
  <c r="L25" i="8"/>
  <c r="G17" i="11"/>
  <c r="AE21" i="9"/>
  <c r="BB20" i="1"/>
  <c r="BA20" i="1"/>
  <c r="BT20" i="1" s="1"/>
  <c r="AZ20" i="1"/>
  <c r="AY20" i="1"/>
  <c r="BR20" i="1" s="1"/>
  <c r="AX20" i="1"/>
  <c r="AW20" i="1"/>
  <c r="BP20" i="1" s="1"/>
  <c r="AV20" i="1"/>
  <c r="BO20" i="1" s="1"/>
  <c r="AU20" i="1"/>
  <c r="BN20" i="1" s="1"/>
  <c r="AQ20" i="1"/>
  <c r="BJ20" i="1" s="1"/>
  <c r="AP20" i="1"/>
  <c r="BI20" i="1" s="1"/>
  <c r="AO20" i="1"/>
  <c r="BH20" i="1" s="1"/>
  <c r="BC18" i="1"/>
  <c r="BB18" i="1"/>
  <c r="BU18" i="1" s="1"/>
  <c r="BA18" i="1"/>
  <c r="BT18" i="1" s="1"/>
  <c r="AZ18" i="1"/>
  <c r="AY18" i="1"/>
  <c r="BR18" i="1" s="1"/>
  <c r="AX18" i="1"/>
  <c r="BQ18" i="1" s="1"/>
  <c r="AW18" i="1"/>
  <c r="BP18" i="1" s="1"/>
  <c r="AV18" i="1"/>
  <c r="BO18" i="1" s="1"/>
  <c r="AU18" i="1"/>
  <c r="BN18" i="1" s="1"/>
  <c r="AQ18" i="1"/>
  <c r="BJ18" i="1" s="1"/>
  <c r="AP18" i="1"/>
  <c r="BI18" i="1" s="1"/>
  <c r="AO18" i="1"/>
  <c r="BH18" i="1" s="1"/>
  <c r="BB17" i="1"/>
  <c r="BU17" i="1" s="1"/>
  <c r="BA17" i="1"/>
  <c r="BT17" i="1" s="1"/>
  <c r="AZ17" i="1"/>
  <c r="BS17" i="1" s="1"/>
  <c r="AY17" i="1"/>
  <c r="BR17" i="1" s="1"/>
  <c r="AX17" i="1"/>
  <c r="BQ17" i="1" s="1"/>
  <c r="AW17" i="1"/>
  <c r="BP17" i="1" s="1"/>
  <c r="AV17" i="1"/>
  <c r="BO17" i="1" s="1"/>
  <c r="AU17" i="1"/>
  <c r="BN17" i="1" s="1"/>
  <c r="AR17" i="1"/>
  <c r="AQ17" i="1"/>
  <c r="BJ17" i="1" s="1"/>
  <c r="AP17" i="1"/>
  <c r="AO17" i="1"/>
  <c r="BH17" i="1" s="1"/>
  <c r="BB16" i="1"/>
  <c r="BU16" i="1" s="1"/>
  <c r="BA16" i="1"/>
  <c r="BT16" i="1" s="1"/>
  <c r="AZ16" i="1"/>
  <c r="BS16" i="1" s="1"/>
  <c r="AY16" i="1"/>
  <c r="BR16" i="1" s="1"/>
  <c r="AX16" i="1"/>
  <c r="BQ16" i="1" s="1"/>
  <c r="AW16" i="1"/>
  <c r="BP16" i="1" s="1"/>
  <c r="AV16" i="1"/>
  <c r="BO16" i="1" s="1"/>
  <c r="AU16" i="1"/>
  <c r="BN16" i="1" s="1"/>
  <c r="AQ16" i="1"/>
  <c r="BJ16" i="1" s="1"/>
  <c r="BB15" i="1"/>
  <c r="BU15" i="1" s="1"/>
  <c r="BA15" i="1"/>
  <c r="AZ15" i="1"/>
  <c r="BS15" i="1" s="1"/>
  <c r="AY15" i="1"/>
  <c r="AX15" i="1"/>
  <c r="AW15" i="1"/>
  <c r="BP15" i="1" s="1"/>
  <c r="AV15" i="1"/>
  <c r="AU15" i="1"/>
  <c r="BN15" i="1" s="1"/>
  <c r="AR15" i="1"/>
  <c r="AQ15" i="1"/>
  <c r="BJ15" i="1" s="1"/>
  <c r="AP15" i="1"/>
  <c r="BI15" i="1" s="1"/>
  <c r="AO15" i="1"/>
  <c r="BH15" i="1" s="1"/>
  <c r="BB14" i="1"/>
  <c r="BU14" i="1" s="1"/>
  <c r="BA14" i="1"/>
  <c r="BT14" i="1" s="1"/>
  <c r="AZ14" i="1"/>
  <c r="BS14" i="1" s="1"/>
  <c r="AY14" i="1"/>
  <c r="BR14" i="1" s="1"/>
  <c r="AX14" i="1"/>
  <c r="BQ14" i="1" s="1"/>
  <c r="AW14" i="1"/>
  <c r="BP14" i="1" s="1"/>
  <c r="AV14" i="1"/>
  <c r="BO14" i="1" s="1"/>
  <c r="AU14" i="1"/>
  <c r="BN14" i="1" s="1"/>
  <c r="AQ14" i="1"/>
  <c r="BJ14" i="1" s="1"/>
  <c r="AP14" i="1"/>
  <c r="BI14" i="1" s="1"/>
  <c r="AO14" i="1"/>
  <c r="BH14" i="1" s="1"/>
  <c r="BB13" i="1"/>
  <c r="BU13" i="1" s="1"/>
  <c r="BA13" i="1"/>
  <c r="AZ13" i="1"/>
  <c r="BS13" i="1" s="1"/>
  <c r="AY13" i="1"/>
  <c r="BR13" i="1" s="1"/>
  <c r="AX13" i="1"/>
  <c r="BQ13" i="1" s="1"/>
  <c r="AW13" i="1"/>
  <c r="AV13" i="1"/>
  <c r="BO13" i="1" s="1"/>
  <c r="AU13" i="1"/>
  <c r="BN13" i="1" s="1"/>
  <c r="AQ13" i="1"/>
  <c r="BJ13" i="1" s="1"/>
  <c r="BB12" i="1"/>
  <c r="BU12" i="1" s="1"/>
  <c r="BA12" i="1"/>
  <c r="BT12" i="1" s="1"/>
  <c r="AZ12" i="1"/>
  <c r="BS12" i="1" s="1"/>
  <c r="AY12" i="1"/>
  <c r="BR12" i="1" s="1"/>
  <c r="AX12" i="1"/>
  <c r="BQ12" i="1" s="1"/>
  <c r="AW12" i="1"/>
  <c r="BP12" i="1" s="1"/>
  <c r="AV12" i="1"/>
  <c r="BO12" i="1" s="1"/>
  <c r="AU12" i="1"/>
  <c r="AQ12" i="1"/>
  <c r="BJ12" i="1" s="1"/>
  <c r="AP12" i="1"/>
  <c r="BI12" i="1" s="1"/>
  <c r="AO12" i="1"/>
  <c r="BH12" i="1" s="1"/>
  <c r="AE22" i="9"/>
  <c r="P28" i="9"/>
  <c r="Q20" i="11"/>
  <c r="Q18" i="11"/>
  <c r="Q17" i="11"/>
  <c r="Q16" i="11"/>
  <c r="Q15" i="11"/>
  <c r="Q14" i="11"/>
  <c r="Q13" i="11"/>
  <c r="Q12" i="11"/>
  <c r="P20" i="11"/>
  <c r="P18" i="11"/>
  <c r="P17" i="11"/>
  <c r="P16" i="11"/>
  <c r="P15" i="11"/>
  <c r="P14" i="11"/>
  <c r="P13" i="11"/>
  <c r="P12" i="11"/>
  <c r="O20" i="11"/>
  <c r="O18" i="11"/>
  <c r="O17" i="11"/>
  <c r="O16" i="11"/>
  <c r="O15" i="11"/>
  <c r="O14" i="11"/>
  <c r="O13" i="11"/>
  <c r="O12" i="11"/>
  <c r="N20" i="11"/>
  <c r="N18" i="11"/>
  <c r="N17" i="11"/>
  <c r="N16" i="11"/>
  <c r="N15" i="11"/>
  <c r="N14" i="11"/>
  <c r="N13" i="11"/>
  <c r="N12" i="11"/>
  <c r="M20" i="11"/>
  <c r="M18" i="11"/>
  <c r="M17" i="11"/>
  <c r="M16" i="11"/>
  <c r="M15" i="11"/>
  <c r="M14" i="11"/>
  <c r="M13" i="11"/>
  <c r="M12" i="11"/>
  <c r="L20" i="11"/>
  <c r="L18" i="11"/>
  <c r="L17" i="11"/>
  <c r="L16" i="11"/>
  <c r="L15" i="11"/>
  <c r="L14" i="11"/>
  <c r="L13" i="11"/>
  <c r="L12" i="11"/>
  <c r="D12" i="11"/>
  <c r="CO79" i="11"/>
  <c r="BR79" i="11"/>
  <c r="CO78" i="11"/>
  <c r="BR78" i="11"/>
  <c r="CO77" i="11"/>
  <c r="BR77" i="11"/>
  <c r="CO76" i="11"/>
  <c r="BR76" i="11"/>
  <c r="CP76" i="11" s="1"/>
  <c r="CO75" i="11"/>
  <c r="BR75" i="11"/>
  <c r="CO74" i="11"/>
  <c r="BR74" i="11"/>
  <c r="CO73" i="11"/>
  <c r="BR73" i="11"/>
  <c r="CO72" i="11"/>
  <c r="BR72" i="11"/>
  <c r="CO71" i="11"/>
  <c r="BR71" i="11"/>
  <c r="CO70" i="11"/>
  <c r="BR70" i="11"/>
  <c r="CO67" i="11"/>
  <c r="BR67" i="11"/>
  <c r="CO66" i="11"/>
  <c r="CP66" i="11" s="1"/>
  <c r="BR66" i="11"/>
  <c r="CO65" i="11"/>
  <c r="BR65" i="11"/>
  <c r="CO64" i="11"/>
  <c r="BR64" i="11"/>
  <c r="CO63" i="11"/>
  <c r="BR63" i="11"/>
  <c r="CO62" i="11"/>
  <c r="BR62" i="11"/>
  <c r="CP62" i="11" s="1"/>
  <c r="CO61" i="11"/>
  <c r="BR61" i="11"/>
  <c r="CO60" i="11"/>
  <c r="CP60" i="11" s="1"/>
  <c r="BR60" i="11"/>
  <c r="CO59" i="11"/>
  <c r="BR59" i="11"/>
  <c r="CO58" i="11"/>
  <c r="BR58" i="11"/>
  <c r="CO57" i="11"/>
  <c r="BR57" i="11"/>
  <c r="CO56" i="11"/>
  <c r="BR56" i="11"/>
  <c r="CP56" i="11" s="1"/>
  <c r="CO55" i="11"/>
  <c r="BR55" i="11"/>
  <c r="CO54" i="11"/>
  <c r="BR54" i="11"/>
  <c r="CO53" i="11"/>
  <c r="BR53" i="11"/>
  <c r="CO52" i="11"/>
  <c r="BR52" i="11"/>
  <c r="CO51" i="11"/>
  <c r="BR51" i="11"/>
  <c r="CO50" i="11"/>
  <c r="BR50" i="11"/>
  <c r="CO49" i="11"/>
  <c r="BR49" i="11"/>
  <c r="CO48" i="11"/>
  <c r="CP48" i="11" s="1"/>
  <c r="BR48" i="11"/>
  <c r="CN47" i="11"/>
  <c r="CN69" i="11" s="1"/>
  <c r="CM47" i="11"/>
  <c r="CM69" i="11" s="1"/>
  <c r="CL47" i="11"/>
  <c r="CL69" i="11" s="1"/>
  <c r="CK47" i="11"/>
  <c r="CK69" i="11" s="1"/>
  <c r="CJ47" i="11"/>
  <c r="CJ69" i="11" s="1"/>
  <c r="CI47" i="11"/>
  <c r="CI69" i="11" s="1"/>
  <c r="CH47" i="11"/>
  <c r="CH69" i="11" s="1"/>
  <c r="CG47" i="11"/>
  <c r="CG69" i="11" s="1"/>
  <c r="CF47" i="11"/>
  <c r="CF69" i="11" s="1"/>
  <c r="CE47" i="11"/>
  <c r="CE69" i="11" s="1"/>
  <c r="CD47" i="11"/>
  <c r="CD69" i="11" s="1"/>
  <c r="CC47" i="11"/>
  <c r="CC69" i="11" s="1"/>
  <c r="CB47" i="11"/>
  <c r="CB69" i="11" s="1"/>
  <c r="CA47" i="11"/>
  <c r="CA69" i="11" s="1"/>
  <c r="BZ47" i="11"/>
  <c r="BZ69" i="11" s="1"/>
  <c r="BY47" i="11"/>
  <c r="BY69" i="11" s="1"/>
  <c r="BX47" i="11"/>
  <c r="BX69" i="11" s="1"/>
  <c r="BW47" i="11"/>
  <c r="BW69" i="11" s="1"/>
  <c r="BV47" i="11"/>
  <c r="BV69" i="11" s="1"/>
  <c r="BU47" i="11"/>
  <c r="BU69" i="11" s="1"/>
  <c r="BT47" i="11"/>
  <c r="BT69" i="11" s="1"/>
  <c r="BS47" i="11"/>
  <c r="BS69" i="11" s="1"/>
  <c r="BQ47" i="11"/>
  <c r="BQ69" i="11" s="1"/>
  <c r="BP47" i="11"/>
  <c r="BP69" i="11" s="1"/>
  <c r="BO47" i="11"/>
  <c r="BO69" i="11" s="1"/>
  <c r="BN47" i="11"/>
  <c r="BN69" i="11" s="1"/>
  <c r="BM47" i="11"/>
  <c r="BM69" i="11" s="1"/>
  <c r="BL47" i="11"/>
  <c r="BL69" i="11" s="1"/>
  <c r="CN46" i="11"/>
  <c r="CN68" i="11" s="1"/>
  <c r="CM46" i="11"/>
  <c r="CM68" i="11" s="1"/>
  <c r="CL46" i="11"/>
  <c r="CL68" i="11" s="1"/>
  <c r="CK46" i="11"/>
  <c r="CK68" i="11" s="1"/>
  <c r="CJ46" i="11"/>
  <c r="CJ68" i="11" s="1"/>
  <c r="CI46" i="11"/>
  <c r="CI68" i="11" s="1"/>
  <c r="CH46" i="11"/>
  <c r="CH68" i="11" s="1"/>
  <c r="CG46" i="11"/>
  <c r="CG68" i="11" s="1"/>
  <c r="CF46" i="11"/>
  <c r="CF68" i="11" s="1"/>
  <c r="CE46" i="11"/>
  <c r="CE68" i="11" s="1"/>
  <c r="CD46" i="11"/>
  <c r="CD68" i="11" s="1"/>
  <c r="CC46" i="11"/>
  <c r="CC68" i="11" s="1"/>
  <c r="CB46" i="11"/>
  <c r="CB68" i="11" s="1"/>
  <c r="CA46" i="11"/>
  <c r="CA68" i="11" s="1"/>
  <c r="BZ46" i="11"/>
  <c r="BZ68" i="11" s="1"/>
  <c r="BY46" i="11"/>
  <c r="BY68" i="11" s="1"/>
  <c r="BX46" i="11"/>
  <c r="BX68" i="11" s="1"/>
  <c r="BW46" i="11"/>
  <c r="BW68" i="11" s="1"/>
  <c r="BV46" i="11"/>
  <c r="BV68" i="11" s="1"/>
  <c r="BU46" i="11"/>
  <c r="BU68" i="11" s="1"/>
  <c r="BT46" i="11"/>
  <c r="BT68" i="11" s="1"/>
  <c r="BS46" i="11"/>
  <c r="BS68" i="11" s="1"/>
  <c r="BQ46" i="11"/>
  <c r="BQ68" i="11" s="1"/>
  <c r="BP46" i="11"/>
  <c r="BP68" i="11" s="1"/>
  <c r="BO46" i="11"/>
  <c r="BO68" i="11" s="1"/>
  <c r="BN46" i="11"/>
  <c r="BN68" i="11" s="1"/>
  <c r="BM46" i="11"/>
  <c r="BM68" i="11" s="1"/>
  <c r="BL46" i="11"/>
  <c r="BL68" i="11" s="1"/>
  <c r="BG64" i="11"/>
  <c r="BG63" i="11"/>
  <c r="BG62" i="11"/>
  <c r="BG61" i="11"/>
  <c r="BG60" i="11"/>
  <c r="BG59" i="11"/>
  <c r="BG58" i="11"/>
  <c r="BF56" i="11"/>
  <c r="BF57" i="11" s="1"/>
  <c r="BE56" i="11"/>
  <c r="BE57" i="11" s="1"/>
  <c r="BD56" i="11"/>
  <c r="BD57" i="11" s="1"/>
  <c r="BC56" i="11"/>
  <c r="BC57" i="11" s="1"/>
  <c r="BB56" i="11"/>
  <c r="BB57" i="11" s="1"/>
  <c r="BA56" i="11"/>
  <c r="BA57" i="11" s="1"/>
  <c r="AZ56" i="11"/>
  <c r="AZ57" i="11" s="1"/>
  <c r="AY56" i="11"/>
  <c r="AY57" i="11" s="1"/>
  <c r="AX56" i="11"/>
  <c r="AX57" i="11" s="1"/>
  <c r="AW56" i="11"/>
  <c r="AW57" i="11" s="1"/>
  <c r="AV56" i="11"/>
  <c r="AV57" i="11" s="1"/>
  <c r="AU56" i="11"/>
  <c r="AU57" i="11" s="1"/>
  <c r="AT56" i="11"/>
  <c r="AT57" i="11" s="1"/>
  <c r="AS56" i="11"/>
  <c r="AS57" i="11" s="1"/>
  <c r="AR56" i="11"/>
  <c r="AR57" i="11" s="1"/>
  <c r="AQ56" i="11"/>
  <c r="AQ57" i="11" s="1"/>
  <c r="AP56" i="11"/>
  <c r="AP57" i="11" s="1"/>
  <c r="AO56" i="11"/>
  <c r="AO57" i="11" s="1"/>
  <c r="AN56" i="11"/>
  <c r="AN57" i="11" s="1"/>
  <c r="AM56" i="11"/>
  <c r="AM57" i="11" s="1"/>
  <c r="AL56" i="11"/>
  <c r="AL57" i="11" s="1"/>
  <c r="AK56" i="11"/>
  <c r="AK57" i="11" s="1"/>
  <c r="AJ56" i="11"/>
  <c r="AJ57" i="11" s="1"/>
  <c r="AI56" i="11"/>
  <c r="AI57" i="11" s="1"/>
  <c r="AH56" i="11"/>
  <c r="AH57" i="11" s="1"/>
  <c r="BG55" i="11"/>
  <c r="BG54" i="11"/>
  <c r="BG53" i="11"/>
  <c r="BG52" i="11"/>
  <c r="BG51" i="11"/>
  <c r="BG50" i="11"/>
  <c r="BG49" i="11"/>
  <c r="BG48" i="11"/>
  <c r="BG47" i="11"/>
  <c r="BG46" i="11"/>
  <c r="I41" i="9"/>
  <c r="H39" i="9" s="1"/>
  <c r="I37" i="9"/>
  <c r="H41" i="9"/>
  <c r="AE23" i="9"/>
  <c r="AB28" i="9"/>
  <c r="F28" i="9"/>
  <c r="BH13" i="1"/>
  <c r="BI13" i="1"/>
  <c r="BH16" i="1"/>
  <c r="BI16" i="1"/>
  <c r="K20" i="11"/>
  <c r="K18" i="11"/>
  <c r="K17" i="11"/>
  <c r="K16" i="11"/>
  <c r="K15" i="11"/>
  <c r="K14" i="11"/>
  <c r="K13" i="11"/>
  <c r="K12" i="11"/>
  <c r="J20" i="11"/>
  <c r="J18" i="11"/>
  <c r="J17" i="11"/>
  <c r="J16" i="11"/>
  <c r="J15" i="11"/>
  <c r="J14" i="11"/>
  <c r="J13" i="11"/>
  <c r="J12" i="11"/>
  <c r="F20" i="11"/>
  <c r="F18" i="11"/>
  <c r="F17" i="11"/>
  <c r="F16" i="11"/>
  <c r="F15" i="11"/>
  <c r="F14" i="11"/>
  <c r="F13" i="11"/>
  <c r="F12" i="11"/>
  <c r="E20" i="11"/>
  <c r="E17" i="11"/>
  <c r="E18" i="11"/>
  <c r="E15" i="11"/>
  <c r="E14" i="11"/>
  <c r="E12" i="11"/>
  <c r="D20" i="11"/>
  <c r="D18" i="11"/>
  <c r="D17" i="11"/>
  <c r="D15" i="11"/>
  <c r="D14" i="11"/>
  <c r="G31" i="11"/>
  <c r="R31" i="11"/>
  <c r="G32" i="11"/>
  <c r="R32" i="11"/>
  <c r="G33" i="11"/>
  <c r="R33" i="11"/>
  <c r="G34" i="11"/>
  <c r="R34" i="11"/>
  <c r="G35" i="11"/>
  <c r="R35" i="11"/>
  <c r="G36" i="11"/>
  <c r="R36" i="11"/>
  <c r="G37" i="11"/>
  <c r="R37" i="11"/>
  <c r="D38" i="11"/>
  <c r="E38" i="11"/>
  <c r="F38" i="11"/>
  <c r="J38" i="11"/>
  <c r="K38" i="11"/>
  <c r="L38" i="11"/>
  <c r="M38" i="11"/>
  <c r="N38" i="11"/>
  <c r="O38" i="11"/>
  <c r="P38" i="11"/>
  <c r="Q38" i="11"/>
  <c r="G39" i="11"/>
  <c r="R39" i="11"/>
  <c r="G40" i="11"/>
  <c r="R40" i="11"/>
  <c r="AC46" i="11"/>
  <c r="AC47" i="11"/>
  <c r="AC48" i="11"/>
  <c r="AC49" i="11"/>
  <c r="AC50" i="11"/>
  <c r="AC51" i="11"/>
  <c r="AC52" i="11"/>
  <c r="AC53" i="11"/>
  <c r="W54" i="11"/>
  <c r="W55" i="11" s="1"/>
  <c r="X54" i="11"/>
  <c r="X55" i="11" s="1"/>
  <c r="Y54" i="11"/>
  <c r="Y55" i="11" s="1"/>
  <c r="Z54" i="11"/>
  <c r="Z55" i="11" s="1"/>
  <c r="AA54" i="11"/>
  <c r="AA55" i="11" s="1"/>
  <c r="AB54" i="11"/>
  <c r="AB55" i="11" s="1"/>
  <c r="AC56" i="11"/>
  <c r="AC57" i="11"/>
  <c r="D94" i="6"/>
  <c r="D96" i="6" s="1"/>
  <c r="D98" i="6"/>
  <c r="D100" i="6" s="1"/>
  <c r="D105" i="6"/>
  <c r="D110" i="6" s="1"/>
  <c r="D108" i="6"/>
  <c r="D109" i="6" s="1"/>
  <c r="B2" i="3"/>
  <c r="D2" i="8"/>
  <c r="A2" i="10" s="1"/>
  <c r="D3" i="8"/>
  <c r="B3" i="9" s="1"/>
  <c r="D26" i="8"/>
  <c r="E26" i="8"/>
  <c r="F26" i="8"/>
  <c r="G26" i="8"/>
  <c r="H26" i="8"/>
  <c r="I26" i="8"/>
  <c r="H27" i="8"/>
  <c r="BQ15" i="1"/>
  <c r="E29" i="1"/>
  <c r="BS18" i="1"/>
  <c r="K21" i="11"/>
  <c r="W28" i="9"/>
  <c r="H32" i="9"/>
  <c r="I32" i="9" s="1"/>
  <c r="D28" i="9"/>
  <c r="G13" i="11"/>
  <c r="AE17" i="9"/>
  <c r="U29" i="9"/>
  <c r="X29" i="9"/>
  <c r="R20" i="11"/>
  <c r="AE9" i="9"/>
  <c r="AE13" i="9"/>
  <c r="R15" i="11"/>
  <c r="AE20" i="9"/>
  <c r="P30" i="9"/>
  <c r="L20" i="8"/>
  <c r="AE12" i="9"/>
  <c r="J28" i="9"/>
  <c r="R16" i="11"/>
  <c r="V28" i="9"/>
  <c r="BC13" i="1"/>
  <c r="O31" i="9"/>
  <c r="BN12" i="1"/>
  <c r="BO15" i="1"/>
  <c r="P21" i="11"/>
  <c r="Z28" i="9"/>
  <c r="N28" i="9"/>
  <c r="R28" i="9"/>
  <c r="Z31" i="9"/>
  <c r="H28" i="9"/>
  <c r="T30" i="9"/>
  <c r="S28" i="9"/>
  <c r="Y28" i="9"/>
  <c r="Q29" i="9"/>
  <c r="T28" i="9"/>
  <c r="L28" i="9"/>
  <c r="H42" i="9"/>
  <c r="I42" i="9" s="1"/>
  <c r="L29" i="9"/>
  <c r="R14" i="11"/>
  <c r="X28" i="9"/>
  <c r="I28" i="9"/>
  <c r="W31" i="9"/>
  <c r="AR20" i="1"/>
  <c r="G16" i="11"/>
  <c r="L24" i="8"/>
  <c r="K28" i="9"/>
  <c r="AE16" i="9"/>
  <c r="AZ21" i="1"/>
  <c r="AW21" i="1"/>
  <c r="O21" i="11"/>
  <c r="L21" i="11"/>
  <c r="AE8" i="9"/>
  <c r="R13" i="11"/>
  <c r="BC14" i="1"/>
  <c r="H30" i="8"/>
  <c r="I30" i="8" s="1"/>
  <c r="BC16" i="1"/>
  <c r="AA28" i="9"/>
  <c r="H28" i="8"/>
  <c r="I28" i="8" s="1"/>
  <c r="BR15" i="1"/>
  <c r="BT15" i="1"/>
  <c r="BQ20" i="1"/>
  <c r="BS20" i="1"/>
  <c r="BU20" i="1"/>
  <c r="BI17" i="1"/>
  <c r="Q21" i="11"/>
  <c r="AO21" i="1"/>
  <c r="U28" i="9"/>
  <c r="BC20" i="1"/>
  <c r="R17" i="11"/>
  <c r="R12" i="11"/>
  <c r="AE15" i="9"/>
  <c r="R18" i="11"/>
  <c r="BP13" i="1"/>
  <c r="BT13" i="1"/>
  <c r="AR16" i="1"/>
  <c r="L19" i="8"/>
  <c r="L17" i="8"/>
  <c r="G15" i="11"/>
  <c r="CP72" i="11"/>
  <c r="G35" i="9"/>
  <c r="I34" i="9" s="1"/>
  <c r="G18" i="11"/>
  <c r="L21" i="8"/>
  <c r="AR13" i="1"/>
  <c r="L15" i="8"/>
  <c r="AR18" i="1"/>
  <c r="CP52" i="11"/>
  <c r="V30" i="9"/>
  <c r="AU21" i="1"/>
  <c r="N21" i="11"/>
  <c r="AV21" i="1"/>
  <c r="AP21" i="1"/>
  <c r="E21" i="11"/>
  <c r="BC17" i="1"/>
  <c r="H33" i="9"/>
  <c r="I33" i="9" s="1"/>
  <c r="AE11" i="9"/>
  <c r="L16" i="8"/>
  <c r="G21" i="11"/>
  <c r="AR21" i="1"/>
  <c r="AQ21" i="1"/>
  <c r="F21" i="11"/>
  <c r="AY21" i="1"/>
  <c r="BB21" i="1"/>
  <c r="AX21" i="1"/>
  <c r="G12" i="11"/>
  <c r="L14" i="8"/>
  <c r="K30" i="9"/>
  <c r="I46" i="10"/>
  <c r="J46" i="10" s="1"/>
  <c r="H31" i="8"/>
  <c r="I31" i="8" s="1"/>
  <c r="J21" i="11"/>
  <c r="M28" i="9"/>
  <c r="Y30" i="9"/>
  <c r="S31" i="9"/>
  <c r="L18" i="8"/>
  <c r="J26" i="8"/>
  <c r="L22" i="8"/>
  <c r="O28" i="9"/>
  <c r="BR47" i="11" l="1"/>
  <c r="BR46" i="11"/>
  <c r="BR68" i="11" s="1"/>
  <c r="CP65" i="11"/>
  <c r="CO47" i="11"/>
  <c r="CO46" i="11"/>
  <c r="CP46" i="11" s="1"/>
  <c r="B2" i="9"/>
  <c r="CP58" i="11"/>
  <c r="CP64" i="11"/>
  <c r="CP74" i="11"/>
  <c r="CP49" i="11"/>
  <c r="CP51" i="11"/>
  <c r="CP53" i="11"/>
  <c r="CP55" i="11"/>
  <c r="CP57" i="11"/>
  <c r="CP61" i="11"/>
  <c r="CP75" i="11"/>
  <c r="CP77" i="11"/>
  <c r="CP79" i="11"/>
  <c r="AC54" i="11"/>
  <c r="CP50" i="11"/>
  <c r="CP54" i="11"/>
  <c r="CP78" i="11"/>
  <c r="CP63" i="11"/>
  <c r="BG65" i="11"/>
  <c r="CP71" i="11"/>
  <c r="BK14" i="1"/>
  <c r="A3" i="10"/>
  <c r="D101" i="6"/>
  <c r="E19" i="11"/>
  <c r="AP19" i="1"/>
  <c r="AX19" i="1"/>
  <c r="M19" i="11"/>
  <c r="N19" i="11"/>
  <c r="AY19" i="1"/>
  <c r="H35" i="9"/>
  <c r="I35" i="9" s="1"/>
  <c r="G38" i="11"/>
  <c r="CP67" i="11"/>
  <c r="CP73" i="11"/>
  <c r="BK13" i="1"/>
  <c r="BK15" i="1"/>
  <c r="BK21" i="1"/>
  <c r="R38" i="11"/>
  <c r="CO68" i="11"/>
  <c r="BK17" i="1"/>
  <c r="BU21" i="1"/>
  <c r="CP47" i="11"/>
  <c r="CP59" i="11"/>
  <c r="CP70" i="11"/>
  <c r="BK18" i="1"/>
  <c r="AE18" i="9"/>
  <c r="AC55" i="11"/>
  <c r="CO69" i="11"/>
  <c r="BG57" i="11"/>
  <c r="BR69" i="11"/>
  <c r="BG56" i="11"/>
  <c r="BR21" i="1"/>
  <c r="BH21" i="1"/>
  <c r="BN21" i="1"/>
  <c r="R21" i="11"/>
  <c r="BI21" i="1"/>
  <c r="BO21" i="1"/>
  <c r="BS21" i="1"/>
  <c r="D21" i="11"/>
  <c r="BJ21" i="1"/>
  <c r="BP21" i="1"/>
  <c r="BT21" i="1"/>
  <c r="BQ21" i="1"/>
  <c r="I47" i="10"/>
  <c r="J47" i="10" s="1"/>
  <c r="BC21" i="1"/>
  <c r="T13" i="1"/>
  <c r="BV13" i="1"/>
  <c r="BV20" i="1"/>
  <c r="T20" i="1"/>
  <c r="T17" i="1"/>
  <c r="O28" i="1"/>
  <c r="BV17" i="1"/>
  <c r="BB19" i="1"/>
  <c r="Q19" i="11"/>
  <c r="J19" i="11"/>
  <c r="AU19" i="1"/>
  <c r="J31" i="9"/>
  <c r="O19" i="11"/>
  <c r="AZ19" i="1"/>
  <c r="BA19" i="1"/>
  <c r="BT19" i="1" s="1"/>
  <c r="P19" i="11"/>
  <c r="BV14" i="1"/>
  <c r="T14" i="1"/>
  <c r="O27" i="1"/>
  <c r="BV16" i="1"/>
  <c r="T16" i="1"/>
  <c r="AV19" i="1"/>
  <c r="BO19" i="1" s="1"/>
  <c r="K19" i="11"/>
  <c r="BV12" i="1"/>
  <c r="T12" i="1"/>
  <c r="T18" i="1"/>
  <c r="BV18" i="1"/>
  <c r="L19" i="11"/>
  <c r="AW19" i="1"/>
  <c r="BP19" i="1" s="1"/>
  <c r="BQ19" i="1"/>
  <c r="E28" i="1"/>
  <c r="BK16" i="1"/>
  <c r="E27" i="1"/>
  <c r="D112" i="6"/>
  <c r="AQ19" i="1"/>
  <c r="F19" i="11"/>
  <c r="BK20" i="1"/>
  <c r="D31" i="1"/>
  <c r="E31" i="1" s="1"/>
  <c r="D19" i="11"/>
  <c r="AO19" i="1"/>
  <c r="G14" i="11"/>
  <c r="CP68" i="11" l="1"/>
  <c r="BV21" i="1"/>
  <c r="BR19" i="1"/>
  <c r="CP69" i="11"/>
  <c r="AC28" i="9"/>
  <c r="BI19" i="1"/>
  <c r="E30" i="1"/>
  <c r="O30" i="1"/>
  <c r="O29" i="1"/>
  <c r="T21" i="1"/>
  <c r="BN19" i="1"/>
  <c r="T15" i="1"/>
  <c r="BV15" i="1"/>
  <c r="AE19" i="9"/>
  <c r="R19" i="11"/>
  <c r="O25" i="1"/>
  <c r="BC19" i="1"/>
  <c r="BU19" i="1"/>
  <c r="BS19" i="1"/>
  <c r="L23" i="8"/>
  <c r="G19" i="11"/>
  <c r="AR19" i="1"/>
  <c r="BJ19" i="1"/>
  <c r="BK12" i="1"/>
  <c r="E24" i="1"/>
  <c r="E26" i="1"/>
  <c r="BH19" i="1"/>
  <c r="E25" i="1"/>
  <c r="BK19" i="1" l="1"/>
  <c r="O26" i="1"/>
  <c r="T19" i="1"/>
  <c r="BV19" i="1"/>
  <c r="O24" i="1"/>
  <c r="BH23" i="1" l="1"/>
  <c r="E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D10" authorId="0" shapeId="0" xr:uid="{00000000-0006-0000-0100-00000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10" authorId="0" shapeId="0" xr:uid="{00000000-0006-0000-0100-000002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10" authorId="0" shapeId="0" xr:uid="{00000000-0006-0000-0100-000003000000}">
      <text>
        <r>
          <rPr>
            <b/>
            <sz val="9"/>
            <color indexed="81"/>
            <rFont val="Tahoma"/>
            <family val="2"/>
          </rPr>
          <t>Other = Refinery feedstocks +  Additives/oxygenates + Other hydrocarbons</t>
        </r>
      </text>
    </comment>
    <comment ref="G10" authorId="0" shapeId="0" xr:uid="{00000000-0006-0000-0100-000004000000}">
      <text>
        <r>
          <rPr>
            <b/>
            <sz val="9"/>
            <color indexed="81"/>
            <rFont val="Tahoma"/>
            <family val="2"/>
          </rPr>
          <t>Total = Crude Oil + NGL + Other</t>
        </r>
      </text>
    </comment>
    <comment ref="J10" authorId="0" shapeId="0" xr:uid="{00000000-0006-0000-0100-000005000000}">
      <text>
        <r>
          <rPr>
            <b/>
            <sz val="9"/>
            <color indexed="81"/>
            <rFont val="Tahoma"/>
            <family val="2"/>
          </rPr>
          <t>LPG:</t>
        </r>
        <r>
          <rPr>
            <sz val="9"/>
            <color indexed="81"/>
            <rFont val="Tahoma"/>
            <family val="2"/>
          </rPr>
          <t xml:space="preserve"> Comprises propane and butane.</t>
        </r>
      </text>
    </comment>
    <comment ref="K10" authorId="0" shapeId="0" xr:uid="{00000000-0006-0000-0100-00000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10" authorId="0" shapeId="0" xr:uid="{00000000-0006-0000-0100-000007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M10" authorId="0" shapeId="0" xr:uid="{00000000-0006-0000-0100-00000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10" authorId="0" shapeId="0" xr:uid="{00000000-0006-0000-0100-00000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10" authorId="0" shapeId="0" xr:uid="{00000000-0006-0000-0100-00000A000000}">
      <text>
        <r>
          <rPr>
            <b/>
            <sz val="9"/>
            <color indexed="81"/>
            <rFont val="Tahoma"/>
            <family val="2"/>
          </rPr>
          <t xml:space="preserve">Gas / Diesel Oil: </t>
        </r>
        <r>
          <rPr>
            <sz val="9"/>
            <color indexed="81"/>
            <rFont val="Tahoma"/>
            <family val="2"/>
          </rPr>
          <t>For automotive and other purposes. Biodiesel is included.</t>
        </r>
      </text>
    </comment>
    <comment ref="P10" authorId="0" shapeId="0" xr:uid="{00000000-0006-0000-0100-00000B000000}">
      <text>
        <r>
          <rPr>
            <b/>
            <sz val="9"/>
            <color indexed="81"/>
            <rFont val="Tahoma"/>
            <family val="2"/>
          </rPr>
          <t xml:space="preserve">Fuel Oil: </t>
        </r>
        <r>
          <rPr>
            <sz val="9"/>
            <color indexed="81"/>
            <rFont val="Tahoma"/>
            <family val="2"/>
          </rPr>
          <t>Heavy residual oil/boiler oil, including bunker oil.</t>
        </r>
      </text>
    </comment>
    <comment ref="Q10" authorId="0" shapeId="0" xr:uid="{00000000-0006-0000-0100-00000C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10" authorId="0" shapeId="0" xr:uid="{00000000-0006-0000-0100-00000D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AO10" authorId="0" shapeId="0" xr:uid="{00000000-0006-0000-0100-00000E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P10" authorId="0" shapeId="0" xr:uid="{00000000-0006-0000-0100-00000F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AQ10" authorId="0" shapeId="0" xr:uid="{00000000-0006-0000-0100-000010000000}">
      <text>
        <r>
          <rPr>
            <b/>
            <sz val="9"/>
            <color indexed="81"/>
            <rFont val="Tahoma"/>
            <family val="2"/>
          </rPr>
          <t>Other = Refinery Feedstocks +  Additives/oxygenates + Other Hydrocarbons</t>
        </r>
      </text>
    </comment>
    <comment ref="AR10" authorId="0" shapeId="0" xr:uid="{00000000-0006-0000-0100-000011000000}">
      <text>
        <r>
          <rPr>
            <b/>
            <sz val="9"/>
            <color indexed="81"/>
            <rFont val="Tahoma"/>
            <family val="2"/>
          </rPr>
          <t>Total = Crude Oil + NGL + Other</t>
        </r>
      </text>
    </comment>
    <comment ref="AU10" authorId="0" shapeId="0" xr:uid="{00000000-0006-0000-0100-000012000000}">
      <text>
        <r>
          <rPr>
            <b/>
            <sz val="9"/>
            <color indexed="81"/>
            <rFont val="Tahoma"/>
            <family val="2"/>
          </rPr>
          <t>LPG:</t>
        </r>
        <r>
          <rPr>
            <sz val="9"/>
            <color indexed="81"/>
            <rFont val="Tahoma"/>
            <family val="2"/>
          </rPr>
          <t xml:space="preserve"> Comprises propane and butane
</t>
        </r>
      </text>
    </comment>
    <comment ref="AV10" authorId="0" shapeId="0" xr:uid="{00000000-0006-0000-0100-000013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W10" authorId="0" shapeId="0" xr:uid="{00000000-0006-0000-0100-000014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AX10" authorId="0" shapeId="0" xr:uid="{00000000-0006-0000-0100-000015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Y10" authorId="0" shapeId="0" xr:uid="{00000000-0006-0000-0100-000016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Z10" authorId="0" shapeId="0" xr:uid="{00000000-0006-0000-0100-000017000000}">
      <text>
        <r>
          <rPr>
            <b/>
            <sz val="9"/>
            <color indexed="81"/>
            <rFont val="Tahoma"/>
            <family val="2"/>
          </rPr>
          <t xml:space="preserve">Gas / Diesel Oil: </t>
        </r>
        <r>
          <rPr>
            <sz val="9"/>
            <color indexed="81"/>
            <rFont val="Tahoma"/>
            <family val="2"/>
          </rPr>
          <t>For automotive and other purposes. Biodiesel is included.</t>
        </r>
      </text>
    </comment>
    <comment ref="BA10" authorId="0" shapeId="0" xr:uid="{00000000-0006-0000-0100-000018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B10" authorId="0" shapeId="0" xr:uid="{00000000-0006-0000-0100-000019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BC10" authorId="0" shapeId="0" xr:uid="{00000000-0006-0000-0100-00001A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BH10" authorId="0" shapeId="0" xr:uid="{00000000-0006-0000-0100-00001B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I10" authorId="0" shapeId="0" xr:uid="{00000000-0006-0000-0100-00001C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BJ10" authorId="0" shapeId="0" xr:uid="{00000000-0006-0000-0100-00001D000000}">
      <text>
        <r>
          <rPr>
            <b/>
            <sz val="9"/>
            <color indexed="81"/>
            <rFont val="Tahoma"/>
            <family val="2"/>
          </rPr>
          <t>Other = Refinery Feedstocks +  Additives/oxygenates + Other Hydrocarbons</t>
        </r>
      </text>
    </comment>
    <comment ref="BK10" authorId="0" shapeId="0" xr:uid="{00000000-0006-0000-0100-00001E000000}">
      <text>
        <r>
          <rPr>
            <b/>
            <sz val="9"/>
            <color indexed="81"/>
            <rFont val="Tahoma"/>
            <family val="2"/>
          </rPr>
          <t>Total = Crude Oil + NGL + Other</t>
        </r>
      </text>
    </comment>
    <comment ref="BN10" authorId="0" shapeId="0" xr:uid="{00000000-0006-0000-0100-00001F000000}">
      <text>
        <r>
          <rPr>
            <b/>
            <sz val="9"/>
            <color indexed="81"/>
            <rFont val="Tahoma"/>
            <family val="2"/>
          </rPr>
          <t>LPG:</t>
        </r>
        <r>
          <rPr>
            <sz val="9"/>
            <color indexed="81"/>
            <rFont val="Tahoma"/>
            <family val="2"/>
          </rPr>
          <t xml:space="preserve"> Comprises propane and butane
</t>
        </r>
      </text>
    </comment>
    <comment ref="BO10" authorId="0" shapeId="0" xr:uid="{00000000-0006-0000-0100-000020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P10" authorId="0" shapeId="0" xr:uid="{00000000-0006-0000-0100-000021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BQ10" authorId="0" shapeId="0" xr:uid="{00000000-0006-0000-0100-000022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R10" authorId="0" shapeId="0" xr:uid="{00000000-0006-0000-0100-000023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S10" authorId="0" shapeId="0" xr:uid="{00000000-0006-0000-0100-000024000000}">
      <text>
        <r>
          <rPr>
            <b/>
            <sz val="9"/>
            <color indexed="81"/>
            <rFont val="Tahoma"/>
            <family val="2"/>
          </rPr>
          <t xml:space="preserve">Gas / Diesel Oil: </t>
        </r>
        <r>
          <rPr>
            <sz val="9"/>
            <color indexed="81"/>
            <rFont val="Tahoma"/>
            <family val="2"/>
          </rPr>
          <t>For automotive and other purposes. Biodiesel is included.</t>
        </r>
      </text>
    </comment>
    <comment ref="BT10" authorId="0" shapeId="0" xr:uid="{00000000-0006-0000-0100-000025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U10" authorId="0" shapeId="0" xr:uid="{00000000-0006-0000-0100-000026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BV10" authorId="0" shapeId="0" xr:uid="{00000000-0006-0000-0100-000027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12" authorId="0" shapeId="0" xr:uid="{00000000-0006-0000-0100-000028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12" authorId="0" shapeId="0" xr:uid="{00000000-0006-0000-0100-000029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N12" authorId="0" shapeId="0" xr:uid="{00000000-0006-0000-0100-00002A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AT12" authorId="0" shapeId="0" xr:uid="{00000000-0006-0000-0100-00002B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BG12" authorId="0" shapeId="0" xr:uid="{00000000-0006-0000-0100-00002C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BM12" authorId="0" shapeId="0" xr:uid="{00000000-0006-0000-0100-00002D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13" authorId="0" shapeId="0" xr:uid="{00000000-0006-0000-0100-00002E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13" authorId="0" shapeId="0" xr:uid="{00000000-0006-0000-0100-00002F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N13" authorId="0" shapeId="0" xr:uid="{00000000-0006-0000-0100-000030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AT13" authorId="0" shapeId="0" xr:uid="{00000000-0006-0000-0100-000031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BG13" authorId="0" shapeId="0" xr:uid="{00000000-0006-0000-0100-000032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BM13" authorId="0" shapeId="0" xr:uid="{00000000-0006-0000-0100-000033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14" authorId="0" shapeId="0" xr:uid="{00000000-0006-0000-0100-000034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I14" authorId="0" shapeId="0" xr:uid="{00000000-0006-0000-0100-000035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AN14" authorId="0" shapeId="0" xr:uid="{00000000-0006-0000-0100-000036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AT14" authorId="0" shapeId="0" xr:uid="{00000000-0006-0000-0100-000037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BG14" authorId="0" shapeId="0" xr:uid="{00000000-0006-0000-0100-000038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BM14" authorId="0" shapeId="0" xr:uid="{00000000-0006-0000-0100-000039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C15" authorId="0" shapeId="0" xr:uid="{00000000-0006-0000-0100-00003A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I15" authorId="0" shapeId="0" xr:uid="{00000000-0006-0000-0100-00003B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AN15" authorId="0" shapeId="0" xr:uid="{00000000-0006-0000-0100-00003C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AT15" authorId="0" shapeId="0" xr:uid="{00000000-0006-0000-0100-00003D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BG15" authorId="0" shapeId="0" xr:uid="{00000000-0006-0000-0100-00003E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BM15" authorId="0" shapeId="0" xr:uid="{00000000-0006-0000-0100-00003F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C16" authorId="0" shapeId="0" xr:uid="{00000000-0006-0000-0100-000040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16" authorId="0" shapeId="0" xr:uid="{00000000-0006-0000-0100-000041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N16" authorId="0" shapeId="0" xr:uid="{00000000-0006-0000-0100-000042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AT16" authorId="0" shapeId="0" xr:uid="{00000000-0006-0000-0100-000043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BG16" authorId="0" shapeId="0" xr:uid="{00000000-0006-0000-0100-000044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BM16" authorId="0" shapeId="0" xr:uid="{00000000-0006-0000-0100-00004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17" authorId="0" shapeId="0" xr:uid="{00000000-0006-0000-0100-000046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17" authorId="0" shapeId="0" xr:uid="{00000000-0006-0000-0100-000047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N17" authorId="0" shapeId="0" xr:uid="{00000000-0006-0000-0100-000048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AT17" authorId="0" shapeId="0" xr:uid="{00000000-0006-0000-0100-000049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BG17" authorId="0" shapeId="0" xr:uid="{00000000-0006-0000-0100-00004A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BM17" authorId="0" shapeId="0" xr:uid="{00000000-0006-0000-0100-00004B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18" authorId="0" shapeId="0" xr:uid="{00000000-0006-0000-0100-00004C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18" authorId="0" shapeId="0" xr:uid="{00000000-0006-0000-0100-00004D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N18" authorId="0" shapeId="0" xr:uid="{00000000-0006-0000-0100-00004E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T18" authorId="0" shapeId="0" xr:uid="{00000000-0006-0000-0100-00004F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G18" authorId="0" shapeId="0" xr:uid="{00000000-0006-0000-0100-000050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M18" authorId="0" shapeId="0" xr:uid="{00000000-0006-0000-0100-000051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19" authorId="0" shapeId="0" xr:uid="{00000000-0006-0000-0100-000052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19" authorId="0" shapeId="0" xr:uid="{00000000-0006-0000-0100-000053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N19" authorId="0" shapeId="0" xr:uid="{00000000-0006-0000-0100-000054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AT19" authorId="0" shapeId="0" xr:uid="{00000000-0006-0000-0100-000055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BG19" authorId="0" shapeId="0" xr:uid="{00000000-0006-0000-0100-000056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BM19" authorId="0" shapeId="0" xr:uid="{00000000-0006-0000-0100-000057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20" authorId="0" shapeId="0" xr:uid="{00000000-0006-0000-0100-000058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20" authorId="0" shapeId="0" xr:uid="{00000000-0006-0000-0100-00005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N20" authorId="0" shapeId="0" xr:uid="{00000000-0006-0000-0100-00005A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AT20" authorId="0" shapeId="0" xr:uid="{00000000-0006-0000-0100-00005B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BG20" authorId="0" shapeId="0" xr:uid="{00000000-0006-0000-0100-00005C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BM20" authorId="0" shapeId="0" xr:uid="{00000000-0006-0000-0100-00005D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21" authorId="0" shapeId="0" xr:uid="{00000000-0006-0000-0100-00005E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21" authorId="0" shapeId="0" xr:uid="{00000000-0006-0000-0100-00005F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AN21" authorId="0" shapeId="0" xr:uid="{00000000-0006-0000-0100-000060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AT21" authorId="0" shapeId="0" xr:uid="{00000000-0006-0000-0100-00006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BG21" authorId="0" shapeId="0" xr:uid="{00000000-0006-0000-0100-000062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BM21" authorId="0" shapeId="0" xr:uid="{00000000-0006-0000-0100-000063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C31" authorId="0" shapeId="0" xr:uid="{00000000-0006-0000-0100-000064000000}">
      <text>
        <r>
          <rPr>
            <b/>
            <sz val="9"/>
            <color indexed="81"/>
            <rFont val="Tahoma"/>
            <family val="2"/>
          </rPr>
          <t xml:space="preserve">Refinery Losses: </t>
        </r>
        <r>
          <rPr>
            <sz val="9"/>
            <color indexed="81"/>
            <rFont val="Tahoma"/>
            <family val="2"/>
          </rPr>
          <t>Differences between observed refinery intake and gross refinery output. 
Losses may occur during the distillation processes due to evaporation.</t>
        </r>
        <r>
          <rPr>
            <b/>
            <sz val="9"/>
            <color indexed="81"/>
            <rFont val="Tahoma"/>
            <family val="2"/>
          </rPr>
          <t xml:space="preserve"> 
Refinery Losses = 
   Total Products Refinery Output
    - Total Refinery Intake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ROBIN_E</author>
    <author>Martina Repikova</author>
  </authors>
  <commentList>
    <comment ref="D11" authorId="0" shapeId="0" xr:uid="{00000000-0006-0000-0200-000001000000}">
      <text>
        <r>
          <rPr>
            <b/>
            <sz val="8"/>
            <color indexed="81"/>
            <rFont val="Tahoma"/>
            <family val="2"/>
          </rPr>
          <t>Crude Oil</t>
        </r>
        <r>
          <rPr>
            <sz val="8"/>
            <color indexed="81"/>
            <rFont val="Tahoma"/>
            <family val="2"/>
          </rPr>
          <t xml:space="preserve">
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r>
      </text>
    </comment>
    <comment ref="E11" authorId="0" shapeId="0" xr:uid="{00000000-0006-0000-0200-000002000000}">
      <text>
        <r>
          <rPr>
            <b/>
            <sz val="8"/>
            <color indexed="81"/>
            <rFont val="Tahoma"/>
            <family val="2"/>
          </rPr>
          <t>Natural Gas Liquids (NGL)</t>
        </r>
        <r>
          <rPr>
            <sz val="8"/>
            <color indexed="81"/>
            <rFont val="Tahoma"/>
            <family val="2"/>
          </rPr>
          <t xml:space="preserve">
NGL are liquid or liquefied hydrocarbons recovered from natural gas in separation facilities or gas processing plants.  
Natural gas liquids include ethane, propane, butane (normal and iso-), (iso) pentane and pentanes plus (sometimes referred to as natural gasoline or plant condensate).</t>
        </r>
      </text>
    </comment>
    <comment ref="F11" authorId="0" shapeId="0" xr:uid="{00000000-0006-0000-0200-000003000000}">
      <text>
        <r>
          <rPr>
            <b/>
            <sz val="8"/>
            <color indexed="81"/>
            <rFont val="Tahoma"/>
            <family val="2"/>
          </rPr>
          <t>Refinery Feedstocks</t>
        </r>
        <r>
          <rPr>
            <sz val="8"/>
            <color indexed="81"/>
            <rFont val="Tahoma"/>
            <family val="2"/>
          </rPr>
          <t xml:space="preserve">
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gasoil and fuel oil fractions) 
</t>
        </r>
      </text>
    </comment>
    <comment ref="G11" authorId="0" shapeId="0" xr:uid="{00000000-0006-0000-0200-000004000000}">
      <text>
        <r>
          <rPr>
            <b/>
            <sz val="8"/>
            <color indexed="81"/>
            <rFont val="Tahoma"/>
            <family val="2"/>
          </rPr>
          <t>Additives/Oxygenates</t>
        </r>
        <r>
          <rPr>
            <sz val="8"/>
            <color indexed="81"/>
            <rFont val="Tahoma"/>
            <family val="2"/>
          </rPr>
          <t xml:space="preserve">
Additives and oxygenates are non-hydrocarbon compounds added to or blended with a product to modify fuel properties (octane, cetane, cold properties, etc.) e.g. alcohols (methanol, ethanol), ethers (such as MTBE (methyl tertiary butyl ether), ETBE (ethyl tertiary butyl ether), TAME (tertiary amyl methyl ether) or esters (e.g. rapeseed or dimethylester, etc.).  
Additives  include chemical compounds (such as TML (tetramethyl lead) or TEL (tetraethyl lead)) and detergents.
</t>
        </r>
        <r>
          <rPr>
            <b/>
            <sz val="8"/>
            <color indexed="81"/>
            <rFont val="Tahoma"/>
            <family val="2"/>
          </rPr>
          <t>Note: Quantities of ethanol reported in this category should relate to the quantities destined for fuel use.</t>
        </r>
      </text>
    </comment>
    <comment ref="I11" authorId="0" shapeId="0" xr:uid="{00000000-0006-0000-0200-000005000000}">
      <text>
        <r>
          <rPr>
            <b/>
            <sz val="8"/>
            <color indexed="81"/>
            <rFont val="Tahoma"/>
            <family val="2"/>
          </rPr>
          <t>Other Hydrocarbons</t>
        </r>
        <r>
          <rPr>
            <sz val="8"/>
            <color indexed="81"/>
            <rFont val="Tahoma"/>
            <family val="2"/>
          </rPr>
          <t xml:space="preserve">
This category includes synthetic crude oil from tar sands, oil shale, etc., liquids from coal liquefaction, of liquids from natural gas conversion, hydrogen and emulsified oils (e.g. Orimulsion).
</t>
        </r>
        <r>
          <rPr>
            <i/>
            <u/>
            <sz val="8"/>
            <color indexed="81"/>
            <rFont val="Tahoma"/>
            <family val="2"/>
          </rPr>
          <t>Note on the reporting of emulsified oils:</t>
        </r>
        <r>
          <rPr>
            <sz val="8"/>
            <color indexed="81"/>
            <rFont val="Tahoma"/>
            <family val="2"/>
          </rPr>
          <t xml:space="preserve">
All imports of emulsified oils (e.g. Orimulsion) should be reported as imports of `other hydroc</t>
        </r>
        <r>
          <rPr>
            <sz val="8"/>
            <color indexed="81"/>
            <rFont val="Tahoma"/>
            <family val="2"/>
          </rPr>
          <t>arbons' (reference F5).  
As these oils do not need further processing in a refinery, report these quantities as direct use (reference F7) and primary product receipts in the `other products' category of the Supply of Finished Products report (reference U1 in Table 2).  
Any production of emulsified oils should appear as indigenous production of `other hydrocarbons' (reference F1). 
Report all quantities in physical weight of the emuls</t>
        </r>
        <r>
          <rPr>
            <sz val="8"/>
            <color indexed="81"/>
            <rFont val="Tahoma"/>
            <family val="2"/>
          </rPr>
          <t>ion (i.e. including the water content).</t>
        </r>
      </text>
    </comment>
    <comment ref="J11" authorId="0" shapeId="0" xr:uid="{00000000-0006-0000-0200-000006000000}">
      <text>
        <r>
          <rPr>
            <b/>
            <sz val="8"/>
            <color indexed="81"/>
            <rFont val="Tahoma"/>
            <family val="2"/>
          </rPr>
          <t xml:space="preserve">TOTAL:
          </t>
        </r>
        <r>
          <rPr>
            <sz val="8"/>
            <color indexed="81"/>
            <rFont val="Tahoma"/>
            <family val="2"/>
          </rPr>
          <t xml:space="preserve"> +  Crude Oil
           + Natural Gas Liquids
           + Refinery Feedstocks
           + Additives/ Oxygenates
           + Other Hydrocarbons</t>
        </r>
      </text>
    </comment>
    <comment ref="H12" authorId="1" shapeId="0" xr:uid="{00000000-0006-0000-0200-000007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B14" authorId="0" shapeId="0" xr:uid="{00000000-0006-0000-0200-000008000000}">
      <text>
        <r>
          <rPr>
            <b/>
            <sz val="8"/>
            <color indexed="81"/>
            <rFont val="Tahoma"/>
            <family val="2"/>
          </rPr>
          <t xml:space="preserve">Indigenous production:
</t>
        </r>
        <r>
          <rPr>
            <sz val="8"/>
            <color indexed="81"/>
            <rFont val="Tahoma"/>
            <family val="2"/>
          </rPr>
          <t>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text>
    </comment>
    <comment ref="B15" authorId="0" shapeId="0" xr:uid="{00000000-0006-0000-0200-000009000000}">
      <text>
        <r>
          <rPr>
            <b/>
            <sz val="8"/>
            <color indexed="81"/>
            <rFont val="Tahoma"/>
            <family val="2"/>
          </rPr>
          <t xml:space="preserve">Receipts from other sources:
</t>
        </r>
        <r>
          <rPr>
            <sz val="8"/>
            <color indexed="81"/>
            <rFont val="Tahoma"/>
            <family val="2"/>
          </rPr>
          <t>Report supplies of additives/oxygenates, biofuels and other hydrocarbons, the production of which has already been covered in other fuel balances e.g. in NZ the manufacture of synthetic gasoline requires natural gas as feedstock. The amount of gas for methanol manufacture is accounted for in the natural gas balance, while the receipts of methanol are reported as Receipts from other sources in the oil balance.</t>
        </r>
      </text>
    </comment>
    <comment ref="B16" authorId="0" shapeId="0" xr:uid="{00000000-0006-0000-0200-00000A000000}">
      <text>
        <r>
          <rPr>
            <b/>
            <sz val="8"/>
            <color indexed="81"/>
            <rFont val="Tahoma"/>
            <family val="2"/>
          </rPr>
          <t>Backflows:</t>
        </r>
        <r>
          <rPr>
            <sz val="8"/>
            <color indexed="81"/>
            <rFont val="Tahoma"/>
            <family val="2"/>
          </rPr>
          <t xml:space="preserve">
These 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 </t>
        </r>
        <r>
          <rPr>
            <b/>
            <sz val="8"/>
            <color indexed="81"/>
            <rFont val="Tahoma"/>
            <family val="2"/>
          </rPr>
          <t xml:space="preserve">
Total backflows in Table 1 (reference G3) must be equal to Total Backflows from petrochemical sector to refineries (reference Z19) in Table 2.</t>
        </r>
      </text>
    </comment>
    <comment ref="B17" authorId="0" shapeId="0" xr:uid="{00000000-0006-0000-0200-00000B000000}">
      <text>
        <r>
          <rPr>
            <b/>
            <sz val="8"/>
            <color indexed="81"/>
            <rFont val="Tahoma"/>
            <family val="2"/>
          </rPr>
          <t xml:space="preserve">Products transferred:
</t>
        </r>
        <r>
          <rPr>
            <sz val="8"/>
            <color indexed="81"/>
            <rFont val="Tahoma"/>
            <family val="2"/>
          </rPr>
          <t xml:space="preserve">These are usually imported petroleum products, which are reclassified as feedstocks for further processing in the refinery, without delivery to final consumers. For example, naphtha imported for upgrading would be first reported as imports of naphtha (reference F5 in Table 2), and then appear also as products transferred of naphtha (reference F9 in Table 2).
</t>
        </r>
        <r>
          <rPr>
            <b/>
            <sz val="8"/>
            <color indexed="81"/>
            <rFont val="Tahoma"/>
            <family val="2"/>
          </rPr>
          <t>The sum of the references for Products transferred (reference Z9 in Table 2) should be reported in reference C4, Table 1.</t>
        </r>
      </text>
    </comment>
    <comment ref="B18" authorId="0" shapeId="0" xr:uid="{00000000-0006-0000-0200-00000C000000}">
      <text>
        <r>
          <rPr>
            <b/>
            <sz val="8"/>
            <color indexed="81"/>
            <rFont val="Tahoma"/>
            <family val="2"/>
          </rPr>
          <t xml:space="preserve">Imports and Exports (Balance):
</t>
        </r>
        <r>
          <rPr>
            <sz val="8"/>
            <color indexed="81"/>
            <rFont val="Tahoma"/>
            <family val="2"/>
          </rPr>
          <t xml:space="preserve">Data should reflect amounts having crossed the national territorial boundaries, whether customs clearance has taken place or not. Quantities of crude oil and products imported or exported under processing agreements (i.e. refining on account) should be included. Crude oil and NGLs should be reported as coming from the country of ultimate origin; refinery feedstocks and finished products should be reported as coming from the country of last consignment. Any gas liquids (e.g. LPG) extracted during the regasification process of imported LNG should be reported under inputs “Receipts from other sources” of “Other hydrocarbons” in this questionnaire. Petroleum products imported or exported directly by the petrochemical industry should be included.
</t>
        </r>
        <r>
          <rPr>
            <b/>
            <sz val="8"/>
            <color indexed="81"/>
            <rFont val="Tahoma"/>
            <family val="2"/>
          </rPr>
          <t xml:space="preserve">Note: Imports or exports of ethanol (reported in the Additives/oxygenates column) should relate to the quantities destined for fuel use.
</t>
        </r>
        <r>
          <rPr>
            <sz val="8"/>
            <color indexed="81"/>
            <rFont val="Tahoma"/>
            <family val="2"/>
          </rPr>
          <t xml:space="preserve">Re-exports of oil imported for processing within bonded areas should be included as an export of product from the processing country to the final destination.
</t>
        </r>
        <r>
          <rPr>
            <b/>
            <sz val="8"/>
            <color indexed="81"/>
            <rFont val="Tahoma"/>
            <family val="2"/>
          </rPr>
          <t xml:space="preserve">
Imports and exports reported in Tables 1 and 2 should correspond to Total Imports, line 105 in Table 3 and to Total Exports, line 96 in Table 4.</t>
        </r>
      </text>
    </comment>
    <comment ref="B20" authorId="0" shapeId="0" xr:uid="{00000000-0006-0000-0200-00000D000000}">
      <text>
        <r>
          <rPr>
            <b/>
            <sz val="8"/>
            <color indexed="81"/>
            <rFont val="Tahoma"/>
            <family val="2"/>
          </rPr>
          <t xml:space="preserve">Direct use:
</t>
        </r>
        <r>
          <rPr>
            <sz val="8"/>
            <color indexed="81"/>
            <rFont val="Tahoma"/>
            <family val="2"/>
          </rPr>
          <t xml:space="preserve">Crude oil, NGL and Other hydrocarbons which are used directly without being processed in oil refineries are reported as Direct use. This includes, for example, crude oil burned for electricity generation.
</t>
        </r>
        <r>
          <rPr>
            <b/>
            <sz val="8"/>
            <color indexed="81"/>
            <rFont val="Tahoma"/>
            <family val="2"/>
          </rPr>
          <t>Such quantities will also be reported in the supply of products under Primary product receipts in line 1 of Table 2.</t>
        </r>
      </text>
    </comment>
    <comment ref="B21" authorId="0" shapeId="0" xr:uid="{00000000-0006-0000-0200-00000E000000}">
      <text>
        <r>
          <rPr>
            <b/>
            <sz val="8"/>
            <color indexed="81"/>
            <rFont val="Tahoma"/>
            <family val="2"/>
          </rPr>
          <t xml:space="preserve">Stock changes:
</t>
        </r>
        <r>
          <rPr>
            <sz val="8"/>
            <color indexed="81"/>
            <rFont val="Tahoma"/>
            <family val="2"/>
          </rPr>
          <t>Stock changes should reflect the difference between closing stock level and opening stock level for stocks held on national territory, as given in category (a) (lines 1 and 2 of Table 5). A stock build is shown as a positive number, and a stock draw as a negative number.</t>
        </r>
      </text>
    </comment>
    <comment ref="B22" authorId="0" shapeId="0" xr:uid="{00000000-0006-0000-0200-00000F000000}">
      <text>
        <r>
          <rPr>
            <b/>
            <sz val="8"/>
            <color indexed="81"/>
            <rFont val="Tahoma"/>
            <family val="2"/>
          </rPr>
          <t xml:space="preserve">Refinery intake (Calculated):
</t>
        </r>
        <r>
          <rPr>
            <sz val="8"/>
            <color indexed="81"/>
            <rFont val="Tahoma"/>
            <family val="2"/>
          </rPr>
          <t xml:space="preserve">This is defined as the total amount of oil calculated to have entered the refinery process. It is defined as:
                                          </t>
        </r>
        <r>
          <rPr>
            <b/>
            <sz val="8"/>
            <color indexed="81"/>
            <rFont val="Tahoma"/>
            <family val="2"/>
          </rPr>
          <t>+ Indigenous production
                                          + Receipts from other sources
                                          + Backflows
                                          + Products transferred
                                          + Imports (Balance)
                                          – Exports (Balance)
                                          – Direct use
                                          – Stock changes
                                          = Refinery intake (Calculated)</t>
        </r>
      </text>
    </comment>
    <comment ref="B23" authorId="0" shapeId="0" xr:uid="{00000000-0006-0000-0200-000010000000}">
      <text>
        <r>
          <rPr>
            <b/>
            <sz val="8"/>
            <color indexed="81"/>
            <rFont val="Tahoma"/>
            <family val="2"/>
          </rPr>
          <t xml:space="preserve">Statistical difference:
</t>
        </r>
        <r>
          <rPr>
            <sz val="8"/>
            <color indexed="81"/>
            <rFont val="Tahoma"/>
            <family val="2"/>
          </rPr>
          <t>This is the difference between calculated and observed refinery intake.</t>
        </r>
        <r>
          <rPr>
            <b/>
            <sz val="8"/>
            <color indexed="81"/>
            <rFont val="Tahoma"/>
            <family val="2"/>
          </rPr>
          <t xml:space="preserve"> </t>
        </r>
        <r>
          <rPr>
            <i/>
            <sz val="8"/>
            <color indexed="81"/>
            <rFont val="Tahoma"/>
            <family val="2"/>
          </rPr>
          <t>Reasons for any major differences should be stated in the section provided for remarks.</t>
        </r>
      </text>
    </comment>
    <comment ref="B24" authorId="0" shapeId="0" xr:uid="{00000000-0006-0000-0200-000011000000}">
      <text>
        <r>
          <rPr>
            <b/>
            <sz val="8"/>
            <color indexed="81"/>
            <rFont val="Tahoma"/>
            <family val="2"/>
          </rPr>
          <t xml:space="preserve">Refinery intake (Observed):
</t>
        </r>
        <r>
          <rPr>
            <sz val="8"/>
            <color indexed="81"/>
            <rFont val="Tahoma"/>
            <family val="2"/>
          </rPr>
          <t>This is defined as the total amount of oil (including Other hydrocarbons and Additives) observed to have entered the refinery process.</t>
        </r>
      </text>
    </comment>
    <comment ref="B25" authorId="1" shapeId="0" xr:uid="{00000000-0006-0000-0200-000012000000}">
      <text>
        <r>
          <rPr>
            <b/>
            <sz val="8"/>
            <color indexed="81"/>
            <rFont val="Tahoma"/>
            <family val="2"/>
          </rPr>
          <t>Refinery Losses:</t>
        </r>
        <r>
          <rPr>
            <sz val="8"/>
            <color indexed="81"/>
            <rFont val="Tahoma"/>
            <family val="2"/>
          </rPr>
          <t xml:space="preserve">
These are the differences between observed refinery intake (reference G11) and gross refinery output (reference V2 of Table 2).  Losses may occur during the distillation processes due to evaporation.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Martina Repikova</author>
    <author>Ryszard Pospiech</author>
    <author>ROBIN_E</author>
    <author>A satisfied Microsoft Office user</author>
    <author>ELLIOTT</author>
  </authors>
  <commentList>
    <comment ref="K6" authorId="0" shapeId="0" xr:uid="{00000000-0006-0000-0300-000001000000}">
      <text>
        <r>
          <rPr>
            <b/>
            <sz val="8"/>
            <color indexed="81"/>
            <rFont val="Tahoma"/>
            <family val="2"/>
          </rPr>
          <t xml:space="preserve">Biogasoline:
</t>
        </r>
        <r>
          <rPr>
            <sz val="8"/>
            <color indexed="81"/>
            <rFont val="Tahoma"/>
            <family val="2"/>
          </rPr>
          <t>This category includes bioethanol (ethanol produced from biomass and/or the biodegradable fraction of waste), biomethanol (methanol produced from biomass and/or the biodegradable fraction of waste), bioETBE (ethyl-tertiobutyl- ether produced on the basis of bioethanol: the percentage by volume of bioETBE that is calculated as biofuel is 37%) and bioMTBE (methyl-tertio-butyl-ether produced on the basis of biomethanol: the percentage by volume of bioMTBE that is calculated as biofuel is 22%).</t>
        </r>
      </text>
    </comment>
    <comment ref="L6" authorId="0" shapeId="0" xr:uid="{00000000-0006-0000-0300-000002000000}">
      <text>
        <r>
          <rPr>
            <b/>
            <sz val="8"/>
            <color indexed="81"/>
            <rFont val="Tahoma"/>
            <family val="2"/>
          </rPr>
          <t xml:space="preserve">Non-biogasoline:
</t>
        </r>
        <r>
          <rPr>
            <sz val="8"/>
            <color indexed="81"/>
            <rFont val="Tahoma"/>
            <family val="2"/>
          </rPr>
          <t>This category covers Motor gasoline as defined above excluding Biogasoline.</t>
        </r>
      </text>
    </comment>
    <comment ref="P6" authorId="1" shapeId="0" xr:uid="{00000000-0006-0000-0300-000003000000}">
      <text>
        <r>
          <rPr>
            <b/>
            <sz val="8"/>
            <color indexed="81"/>
            <rFont val="Tahoma"/>
            <family val="2"/>
          </rPr>
          <t xml:space="preserve">Bio jet kerosene:
</t>
        </r>
        <r>
          <rPr>
            <sz val="8"/>
            <color indexed="81"/>
            <rFont val="Tahoma"/>
            <family val="2"/>
          </rPr>
          <t xml:space="preserve">Liquid biofuels derived from biomass and blended with Jet kerosene.
</t>
        </r>
      </text>
    </comment>
    <comment ref="Q6" authorId="1" shapeId="0" xr:uid="{00000000-0006-0000-0300-000004000000}">
      <text>
        <r>
          <rPr>
            <b/>
            <sz val="8"/>
            <color indexed="81"/>
            <rFont val="Tahoma"/>
            <family val="2"/>
          </rPr>
          <t xml:space="preserve">Non-bio jet kerosene:
</t>
        </r>
        <r>
          <rPr>
            <sz val="8"/>
            <color indexed="81"/>
            <rFont val="Tahoma"/>
            <family val="2"/>
          </rPr>
          <t>This category covers jet kerosene as defined above excluding Bio jet kerosene.</t>
        </r>
      </text>
    </comment>
    <comment ref="S6" authorId="1" shapeId="0" xr:uid="{00000000-0006-0000-0300-000005000000}">
      <text>
        <r>
          <rPr>
            <b/>
            <sz val="8"/>
            <color indexed="81"/>
            <rFont val="Tahoma"/>
            <family val="2"/>
          </rPr>
          <t>Road diesel:</t>
        </r>
        <r>
          <rPr>
            <sz val="8"/>
            <color indexed="81"/>
            <rFont val="Tahoma"/>
            <family val="2"/>
          </rPr>
          <t xml:space="preserve">
On road diesel oil for diesel compression ignition (cars, trucks etc.), usually of low sulphur content.
</t>
        </r>
      </text>
    </comment>
    <comment ref="T6" authorId="1" shapeId="0" xr:uid="{00000000-0006-0000-0300-000006000000}">
      <text>
        <r>
          <rPr>
            <b/>
            <sz val="8"/>
            <color indexed="81"/>
            <rFont val="Tahoma"/>
            <family val="2"/>
          </rPr>
          <t xml:space="preserve">Heating and other gasoil:
   - </t>
        </r>
        <r>
          <rPr>
            <sz val="8"/>
            <color indexed="81"/>
            <rFont val="Tahoma"/>
            <family val="2"/>
          </rPr>
          <t xml:space="preserve">Light heating oil for industrial and commercial uses;
    - Marine diesel and diesel used in rail traffic;
   - Other gas oil including heavy gas oils which distil
    between 380ºC and 540ºC and which are used as
    petrochemical feedstocks.
</t>
        </r>
      </text>
    </comment>
    <comment ref="V6" authorId="0" shapeId="0" xr:uid="{00000000-0006-0000-0300-000007000000}">
      <text>
        <r>
          <rPr>
            <b/>
            <sz val="8"/>
            <color indexed="81"/>
            <rFont val="Tahoma"/>
            <family val="2"/>
          </rPr>
          <t>Biodiesels</t>
        </r>
        <r>
          <rPr>
            <sz val="8"/>
            <color indexed="81"/>
            <rFont val="Tahoma"/>
            <family val="2"/>
          </rPr>
          <t xml:space="preserve">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Gas/diesel oil.</t>
        </r>
      </text>
    </comment>
    <comment ref="W6" authorId="1" shapeId="0" xr:uid="{00000000-0006-0000-0300-000008000000}">
      <text>
        <r>
          <rPr>
            <b/>
            <sz val="8"/>
            <color indexed="81"/>
            <rFont val="Tahoma"/>
            <family val="2"/>
          </rPr>
          <t xml:space="preserve">Non-bio gas/diesel oil:
</t>
        </r>
        <r>
          <rPr>
            <sz val="8"/>
            <color indexed="81"/>
            <rFont val="Tahoma"/>
            <family val="2"/>
          </rPr>
          <t xml:space="preserve">This category consists of gas diesel oil as defined above excluding Biodiesel.
</t>
        </r>
      </text>
    </comment>
    <comment ref="Y6" authorId="1" shapeId="0" xr:uid="{00000000-0006-0000-0300-000009000000}">
      <text>
        <r>
          <rPr>
            <b/>
            <sz val="8"/>
            <color indexed="81"/>
            <rFont val="Tahoma"/>
            <family val="2"/>
          </rPr>
          <t xml:space="preserve">Low sulphur content: 
</t>
        </r>
        <r>
          <rPr>
            <sz val="8"/>
            <color indexed="81"/>
            <rFont val="Tahoma"/>
            <family val="2"/>
          </rPr>
          <t>Heavy fuel oil with sulphur content lower than 1%</t>
        </r>
        <r>
          <rPr>
            <b/>
            <sz val="8"/>
            <color indexed="81"/>
            <rFont val="Tahoma"/>
            <family val="2"/>
          </rPr>
          <t>.</t>
        </r>
      </text>
    </comment>
    <comment ref="Z6" authorId="1" shapeId="0" xr:uid="{00000000-0006-0000-0300-00000A000000}">
      <text>
        <r>
          <rPr>
            <b/>
            <sz val="8"/>
            <color indexed="81"/>
            <rFont val="Tahoma"/>
            <family val="2"/>
          </rPr>
          <t xml:space="preserve">High sulphur content:
</t>
        </r>
        <r>
          <rPr>
            <sz val="8"/>
            <color indexed="81"/>
            <rFont val="Tahoma"/>
            <family val="2"/>
          </rPr>
          <t xml:space="preserve">Heavy fuel oil with sulphur content of 1% or higher.
</t>
        </r>
      </text>
    </comment>
    <comment ref="B8" authorId="2" shapeId="0" xr:uid="{00000000-0006-0000-0300-00000B000000}">
      <text>
        <r>
          <rPr>
            <b/>
            <sz val="8"/>
            <color indexed="81"/>
            <rFont val="Tahoma"/>
            <family val="2"/>
          </rPr>
          <t xml:space="preserve">Primary product receipts:
</t>
        </r>
        <r>
          <rPr>
            <sz val="8"/>
            <color indexed="81"/>
            <rFont val="Tahoma"/>
            <family val="2"/>
          </rPr>
          <t>Quantities of indigenous or imported crude oil (including condensate) and indigenous NGL which are</t>
        </r>
        <r>
          <rPr>
            <b/>
            <i/>
            <sz val="8"/>
            <color indexed="81"/>
            <rFont val="Tahoma"/>
            <family val="2"/>
          </rPr>
          <t xml:space="preserve"> used directly</t>
        </r>
        <r>
          <rPr>
            <sz val="8"/>
            <color indexed="81"/>
            <rFont val="Tahoma"/>
            <family val="2"/>
          </rPr>
          <t xml:space="preserve"> without being processed in an oil refinery. For example, crude oil used to generate electricity should be placed in Primary product receipts of crude oil (reference A1). Quantities of indigenous NGL which are not included in refinery intake should be reported in Primary product receipts of NGL (reference B1), then transferred through the Interproduct transfers row to the allocated product type.
Please note that this flow includes the amounts of Backflows which, although not primary fuel, are used directly.</t>
        </r>
      </text>
    </comment>
    <comment ref="B9" authorId="2" shapeId="0" xr:uid="{00000000-0006-0000-0300-00000C000000}">
      <text>
        <r>
          <rPr>
            <b/>
            <sz val="8"/>
            <color indexed="81"/>
            <rFont val="Tahoma"/>
            <family val="2"/>
          </rPr>
          <t xml:space="preserve">Refinery gross output:
</t>
        </r>
        <r>
          <rPr>
            <sz val="8"/>
            <color indexed="81"/>
            <rFont val="Tahoma"/>
            <family val="2"/>
          </rPr>
          <t>This is the production of oil petroleum products at a refining or blending plant. It excludes Refinery losses, but includes Refinery fuel.</t>
        </r>
        <r>
          <rPr>
            <b/>
            <sz val="8"/>
            <color indexed="81"/>
            <rFont val="Tahoma"/>
            <family val="2"/>
          </rPr>
          <t xml:space="preserve">
The Total (reference Z2) must be equal to Refinery intake (Observed) minus Refinery losses (references G11 and G12 respectively of Table 1).</t>
        </r>
      </text>
    </comment>
    <comment ref="B10" authorId="2" shapeId="0" xr:uid="{00000000-0006-0000-0300-00000D000000}">
      <text>
        <r>
          <rPr>
            <b/>
            <sz val="8"/>
            <color indexed="81"/>
            <rFont val="Tahoma"/>
            <family val="2"/>
          </rPr>
          <t xml:space="preserve">Recycled products:
</t>
        </r>
        <r>
          <rPr>
            <sz val="8"/>
            <color indexed="81"/>
            <rFont val="Tahoma"/>
            <family val="2"/>
          </rPr>
          <t xml:space="preserve">These are finished products which pass a second time through the marketing network, </t>
        </r>
        <r>
          <rPr>
            <u/>
            <sz val="8"/>
            <color indexed="81"/>
            <rFont val="Tahoma"/>
            <family val="2"/>
          </rPr>
          <t>after</t>
        </r>
        <r>
          <rPr>
            <sz val="8"/>
            <color indexed="81"/>
            <rFont val="Tahoma"/>
            <family val="2"/>
          </rPr>
          <t xml:space="preserve"> having been once delivered to final consumers (e.g. used lubricants which are reprocessed). These quantities should be distinguished from petrochemical Backflows (see definitions).</t>
        </r>
      </text>
    </comment>
    <comment ref="B11" authorId="2" shapeId="0" xr:uid="{00000000-0006-0000-0300-00000E000000}">
      <text>
        <r>
          <rPr>
            <b/>
            <sz val="8"/>
            <color indexed="81"/>
            <rFont val="Tahoma"/>
            <family val="2"/>
          </rPr>
          <t xml:space="preserve">Refinery fuel:
</t>
        </r>
        <r>
          <rPr>
            <sz val="8"/>
            <color indexed="81"/>
            <rFont val="Tahoma"/>
            <family val="2"/>
          </rPr>
          <t>These are all petroleum products consumed in support of the operation of a refinery. This should not include products used by oil companies outside the refining process, e.g. bunkers or oil tankers.</t>
        </r>
      </text>
    </comment>
    <comment ref="B12" authorId="2" shapeId="0" xr:uid="{00000000-0006-0000-0300-00000F000000}">
      <text>
        <r>
          <rPr>
            <b/>
            <sz val="8"/>
            <color indexed="81"/>
            <rFont val="Tahoma"/>
            <family val="2"/>
          </rPr>
          <t xml:space="preserve">IImports and Exports (Balance):
</t>
        </r>
        <r>
          <rPr>
            <sz val="8"/>
            <color indexed="81"/>
            <rFont val="Tahoma"/>
            <family val="2"/>
          </rPr>
          <t>See definitions in Table 1.</t>
        </r>
      </text>
    </comment>
    <comment ref="B14" authorId="2" shapeId="0" xr:uid="{00000000-0006-0000-0300-000010000000}">
      <text>
        <r>
          <rPr>
            <b/>
            <sz val="8"/>
            <color indexed="81"/>
            <rFont val="Tahoma"/>
            <family val="2"/>
          </rPr>
          <t xml:space="preserve">International marine bunkers:
</t>
        </r>
        <r>
          <rPr>
            <sz val="8"/>
            <color indexed="81"/>
            <rFont val="Tahoma"/>
            <family val="2"/>
          </rPr>
          <t>Bunkers cover the quantities of fuels delivered to sea-going ships of all flags, including warships. Consumption by ships engaged in transport in inland and coastal waters is not included. Note that fuel delivered for deep-sea fishing should not be included.</t>
        </r>
      </text>
    </comment>
    <comment ref="B15" authorId="2" shapeId="0" xr:uid="{00000000-0006-0000-0300-000011000000}">
      <text>
        <r>
          <rPr>
            <b/>
            <sz val="8"/>
            <color indexed="81"/>
            <rFont val="Tahoma"/>
            <family val="2"/>
          </rPr>
          <t xml:space="preserve">Interproduct transfers:
</t>
        </r>
        <r>
          <rPr>
            <sz val="8"/>
            <color indexed="81"/>
            <rFont val="Tahoma"/>
            <family val="2"/>
          </rPr>
          <t xml:space="preserve">Result from the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
        </r>
        <r>
          <rPr>
            <b/>
            <sz val="8"/>
            <color indexed="81"/>
            <rFont val="Tahoma"/>
            <family val="2"/>
          </rPr>
          <t>The total net effect (reference Z8) should be zero.</t>
        </r>
      </text>
    </comment>
    <comment ref="B16" authorId="2" shapeId="0" xr:uid="{00000000-0006-0000-0300-000012000000}">
      <text>
        <r>
          <rPr>
            <b/>
            <sz val="8"/>
            <color indexed="81"/>
            <rFont val="Tahoma"/>
            <family val="2"/>
          </rPr>
          <t xml:space="preserve">Products transferred:
</t>
        </r>
        <r>
          <rPr>
            <sz val="8"/>
            <color indexed="81"/>
            <rFont val="Tahoma"/>
            <family val="2"/>
          </rPr>
          <t>See definitions in Table 1.</t>
        </r>
      </text>
    </comment>
    <comment ref="B17" authorId="2" shapeId="0" xr:uid="{00000000-0006-0000-0300-000013000000}">
      <text>
        <r>
          <rPr>
            <b/>
            <sz val="8"/>
            <color indexed="81"/>
            <rFont val="Tahoma"/>
            <family val="2"/>
          </rPr>
          <t>Stock changes:</t>
        </r>
        <r>
          <rPr>
            <sz val="8"/>
            <color indexed="81"/>
            <rFont val="Tahoma"/>
            <family val="2"/>
          </rPr>
          <t xml:space="preserve">
See definitions under Table 1.</t>
        </r>
      </text>
    </comment>
    <comment ref="B18" authorId="2" shapeId="0" xr:uid="{00000000-0006-0000-0300-000014000000}">
      <text>
        <r>
          <rPr>
            <b/>
            <sz val="8"/>
            <color indexed="81"/>
            <rFont val="Tahoma"/>
            <family val="2"/>
          </rPr>
          <t xml:space="preserve">Gross inland deliveries (Calculated):
</t>
        </r>
        <r>
          <rPr>
            <sz val="8"/>
            <color indexed="81"/>
            <rFont val="Tahoma"/>
            <family val="2"/>
          </rPr>
          <t>This is defined as:</t>
        </r>
        <r>
          <rPr>
            <b/>
            <sz val="8"/>
            <color indexed="81"/>
            <rFont val="Tahoma"/>
            <family val="2"/>
          </rPr>
          <t xml:space="preserve">
                                   + Primary product receipts
                                   + Refinery gross output
                                   + Recycled products
                                   – Refinery fuel
                                   + Imports (Balance)
                                   – Exports (Balance)
                                   – International marine bunkers
                                   + Interproduct transfers
                                   – Products transferred
                                   – Stock changes
                                   = Gross inland deliveries (Calculated)</t>
        </r>
      </text>
    </comment>
    <comment ref="B19" authorId="2" shapeId="0" xr:uid="{00000000-0006-0000-0300-000015000000}">
      <text>
        <r>
          <rPr>
            <b/>
            <sz val="8"/>
            <color indexed="81"/>
            <rFont val="Tahoma"/>
            <family val="2"/>
          </rPr>
          <t>Statistical Difference:</t>
        </r>
        <r>
          <rPr>
            <sz val="8"/>
            <color indexed="81"/>
            <rFont val="Tahoma"/>
            <family val="2"/>
          </rPr>
          <t xml:space="preserve"> 
This is the difference between calculated and observed gross inland deliveries.  </t>
        </r>
        <r>
          <rPr>
            <i/>
            <sz val="8"/>
            <color indexed="81"/>
            <rFont val="Tahoma"/>
            <family val="2"/>
          </rPr>
          <t>Reasons for any major differences should be stated in the space provided for on the remarks sheet.</t>
        </r>
      </text>
    </comment>
    <comment ref="B20" authorId="2" shapeId="0" xr:uid="{00000000-0006-0000-0300-000016000000}">
      <text>
        <r>
          <rPr>
            <b/>
            <sz val="8"/>
            <color indexed="81"/>
            <rFont val="Tahoma"/>
            <family val="2"/>
          </rPr>
          <t xml:space="preserve">Gross inland deliveries (Observed):
</t>
        </r>
        <r>
          <rPr>
            <sz val="8"/>
            <color indexed="81"/>
            <rFont val="Tahoma"/>
            <family val="2"/>
          </rPr>
          <t>These are the observed deliveries of oil products from primary sources (e.g. refineries, blending plants etc.) to the inland market. This figure may differ from the calculated figure due, for example, to differences in coverage and/or differences of definition in different reporting systems.</t>
        </r>
      </text>
    </comment>
    <comment ref="B21" authorId="3" shapeId="0" xr:uid="{00000000-0006-0000-0300-000017000000}">
      <text>
        <r>
          <rPr>
            <b/>
            <sz val="8"/>
            <color indexed="81"/>
            <rFont val="Tahoma"/>
            <family val="2"/>
          </rPr>
          <t xml:space="preserve">Deliveries to international aviation: 
</t>
        </r>
        <r>
          <rPr>
            <sz val="8"/>
            <color indexed="81"/>
            <rFont val="Tahoma"/>
            <family val="2"/>
          </rPr>
          <t xml:space="preserve">Report all deliveries of aviation fuels other than for domestic aircraft activities.
</t>
        </r>
      </text>
    </comment>
    <comment ref="B22" authorId="2" shapeId="0" xr:uid="{00000000-0006-0000-0300-000018000000}">
      <text>
        <r>
          <rPr>
            <b/>
            <sz val="8"/>
            <color indexed="81"/>
            <rFont val="Tahoma"/>
            <family val="2"/>
          </rPr>
          <t xml:space="preserve">Deliveries to main activity producer power plants:
</t>
        </r>
        <r>
          <rPr>
            <sz val="8"/>
            <color indexed="81"/>
            <rFont val="Tahoma"/>
            <family val="2"/>
          </rPr>
          <t>Report quantities of oil products used for electricity and heat generation in main activity producer power plants.</t>
        </r>
      </text>
    </comment>
    <comment ref="B23" authorId="2" shapeId="0" xr:uid="{00000000-0006-0000-0300-000019000000}">
      <text>
        <r>
          <rPr>
            <b/>
            <sz val="8"/>
            <color indexed="81"/>
            <rFont val="Tahoma"/>
            <family val="2"/>
          </rPr>
          <t xml:space="preserve">Deliveries of automotive LPG:
</t>
        </r>
        <r>
          <rPr>
            <sz val="8"/>
            <color indexed="81"/>
            <rFont val="Tahoma"/>
            <family val="2"/>
          </rPr>
          <t>Report all deliveries of LPG used for road transport vehicles.</t>
        </r>
      </text>
    </comment>
    <comment ref="B24" authorId="2" shapeId="0" xr:uid="{00000000-0006-0000-0300-00001A000000}">
      <text>
        <r>
          <rPr>
            <b/>
            <sz val="8"/>
            <color indexed="81"/>
            <rFont val="Tahoma"/>
            <family val="2"/>
          </rPr>
          <t xml:space="preserve">Deliveries of rail and marine diesel:
</t>
        </r>
        <r>
          <rPr>
            <sz val="8"/>
            <color indexed="81"/>
            <rFont val="Tahoma"/>
            <family val="2"/>
          </rPr>
          <t>Report marine diesel and diesel used in rail traffic.</t>
        </r>
      </text>
    </comment>
    <comment ref="B25" authorId="4" shapeId="0" xr:uid="{00000000-0006-0000-0300-00001B000000}">
      <text>
        <r>
          <rPr>
            <b/>
            <sz val="8"/>
            <color indexed="81"/>
            <rFont val="Tahoma"/>
            <family val="2"/>
          </rPr>
          <t xml:space="preserve">Gross deliveries to the petrochemical industry:
</t>
        </r>
        <r>
          <rPr>
            <sz val="8"/>
            <color indexed="81"/>
            <rFont val="Tahoma"/>
            <family val="2"/>
          </rPr>
          <t>Report only those quantities of fuels delivered to the petrochemical sector.</t>
        </r>
      </text>
    </comment>
    <comment ref="B26" authorId="2" shapeId="0" xr:uid="{00000000-0006-0000-0300-00001C000000}">
      <text>
        <r>
          <rPr>
            <b/>
            <sz val="8"/>
            <color indexed="81"/>
            <rFont val="Tahoma"/>
            <family val="2"/>
          </rPr>
          <t xml:space="preserve">Backflows to refineries:
</t>
        </r>
        <r>
          <rPr>
            <sz val="8"/>
            <color indexed="81"/>
            <rFont val="Tahoma"/>
            <family val="2"/>
          </rPr>
          <t>Total product Backflows to refineries reported in reference Z19 must be equal to total Backflows reported in reference C3 in Table 1. (See Backflows in Table 1). Those quantities of backflows returned to refinery should be shown as Backflows in Table 1 and subsequently as a part of Refinery intake, Refinery gross output and of Gross inland deliveries of the relevant products.
Quantities of backflows that are used directly as finished products should be included in the data reported under Backflows and subsequently as Direct use in Table 1 and Primary product receipts in Table 2.</t>
        </r>
      </text>
    </comment>
    <comment ref="B27" authorId="4" shapeId="0" xr:uid="{00000000-0006-0000-0300-00001D000000}">
      <text>
        <r>
          <rPr>
            <b/>
            <sz val="8"/>
            <color indexed="81"/>
            <rFont val="Tahoma"/>
            <family val="2"/>
          </rPr>
          <t>Net deliveries of Total products:</t>
        </r>
        <r>
          <rPr>
            <sz val="8"/>
            <color indexed="81"/>
            <rFont val="Tahoma"/>
            <family val="2"/>
          </rPr>
          <t xml:space="preserve">
This is defined as Gross inland deliveries (Observed) minus Backflows to refineries.
</t>
        </r>
        <r>
          <rPr>
            <b/>
            <sz val="8"/>
            <color indexed="81"/>
            <rFont val="Tahoma"/>
            <family val="2"/>
          </rPr>
          <t>Thus reference Z20 = reference Z13 - reference Z19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ROBIN_E</author>
    <author>ELLIOTT</author>
  </authors>
  <commentList>
    <comment ref="A8" authorId="0" shapeId="0" xr:uid="{00000000-0006-0000-0400-000001000000}">
      <text>
        <r>
          <rPr>
            <b/>
            <sz val="8"/>
            <color indexed="81"/>
            <rFont val="Tahoma"/>
            <family val="2"/>
          </rPr>
          <t>Stocks on national territory:</t>
        </r>
        <r>
          <rPr>
            <sz val="8"/>
            <color indexed="81"/>
            <rFont val="Tahoma"/>
            <family val="2"/>
          </rPr>
          <t xml:space="preserve"> 
This is the sum of categories (b) to (i) below.  Include stocks held by all importers, refiners, stock holding organisations, governments, and major consumers, whose stocks are subject to government control. 
</t>
        </r>
        <r>
          <rPr>
            <b/>
            <sz val="8"/>
            <color indexed="81"/>
            <rFont val="Tahoma"/>
            <family val="2"/>
          </rPr>
          <t>Line 8 in Table 1 and line 10 in Table 2, should correspond to line 2 minus line 1 in Table 5.</t>
        </r>
        <r>
          <rPr>
            <sz val="8"/>
            <color indexed="81"/>
            <rFont val="Tahoma"/>
            <family val="2"/>
          </rPr>
          <t xml:space="preserve"> </t>
        </r>
      </text>
    </comment>
    <comment ref="A10" authorId="0" shapeId="0" xr:uid="{00000000-0006-0000-0400-000002000000}">
      <text>
        <r>
          <rPr>
            <b/>
            <sz val="8"/>
            <color indexed="81"/>
            <rFont val="Tahoma"/>
            <family val="2"/>
          </rPr>
          <t>Stocks held for other countries under bilateral government agreements:</t>
        </r>
        <r>
          <rPr>
            <sz val="8"/>
            <color indexed="81"/>
            <rFont val="Tahoma"/>
            <family val="2"/>
          </rPr>
          <t xml:space="preserve"> 
Include stocks in your national territory, which belong to another country and to which the access is guaranteed by an agreement between the respective governments.  Closing amounts should correspond to totals (line 32) in Table 6.</t>
        </r>
      </text>
    </comment>
    <comment ref="A12" authorId="0" shapeId="0" xr:uid="{00000000-0006-0000-0400-000003000000}">
      <text>
        <r>
          <rPr>
            <b/>
            <sz val="8"/>
            <color indexed="81"/>
            <rFont val="Tahoma"/>
            <family val="2"/>
          </rPr>
          <t>Stocks with known foreign destination:</t>
        </r>
        <r>
          <rPr>
            <sz val="8"/>
            <color indexed="81"/>
            <rFont val="Tahoma"/>
            <family val="2"/>
          </rPr>
          <t xml:space="preserve"> 
Include stocks (not included in category (b) ) in your national territory which belong to and are destined for another country.  These stocks may be located inside or outside bonded areas. Closing amounts should correspond to totals (liine 32)in Table 7.</t>
        </r>
      </text>
    </comment>
    <comment ref="A14" authorId="0" shapeId="0" xr:uid="{00000000-0006-0000-0400-000004000000}">
      <text>
        <r>
          <rPr>
            <b/>
            <sz val="8"/>
            <color indexed="81"/>
            <rFont val="Tahoma"/>
            <family val="2"/>
          </rPr>
          <t>Stocks held in bonded areas and not included in (b) or (c):</t>
        </r>
        <r>
          <rPr>
            <sz val="8"/>
            <color indexed="81"/>
            <rFont val="Tahoma"/>
            <family val="2"/>
          </rPr>
          <t xml:space="preserve"> 
Include stocks which are eligible under IEA commitments (irrespective of whether they have received customs clearance or not), not included in categories (b) or (c) above.</t>
        </r>
      </text>
    </comment>
    <comment ref="A16" authorId="0" shapeId="0" xr:uid="{00000000-0006-0000-0400-000005000000}">
      <text>
        <r>
          <rPr>
            <b/>
            <sz val="8"/>
            <color indexed="81"/>
            <rFont val="Tahoma"/>
            <family val="2"/>
          </rPr>
          <t>Stocks held by major consumers, eligible under IEA commitments:</t>
        </r>
        <r>
          <rPr>
            <sz val="8"/>
            <color indexed="81"/>
            <rFont val="Tahoma"/>
            <family val="2"/>
          </rPr>
          <t xml:space="preserve"> 
Include stocks, which are subject to government control.  This definition does not include other consumer stocks.
</t>
        </r>
      </text>
    </comment>
    <comment ref="A18" authorId="0" shapeId="0" xr:uid="{00000000-0006-0000-0400-000006000000}">
      <text>
        <r>
          <rPr>
            <b/>
            <sz val="8"/>
            <color indexed="81"/>
            <rFont val="Tahoma"/>
            <family val="2"/>
          </rPr>
          <t xml:space="preserve">Stocks held on board incoming ocean vessels in port or at mooring: 
</t>
        </r>
        <r>
          <rPr>
            <sz val="8"/>
            <color indexed="81"/>
            <rFont val="Tahoma"/>
            <family val="2"/>
          </rPr>
          <t>Include stocks irrespective of whether they have been cleared by customs or not.  This category excludes stocks on board vessels at high seas.  It includes oil in coastal tankers if both their port of departure and destination are in your country.  In the case of incoming vessels with more than one port of unloading, only report the amount to be unloaded in your country.</t>
        </r>
      </text>
    </comment>
    <comment ref="A20" authorId="0" shapeId="0" xr:uid="{00000000-0006-0000-0400-000007000000}">
      <text>
        <r>
          <rPr>
            <b/>
            <sz val="8"/>
            <color indexed="81"/>
            <rFont val="Tahoma"/>
            <family val="2"/>
          </rPr>
          <t>Stocks held by governments on national territory:</t>
        </r>
        <r>
          <rPr>
            <sz val="8"/>
            <color indexed="81"/>
            <rFont val="Tahoma"/>
            <family val="2"/>
          </rPr>
          <t xml:space="preserve"> 
Include non-military stocks held within the national territory by government, which are government owned or controlled and held exclusively for emergency purposes.  It does not include stocks held by state oil companies or electric utilities, neither does it include stocks held directly by industry to fulfil mandatory stock obligations. </t>
        </r>
      </text>
    </comment>
    <comment ref="A22" authorId="0" shapeId="0" xr:uid="{00000000-0006-0000-0400-000008000000}">
      <text>
        <r>
          <rPr>
            <b/>
            <sz val="8"/>
            <color indexed="81"/>
            <rFont val="Tahoma"/>
            <family val="2"/>
          </rPr>
          <t>Stocks held by stock holding organisations on national territory:</t>
        </r>
        <r>
          <rPr>
            <sz val="8"/>
            <color indexed="81"/>
            <rFont val="Tahoma"/>
            <family val="2"/>
          </rPr>
          <t xml:space="preserve">
 Include stocks held on national territory by both public and private corporations established to maintain stocks exclusively for emergency purposes.  It does not include mandatory stocks held by private companies.</t>
        </r>
      </text>
    </comment>
    <comment ref="A24" authorId="0" shapeId="0" xr:uid="{00000000-0006-0000-0400-000009000000}">
      <text>
        <r>
          <rPr>
            <b/>
            <sz val="8"/>
            <color indexed="81"/>
            <rFont val="Tahoma"/>
            <family val="2"/>
          </rPr>
          <t xml:space="preserve">All other stocks held on national territory:
 </t>
        </r>
        <r>
          <rPr>
            <sz val="8"/>
            <color indexed="81"/>
            <rFont val="Tahoma"/>
            <family val="2"/>
          </rPr>
          <t>Include all other stocks satisfying the conditions described in category (a) above.</t>
        </r>
      </text>
    </comment>
    <comment ref="A26" authorId="0" shapeId="0" xr:uid="{00000000-0006-0000-0400-00000A000000}">
      <text>
        <r>
          <rPr>
            <b/>
            <sz val="8"/>
            <color indexed="81"/>
            <rFont val="Tahoma"/>
            <family val="2"/>
          </rPr>
          <t xml:space="preserve">Stocks held abroad under bilateral government agreements: 
</t>
        </r>
        <r>
          <rPr>
            <sz val="8"/>
            <color indexed="81"/>
            <rFont val="Tahoma"/>
            <family val="2"/>
          </rPr>
          <t>Include stocks belonging to your country but held in another country, to which access is guaranteed by an agreement between the respective governments. This category is comprised of stocks abroad owned by your government, stocks abroad held by stock holding organisations, and all other types of stocks belonging to your country but held in another country under bilateral government agreements.  Please provide the breakdown of these stocks by type under categories o, p and q (see below). Closing amounts should correspond to the country specific breakdown (line 32) in Table 8.</t>
        </r>
      </text>
    </comment>
    <comment ref="A28" authorId="0" shapeId="0" xr:uid="{00000000-0006-0000-0400-00000B000000}">
      <text>
        <r>
          <rPr>
            <b/>
            <sz val="8"/>
            <color indexed="81"/>
            <rFont val="Tahoma"/>
            <family val="2"/>
          </rPr>
          <t>Stocks held abroad designated definitely for import into your country:</t>
        </r>
        <r>
          <rPr>
            <sz val="8"/>
            <color indexed="81"/>
            <rFont val="Tahoma"/>
            <family val="2"/>
          </rPr>
          <t xml:space="preserve"> 
Include stocks (not included in category (j) ) belonging to your country, which are held in another country and which are awaiting import into your country.  Closing amounts should correspond to line 32 in Table 9.</t>
        </r>
      </text>
    </comment>
    <comment ref="A30" authorId="0" shapeId="0" xr:uid="{00000000-0006-0000-0400-00000C000000}">
      <text>
        <r>
          <rPr>
            <b/>
            <sz val="8"/>
            <color indexed="81"/>
            <rFont val="Tahoma"/>
            <family val="2"/>
          </rPr>
          <t>Total Stocks:</t>
        </r>
        <r>
          <rPr>
            <sz val="8"/>
            <color indexed="81"/>
            <rFont val="Tahoma"/>
            <family val="2"/>
          </rPr>
          <t xml:space="preserve"> 
Include all stocks belonging to your country, whether on national territory or in the territory of another country.</t>
        </r>
      </text>
    </comment>
    <comment ref="A32" authorId="0" shapeId="0" xr:uid="{00000000-0006-0000-0400-00000D000000}">
      <text>
        <r>
          <rPr>
            <b/>
            <sz val="8"/>
            <color indexed="81"/>
            <rFont val="Tahoma"/>
            <family val="2"/>
          </rPr>
          <t>Other stocks in bonded areas (not included above):</t>
        </r>
        <r>
          <rPr>
            <sz val="8"/>
            <color indexed="81"/>
            <rFont val="Tahoma"/>
            <family val="2"/>
          </rPr>
          <t xml:space="preserve"> 
Include other stocks in the national territory not eligible under IEA commitments and which are not included in the above categories</t>
        </r>
      </text>
    </comment>
    <comment ref="A34" authorId="0" shapeId="0" xr:uid="{00000000-0006-0000-0400-00000E000000}">
      <text>
        <r>
          <rPr>
            <b/>
            <sz val="8"/>
            <color indexed="81"/>
            <rFont val="Tahoma"/>
            <family val="2"/>
          </rPr>
          <t xml:space="preserve">Pipeline Fill (not included above):
</t>
        </r>
        <r>
          <rPr>
            <sz val="8"/>
            <color indexed="81"/>
            <rFont val="Tahoma"/>
            <family val="2"/>
          </rPr>
          <t>Include oil (crude oil and petroleum products) contained in pipelines, necessary to maintain the flow in the pipelines.</t>
        </r>
      </text>
    </comment>
    <comment ref="A36" authorId="1" shapeId="0" xr:uid="{00000000-0006-0000-0400-00000F000000}">
      <text>
        <r>
          <rPr>
            <b/>
            <sz val="8"/>
            <color indexed="81"/>
            <rFont val="Tahoma"/>
            <family val="2"/>
          </rPr>
          <t>Detail of category (j):</t>
        </r>
        <r>
          <rPr>
            <sz val="8"/>
            <color indexed="81"/>
            <rFont val="Tahoma"/>
            <family val="2"/>
          </rPr>
          <t xml:space="preserve">
The portion of "Stocks held abroad under bilateral government agreement", category (j), which are government stocks.</t>
        </r>
      </text>
    </comment>
    <comment ref="A38" authorId="1" shapeId="0" xr:uid="{00000000-0006-0000-0400-000010000000}">
      <text>
        <r>
          <rPr>
            <b/>
            <sz val="8"/>
            <color indexed="81"/>
            <rFont val="Tahoma"/>
            <family val="2"/>
          </rPr>
          <t>Detail of category (j):</t>
        </r>
        <r>
          <rPr>
            <sz val="8"/>
            <color indexed="81"/>
            <rFont val="Tahoma"/>
            <family val="2"/>
          </rPr>
          <t xml:space="preserve">
The portion of "Stocks held abroad under bilateral government agreement", category (j), which are stock holding organization's stocks.
</t>
        </r>
      </text>
    </comment>
    <comment ref="A40" authorId="1" shapeId="0" xr:uid="{00000000-0006-0000-0400-000011000000}">
      <text>
        <r>
          <rPr>
            <b/>
            <sz val="8"/>
            <color indexed="81"/>
            <rFont val="Tahoma"/>
            <family val="2"/>
          </rPr>
          <t>Detail of category (j):</t>
        </r>
        <r>
          <rPr>
            <sz val="8"/>
            <color indexed="81"/>
            <rFont val="Tahoma"/>
            <family val="2"/>
          </rPr>
          <t xml:space="preserve">
The portion of "Stocks held abroad under bilateral government agreement", category (j), which are not included in the above stocks type (o) and (p).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Erica Robin</author>
    <author>ROBIN_E</author>
    <author>Martina Repikova</author>
    <author>Ryszard Pospiech</author>
    <author>A satisfied Microsoft Office user</author>
    <author>ELLIOTT</author>
  </authors>
  <commentList>
    <comment ref="D9" authorId="0" shapeId="0" xr:uid="{00000000-0006-0000-0900-00000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9" authorId="0" shapeId="0" xr:uid="{00000000-0006-0000-0900-000002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9" authorId="0" shapeId="0" xr:uid="{00000000-0006-0000-0900-000003000000}">
      <text>
        <r>
          <rPr>
            <b/>
            <sz val="9"/>
            <color indexed="81"/>
            <rFont val="Tahoma"/>
            <family val="2"/>
          </rPr>
          <t>Other = Refinery Feedstocks +  Additives/oxygenates + Other Hydrocarbons</t>
        </r>
      </text>
    </comment>
    <comment ref="G9" authorId="0" shapeId="0" xr:uid="{00000000-0006-0000-0900-000004000000}">
      <text>
        <r>
          <rPr>
            <b/>
            <sz val="9"/>
            <color indexed="81"/>
            <rFont val="Tahoma"/>
            <family val="2"/>
          </rPr>
          <t>Total = Crude Oil + NGL + Other</t>
        </r>
      </text>
    </comment>
    <comment ref="J10" authorId="0" shapeId="0" xr:uid="{00000000-0006-0000-0900-000005000000}">
      <text>
        <r>
          <rPr>
            <b/>
            <sz val="9"/>
            <color indexed="81"/>
            <rFont val="Tahoma"/>
            <family val="2"/>
          </rPr>
          <t>LPG:</t>
        </r>
        <r>
          <rPr>
            <sz val="9"/>
            <color indexed="81"/>
            <rFont val="Tahoma"/>
            <family val="2"/>
          </rPr>
          <t xml:space="preserve"> Comprises propane and butane
</t>
        </r>
      </text>
    </comment>
    <comment ref="K10" authorId="0" shapeId="0" xr:uid="{00000000-0006-0000-0900-00000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10" authorId="0" shapeId="0" xr:uid="{00000000-0006-0000-0900-000007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M10" authorId="0" shapeId="0" xr:uid="{00000000-0006-0000-0900-00000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10" authorId="0" shapeId="0" xr:uid="{00000000-0006-0000-0900-00000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10" authorId="0" shapeId="0" xr:uid="{00000000-0006-0000-0900-00000A000000}">
      <text>
        <r>
          <rPr>
            <b/>
            <sz val="9"/>
            <color indexed="81"/>
            <rFont val="Tahoma"/>
            <family val="2"/>
          </rPr>
          <t xml:space="preserve">Gas / Diesel Oil: </t>
        </r>
        <r>
          <rPr>
            <sz val="9"/>
            <color indexed="81"/>
            <rFont val="Tahoma"/>
            <family val="2"/>
          </rPr>
          <t>For automotive and other purposes. Biodiesel is included.</t>
        </r>
      </text>
    </comment>
    <comment ref="P10" authorId="0" shapeId="0" xr:uid="{00000000-0006-0000-0900-00000B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Q10" authorId="0" shapeId="0" xr:uid="{00000000-0006-0000-0900-00000C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10" authorId="0" shapeId="0" xr:uid="{00000000-0006-0000-0900-00000D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12" authorId="0" shapeId="0" xr:uid="{00000000-0006-0000-0900-00000E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12" authorId="0" shapeId="0" xr:uid="{00000000-0006-0000-0900-00000F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13" authorId="0" shapeId="0" xr:uid="{00000000-0006-0000-0900-000010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13" authorId="0" shapeId="0" xr:uid="{00000000-0006-0000-0900-000011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14" authorId="0" shapeId="0" xr:uid="{00000000-0006-0000-0900-000012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I14" authorId="0" shapeId="0" xr:uid="{00000000-0006-0000-0900-00001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C15" authorId="0" shapeId="0" xr:uid="{00000000-0006-0000-0900-00001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I15" authorId="0" shapeId="0" xr:uid="{00000000-0006-0000-0900-000015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C16" authorId="0" shapeId="0" xr:uid="{00000000-0006-0000-0900-000016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16" authorId="0" shapeId="0" xr:uid="{00000000-0006-0000-0900-000017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17" authorId="0" shapeId="0" xr:uid="{00000000-0006-0000-0900-000018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17" authorId="0" shapeId="0" xr:uid="{00000000-0006-0000-0900-000019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18" authorId="0" shapeId="0" xr:uid="{00000000-0006-0000-0900-00001A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18" authorId="0" shapeId="0" xr:uid="{00000000-0006-0000-0900-00001B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19" authorId="0" shapeId="0" xr:uid="{00000000-0006-0000-0900-00001C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19" authorId="0" shapeId="0" xr:uid="{00000000-0006-0000-0900-00001D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20" authorId="0" shapeId="0" xr:uid="{00000000-0006-0000-0900-00001E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20" authorId="0" shapeId="0" xr:uid="{00000000-0006-0000-0900-00001F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21" authorId="0" shapeId="0" xr:uid="{00000000-0006-0000-0900-000020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21" authorId="0" shapeId="0" xr:uid="{00000000-0006-0000-0900-00002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D28" authorId="0" shapeId="0" xr:uid="{00000000-0006-0000-0900-000022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28" authorId="0" shapeId="0" xr:uid="{00000000-0006-0000-0900-000023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28" authorId="0" shapeId="0" xr:uid="{00000000-0006-0000-0900-000024000000}">
      <text>
        <r>
          <rPr>
            <b/>
            <sz val="9"/>
            <color indexed="81"/>
            <rFont val="Tahoma"/>
            <family val="2"/>
          </rPr>
          <t>Other = Refinery Feedstocks +  Additives/oxygenates + Other Hydrocarbons</t>
        </r>
      </text>
    </comment>
    <comment ref="G28" authorId="0" shapeId="0" xr:uid="{00000000-0006-0000-0900-000025000000}">
      <text>
        <r>
          <rPr>
            <b/>
            <sz val="9"/>
            <color indexed="81"/>
            <rFont val="Tahoma"/>
            <family val="2"/>
          </rPr>
          <t>Total = Crude Oil + NGL + Other</t>
        </r>
      </text>
    </comment>
    <comment ref="J29" authorId="0" shapeId="0" xr:uid="{00000000-0006-0000-0900-000026000000}">
      <text>
        <r>
          <rPr>
            <b/>
            <sz val="9"/>
            <color indexed="81"/>
            <rFont val="Tahoma"/>
            <family val="2"/>
          </rPr>
          <t>LPG:</t>
        </r>
        <r>
          <rPr>
            <sz val="9"/>
            <color indexed="81"/>
            <rFont val="Tahoma"/>
            <family val="2"/>
          </rPr>
          <t xml:space="preserve"> Comprises propane and butane
</t>
        </r>
      </text>
    </comment>
    <comment ref="K29" authorId="0" shapeId="0" xr:uid="{00000000-0006-0000-0900-000027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29" authorId="0" shapeId="0" xr:uid="{00000000-0006-0000-0900-000028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M29" authorId="0" shapeId="0" xr:uid="{00000000-0006-0000-0900-000029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29" authorId="0" shapeId="0" xr:uid="{00000000-0006-0000-0900-00002A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29" authorId="0" shapeId="0" xr:uid="{00000000-0006-0000-0900-00002B000000}">
      <text>
        <r>
          <rPr>
            <b/>
            <sz val="9"/>
            <color indexed="81"/>
            <rFont val="Tahoma"/>
            <family val="2"/>
          </rPr>
          <t xml:space="preserve">Gas / Diesel Oil: </t>
        </r>
        <r>
          <rPr>
            <sz val="9"/>
            <color indexed="81"/>
            <rFont val="Tahoma"/>
            <family val="2"/>
          </rPr>
          <t>For automotive and other purposes. Biodiesel is included.</t>
        </r>
      </text>
    </comment>
    <comment ref="P29" authorId="0" shapeId="0" xr:uid="{00000000-0006-0000-0900-00002C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Q29" authorId="0" shapeId="0" xr:uid="{00000000-0006-0000-0900-00002D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29" authorId="0" shapeId="0" xr:uid="{00000000-0006-0000-0900-00002E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31" authorId="0" shapeId="0" xr:uid="{00000000-0006-0000-0900-00002F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31" authorId="0" shapeId="0" xr:uid="{00000000-0006-0000-0900-000030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32" authorId="0" shapeId="0" xr:uid="{00000000-0006-0000-0900-000031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32" authorId="0" shapeId="0" xr:uid="{00000000-0006-0000-09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33" authorId="0" shapeId="0" xr:uid="{00000000-0006-0000-09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I33" authorId="0" shapeId="0" xr:uid="{00000000-0006-0000-0900-000034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C34" authorId="0" shapeId="0" xr:uid="{00000000-0006-0000-0900-000035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I34" authorId="0" shapeId="0" xr:uid="{00000000-0006-0000-0900-000036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C35" authorId="0" shapeId="0" xr:uid="{00000000-0006-0000-0900-000037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35" authorId="0" shapeId="0" xr:uid="{00000000-0006-0000-0900-000038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36" authorId="0" shapeId="0" xr:uid="{00000000-0006-0000-0900-000039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36" authorId="0" shapeId="0" xr:uid="{00000000-0006-0000-0900-00003A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37" authorId="0" shapeId="0" xr:uid="{00000000-0006-0000-0900-00003B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37" authorId="0" shapeId="0" xr:uid="{00000000-0006-0000-0900-00003C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38" authorId="0" shapeId="0" xr:uid="{00000000-0006-0000-0900-00003D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38" authorId="0" shapeId="0" xr:uid="{00000000-0006-0000-0900-00003E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39" authorId="0" shapeId="0" xr:uid="{00000000-0006-0000-0900-00003F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39" authorId="0" shapeId="0" xr:uid="{00000000-0006-0000-0900-000040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40" authorId="0" shapeId="0" xr:uid="{00000000-0006-0000-0900-00004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40" authorId="0" shapeId="0" xr:uid="{00000000-0006-0000-0900-000042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W43" authorId="1" shapeId="0" xr:uid="{00000000-0006-0000-0900-000043000000}">
      <text>
        <r>
          <rPr>
            <b/>
            <sz val="8"/>
            <color indexed="81"/>
            <rFont val="Tahoma"/>
            <family val="2"/>
          </rPr>
          <t>Crude Oil</t>
        </r>
        <r>
          <rPr>
            <sz val="8"/>
            <color indexed="81"/>
            <rFont val="Tahoma"/>
            <family val="2"/>
          </rPr>
          <t xml:space="preserve">
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r>
      </text>
    </comment>
    <comment ref="X43" authorId="1" shapeId="0" xr:uid="{00000000-0006-0000-0900-000044000000}">
      <text>
        <r>
          <rPr>
            <b/>
            <sz val="8"/>
            <color indexed="81"/>
            <rFont val="Tahoma"/>
            <family val="2"/>
          </rPr>
          <t>Natural Gas Liquids (NGL)</t>
        </r>
        <r>
          <rPr>
            <sz val="8"/>
            <color indexed="81"/>
            <rFont val="Tahoma"/>
            <family val="2"/>
          </rPr>
          <t xml:space="preserve">
NGL are liquid or liquefied hydrocarbons recovered from natural gas in separation facilities or gas processing plants.  
Natural gas liquids include ethane, propane, butane (normal and iso-), (iso) pentane and pentanes plus (sometimes referred to as natural gasoline or plant condensate).</t>
        </r>
      </text>
    </comment>
    <comment ref="Y43" authorId="1" shapeId="0" xr:uid="{00000000-0006-0000-0900-000045000000}">
      <text>
        <r>
          <rPr>
            <b/>
            <sz val="8"/>
            <color indexed="81"/>
            <rFont val="Tahoma"/>
            <family val="2"/>
          </rPr>
          <t>Refinery Feedstocks</t>
        </r>
        <r>
          <rPr>
            <sz val="8"/>
            <color indexed="81"/>
            <rFont val="Tahoma"/>
            <family val="2"/>
          </rPr>
          <t xml:space="preserve">
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gasoil and fuel oil fractions) 
</t>
        </r>
      </text>
    </comment>
    <comment ref="Z43" authorId="1" shapeId="0" xr:uid="{00000000-0006-0000-0900-000046000000}">
      <text>
        <r>
          <rPr>
            <b/>
            <sz val="8"/>
            <color indexed="81"/>
            <rFont val="Tahoma"/>
            <family val="2"/>
          </rPr>
          <t>Additives/Oxygenates</t>
        </r>
        <r>
          <rPr>
            <sz val="8"/>
            <color indexed="81"/>
            <rFont val="Tahoma"/>
            <family val="2"/>
          </rPr>
          <t xml:space="preserve">
Additives and oxygenates are non-hydrocarbon compounds added to or blended with a product to modify fuel properties (octane, cetane, cold properties, etc.) e.g. alcohols (methanol, ethanol), ethers (such as MTBE (methyl tertiary butyl ether), ETBE (ethyl tertiary butyl ether), TAME (tertiary amyl methyl ether) or esters (e.g. rapeseed or dimethylester, etc.).  
Additives  include chemical compounds (such as TML (tetramethyl lead) or TEL (tetraethyl lead)) and detergents.
</t>
        </r>
        <r>
          <rPr>
            <b/>
            <sz val="8"/>
            <color indexed="81"/>
            <rFont val="Tahoma"/>
            <family val="2"/>
          </rPr>
          <t>Note: Quantities of ethanol reported in this category should relate to the quantities destined for fuel use.</t>
        </r>
      </text>
    </comment>
    <comment ref="AA43" authorId="2" shapeId="0" xr:uid="{00000000-0006-0000-0900-000047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AB43" authorId="1" shapeId="0" xr:uid="{00000000-0006-0000-0900-000048000000}">
      <text>
        <r>
          <rPr>
            <b/>
            <sz val="8"/>
            <color indexed="81"/>
            <rFont val="Tahoma"/>
            <family val="2"/>
          </rPr>
          <t>Other Hydrocarbons</t>
        </r>
        <r>
          <rPr>
            <sz val="8"/>
            <color indexed="81"/>
            <rFont val="Tahoma"/>
            <family val="2"/>
          </rPr>
          <t xml:space="preserve">
This category includes synthetic crude oil from tar sands, oil shale, etc., liquids from coal liquefaction, of liquids from natural gas conversion, hydrogen and emulsified oils (e.g. Orimulsion).
</t>
        </r>
        <r>
          <rPr>
            <i/>
            <u/>
            <sz val="8"/>
            <color indexed="81"/>
            <rFont val="Tahoma"/>
            <family val="2"/>
          </rPr>
          <t>Note on the reporting of emulsified oils:</t>
        </r>
        <r>
          <rPr>
            <sz val="8"/>
            <color indexed="81"/>
            <rFont val="Tahoma"/>
            <family val="2"/>
          </rPr>
          <t xml:space="preserve">
All imports of emulsified oils (e.g. Orimulsion) should be reported as imports of `other hydroc</t>
        </r>
        <r>
          <rPr>
            <sz val="8"/>
            <color indexed="81"/>
            <rFont val="Tahoma"/>
            <family val="2"/>
          </rPr>
          <t>arbons' (reference F5).  
As these oils do not need further processing in a refinery, report these quantities as direct use (reference F7) and primary product receipts in the `other products' category of the Supply of Finished Products report (reference U1 in Table 2).  
Any production of emulsified oils should appear as indigenous production of `other hydrocarbons' (reference F1). 
Report all quantities in physical weight of the emuls</t>
        </r>
        <r>
          <rPr>
            <sz val="8"/>
            <color indexed="81"/>
            <rFont val="Tahoma"/>
            <family val="2"/>
          </rPr>
          <t>ion (i.e. including the water content).</t>
        </r>
      </text>
    </comment>
    <comment ref="AC43" authorId="1" shapeId="0" xr:uid="{00000000-0006-0000-0900-000049000000}">
      <text>
        <r>
          <rPr>
            <b/>
            <sz val="8"/>
            <color indexed="81"/>
            <rFont val="Tahoma"/>
            <family val="2"/>
          </rPr>
          <t xml:space="preserve">TOTAL:
          </t>
        </r>
        <r>
          <rPr>
            <sz val="8"/>
            <color indexed="81"/>
            <rFont val="Tahoma"/>
            <family val="2"/>
          </rPr>
          <t xml:space="preserve"> +  Crude Oil
           + Natural Gas Liquids
           + Refinery Feedstocks
           + Additives/ Oxygenates
           + Other Hydrocarbons</t>
        </r>
      </text>
    </comment>
    <comment ref="AA44" authorId="2" shapeId="0" xr:uid="{00000000-0006-0000-0900-00004A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AO44" authorId="2" shapeId="0" xr:uid="{00000000-0006-0000-0900-00004B000000}">
      <text>
        <r>
          <rPr>
            <b/>
            <sz val="8"/>
            <color indexed="81"/>
            <rFont val="Tahoma"/>
            <family val="2"/>
          </rPr>
          <t xml:space="preserve">Biogasoline:
</t>
        </r>
        <r>
          <rPr>
            <sz val="8"/>
            <color indexed="81"/>
            <rFont val="Tahoma"/>
            <family val="2"/>
          </rPr>
          <t>This category includes bioethanol (ethanol produced from biomass and/or the biodegradable fraction of waste), biomethanol (methanol produced from biomass and/or the biodegradable fraction of waste), bioETBE (ethyl-tertiobutyl- ether produced on the basis of bioethanol: the percentage by volume of bioETBE that is calculated as biofuel is 37%) and bioMTBE (methyl-tertio-butyl-ether produced on the basis of biomethanol: the percentage by volume of bioMTBE that is calculated as biofuel is 22%).</t>
        </r>
      </text>
    </comment>
    <comment ref="AP44" authorId="2" shapeId="0" xr:uid="{00000000-0006-0000-0900-00004C000000}">
      <text>
        <r>
          <rPr>
            <b/>
            <sz val="8"/>
            <color indexed="81"/>
            <rFont val="Tahoma"/>
            <family val="2"/>
          </rPr>
          <t xml:space="preserve">Non-biogasoline:
</t>
        </r>
        <r>
          <rPr>
            <sz val="8"/>
            <color indexed="81"/>
            <rFont val="Tahoma"/>
            <family val="2"/>
          </rPr>
          <t>This category covers Motor gasoline as defined above excluding Biogasoline.</t>
        </r>
      </text>
    </comment>
    <comment ref="AT44" authorId="3" shapeId="0" xr:uid="{00000000-0006-0000-0900-00004D000000}">
      <text>
        <r>
          <rPr>
            <b/>
            <sz val="8"/>
            <color indexed="81"/>
            <rFont val="Tahoma"/>
            <family val="2"/>
          </rPr>
          <t xml:space="preserve">Bio jet kerosene:
</t>
        </r>
        <r>
          <rPr>
            <sz val="8"/>
            <color indexed="81"/>
            <rFont val="Tahoma"/>
            <family val="2"/>
          </rPr>
          <t xml:space="preserve">Liquid biofuels derived from biomass and blended with Jet kerosene.
</t>
        </r>
      </text>
    </comment>
    <comment ref="AU44" authorId="3" shapeId="0" xr:uid="{00000000-0006-0000-0900-00004E000000}">
      <text>
        <r>
          <rPr>
            <b/>
            <sz val="8"/>
            <color indexed="81"/>
            <rFont val="Tahoma"/>
            <family val="2"/>
          </rPr>
          <t xml:space="preserve">Non-bio jet kerosene:
</t>
        </r>
        <r>
          <rPr>
            <sz val="8"/>
            <color indexed="81"/>
            <rFont val="Tahoma"/>
            <family val="2"/>
          </rPr>
          <t>This category covers jet kerosene as defined above excluding Bio jet kerosene.</t>
        </r>
      </text>
    </comment>
    <comment ref="AW44" authorId="3" shapeId="0" xr:uid="{00000000-0006-0000-0900-00004F000000}">
      <text>
        <r>
          <rPr>
            <b/>
            <sz val="8"/>
            <color indexed="81"/>
            <rFont val="Tahoma"/>
            <family val="2"/>
          </rPr>
          <t>Road diesel:</t>
        </r>
        <r>
          <rPr>
            <sz val="8"/>
            <color indexed="81"/>
            <rFont val="Tahoma"/>
            <family val="2"/>
          </rPr>
          <t xml:space="preserve">
On road diesel oil for diesel compression ignition (cars, trucks etc.), usually of low sulphur content.
</t>
        </r>
      </text>
    </comment>
    <comment ref="AX44" authorId="3" shapeId="0" xr:uid="{00000000-0006-0000-0900-000050000000}">
      <text>
        <r>
          <rPr>
            <b/>
            <sz val="8"/>
            <color indexed="81"/>
            <rFont val="Tahoma"/>
            <family val="2"/>
          </rPr>
          <t xml:space="preserve">Heating and other gasoil:
   - </t>
        </r>
        <r>
          <rPr>
            <sz val="8"/>
            <color indexed="81"/>
            <rFont val="Tahoma"/>
            <family val="2"/>
          </rPr>
          <t xml:space="preserve">Light heating oil for industrial and commercial uses;
    - Marine diesel and diesel used in rail traffic;
   - Other gas oil including heavy gas oils which distil
    between 380ºC and 540ºC and which are used as
    petrochemical feedstocks.
</t>
        </r>
      </text>
    </comment>
    <comment ref="AZ44" authorId="2" shapeId="0" xr:uid="{00000000-0006-0000-0900-000051000000}">
      <text>
        <r>
          <rPr>
            <b/>
            <sz val="8"/>
            <color indexed="81"/>
            <rFont val="Tahoma"/>
            <family val="2"/>
          </rPr>
          <t>Biodiesels</t>
        </r>
        <r>
          <rPr>
            <sz val="8"/>
            <color indexed="81"/>
            <rFont val="Tahoma"/>
            <family val="2"/>
          </rPr>
          <t xml:space="preserve">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Gas/diesel oil.</t>
        </r>
      </text>
    </comment>
    <comment ref="BA44" authorId="3" shapeId="0" xr:uid="{00000000-0006-0000-0900-000052000000}">
      <text>
        <r>
          <rPr>
            <b/>
            <sz val="8"/>
            <color indexed="81"/>
            <rFont val="Tahoma"/>
            <family val="2"/>
          </rPr>
          <t xml:space="preserve">Non-bio gas/diesel oil:
</t>
        </r>
        <r>
          <rPr>
            <sz val="8"/>
            <color indexed="81"/>
            <rFont val="Tahoma"/>
            <family val="2"/>
          </rPr>
          <t xml:space="preserve">This category consists of gas diesel oil as defined above excluding Biodiesel.
</t>
        </r>
      </text>
    </comment>
    <comment ref="BC44" authorId="3" shapeId="0" xr:uid="{00000000-0006-0000-0900-000053000000}">
      <text>
        <r>
          <rPr>
            <b/>
            <sz val="8"/>
            <color indexed="81"/>
            <rFont val="Tahoma"/>
            <family val="2"/>
          </rPr>
          <t xml:space="preserve">Low sulphur content: 
</t>
        </r>
        <r>
          <rPr>
            <sz val="8"/>
            <color indexed="81"/>
            <rFont val="Tahoma"/>
            <family val="2"/>
          </rPr>
          <t>Heavy fuel oil with sulphur content lower than 1%</t>
        </r>
        <r>
          <rPr>
            <b/>
            <sz val="8"/>
            <color indexed="81"/>
            <rFont val="Tahoma"/>
            <family val="2"/>
          </rPr>
          <t>.</t>
        </r>
      </text>
    </comment>
    <comment ref="BD44" authorId="3" shapeId="0" xr:uid="{00000000-0006-0000-0900-000054000000}">
      <text>
        <r>
          <rPr>
            <b/>
            <sz val="8"/>
            <color indexed="81"/>
            <rFont val="Tahoma"/>
            <family val="2"/>
          </rPr>
          <t xml:space="preserve">High sulphur content:
</t>
        </r>
        <r>
          <rPr>
            <sz val="8"/>
            <color indexed="81"/>
            <rFont val="Tahoma"/>
            <family val="2"/>
          </rPr>
          <t xml:space="preserve">Heavy fuel oil with sulphur content of 1% or higher.
</t>
        </r>
      </text>
    </comment>
    <comment ref="U46" authorId="1" shapeId="0" xr:uid="{00000000-0006-0000-0900-000055000000}">
      <text>
        <r>
          <rPr>
            <b/>
            <sz val="8"/>
            <color indexed="81"/>
            <rFont val="Tahoma"/>
            <family val="2"/>
          </rPr>
          <t xml:space="preserve">Indigenous production:
</t>
        </r>
        <r>
          <rPr>
            <sz val="8"/>
            <color indexed="81"/>
            <rFont val="Tahoma"/>
            <family val="2"/>
          </rPr>
          <t>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text>
    </comment>
    <comment ref="AF46" authorId="1" shapeId="0" xr:uid="{00000000-0006-0000-0900-000056000000}">
      <text>
        <r>
          <rPr>
            <b/>
            <sz val="8"/>
            <color indexed="81"/>
            <rFont val="Tahoma"/>
            <family val="2"/>
          </rPr>
          <t xml:space="preserve">Primary product receipts:
</t>
        </r>
        <r>
          <rPr>
            <sz val="8"/>
            <color indexed="81"/>
            <rFont val="Tahoma"/>
            <family val="2"/>
          </rPr>
          <t>Quantities of indigenous or imported crude oil (including condensate) and indigenous NGL which are</t>
        </r>
        <r>
          <rPr>
            <b/>
            <i/>
            <sz val="8"/>
            <color indexed="81"/>
            <rFont val="Tahoma"/>
            <family val="2"/>
          </rPr>
          <t xml:space="preserve"> used directly</t>
        </r>
        <r>
          <rPr>
            <sz val="8"/>
            <color indexed="81"/>
            <rFont val="Tahoma"/>
            <family val="2"/>
          </rPr>
          <t xml:space="preserve"> without being processed in an oil refinery. For example, crude oil used to generate electricity should be placed in Primary product receipts of crude oil (reference A1). Quantities of indigenous NGL which are not included in refinery intake should be reported in Primary product receipts of NGL (reference B1), then transferred through the Interproduct transfers row to the allocated product type.
Please note that this flow includes the amounts of Backflows which, although not primary fuel, are used directly.</t>
        </r>
      </text>
    </comment>
    <comment ref="BI46" authorId="1" shapeId="0" xr:uid="{00000000-0006-0000-0900-000057000000}">
      <text>
        <r>
          <rPr>
            <b/>
            <sz val="8"/>
            <color indexed="81"/>
            <rFont val="Tahoma"/>
            <family val="2"/>
          </rPr>
          <t>Stocks on national territory:</t>
        </r>
        <r>
          <rPr>
            <sz val="8"/>
            <color indexed="81"/>
            <rFont val="Tahoma"/>
            <family val="2"/>
          </rPr>
          <t xml:space="preserve"> 
This is the sum of categories (b) to (i) below.  Include stocks held by all importers, refiners, stock holding organisations, governments, and major consumers, whose stocks are subject to government control. 
</t>
        </r>
        <r>
          <rPr>
            <b/>
            <sz val="8"/>
            <color indexed="81"/>
            <rFont val="Tahoma"/>
            <family val="2"/>
          </rPr>
          <t>Line 8 in Table 1 and line 10 in Table 2, should correspond to line 2 minus line 1 in Table 5.</t>
        </r>
        <r>
          <rPr>
            <sz val="8"/>
            <color indexed="81"/>
            <rFont val="Tahoma"/>
            <family val="2"/>
          </rPr>
          <t xml:space="preserve"> </t>
        </r>
      </text>
    </comment>
    <comment ref="U47" authorId="1" shapeId="0" xr:uid="{00000000-0006-0000-0900-000058000000}">
      <text>
        <r>
          <rPr>
            <b/>
            <sz val="8"/>
            <color indexed="81"/>
            <rFont val="Tahoma"/>
            <family val="2"/>
          </rPr>
          <t xml:space="preserve">Receipts from other sources:
</t>
        </r>
        <r>
          <rPr>
            <sz val="8"/>
            <color indexed="81"/>
            <rFont val="Tahoma"/>
            <family val="2"/>
          </rPr>
          <t>Report supplies of additives/oxygenates, biofuels and other hydrocarbons, the production of which has already been covered in other fuel balances e.g. in NZ the manufacture of synthetic gasoline requires natural gas as feedstock. The amount of gas for methanol manufacture is accounted for in the natural gas balance, while the receipts of methanol are reported as Receipts from other sources in the oil balance.</t>
        </r>
      </text>
    </comment>
    <comment ref="AF47" authorId="1" shapeId="0" xr:uid="{00000000-0006-0000-0900-000059000000}">
      <text>
        <r>
          <rPr>
            <b/>
            <sz val="8"/>
            <color indexed="81"/>
            <rFont val="Tahoma"/>
            <family val="2"/>
          </rPr>
          <t xml:space="preserve">Refinery gross output:
</t>
        </r>
        <r>
          <rPr>
            <sz val="8"/>
            <color indexed="81"/>
            <rFont val="Tahoma"/>
            <family val="2"/>
          </rPr>
          <t>This is the production of oil petroleum products at a refining or blending plant. It excludes Refinery losses, but includes Refinery fuel.</t>
        </r>
        <r>
          <rPr>
            <b/>
            <sz val="8"/>
            <color indexed="81"/>
            <rFont val="Tahoma"/>
            <family val="2"/>
          </rPr>
          <t xml:space="preserve">
The Total (reference Z2) must be equal to Refinery intake (Observed) minus Refinery losses (references G11 and G12 respectively of Table 1).</t>
        </r>
      </text>
    </comment>
    <comment ref="U48" authorId="1" shapeId="0" xr:uid="{00000000-0006-0000-0900-00005A000000}">
      <text>
        <r>
          <rPr>
            <b/>
            <sz val="8"/>
            <color indexed="81"/>
            <rFont val="Tahoma"/>
            <family val="2"/>
          </rPr>
          <t>Backflows:</t>
        </r>
        <r>
          <rPr>
            <sz val="8"/>
            <color indexed="81"/>
            <rFont val="Tahoma"/>
            <family val="2"/>
          </rPr>
          <t xml:space="preserve">
These 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 </t>
        </r>
        <r>
          <rPr>
            <b/>
            <sz val="8"/>
            <color indexed="81"/>
            <rFont val="Tahoma"/>
            <family val="2"/>
          </rPr>
          <t xml:space="preserve">
Total backflows in Table 1 (reference G3) must be equal to Total Backflows from petrochemical sector to refineries (reference Z19) in Table 2.</t>
        </r>
      </text>
    </comment>
    <comment ref="AF48" authorId="1" shapeId="0" xr:uid="{00000000-0006-0000-0900-00005B000000}">
      <text>
        <r>
          <rPr>
            <b/>
            <sz val="8"/>
            <color indexed="81"/>
            <rFont val="Tahoma"/>
            <family val="2"/>
          </rPr>
          <t xml:space="preserve">Recycled products:
</t>
        </r>
        <r>
          <rPr>
            <sz val="8"/>
            <color indexed="81"/>
            <rFont val="Tahoma"/>
            <family val="2"/>
          </rPr>
          <t xml:space="preserve">These are finished products which pass a second time through the marketing network, </t>
        </r>
        <r>
          <rPr>
            <u/>
            <sz val="8"/>
            <color indexed="81"/>
            <rFont val="Tahoma"/>
            <family val="2"/>
          </rPr>
          <t>after</t>
        </r>
        <r>
          <rPr>
            <sz val="8"/>
            <color indexed="81"/>
            <rFont val="Tahoma"/>
            <family val="2"/>
          </rPr>
          <t xml:space="preserve"> having been once delivered to final consumers (e.g. used lubricants which are reprocessed). These quantities should be distinguished from petrochemical Backflows (see definitions).</t>
        </r>
      </text>
    </comment>
    <comment ref="BI48" authorId="1" shapeId="0" xr:uid="{00000000-0006-0000-0900-00005C000000}">
      <text>
        <r>
          <rPr>
            <b/>
            <sz val="8"/>
            <color indexed="81"/>
            <rFont val="Tahoma"/>
            <family val="2"/>
          </rPr>
          <t>Stocks held for other countries under bilateral government agreements:</t>
        </r>
        <r>
          <rPr>
            <sz val="8"/>
            <color indexed="81"/>
            <rFont val="Tahoma"/>
            <family val="2"/>
          </rPr>
          <t xml:space="preserve"> 
Include stocks in your national territory, which belong to another country and to which the access is guaranteed by an agreement between the respective governments.  Closing amounts should correspond to totals (line 32) in Table 6.</t>
        </r>
      </text>
    </comment>
    <comment ref="U49" authorId="1" shapeId="0" xr:uid="{00000000-0006-0000-0900-00005D000000}">
      <text>
        <r>
          <rPr>
            <b/>
            <sz val="8"/>
            <color indexed="81"/>
            <rFont val="Tahoma"/>
            <family val="2"/>
          </rPr>
          <t xml:space="preserve">Products transferred:
</t>
        </r>
        <r>
          <rPr>
            <sz val="8"/>
            <color indexed="81"/>
            <rFont val="Tahoma"/>
            <family val="2"/>
          </rPr>
          <t xml:space="preserve">These are usually imported petroleum products, which are reclassified as feedstocks for further processing in the refinery, without delivery to final consumers. For example, naphtha imported for upgrading would be first reported as imports of naphtha (reference F5 in Table 2), and then appear also as products transferred of naphtha (reference F9 in Table 2).
</t>
        </r>
        <r>
          <rPr>
            <b/>
            <sz val="8"/>
            <color indexed="81"/>
            <rFont val="Tahoma"/>
            <family val="2"/>
          </rPr>
          <t>The sum of the references for Products transferred (reference Z9 in Table 2) should be reported in reference C4, Table 1.</t>
        </r>
      </text>
    </comment>
    <comment ref="AF49" authorId="1" shapeId="0" xr:uid="{00000000-0006-0000-0900-00005E000000}">
      <text>
        <r>
          <rPr>
            <b/>
            <sz val="8"/>
            <color indexed="81"/>
            <rFont val="Tahoma"/>
            <family val="2"/>
          </rPr>
          <t xml:space="preserve">Refinery fuel:
</t>
        </r>
        <r>
          <rPr>
            <sz val="8"/>
            <color indexed="81"/>
            <rFont val="Tahoma"/>
            <family val="2"/>
          </rPr>
          <t>These are all petroleum products consumed in support of the operation of a refinery. This should not include products used by oil companies outside the refining process, e.g. bunkers or oil tankers.</t>
        </r>
      </text>
    </comment>
    <comment ref="U50" authorId="1" shapeId="0" xr:uid="{00000000-0006-0000-0900-00005F000000}">
      <text>
        <r>
          <rPr>
            <b/>
            <sz val="8"/>
            <color indexed="81"/>
            <rFont val="Tahoma"/>
            <family val="2"/>
          </rPr>
          <t xml:space="preserve">Imports and Exports (Balance):
</t>
        </r>
        <r>
          <rPr>
            <sz val="8"/>
            <color indexed="81"/>
            <rFont val="Tahoma"/>
            <family val="2"/>
          </rPr>
          <t xml:space="preserve">Data should reflect amounts having crossed the national territorial boundaries, whether customs clearance has taken place or not. Quantities of crude oil and products imported or exported under processing agreements (i.e. refining on account) should be included. Crude oil and NGLs should be reported as coming from the country of ultimate origin; refinery feedstocks and finished products should be reported as coming from the country of last consignment. Any gas liquids (e.g. LPG) extracted during the regasification process of imported LNG should be reported under inputs “Receipts from other sources” of “Other hydrocarbons” in this questionnaire. Petroleum products imported or exported directly by the petrochemical industry should be included.
</t>
        </r>
        <r>
          <rPr>
            <b/>
            <sz val="8"/>
            <color indexed="81"/>
            <rFont val="Tahoma"/>
            <family val="2"/>
          </rPr>
          <t xml:space="preserve">Note: Imports or exports of ethanol (reported in the Additives/oxygenates column) should relate to the quantities destined for fuel use.
</t>
        </r>
        <r>
          <rPr>
            <sz val="8"/>
            <color indexed="81"/>
            <rFont val="Tahoma"/>
            <family val="2"/>
          </rPr>
          <t xml:space="preserve">Re-exports of oil imported for processing within bonded areas should be included as an export of product from the processing country to the final destination.
</t>
        </r>
        <r>
          <rPr>
            <b/>
            <sz val="8"/>
            <color indexed="81"/>
            <rFont val="Tahoma"/>
            <family val="2"/>
          </rPr>
          <t xml:space="preserve">
Imports and exports reported in Tables 1 and 2 should correspond to Total Imports, line 105 in Table 3 and to Total Exports, line 96 in Table 4.</t>
        </r>
      </text>
    </comment>
    <comment ref="AF50" authorId="1" shapeId="0" xr:uid="{00000000-0006-0000-0900-000060000000}">
      <text>
        <r>
          <rPr>
            <b/>
            <sz val="8"/>
            <color indexed="81"/>
            <rFont val="Tahoma"/>
            <family val="2"/>
          </rPr>
          <t xml:space="preserve">IImports and Exports (Balance):
</t>
        </r>
        <r>
          <rPr>
            <sz val="8"/>
            <color indexed="81"/>
            <rFont val="Tahoma"/>
            <family val="2"/>
          </rPr>
          <t>See definitions in Table 1.</t>
        </r>
      </text>
    </comment>
    <comment ref="BI50" authorId="1" shapeId="0" xr:uid="{00000000-0006-0000-0900-000061000000}">
      <text>
        <r>
          <rPr>
            <b/>
            <sz val="8"/>
            <color indexed="81"/>
            <rFont val="Tahoma"/>
            <family val="2"/>
          </rPr>
          <t>Stocks with known foreign destination:</t>
        </r>
        <r>
          <rPr>
            <sz val="8"/>
            <color indexed="81"/>
            <rFont val="Tahoma"/>
            <family val="2"/>
          </rPr>
          <t xml:space="preserve"> 
Include stocks (not included in category (b) ) in your national territory which belong to and are destined for another country.  These stocks may be located inside or outside bonded areas. Closing amounts should correspond to totals (liine 32)in Table 7.</t>
        </r>
      </text>
    </comment>
    <comment ref="U52" authorId="1" shapeId="0" xr:uid="{00000000-0006-0000-0900-000062000000}">
      <text>
        <r>
          <rPr>
            <b/>
            <sz val="8"/>
            <color indexed="81"/>
            <rFont val="Tahoma"/>
            <family val="2"/>
          </rPr>
          <t xml:space="preserve">Direct use:
</t>
        </r>
        <r>
          <rPr>
            <sz val="8"/>
            <color indexed="81"/>
            <rFont val="Tahoma"/>
            <family val="2"/>
          </rPr>
          <t xml:space="preserve">Crude oil, NGL and Other hydrocarbons which are used directly without being processed in oil refineries are reported as Direct use. This includes, for example, crude oil burned for electricity generation.
</t>
        </r>
        <r>
          <rPr>
            <b/>
            <sz val="8"/>
            <color indexed="81"/>
            <rFont val="Tahoma"/>
            <family val="2"/>
          </rPr>
          <t>Such quantities will also be reported in the supply of products under Primary product receipts in line 1 of Table 2 (see notes for Table 2).</t>
        </r>
      </text>
    </comment>
    <comment ref="AF52" authorId="1" shapeId="0" xr:uid="{00000000-0006-0000-0900-000063000000}">
      <text>
        <r>
          <rPr>
            <b/>
            <sz val="8"/>
            <color indexed="81"/>
            <rFont val="Tahoma"/>
            <family val="2"/>
          </rPr>
          <t xml:space="preserve">International marine bunkers:
</t>
        </r>
        <r>
          <rPr>
            <sz val="8"/>
            <color indexed="81"/>
            <rFont val="Tahoma"/>
            <family val="2"/>
          </rPr>
          <t>Bunkers cover the quantities of fuels delivered to sea-going ships of all flags, including warships. Consumption by ships engaged in transport in inland and coastal waters is not included. Note that fuel delivered for deep-sea fishing should not be included.</t>
        </r>
      </text>
    </comment>
    <comment ref="BI52" authorId="1" shapeId="0" xr:uid="{00000000-0006-0000-0900-000064000000}">
      <text>
        <r>
          <rPr>
            <b/>
            <sz val="8"/>
            <color indexed="81"/>
            <rFont val="Tahoma"/>
            <family val="2"/>
          </rPr>
          <t>Stocks held in bonded areas and not included in (b) or (c):</t>
        </r>
        <r>
          <rPr>
            <sz val="8"/>
            <color indexed="81"/>
            <rFont val="Tahoma"/>
            <family val="2"/>
          </rPr>
          <t xml:space="preserve"> 
Include stocks which are eligible under IEA commitments (irrespective of whether they have received customs clearance or not), not included in categories (b) or (c) above.</t>
        </r>
      </text>
    </comment>
    <comment ref="U53" authorId="1" shapeId="0" xr:uid="{00000000-0006-0000-0900-000065000000}">
      <text>
        <r>
          <rPr>
            <b/>
            <sz val="8"/>
            <color indexed="81"/>
            <rFont val="Tahoma"/>
            <family val="2"/>
          </rPr>
          <t xml:space="preserve">Stock changes:
</t>
        </r>
        <r>
          <rPr>
            <sz val="8"/>
            <color indexed="81"/>
            <rFont val="Tahoma"/>
            <family val="2"/>
          </rPr>
          <t>Stock changes should reflect the difference between closing stock level and opening stock level for stocks held on national territory, as given in category (a) (lines 1 and 2 of Table 5). A stock build is shown as a positive number, and a stock draw as a negative number.</t>
        </r>
      </text>
    </comment>
    <comment ref="AF53" authorId="1" shapeId="0" xr:uid="{00000000-0006-0000-0900-000066000000}">
      <text>
        <r>
          <rPr>
            <b/>
            <sz val="8"/>
            <color indexed="81"/>
            <rFont val="Tahoma"/>
            <family val="2"/>
          </rPr>
          <t xml:space="preserve">Interproduct transfers:
</t>
        </r>
        <r>
          <rPr>
            <sz val="8"/>
            <color indexed="81"/>
            <rFont val="Tahoma"/>
            <family val="2"/>
          </rPr>
          <t xml:space="preserve">Result from the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
        </r>
        <r>
          <rPr>
            <b/>
            <sz val="8"/>
            <color indexed="81"/>
            <rFont val="Tahoma"/>
            <family val="2"/>
          </rPr>
          <t>The total net effect (reference Z8) should be zero.</t>
        </r>
      </text>
    </comment>
    <comment ref="U54" authorId="1" shapeId="0" xr:uid="{00000000-0006-0000-0900-000067000000}">
      <text>
        <r>
          <rPr>
            <b/>
            <sz val="8"/>
            <color indexed="81"/>
            <rFont val="Tahoma"/>
            <family val="2"/>
          </rPr>
          <t xml:space="preserve">Refinery intake (Calculated):
</t>
        </r>
        <r>
          <rPr>
            <sz val="8"/>
            <color indexed="81"/>
            <rFont val="Tahoma"/>
            <family val="2"/>
          </rPr>
          <t xml:space="preserve">This is defined as the total amount of oil calculated to have entered the refinery process. It is defined as:
                                          </t>
        </r>
        <r>
          <rPr>
            <b/>
            <sz val="8"/>
            <color indexed="81"/>
            <rFont val="Tahoma"/>
            <family val="2"/>
          </rPr>
          <t>+ Indigenous production
                                          + Receipts from other sources
                                          + Backflows
                                          + Products transferred
                                          + Imports (Balance)
                                          – Exports (Balance)
                                          – Direct use
                                          – Stock changes
                                          = Refinery intake (Calculated)</t>
        </r>
      </text>
    </comment>
    <comment ref="AF54" authorId="1" shapeId="0" xr:uid="{00000000-0006-0000-0900-000068000000}">
      <text>
        <r>
          <rPr>
            <b/>
            <sz val="8"/>
            <color indexed="81"/>
            <rFont val="Tahoma"/>
            <family val="2"/>
          </rPr>
          <t xml:space="preserve">Products transferred:
</t>
        </r>
        <r>
          <rPr>
            <sz val="8"/>
            <color indexed="81"/>
            <rFont val="Tahoma"/>
            <family val="2"/>
          </rPr>
          <t>See definitions in Table 1.</t>
        </r>
      </text>
    </comment>
    <comment ref="BI54" authorId="1" shapeId="0" xr:uid="{00000000-0006-0000-0900-000069000000}">
      <text>
        <r>
          <rPr>
            <b/>
            <sz val="8"/>
            <color indexed="81"/>
            <rFont val="Tahoma"/>
            <family val="2"/>
          </rPr>
          <t>Stocks held by major consumers, eligible under IEA commitments:</t>
        </r>
        <r>
          <rPr>
            <sz val="8"/>
            <color indexed="81"/>
            <rFont val="Tahoma"/>
            <family val="2"/>
          </rPr>
          <t xml:space="preserve"> 
Include stocks, which are subject to government control.  This definition does not include other consumer stocks.
</t>
        </r>
      </text>
    </comment>
    <comment ref="U55" authorId="1" shapeId="0" xr:uid="{00000000-0006-0000-0900-00006A000000}">
      <text>
        <r>
          <rPr>
            <b/>
            <sz val="8"/>
            <color indexed="81"/>
            <rFont val="Tahoma"/>
            <family val="2"/>
          </rPr>
          <t xml:space="preserve">Statistical difference:
</t>
        </r>
        <r>
          <rPr>
            <sz val="8"/>
            <color indexed="81"/>
            <rFont val="Tahoma"/>
            <family val="2"/>
          </rPr>
          <t>This is the difference between calculated and observed refinery intake.</t>
        </r>
        <r>
          <rPr>
            <b/>
            <sz val="8"/>
            <color indexed="81"/>
            <rFont val="Tahoma"/>
            <family val="2"/>
          </rPr>
          <t xml:space="preserve"> </t>
        </r>
        <r>
          <rPr>
            <i/>
            <sz val="8"/>
            <color indexed="81"/>
            <rFont val="Tahoma"/>
            <family val="2"/>
          </rPr>
          <t>Reasons for any major differences should be stated in the section provided for remarks.</t>
        </r>
      </text>
    </comment>
    <comment ref="AF55" authorId="1" shapeId="0" xr:uid="{00000000-0006-0000-0900-00006B000000}">
      <text>
        <r>
          <rPr>
            <b/>
            <sz val="8"/>
            <color indexed="81"/>
            <rFont val="Tahoma"/>
            <family val="2"/>
          </rPr>
          <t>Stock changes:</t>
        </r>
        <r>
          <rPr>
            <sz val="8"/>
            <color indexed="81"/>
            <rFont val="Tahoma"/>
            <family val="2"/>
          </rPr>
          <t xml:space="preserve">
See definitions under Table 1.</t>
        </r>
      </text>
    </comment>
    <comment ref="U56" authorId="1" shapeId="0" xr:uid="{00000000-0006-0000-0900-00006C000000}">
      <text>
        <r>
          <rPr>
            <b/>
            <sz val="8"/>
            <color indexed="81"/>
            <rFont val="Tahoma"/>
            <family val="2"/>
          </rPr>
          <t xml:space="preserve">Refinery intake (Observed):
</t>
        </r>
        <r>
          <rPr>
            <sz val="8"/>
            <color indexed="81"/>
            <rFont val="Tahoma"/>
            <family val="2"/>
          </rPr>
          <t>This is defined as the total amount of oil (including Other hydrocarbons and Additives) observed to have entered the refinery process.</t>
        </r>
      </text>
    </comment>
    <comment ref="AF56" authorId="1" shapeId="0" xr:uid="{00000000-0006-0000-0900-00006D000000}">
      <text>
        <r>
          <rPr>
            <b/>
            <sz val="8"/>
            <color indexed="81"/>
            <rFont val="Tahoma"/>
            <family val="2"/>
          </rPr>
          <t xml:space="preserve">Gross inland deliveries (Calculated):
</t>
        </r>
        <r>
          <rPr>
            <sz val="8"/>
            <color indexed="81"/>
            <rFont val="Tahoma"/>
            <family val="2"/>
          </rPr>
          <t>This is defined as:</t>
        </r>
        <r>
          <rPr>
            <b/>
            <sz val="8"/>
            <color indexed="81"/>
            <rFont val="Tahoma"/>
            <family val="2"/>
          </rPr>
          <t xml:space="preserve">
                                   + Primary product receipts
                                   + Refinery gross output
                                   + Recycled products
                                   – Refinery fuel
                                   + Imports (Balance)
                                   – Exports (Balance)
                                   – International marine bunkers
                                   + Interproduct transfers
                                   – Products transferred
                                   – Stock changes
                                   = Gross inland deliveries (Calculated)</t>
        </r>
      </text>
    </comment>
    <comment ref="BI56" authorId="1" shapeId="0" xr:uid="{00000000-0006-0000-0900-00006E000000}">
      <text>
        <r>
          <rPr>
            <b/>
            <sz val="8"/>
            <color indexed="81"/>
            <rFont val="Tahoma"/>
            <family val="2"/>
          </rPr>
          <t xml:space="preserve">Stocks held on board incoming ocean vessels in port or at mooring: 
</t>
        </r>
        <r>
          <rPr>
            <sz val="8"/>
            <color indexed="81"/>
            <rFont val="Tahoma"/>
            <family val="2"/>
          </rPr>
          <t>Include stocks irrespective of whether they have been cleared by customs or not.  This category excludes stocks on board vessels at high seas.  It includes oil in coastal tankers if both their port of departure and destination are in your country.  In the case of incoming vessels with more than one port of unloading, only report the amount to be unloaded in your country.</t>
        </r>
      </text>
    </comment>
    <comment ref="U57" authorId="2" shapeId="0" xr:uid="{00000000-0006-0000-0900-00006F000000}">
      <text>
        <r>
          <rPr>
            <b/>
            <sz val="8"/>
            <color indexed="81"/>
            <rFont val="Tahoma"/>
            <family val="2"/>
          </rPr>
          <t>Refinery Losses:</t>
        </r>
        <r>
          <rPr>
            <sz val="8"/>
            <color indexed="81"/>
            <rFont val="Tahoma"/>
            <family val="2"/>
          </rPr>
          <t xml:space="preserve">
These are the differences between observed refinery intake (reference G11) and gross refinery output (reference V2 of Table 2).  Losses may occur during the distillation processes due to evaporation.</t>
        </r>
      </text>
    </comment>
    <comment ref="AF57" authorId="1" shapeId="0" xr:uid="{00000000-0006-0000-0900-000070000000}">
      <text>
        <r>
          <rPr>
            <b/>
            <sz val="8"/>
            <color indexed="81"/>
            <rFont val="Tahoma"/>
            <family val="2"/>
          </rPr>
          <t>Statistical Difference:</t>
        </r>
        <r>
          <rPr>
            <sz val="8"/>
            <color indexed="81"/>
            <rFont val="Tahoma"/>
            <family val="2"/>
          </rPr>
          <t xml:space="preserve"> 
This is the difference between calculated and observed gross inland deliveries.  </t>
        </r>
        <r>
          <rPr>
            <i/>
            <sz val="8"/>
            <color indexed="81"/>
            <rFont val="Tahoma"/>
            <family val="2"/>
          </rPr>
          <t>Reasons for any major differences should be stated in the space provided for on the remarks sheet.</t>
        </r>
      </text>
    </comment>
    <comment ref="AF58" authorId="1" shapeId="0" xr:uid="{00000000-0006-0000-0900-000071000000}">
      <text>
        <r>
          <rPr>
            <b/>
            <sz val="8"/>
            <color indexed="81"/>
            <rFont val="Tahoma"/>
            <family val="2"/>
          </rPr>
          <t xml:space="preserve">Gross inland deliveries (Observed):
</t>
        </r>
        <r>
          <rPr>
            <sz val="8"/>
            <color indexed="81"/>
            <rFont val="Tahoma"/>
            <family val="2"/>
          </rPr>
          <t>These are the observed deliveries of oil products from primary sources (e.g. refineries, blending plants etc.) to the inland market. This figure may differ from the calculated figure due, for example, to differences in coverage and/or differences of definition in different reporting systems.</t>
        </r>
      </text>
    </comment>
    <comment ref="BI58" authorId="1" shapeId="0" xr:uid="{00000000-0006-0000-0900-000072000000}">
      <text>
        <r>
          <rPr>
            <b/>
            <sz val="8"/>
            <color indexed="81"/>
            <rFont val="Tahoma"/>
            <family val="2"/>
          </rPr>
          <t>Stocks held by governments on national territory:</t>
        </r>
        <r>
          <rPr>
            <sz val="8"/>
            <color indexed="81"/>
            <rFont val="Tahoma"/>
            <family val="2"/>
          </rPr>
          <t xml:space="preserve"> 
Include non-military stocks held within the national territory by government, which are government owned or controlled and held exclusively for emergency purposes.  It does not include stocks held by state oil companies or electric utilities, neither does it include stocks held directly by industry to fulfil mandatory stock obligations. </t>
        </r>
      </text>
    </comment>
    <comment ref="AF59" authorId="4" shapeId="0" xr:uid="{00000000-0006-0000-0900-000073000000}">
      <text>
        <r>
          <rPr>
            <b/>
            <sz val="8"/>
            <color indexed="81"/>
            <rFont val="Tahoma"/>
            <family val="2"/>
          </rPr>
          <t xml:space="preserve">Deliveries to international aviation: 
</t>
        </r>
        <r>
          <rPr>
            <sz val="8"/>
            <color indexed="81"/>
            <rFont val="Tahoma"/>
            <family val="2"/>
          </rPr>
          <t xml:space="preserve">Report all deliveries of aviation fuels other than for domestic aircraft activities.
</t>
        </r>
      </text>
    </comment>
    <comment ref="AF60" authorId="1" shapeId="0" xr:uid="{00000000-0006-0000-0900-000074000000}">
      <text>
        <r>
          <rPr>
            <b/>
            <sz val="8"/>
            <color indexed="81"/>
            <rFont val="Tahoma"/>
            <family val="2"/>
          </rPr>
          <t xml:space="preserve">Deliveries to main activity producer power plants:
</t>
        </r>
        <r>
          <rPr>
            <sz val="8"/>
            <color indexed="81"/>
            <rFont val="Tahoma"/>
            <family val="2"/>
          </rPr>
          <t>Report quantities of oil products used for electricity and heat generation in main activity producer power plants.</t>
        </r>
      </text>
    </comment>
    <comment ref="BI60" authorId="1" shapeId="0" xr:uid="{00000000-0006-0000-0900-000075000000}">
      <text>
        <r>
          <rPr>
            <b/>
            <sz val="8"/>
            <color indexed="81"/>
            <rFont val="Tahoma"/>
            <family val="2"/>
          </rPr>
          <t>Stocks held by stock holding organisations on national territory:</t>
        </r>
        <r>
          <rPr>
            <sz val="8"/>
            <color indexed="81"/>
            <rFont val="Tahoma"/>
            <family val="2"/>
          </rPr>
          <t xml:space="preserve">
 Include stocks held on national territory by both public and private corporations established to maintain stocks exclusively for emergency purposes.  It does not include mandatory stocks held by private companies.</t>
        </r>
      </text>
    </comment>
    <comment ref="AF61" authorId="1" shapeId="0" xr:uid="{00000000-0006-0000-0900-000076000000}">
      <text>
        <r>
          <rPr>
            <b/>
            <sz val="8"/>
            <color indexed="81"/>
            <rFont val="Tahoma"/>
            <family val="2"/>
          </rPr>
          <t xml:space="preserve">Deliveries of automotive LPG:
</t>
        </r>
        <r>
          <rPr>
            <sz val="8"/>
            <color indexed="81"/>
            <rFont val="Tahoma"/>
            <family val="2"/>
          </rPr>
          <t>Report all deliveries of LPG used for road transport vehicles.</t>
        </r>
      </text>
    </comment>
    <comment ref="AF62" authorId="1" shapeId="0" xr:uid="{00000000-0006-0000-0900-000077000000}">
      <text>
        <r>
          <rPr>
            <b/>
            <sz val="8"/>
            <color indexed="81"/>
            <rFont val="Tahoma"/>
            <family val="2"/>
          </rPr>
          <t xml:space="preserve">Deliveries of rail and marine diesel:
</t>
        </r>
        <r>
          <rPr>
            <sz val="8"/>
            <color indexed="81"/>
            <rFont val="Tahoma"/>
            <family val="2"/>
          </rPr>
          <t>Report marine diesel and diesel used in rail traffic.</t>
        </r>
      </text>
    </comment>
    <comment ref="BI62" authorId="1" shapeId="0" xr:uid="{00000000-0006-0000-0900-000078000000}">
      <text>
        <r>
          <rPr>
            <b/>
            <sz val="8"/>
            <color indexed="81"/>
            <rFont val="Tahoma"/>
            <family val="2"/>
          </rPr>
          <t xml:space="preserve">All other stocks held on national territory:
 </t>
        </r>
        <r>
          <rPr>
            <sz val="8"/>
            <color indexed="81"/>
            <rFont val="Tahoma"/>
            <family val="2"/>
          </rPr>
          <t>Include all other stocks satisfying the conditions described in category (a) above.</t>
        </r>
      </text>
    </comment>
    <comment ref="AF63" authorId="5" shapeId="0" xr:uid="{00000000-0006-0000-0900-000079000000}">
      <text>
        <r>
          <rPr>
            <b/>
            <sz val="8"/>
            <color indexed="81"/>
            <rFont val="Tahoma"/>
            <family val="2"/>
          </rPr>
          <t xml:space="preserve">Gross deliveries to the petrochemical industry:
</t>
        </r>
        <r>
          <rPr>
            <sz val="8"/>
            <color indexed="81"/>
            <rFont val="Tahoma"/>
            <family val="2"/>
          </rPr>
          <t>Report only those quantities of fuels delivered to the petrochemical sector.</t>
        </r>
      </text>
    </comment>
    <comment ref="AF64" authorId="1" shapeId="0" xr:uid="{00000000-0006-0000-0900-00007A000000}">
      <text>
        <r>
          <rPr>
            <b/>
            <sz val="8"/>
            <color indexed="81"/>
            <rFont val="Tahoma"/>
            <family val="2"/>
          </rPr>
          <t xml:space="preserve">Backflows to refineries:
</t>
        </r>
        <r>
          <rPr>
            <sz val="8"/>
            <color indexed="81"/>
            <rFont val="Tahoma"/>
            <family val="2"/>
          </rPr>
          <t>Total product Backflows to refineries reported in reference Z19 must be equal to total Backflows reported in reference C3 in Table 1. (See Backflows in Table 1). Those quantities of backflows returned to refinery should be shown as Backflows in Table 1 and subsequently as a part of Refinery intake, Refinery gross output and of Gross inland deliveries of the relevant products.
Quantities of backflows that are used directly as finished products should be included in the data reported under Backflows and subsequently as Direct use in Table 1 and Primary product receipts in Table 2.</t>
        </r>
      </text>
    </comment>
    <comment ref="BI64" authorId="1" shapeId="0" xr:uid="{00000000-0006-0000-0900-00007B000000}">
      <text>
        <r>
          <rPr>
            <b/>
            <sz val="8"/>
            <color indexed="81"/>
            <rFont val="Tahoma"/>
            <family val="2"/>
          </rPr>
          <t xml:space="preserve">Stocks held abroad under bilateral government agreements: 
</t>
        </r>
        <r>
          <rPr>
            <sz val="8"/>
            <color indexed="81"/>
            <rFont val="Tahoma"/>
            <family val="2"/>
          </rPr>
          <t>Include stocks belonging to your country but held in another country, to which access is guaranteed by an agreement between the respective governments. This category is comprised of stocks abroad owned by your government, stocks abroad held by stock holding organisations, and all other types of stocks belonging to your country but held in another country under bilateral government agreements.  Please provide the breakdown of these stocks by type under categories o, p and q (see below). Closing amounts should correspond to the country specific breakdown (line 32) in Table 8.</t>
        </r>
      </text>
    </comment>
    <comment ref="AF65" authorId="5" shapeId="0" xr:uid="{00000000-0006-0000-0900-00007C000000}">
      <text>
        <r>
          <rPr>
            <b/>
            <sz val="8"/>
            <color indexed="81"/>
            <rFont val="Tahoma"/>
            <family val="2"/>
          </rPr>
          <t>Net deliveries of Total products:</t>
        </r>
        <r>
          <rPr>
            <sz val="8"/>
            <color indexed="81"/>
            <rFont val="Tahoma"/>
            <family val="2"/>
          </rPr>
          <t xml:space="preserve">
This is defined as Gross inland deliveries (Observed) minus Backflows to refineries.
</t>
        </r>
        <r>
          <rPr>
            <b/>
            <sz val="8"/>
            <color indexed="81"/>
            <rFont val="Tahoma"/>
            <family val="2"/>
          </rPr>
          <t>Thus reference Z20 = reference Z13 - reference Z19</t>
        </r>
      </text>
    </comment>
    <comment ref="BI66" authorId="1" shapeId="0" xr:uid="{00000000-0006-0000-0900-00007D000000}">
      <text>
        <r>
          <rPr>
            <b/>
            <sz val="8"/>
            <color indexed="81"/>
            <rFont val="Tahoma"/>
            <family val="2"/>
          </rPr>
          <t>Stocks held abroad designated definitely for import into your country:</t>
        </r>
        <r>
          <rPr>
            <sz val="8"/>
            <color indexed="81"/>
            <rFont val="Tahoma"/>
            <family val="2"/>
          </rPr>
          <t xml:space="preserve"> 
Include stocks (not included in category (j) ) belonging to your country, which are held in another country and which are awaiting import into your country.  Closing amounts should correspond to line 32 in Table 9.</t>
        </r>
      </text>
    </comment>
    <comment ref="BI68" authorId="1" shapeId="0" xr:uid="{00000000-0006-0000-0900-00007E000000}">
      <text>
        <r>
          <rPr>
            <b/>
            <sz val="8"/>
            <color indexed="81"/>
            <rFont val="Tahoma"/>
            <family val="2"/>
          </rPr>
          <t>Total Stocks:</t>
        </r>
        <r>
          <rPr>
            <sz val="8"/>
            <color indexed="81"/>
            <rFont val="Tahoma"/>
            <family val="2"/>
          </rPr>
          <t xml:space="preserve"> 
Include all stocks belonging to your country, whether on national territory or in the territory of another country.</t>
        </r>
      </text>
    </comment>
    <comment ref="BI70" authorId="1" shapeId="0" xr:uid="{00000000-0006-0000-0900-00007F000000}">
      <text>
        <r>
          <rPr>
            <b/>
            <sz val="8"/>
            <color indexed="81"/>
            <rFont val="Tahoma"/>
            <family val="2"/>
          </rPr>
          <t>Other stocks in bonded areas (not included above):</t>
        </r>
        <r>
          <rPr>
            <sz val="8"/>
            <color indexed="81"/>
            <rFont val="Tahoma"/>
            <family val="2"/>
          </rPr>
          <t xml:space="preserve"> 
Include other stocks in the national territory not eligible under IEA commitments and which are not included in the above categories</t>
        </r>
      </text>
    </comment>
    <comment ref="BI72" authorId="1" shapeId="0" xr:uid="{00000000-0006-0000-0900-000080000000}">
      <text>
        <r>
          <rPr>
            <b/>
            <sz val="8"/>
            <color indexed="81"/>
            <rFont val="Tahoma"/>
            <family val="2"/>
          </rPr>
          <t xml:space="preserve">Pipeline Fill (not included above):
</t>
        </r>
        <r>
          <rPr>
            <sz val="8"/>
            <color indexed="81"/>
            <rFont val="Tahoma"/>
            <family val="2"/>
          </rPr>
          <t>Include oil (crude oil and petroleum products) contained in pipelines, necessary to maintain the flow in the pipelines.</t>
        </r>
      </text>
    </comment>
    <comment ref="BI74" authorId="5" shapeId="0" xr:uid="{00000000-0006-0000-0900-000081000000}">
      <text>
        <r>
          <rPr>
            <b/>
            <sz val="8"/>
            <color indexed="81"/>
            <rFont val="Tahoma"/>
            <family val="2"/>
          </rPr>
          <t>Detail of category (j):</t>
        </r>
        <r>
          <rPr>
            <sz val="8"/>
            <color indexed="81"/>
            <rFont val="Tahoma"/>
            <family val="2"/>
          </rPr>
          <t xml:space="preserve">
The portion of "Stocks held abroad under bilateral government agreement", category (j), which are government stocks.</t>
        </r>
      </text>
    </comment>
    <comment ref="BI76" authorId="5" shapeId="0" xr:uid="{00000000-0006-0000-0900-000082000000}">
      <text>
        <r>
          <rPr>
            <b/>
            <sz val="8"/>
            <color indexed="81"/>
            <rFont val="Tahoma"/>
            <family val="2"/>
          </rPr>
          <t>Detail of category (j):</t>
        </r>
        <r>
          <rPr>
            <sz val="8"/>
            <color indexed="81"/>
            <rFont val="Tahoma"/>
            <family val="2"/>
          </rPr>
          <t xml:space="preserve">
The portion of "Stocks held abroad under bilateral government agreement", category (j), which are stock holding organization's stocks.
</t>
        </r>
      </text>
    </comment>
    <comment ref="BI78" authorId="5" shapeId="0" xr:uid="{00000000-0006-0000-0900-000083000000}">
      <text>
        <r>
          <rPr>
            <b/>
            <sz val="8"/>
            <color indexed="81"/>
            <rFont val="Tahoma"/>
            <family val="2"/>
          </rPr>
          <t>Detail of category (j):</t>
        </r>
        <r>
          <rPr>
            <sz val="8"/>
            <color indexed="81"/>
            <rFont val="Tahoma"/>
            <family val="2"/>
          </rPr>
          <t xml:space="preserve">
The portion of "Stocks held abroad under bilateral government agreement", category (j), which are not included in the above stocks type (o) and (p).</t>
        </r>
      </text>
    </comment>
  </commentList>
</comments>
</file>

<file path=xl/sharedStrings.xml><?xml version="1.0" encoding="utf-8"?>
<sst xmlns="http://schemas.openxmlformats.org/spreadsheetml/2006/main" count="1580" uniqueCount="780">
  <si>
    <t>Blocked out cells</t>
  </si>
  <si>
    <t>Bitumen is a solid, semi-solid or viscous hydrocarbon with a colloidal structure, being brown to black in colour, obtained as a residue in the distillation of crude oil, by vacuum distillation of oil residues from atmospheric distillation.  Bitumen is often referred to as asphalt and is primarily used for construction of roads and for roofing material.  This category includes fluidized and cut back bitumen.</t>
  </si>
  <si>
    <t>White Spirit and SBP are defined as refined distillate intermediates with a distillation in the naphtha/kerosene range. They are sub-divided as:</t>
  </si>
  <si>
    <t>Lubricants are hydrocarbons produced from distillate by product; they are mainly used to reduce friction between bearing surfaces.  This category includes all finished grades of lubricating oil, from spindle oil to cylinder oil, and those used in greases, including motor oils and all grades of lubricating oil base stocks.</t>
  </si>
  <si>
    <t>Refinery gas includes a mixture of non-condensible gases mainly consisting of hydrogen, methane, ethane and olefins obtained during distillation of crude oil or treatment of oil products (e.g. cracking) in refineries.  This also includes gases which are returned from the petrochemical industry.</t>
  </si>
  <si>
    <t>This category includes synthetic crude oil from tar sands, shale oil, etc., liquids from coal liquefaction, output of liquids from natural gas conversion into gasoline, hydrogen and emulsified oils (e.g. Orimulsion).</t>
  </si>
  <si>
    <t>Additives are non-hydrocarbon compounds added to or blended with a product to modify fuel properties (octane, cetane, cold properties, etc.):</t>
  </si>
  <si>
    <t>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 oil and fuel oil fractions).</t>
  </si>
  <si>
    <t>NGL are liquid or liquefied hydrocarbons recovered from natural gas in separation facilities or gas processing plants.  Natural gas liquids include ethane, propane, butane (normal and iso-), (iso) pentane and pentanes plus (sometimes referred to as natural gasoline or plant condensate).</t>
  </si>
  <si>
    <t>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</si>
  <si>
    <t>DEFINITION OF PRODUCTS</t>
  </si>
  <si>
    <t>REFINERY INPUTS</t>
  </si>
  <si>
    <t>1.</t>
  </si>
  <si>
    <t>CRUDE OIL</t>
  </si>
  <si>
    <t>2.</t>
  </si>
  <si>
    <t>NATURAL GAS LIQUIDS (NGL)</t>
  </si>
  <si>
    <t>3.</t>
  </si>
  <si>
    <t>OTHERS</t>
  </si>
  <si>
    <t>a.  Refinery Feedstocks</t>
  </si>
  <si>
    <t>b.1  Additives/Oxygenates</t>
  </si>
  <si>
    <t>i.  oxygenates, such as alcohols (methanol, ethanol), ethers (such as MTBE (methyl tertiary butyl ether), ETBE (ethyl tertiary butyl ether), TAME (tertiary amyl methyl ether));</t>
  </si>
  <si>
    <t>ii.  esters (e.g. rapeseed or dimethylester, etc.);</t>
  </si>
  <si>
    <t>iii.  chemical compounds (such as TML, TEL and detergents).</t>
  </si>
  <si>
    <t>b.2  Biofuels</t>
  </si>
  <si>
    <t>Biofuels such as biogasoline and biodiesel that are blended into gasoline and diesel at oil refineries.</t>
  </si>
  <si>
    <t>i.  Biogasoline: a gasoline quality liquid fuel produced from biomass or used cooking oils consists of bioethanol, biomethanol, BioETBE and bioMTBE</t>
  </si>
  <si>
    <t>ii.  Biodiesel: a diesel quality liquid fuel produced from biomass or used cooking oils,  consists of Biodiesel, bio-dimethylether, Fischer-Tropsh and cold pressed biooil.</t>
  </si>
  <si>
    <t>iii.  Bioethanol:  ethanol produced from biomass and/or biodegradable fraction of waste;</t>
  </si>
  <si>
    <t>iv.  Biomethanol:  methanol produced from biomass and/or the biodegradable fraction of waste;</t>
  </si>
  <si>
    <t>v.  Biodimethylether:  a diesel quality fuel produced from biomass and/or the biodegradable fraction of waste;</t>
  </si>
  <si>
    <t>c.  Other Hydrocarbons</t>
  </si>
  <si>
    <t>PETROLEUM PRODUCTS</t>
  </si>
  <si>
    <t>LIQUEFIED PETROLEUM GASES (LPG)</t>
  </si>
  <si>
    <t>GASOLINE</t>
  </si>
  <si>
    <t>Gasoline includes motor gasoline, aviation gasoline and gasoline type jet fuel as defined below:</t>
  </si>
  <si>
    <t>a. Motor Gasoline</t>
  </si>
  <si>
    <t>b. Aviation Gasoline</t>
  </si>
  <si>
    <t>c. Gasoline Type Jet Fuel (Naphtha type Jet Fuel or JP4)</t>
  </si>
  <si>
    <t>4.</t>
  </si>
  <si>
    <t>TOTAL KEROSENE</t>
  </si>
  <si>
    <t>This category includes kerosene type Jet Fuel and Other Kerosene as defined below:</t>
  </si>
  <si>
    <t>a. Kerosene Type Jet Fuel</t>
  </si>
  <si>
    <t>b. Other Kerosene</t>
  </si>
  <si>
    <t>5.</t>
  </si>
  <si>
    <t>GAS/DIESEL OIL (DISTILLATE FUEL OIL)</t>
  </si>
  <si>
    <t>6.</t>
  </si>
  <si>
    <t>FUEL OIL</t>
  </si>
  <si>
    <t>7.</t>
  </si>
  <si>
    <t>OTHER PRODUCTS</t>
  </si>
  <si>
    <t>a. Refinery Gas (not liquefied)</t>
  </si>
  <si>
    <t>b. Ethane</t>
  </si>
  <si>
    <t>c. Petroleum Coke</t>
  </si>
  <si>
    <t>d. Lubricants</t>
  </si>
  <si>
    <t>e. White Spirit and SBP</t>
  </si>
  <si>
    <t>f. Bitumen</t>
  </si>
  <si>
    <t>g. Paraffin Waxes</t>
  </si>
  <si>
    <t>h. Other Products</t>
  </si>
  <si>
    <t>8.</t>
  </si>
  <si>
    <t>TOTAL PRODUCTS</t>
  </si>
  <si>
    <t>Total Products is the total output of the refinery which is the sum of all petroleum products mentioned above.</t>
  </si>
  <si>
    <t>DEFINITION OF FLOWS</t>
  </si>
  <si>
    <t>PRODUCTION</t>
  </si>
  <si>
    <t>FROM OTHER SOURCES</t>
  </si>
  <si>
    <t>IMPORTS AND EXPORTS</t>
  </si>
  <si>
    <t>DIRECT USE</t>
  </si>
  <si>
    <t>STOCK CLOSING</t>
  </si>
  <si>
    <t>This refers to total stocks on national territory including stocks held by governments, by major consumers or by stockholding organisations, stocks held on board incoming ocean vessels, stocks held in bonded areas and stocks held for others, whether under bilateral government agreement or not. In JODI, this refers to stock closing in the end of the month.</t>
  </si>
  <si>
    <t>STOCK CHANGES</t>
  </si>
  <si>
    <t>Stock changes should reflect the difference between opening stock level and closing stock level for stocks held on national territory. A stock build is shown as a negative number, and a stock draw as a positive number.</t>
  </si>
  <si>
    <t>STATISTICAL DIFFERENCES</t>
  </si>
  <si>
    <t xml:space="preserve">These are calculated as (Production + Imports - Exports + Product Transfers/Backflows - Direct Use ± Stock Change) - Refinery Intake. </t>
  </si>
  <si>
    <t>9.</t>
  </si>
  <si>
    <t>REFINERY INTAKE</t>
  </si>
  <si>
    <t>This refers to the total amount of crude oil, NGL, other hydrocarbons and additives that are observed to have entered the refinery process.</t>
  </si>
  <si>
    <t>10.</t>
  </si>
  <si>
    <t>REFINERY OUTPUT</t>
  </si>
  <si>
    <t>This is production of finished products at a refinery or blending plant. This category excludes Refinery Losses, but includes Refinery Fuel.</t>
  </si>
  <si>
    <t>11.</t>
  </si>
  <si>
    <t>12.</t>
  </si>
  <si>
    <t>INTERPRODUCT TRANSFERS</t>
  </si>
  <si>
    <t>13.</t>
  </si>
  <si>
    <t>DEMAND</t>
  </si>
  <si>
    <t xml:space="preserve">The total demand of oil in a country includes the volume of oil required, on the one hand to supply all final consumers, energy transformation units (including refineries), energy producers within the country and on the other hand to provide all the national and foreign customers with fuels which they will use in international navigation and aviation (e.g. international aviation, marine bunkers, fishing etc.). </t>
  </si>
  <si>
    <t>Total oil demand also includes volumes of crude oil, NGL and other hydrocarbons which are used directly without being processed in petroleum refineries (direct use). It concerns mainly oil which can be used unprocessed by power plants to generate electricity and heat.</t>
  </si>
  <si>
    <t>NAPHTHA</t>
  </si>
  <si>
    <t xml:space="preserve">Petroleum coke is a black solid by-product, obtained mainly by cracking and carbonising petroleum derived feedstock, vacuum bottoms, tar and pitches in processes such as delayed coking or fluid coking.  It consists mainly of carbon (90 to 95%) and has a low ash content.  It is used as a feedstock in coke ovens for the steel industry, for heating purposes, for electrode manufacture and for production of chemicals.  The two most important qualities are "green coke" and "calcinated coke".  This category also includes "catalyst coke" deposited on the catalyst during refining processes; this coke is not recoverable and is usually burned as refinery fuel.  
</t>
  </si>
  <si>
    <t>Other Products is the sum of Refinery Gas (not liquefied), Ethane, Petroleum Coke, Lubricants, White Spirit &amp; SBP, Bitumen, Paraffin Waxes and Other products as defined below:</t>
  </si>
  <si>
    <t>KEROSENE</t>
  </si>
  <si>
    <t>GASDIES</t>
  </si>
  <si>
    <t>RESFUEL</t>
  </si>
  <si>
    <t>CRUDEOIL</t>
  </si>
  <si>
    <t>REFGROUT</t>
  </si>
  <si>
    <t>TOTIMPSB</t>
  </si>
  <si>
    <t>TOTEXPSB</t>
  </si>
  <si>
    <t>PTRANSF</t>
  </si>
  <si>
    <t>IPTRANSF</t>
  </si>
  <si>
    <t>STATDIFF</t>
  </si>
  <si>
    <t>STCHANAT</t>
  </si>
  <si>
    <t>OTHTONE</t>
  </si>
  <si>
    <t>CRNGFEED</t>
  </si>
  <si>
    <t>JETKERO</t>
  </si>
  <si>
    <t>OTHTTWO</t>
  </si>
  <si>
    <t>TOTPRODS</t>
  </si>
  <si>
    <t>RECEIPTS</t>
  </si>
  <si>
    <t>INDPROD</t>
  </si>
  <si>
    <t>OSOURCES</t>
  </si>
  <si>
    <t>TRANSBAK</t>
  </si>
  <si>
    <t>DIRECUSE</t>
  </si>
  <si>
    <t>REFINOBS</t>
  </si>
  <si>
    <t>CSNATTER</t>
  </si>
  <si>
    <t>BALANCE</t>
  </si>
  <si>
    <r>
      <t>Total Products</t>
    </r>
    <r>
      <rPr>
        <sz val="9"/>
        <rFont val="Times New Roman"/>
        <family val="1"/>
      </rPr>
      <t xml:space="preserve"> (5)+(6) +(7) +(8) +(10) +(11) +(12)</t>
    </r>
  </si>
  <si>
    <t>SETTINGS</t>
  </si>
  <si>
    <t>(select country)</t>
  </si>
  <si>
    <t>SELECT</t>
  </si>
  <si>
    <t>00</t>
  </si>
  <si>
    <t>Australia</t>
  </si>
  <si>
    <t>AUSTRALI</t>
  </si>
  <si>
    <t>AU</t>
  </si>
  <si>
    <t>Austria</t>
  </si>
  <si>
    <t>AUSTRIA</t>
  </si>
  <si>
    <t>AT</t>
  </si>
  <si>
    <t>Belgium</t>
  </si>
  <si>
    <t>BELGIUM</t>
  </si>
  <si>
    <t>BE</t>
  </si>
  <si>
    <t>Canada</t>
  </si>
  <si>
    <t>CANADA</t>
  </si>
  <si>
    <t>CA</t>
  </si>
  <si>
    <t>Czech Republic</t>
  </si>
  <si>
    <t>CZECH</t>
  </si>
  <si>
    <t>CZ</t>
  </si>
  <si>
    <t>Denmark</t>
  </si>
  <si>
    <t>DENMARK</t>
  </si>
  <si>
    <t>DK</t>
  </si>
  <si>
    <t>Finland</t>
  </si>
  <si>
    <t>FINLAND</t>
  </si>
  <si>
    <t>FI</t>
  </si>
  <si>
    <t>France</t>
  </si>
  <si>
    <t>FRANCE</t>
  </si>
  <si>
    <t>FR</t>
  </si>
  <si>
    <t>Germany</t>
  </si>
  <si>
    <t>GERMANY</t>
  </si>
  <si>
    <t>DE</t>
  </si>
  <si>
    <t>Greece</t>
  </si>
  <si>
    <t>GREECE</t>
  </si>
  <si>
    <t>GR</t>
  </si>
  <si>
    <t>Hungary</t>
  </si>
  <si>
    <t>HUNGARY</t>
  </si>
  <si>
    <t>HU</t>
  </si>
  <si>
    <t>Iceland</t>
  </si>
  <si>
    <t>ICELAND</t>
  </si>
  <si>
    <t>IS</t>
  </si>
  <si>
    <t>Ireland</t>
  </si>
  <si>
    <t>IRELAND</t>
  </si>
  <si>
    <t>IE</t>
  </si>
  <si>
    <t>Italy</t>
  </si>
  <si>
    <t>ITALY</t>
  </si>
  <si>
    <t>IT</t>
  </si>
  <si>
    <t>Japan</t>
  </si>
  <si>
    <t>JAPAN</t>
  </si>
  <si>
    <t>JP</t>
  </si>
  <si>
    <t>Korea</t>
  </si>
  <si>
    <t>KOREA</t>
  </si>
  <si>
    <t>KR</t>
  </si>
  <si>
    <t>Luxembourg</t>
  </si>
  <si>
    <t>LUXEMBOU</t>
  </si>
  <si>
    <t>LU</t>
  </si>
  <si>
    <t>Mexico</t>
  </si>
  <si>
    <t>MEXICO</t>
  </si>
  <si>
    <t>MX</t>
  </si>
  <si>
    <t>Netherlands</t>
  </si>
  <si>
    <t>NETHLAND</t>
  </si>
  <si>
    <t>NL</t>
  </si>
  <si>
    <t>New Zealand</t>
  </si>
  <si>
    <t>NZ</t>
  </si>
  <si>
    <t>Norway</t>
  </si>
  <si>
    <t>NORWAY</t>
  </si>
  <si>
    <t>NO</t>
  </si>
  <si>
    <t>Poland</t>
  </si>
  <si>
    <t>POLAND</t>
  </si>
  <si>
    <t>PL</t>
  </si>
  <si>
    <t>Portugal</t>
  </si>
  <si>
    <t>PORTUGAL</t>
  </si>
  <si>
    <t>PT</t>
  </si>
  <si>
    <t>Slovak Republic</t>
  </si>
  <si>
    <t>SLOVAKIA</t>
  </si>
  <si>
    <t>SK</t>
  </si>
  <si>
    <t>Spain</t>
  </si>
  <si>
    <t>SPAIN</t>
  </si>
  <si>
    <t>ES</t>
  </si>
  <si>
    <t>Sweden</t>
  </si>
  <si>
    <t>SWEDEN</t>
  </si>
  <si>
    <t>SE</t>
  </si>
  <si>
    <t>Switzerland</t>
  </si>
  <si>
    <t>SWITLAND</t>
  </si>
  <si>
    <t>CH</t>
  </si>
  <si>
    <t>Turkey</t>
  </si>
  <si>
    <t>TURKEY</t>
  </si>
  <si>
    <t>TR</t>
  </si>
  <si>
    <t>United Kingdom</t>
  </si>
  <si>
    <t>UK</t>
  </si>
  <si>
    <t>GB</t>
  </si>
  <si>
    <t>United States</t>
  </si>
  <si>
    <t>USA</t>
  </si>
  <si>
    <t>US</t>
  </si>
  <si>
    <t>January</t>
  </si>
  <si>
    <t>JAN</t>
  </si>
  <si>
    <t>February</t>
  </si>
  <si>
    <t>FEB</t>
  </si>
  <si>
    <t>March</t>
  </si>
  <si>
    <t>MAR</t>
  </si>
  <si>
    <t>April</t>
  </si>
  <si>
    <t>APR</t>
  </si>
  <si>
    <t>May</t>
  </si>
  <si>
    <t>MAY</t>
  </si>
  <si>
    <t>June</t>
  </si>
  <si>
    <t>JUN</t>
  </si>
  <si>
    <t>July</t>
  </si>
  <si>
    <t>JUL</t>
  </si>
  <si>
    <t>August</t>
  </si>
  <si>
    <t>AUG</t>
  </si>
  <si>
    <t>September</t>
  </si>
  <si>
    <t>SEP</t>
  </si>
  <si>
    <t>October</t>
  </si>
  <si>
    <t>OCT</t>
  </si>
  <si>
    <t>November</t>
  </si>
  <si>
    <t>NOV</t>
  </si>
  <si>
    <t>December</t>
  </si>
  <si>
    <t>DEC</t>
  </si>
  <si>
    <t xml:space="preserve">MsgAfterRounding: </t>
  </si>
  <si>
    <t>CALCULATIONS</t>
  </si>
  <si>
    <t>ê</t>
  </si>
  <si>
    <t>DO NOT TOUCH!</t>
  </si>
  <si>
    <t xml:space="preserve">MonthIndex: </t>
  </si>
  <si>
    <t xml:space="preserve">QuestMonth: </t>
  </si>
  <si>
    <t xml:space="preserve">CountryIndex: </t>
  </si>
  <si>
    <t xml:space="preserve">QuestCountry: </t>
  </si>
  <si>
    <t xml:space="preserve">CountryCode: </t>
  </si>
  <si>
    <t xml:space="preserve">CsvMonth1: </t>
  </si>
  <si>
    <t>Paste by VBA</t>
  </si>
  <si>
    <t xml:space="preserve">CsvYear1: </t>
  </si>
  <si>
    <t xml:space="preserve">PosiMonth1: </t>
  </si>
  <si>
    <t>Read by VBA</t>
  </si>
  <si>
    <t>CsvCountry:</t>
  </si>
  <si>
    <t>CsvCountryName:</t>
  </si>
  <si>
    <t>CsvMonthName:</t>
  </si>
  <si>
    <r>
      <t xml:space="preserve">ParamCountry / </t>
    </r>
    <r>
      <rPr>
        <sz val="10"/>
        <color indexed="12"/>
        <rFont val="Arial"/>
        <family val="2"/>
      </rPr>
      <t>CountryList</t>
    </r>
  </si>
  <si>
    <r>
      <t xml:space="preserve">ParamMonth / </t>
    </r>
    <r>
      <rPr>
        <sz val="10"/>
        <color indexed="12"/>
        <rFont val="Arial"/>
        <family val="2"/>
      </rPr>
      <t>MonthList / MonthCodes</t>
    </r>
  </si>
  <si>
    <t xml:space="preserve">Deadline for submission : 25th of each month </t>
  </si>
  <si>
    <t>3. Do not enter decimal numbers, but only include rounded numbers</t>
  </si>
  <si>
    <r>
      <t>ç</t>
    </r>
    <r>
      <rPr>
        <b/>
        <sz val="10"/>
        <rFont val="Arial"/>
        <family val="2"/>
      </rPr>
      <t xml:space="preserve"> Products </t>
    </r>
    <r>
      <rPr>
        <b/>
        <sz val="10"/>
        <rFont val="Wingdings"/>
        <charset val="2"/>
      </rPr>
      <t>è</t>
    </r>
  </si>
  <si>
    <r>
      <t xml:space="preserve">Item1 </t>
    </r>
    <r>
      <rPr>
        <b/>
        <sz val="10"/>
        <rFont val="Wingdings"/>
        <charset val="2"/>
      </rPr>
      <t>é</t>
    </r>
  </si>
  <si>
    <r>
      <t xml:space="preserve">Datatype </t>
    </r>
    <r>
      <rPr>
        <b/>
        <sz val="10"/>
        <rFont val="Wingdings"/>
        <charset val="2"/>
      </rPr>
      <t>ê</t>
    </r>
  </si>
  <si>
    <t>(14)</t>
  </si>
  <si>
    <t>Products Transferred /Backflows</t>
  </si>
  <si>
    <t>Final</t>
  </si>
  <si>
    <t>Country</t>
  </si>
  <si>
    <t>Provisional</t>
  </si>
  <si>
    <t>Month of data</t>
  </si>
  <si>
    <t>ALL DATA SHOULD BE ENTERED</t>
  </si>
  <si>
    <t>Status of data (final/provisional)</t>
  </si>
  <si>
    <t>IN THOUSAND METRIC TONS</t>
  </si>
  <si>
    <t>Prepared by</t>
  </si>
  <si>
    <t>Date of transmisssion</t>
  </si>
  <si>
    <t>Table 1: SUPPLY OF CRUDE OIL, NGL, REFINERY FEEDSTOCKS, ADDITIVES AND OTHER HYDROCARBONS</t>
  </si>
  <si>
    <t>A</t>
  </si>
  <si>
    <t>B</t>
  </si>
  <si>
    <t>C</t>
  </si>
  <si>
    <t>D</t>
  </si>
  <si>
    <t>E</t>
  </si>
  <si>
    <t>F</t>
  </si>
  <si>
    <t>G</t>
  </si>
  <si>
    <t>Statistical difference</t>
  </si>
  <si>
    <r>
      <t xml:space="preserve">WITH </t>
    </r>
    <r>
      <rPr>
        <b/>
        <sz val="10"/>
        <color indexed="10"/>
        <rFont val="Arial"/>
        <family val="2"/>
      </rPr>
      <t>NO DECIMAL PLACE</t>
    </r>
  </si>
  <si>
    <r>
      <t>Backflows</t>
    </r>
    <r>
      <rPr>
        <vertAlign val="superscript"/>
        <sz val="9"/>
        <rFont val="Arial"/>
        <family val="2"/>
      </rPr>
      <t>1</t>
    </r>
  </si>
  <si>
    <t>Table 2: SUPPLY OF FINISHED PRODUCTS</t>
  </si>
  <si>
    <t>(c) Stocks with known</t>
  </si>
  <si>
    <t>foreign destination</t>
  </si>
  <si>
    <t>(d) Stocks held in bonded areas</t>
  </si>
  <si>
    <t>and not included in (b) or (c)</t>
  </si>
  <si>
    <t>(f) Stocks held on board incoming</t>
  </si>
  <si>
    <t>ocean vessels in port or at mooring</t>
  </si>
  <si>
    <t>(g) Stocks held by government</t>
  </si>
  <si>
    <t xml:space="preserve"> on national territory</t>
  </si>
  <si>
    <t xml:space="preserve">(h) Stocks held by stock holding </t>
  </si>
  <si>
    <t>organisation on national territory</t>
  </si>
  <si>
    <t xml:space="preserve">(i) All other stocks held on </t>
  </si>
  <si>
    <t>national territory</t>
  </si>
  <si>
    <t>(k) Stocks held abroad designated definitely</t>
  </si>
  <si>
    <t>for import into your country</t>
  </si>
  <si>
    <t>(l) Total</t>
  </si>
  <si>
    <t>stocks (a-b-c+j+k)</t>
  </si>
  <si>
    <t>(m) Other stocks in</t>
  </si>
  <si>
    <t>bonded areas</t>
  </si>
  <si>
    <t>(n) Pipeline</t>
  </si>
  <si>
    <t>fill</t>
  </si>
  <si>
    <t>(o) Government stocks held abroad</t>
  </si>
  <si>
    <t>(p) Holding organisation's stocks held abroad</t>
  </si>
  <si>
    <t>(q) Other stocks held abroad</t>
  </si>
  <si>
    <t xml:space="preserve">    and in Table 2 (line 10).</t>
  </si>
  <si>
    <r>
      <t>Closing</t>
    </r>
    <r>
      <rPr>
        <vertAlign val="superscript"/>
        <sz val="8"/>
        <rFont val="Arial"/>
        <family val="2"/>
      </rPr>
      <t xml:space="preserve"> 2</t>
    </r>
  </si>
  <si>
    <r>
      <t xml:space="preserve">Closing </t>
    </r>
    <r>
      <rPr>
        <vertAlign val="superscript"/>
        <sz val="8"/>
        <rFont val="Arial"/>
        <family val="2"/>
      </rPr>
      <t>3</t>
    </r>
  </si>
  <si>
    <r>
      <t>Closing</t>
    </r>
    <r>
      <rPr>
        <vertAlign val="superscript"/>
        <sz val="8"/>
        <rFont val="Arial"/>
        <family val="2"/>
      </rPr>
      <t xml:space="preserve"> 4</t>
    </r>
  </si>
  <si>
    <r>
      <t xml:space="preserve">Closing </t>
    </r>
    <r>
      <rPr>
        <vertAlign val="superscript"/>
        <sz val="8"/>
        <rFont val="Arial"/>
        <family val="2"/>
      </rPr>
      <t>5</t>
    </r>
  </si>
  <si>
    <t>REFFEEDS</t>
  </si>
  <si>
    <t>ADDITIVE</t>
  </si>
  <si>
    <t>BIOFUELS</t>
  </si>
  <si>
    <t>NONCRUDE</t>
  </si>
  <si>
    <r>
      <t xml:space="preserve">Products </t>
    </r>
    <r>
      <rPr>
        <b/>
        <sz val="10"/>
        <rFont val="Wingdings"/>
        <charset val="2"/>
      </rPr>
      <t>è</t>
    </r>
  </si>
  <si>
    <t>Datatype</t>
  </si>
  <si>
    <r>
      <t xml:space="preserve">Item1 </t>
    </r>
    <r>
      <rPr>
        <b/>
        <sz val="10"/>
        <rFont val="Wingdings"/>
        <charset val="2"/>
      </rPr>
      <t>ê</t>
    </r>
  </si>
  <si>
    <t>BACKFLOW</t>
  </si>
  <si>
    <t>REFINCAL</t>
  </si>
  <si>
    <t>REFLOSS</t>
  </si>
  <si>
    <t>REFINGAS</t>
  </si>
  <si>
    <t>ETHANE</t>
  </si>
  <si>
    <t>MOTORGAS</t>
  </si>
  <si>
    <t>BIOGASOL</t>
  </si>
  <si>
    <t>AVGAS</t>
  </si>
  <si>
    <t>JETGAS</t>
  </si>
  <si>
    <t>OTHKERO</t>
  </si>
  <si>
    <t>DIESEL</t>
  </si>
  <si>
    <t>BIODIESEL</t>
  </si>
  <si>
    <t>HEATOIL</t>
  </si>
  <si>
    <t>LOWSULF</t>
  </si>
  <si>
    <t>HIGHSULF</t>
  </si>
  <si>
    <t>PETCOKE</t>
  </si>
  <si>
    <t>PPRECPTS</t>
  </si>
  <si>
    <t>RECYCLED</t>
  </si>
  <si>
    <t>REFFUEL</t>
  </si>
  <si>
    <t>BUNKERS</t>
  </si>
  <si>
    <t>GDINCTRC</t>
  </si>
  <si>
    <t>GDINCTRO</t>
  </si>
  <si>
    <t>AUDILPG</t>
  </si>
  <si>
    <t>GDPETCH</t>
  </si>
  <si>
    <t>NETDELIC</t>
  </si>
  <si>
    <t>TOTALOIL</t>
  </si>
  <si>
    <t>OSNATTER</t>
  </si>
  <si>
    <t>OSOTHBIL</t>
  </si>
  <si>
    <t>CSOTHBIL</t>
  </si>
  <si>
    <t>OSOTHFOR</t>
  </si>
  <si>
    <t>CSOTHFOR</t>
  </si>
  <si>
    <t>OSBONDED</t>
  </si>
  <si>
    <t>CSBONDED</t>
  </si>
  <si>
    <t>OSMAJCON</t>
  </si>
  <si>
    <t>CSMAJCON</t>
  </si>
  <si>
    <t>OSVESSEL</t>
  </si>
  <si>
    <t>CSVESSEL</t>
  </si>
  <si>
    <t>OSGOVT</t>
  </si>
  <si>
    <t>CSGOVT</t>
  </si>
  <si>
    <t>OSHOLD</t>
  </si>
  <si>
    <t>CSHOLD</t>
  </si>
  <si>
    <t>OSALLOTH</t>
  </si>
  <si>
    <t>CSALLOTH</t>
  </si>
  <si>
    <t>OSABRBIL</t>
  </si>
  <si>
    <t>CSABRBIL</t>
  </si>
  <si>
    <t>OSABRFOR</t>
  </si>
  <si>
    <t>CSABRFOR</t>
  </si>
  <si>
    <t>OSTOTAL</t>
  </si>
  <si>
    <t>CSTOTAL</t>
  </si>
  <si>
    <t>OSOTHBON</t>
  </si>
  <si>
    <t>CSOTHBON</t>
  </si>
  <si>
    <t>OSPIPE</t>
  </si>
  <si>
    <t>CSPIPE</t>
  </si>
  <si>
    <t>OSABILGV</t>
  </si>
  <si>
    <t>CSABILGV</t>
  </si>
  <si>
    <t>OSABILHD</t>
  </si>
  <si>
    <t>CSABILHD</t>
  </si>
  <si>
    <t>OSABILOT</t>
  </si>
  <si>
    <t>CSABILOT</t>
  </si>
  <si>
    <t>AB</t>
  </si>
  <si>
    <t xml:space="preserve">DataFromMOS: </t>
  </si>
  <si>
    <t>INSTRUCTIONS</t>
  </si>
  <si>
    <t>and fill out the three worksheets "MOS_Tables".</t>
  </si>
  <si>
    <t>Caution:</t>
  </si>
  <si>
    <t>For the following form, the cells addresses do not need to be identical because the formulas are local ones and relatives.</t>
  </si>
  <si>
    <t>This form is used to paste the "Totals" and "StatDiff" formulas.</t>
  </si>
  <si>
    <r>
      <t xml:space="preserve">If you choose to use the </t>
    </r>
    <r>
      <rPr>
        <b/>
        <i/>
        <u/>
        <sz val="13"/>
        <color indexed="10"/>
        <rFont val="Arial"/>
        <family val="2"/>
      </rPr>
      <t>MOS Tables</t>
    </r>
    <r>
      <rPr>
        <b/>
        <i/>
        <sz val="13"/>
        <color indexed="10"/>
        <rFont val="Arial"/>
        <family val="2"/>
      </rPr>
      <t xml:space="preserve"> 1, 2 and 5 format, check this box:</t>
    </r>
  </si>
  <si>
    <t>è</t>
  </si>
  <si>
    <t>Table 1</t>
  </si>
  <si>
    <t>Table 2</t>
  </si>
  <si>
    <t>MOS Tables 1, 2, and 5</t>
  </si>
  <si>
    <t>also here for formulas purpose</t>
  </si>
  <si>
    <t>Formulas backup for forms</t>
  </si>
  <si>
    <t>"Crude oil production" in both sheets) because the program do a copy/paste of the formulas of this table on the other one.</t>
  </si>
  <si>
    <t xml:space="preserve">The cells addresses must be exactly the same between the sheet of the Maxi-JODI form and this one (for example, cell D12 must be </t>
  </si>
  <si>
    <t>It has been done in order to facilitate the maintenance of the formulas: you must do it in this current sheet.</t>
  </si>
  <si>
    <t>1. Please do not change the format of the excel forms</t>
  </si>
  <si>
    <t xml:space="preserve">Country </t>
  </si>
  <si>
    <t>Month</t>
  </si>
  <si>
    <t>Crude Oil</t>
  </si>
  <si>
    <t>NGL</t>
  </si>
  <si>
    <t>Petroleum Products</t>
  </si>
  <si>
    <t>LPG</t>
  </si>
  <si>
    <t>Naphtha</t>
  </si>
  <si>
    <t>Gasoline</t>
  </si>
  <si>
    <t>Fuel Oil</t>
  </si>
  <si>
    <t>Production</t>
  </si>
  <si>
    <t>Refinery Output</t>
  </si>
  <si>
    <t>Direct Use</t>
  </si>
  <si>
    <t xml:space="preserve"> Demand</t>
  </si>
  <si>
    <t>Gas/ Diesel Oil</t>
  </si>
  <si>
    <t>Statistical Difference</t>
  </si>
  <si>
    <t>From Other sources</t>
  </si>
  <si>
    <t>Imports</t>
  </si>
  <si>
    <t>Exports</t>
  </si>
  <si>
    <t>Refinery Intake</t>
  </si>
  <si>
    <t>Total Kerosene</t>
  </si>
  <si>
    <t>Of which: Jet
Kerosene</t>
  </si>
  <si>
    <t>+</t>
  </si>
  <si>
    <t>-</t>
  </si>
  <si>
    <t>Stock Change</t>
  </si>
  <si>
    <t>Closing stocks</t>
  </si>
  <si>
    <t>(1)</t>
  </si>
  <si>
    <t>(2)</t>
  </si>
  <si>
    <t>(3)</t>
  </si>
  <si>
    <t>(4)</t>
  </si>
  <si>
    <t>(5)</t>
  </si>
  <si>
    <t>(6)</t>
  </si>
  <si>
    <t>(7)</t>
  </si>
  <si>
    <t>(8)</t>
  </si>
  <si>
    <t>(9)</t>
  </si>
  <si>
    <t>(10)</t>
  </si>
  <si>
    <t>(11)</t>
  </si>
  <si>
    <t>(12)</t>
  </si>
  <si>
    <t>(13)</t>
  </si>
  <si>
    <t>=</t>
  </si>
  <si>
    <t>Products Transferred</t>
  </si>
  <si>
    <r>
      <t xml:space="preserve">Total
</t>
    </r>
    <r>
      <rPr>
        <sz val="10"/>
        <rFont val="Times New Roman"/>
        <family val="1"/>
      </rPr>
      <t>(1)+(2)+(3)</t>
    </r>
  </si>
  <si>
    <t>Other</t>
  </si>
  <si>
    <t>Receipts</t>
  </si>
  <si>
    <t>Other
Products</t>
  </si>
  <si>
    <t>Automatic Checks</t>
  </si>
  <si>
    <t>Total sum</t>
  </si>
  <si>
    <t>Interproduct Transfers</t>
  </si>
  <si>
    <t>Interproduct transfers</t>
  </si>
  <si>
    <t>Automatic Checks Petroleum Products</t>
  </si>
  <si>
    <t xml:space="preserve">Production </t>
  </si>
  <si>
    <t xml:space="preserve">Imports/Exports </t>
  </si>
  <si>
    <t>Refinery output</t>
  </si>
  <si>
    <t>Demand</t>
  </si>
  <si>
    <t xml:space="preserve"> 2. NGL</t>
  </si>
  <si>
    <t xml:space="preserve"> 3. Other</t>
  </si>
  <si>
    <t xml:space="preserve"> 4. Total</t>
  </si>
  <si>
    <t xml:space="preserve"> 5. LPG</t>
  </si>
  <si>
    <t xml:space="preserve"> 6. Naphtha</t>
  </si>
  <si>
    <t xml:space="preserve"> 7. Gasoline </t>
  </si>
  <si>
    <t>PRODUCTS</t>
  </si>
  <si>
    <t>FLOWS</t>
  </si>
  <si>
    <t>Ethane</t>
  </si>
  <si>
    <t>H</t>
  </si>
  <si>
    <t>I</t>
  </si>
  <si>
    <t>J</t>
  </si>
  <si>
    <t>K</t>
  </si>
  <si>
    <t>L</t>
  </si>
  <si>
    <t>M</t>
  </si>
  <si>
    <t>N</t>
  </si>
  <si>
    <t>O</t>
  </si>
  <si>
    <t>P</t>
  </si>
  <si>
    <t>Q</t>
  </si>
  <si>
    <t>R</t>
  </si>
  <si>
    <t>S</t>
  </si>
  <si>
    <t>T</t>
  </si>
  <si>
    <t>U</t>
  </si>
  <si>
    <t>V</t>
  </si>
  <si>
    <t>Table 5: STOCK LEVELS</t>
  </si>
  <si>
    <t>All opening stock levels should be equal to closing stock levels of the previous month</t>
  </si>
  <si>
    <t>W</t>
  </si>
  <si>
    <t>X</t>
  </si>
  <si>
    <t>Y</t>
  </si>
  <si>
    <t>Z</t>
  </si>
  <si>
    <t>AA</t>
  </si>
  <si>
    <t>(a) All stocks on</t>
  </si>
  <si>
    <t>Opening</t>
  </si>
  <si>
    <t>Closing</t>
  </si>
  <si>
    <t>(b) Stocks held for other countries</t>
  </si>
  <si>
    <t>OPRODS</t>
  </si>
  <si>
    <t>INTLCIAV</t>
  </si>
  <si>
    <t>PUBELEC</t>
  </si>
  <si>
    <t>MONTHLY OIL QUESTIONNAIRE</t>
  </si>
  <si>
    <t xml:space="preserve">NbInconsist : </t>
  </si>
  <si>
    <t>Consistency with MOS tables</t>
  </si>
  <si>
    <t xml:space="preserve">MosOnly : </t>
  </si>
  <si>
    <t>INDPROD/REFGROUT</t>
  </si>
  <si>
    <t>OSOURCES/RECEIPTS</t>
  </si>
  <si>
    <t>TOTIMPSB/TOTIMPSB</t>
  </si>
  <si>
    <t>TOTEXPSB/TOTEXPSB</t>
  </si>
  <si>
    <t>TRANSBAK/PTRANSF</t>
  </si>
  <si>
    <t>DIRECUSE/IPTRANSF</t>
  </si>
  <si>
    <t>STCHANAT/STCHANAT</t>
  </si>
  <si>
    <t>STATDIFF/STATDIFF</t>
  </si>
  <si>
    <t>REFINOBS/DEMAND</t>
  </si>
  <si>
    <t>CSNATTER/CSNATTER</t>
  </si>
  <si>
    <r>
      <t xml:space="preserve">Item1 for EU </t>
    </r>
    <r>
      <rPr>
        <b/>
        <sz val="10"/>
        <rFont val="Wingdings"/>
        <charset val="2"/>
      </rPr>
      <t>é</t>
    </r>
  </si>
  <si>
    <r>
      <t xml:space="preserve">Datatype for EU </t>
    </r>
    <r>
      <rPr>
        <b/>
        <sz val="10"/>
        <rFont val="Wingdings"/>
        <charset val="2"/>
      </rPr>
      <t>ê</t>
    </r>
  </si>
  <si>
    <r>
      <t>ç</t>
    </r>
    <r>
      <rPr>
        <b/>
        <sz val="10"/>
        <rFont val="Arial"/>
        <family val="2"/>
      </rPr>
      <t xml:space="preserve"> Products for EU </t>
    </r>
    <r>
      <rPr>
        <b/>
        <sz val="10"/>
        <rFont val="Wingdings"/>
        <charset val="2"/>
      </rPr>
      <t>è</t>
    </r>
  </si>
  <si>
    <t>EU row in 130</t>
  </si>
  <si>
    <t>EU column</t>
  </si>
  <si>
    <t>in AI</t>
  </si>
  <si>
    <t>Checks</t>
  </si>
  <si>
    <t>United States (Barrels)</t>
  </si>
  <si>
    <t>USABBL</t>
  </si>
  <si>
    <t>T4</t>
  </si>
  <si>
    <t>Chile</t>
  </si>
  <si>
    <t>CHILE</t>
  </si>
  <si>
    <t>CL</t>
  </si>
  <si>
    <t>Israel</t>
  </si>
  <si>
    <t>ISRAEL</t>
  </si>
  <si>
    <t>IL</t>
  </si>
  <si>
    <t>Estonia</t>
  </si>
  <si>
    <t>ESTONIA</t>
  </si>
  <si>
    <t>EE</t>
  </si>
  <si>
    <t>Slovenia</t>
  </si>
  <si>
    <t>SLOVENIA</t>
  </si>
  <si>
    <t>SI</t>
  </si>
  <si>
    <t>Russia</t>
  </si>
  <si>
    <t>RUSSIA</t>
  </si>
  <si>
    <t>RU</t>
  </si>
  <si>
    <t>Crude oil</t>
  </si>
  <si>
    <t>Natural gas
liquids</t>
  </si>
  <si>
    <t>Refinery
feedstocks</t>
  </si>
  <si>
    <t>Additives /
oxygenates</t>
  </si>
  <si>
    <t>Of which
Biofuels</t>
  </si>
  <si>
    <t>Other
hydrocarbons</t>
  </si>
  <si>
    <t>Total
(A to F, excl. E)</t>
  </si>
  <si>
    <t>Indigenous production</t>
  </si>
  <si>
    <t>Receipts from other sources</t>
  </si>
  <si>
    <t>Refinery intake (Calculated)</t>
  </si>
  <si>
    <t>Refinery intake (Observed)</t>
  </si>
  <si>
    <r>
      <t>Products transferred</t>
    </r>
    <r>
      <rPr>
        <vertAlign val="superscript"/>
        <sz val="9"/>
        <rFont val="Arial"/>
        <family val="2"/>
      </rPr>
      <t>2</t>
    </r>
  </si>
  <si>
    <r>
      <t>Imports (Balance)</t>
    </r>
    <r>
      <rPr>
        <vertAlign val="superscript"/>
        <sz val="9"/>
        <rFont val="Arial"/>
        <family val="2"/>
      </rPr>
      <t>3</t>
    </r>
  </si>
  <si>
    <r>
      <t>Exports (Balance)</t>
    </r>
    <r>
      <rPr>
        <vertAlign val="superscript"/>
        <sz val="9"/>
        <rFont val="Arial"/>
        <family val="2"/>
      </rPr>
      <t>4</t>
    </r>
  </si>
  <si>
    <r>
      <t>Direct use</t>
    </r>
    <r>
      <rPr>
        <vertAlign val="superscript"/>
        <sz val="9"/>
        <rFont val="Arial"/>
        <family val="2"/>
      </rPr>
      <t>5</t>
    </r>
  </si>
  <si>
    <r>
      <t>Stock changes</t>
    </r>
    <r>
      <rPr>
        <vertAlign val="superscript"/>
        <sz val="9"/>
        <rFont val="Arial"/>
        <family val="2"/>
      </rPr>
      <t>6</t>
    </r>
  </si>
  <si>
    <r>
      <t>Memo Item:</t>
    </r>
    <r>
      <rPr>
        <sz val="9"/>
        <rFont val="Arial"/>
        <family val="2"/>
      </rPr>
      <t xml:space="preserve">       Refinery losses</t>
    </r>
  </si>
  <si>
    <t>Crude
oil</t>
  </si>
  <si>
    <t>Natural
gas
liquids</t>
  </si>
  <si>
    <t>Refinery
gas</t>
  </si>
  <si>
    <t>Total motor
gasoline</t>
  </si>
  <si>
    <t>Aviation
gasoline</t>
  </si>
  <si>
    <t>Gasoline
type
jet fuel</t>
  </si>
  <si>
    <t>Total
kerosene
type
jet fuel</t>
  </si>
  <si>
    <t>Other
kerosene</t>
  </si>
  <si>
    <t>Total
gas/diesel
oil</t>
  </si>
  <si>
    <t>Total 
fuel oil</t>
  </si>
  <si>
    <t>Petroleum coke</t>
  </si>
  <si>
    <t>Other products</t>
  </si>
  <si>
    <t>Total products</t>
  </si>
  <si>
    <t>Probate</t>
  </si>
  <si>
    <t>Biogasoline</t>
  </si>
  <si>
    <t>Non-biogasoline</t>
  </si>
  <si>
    <t>Bio jet
kerosene</t>
  </si>
  <si>
    <t>Non-bio jet
kerosene</t>
  </si>
  <si>
    <t>Road diesel</t>
  </si>
  <si>
    <t>Heating and
other gas oil</t>
  </si>
  <si>
    <t>Biodiesels</t>
  </si>
  <si>
    <t>Non-bio
gas/diesel
oil</t>
  </si>
  <si>
    <t>Fuel oil-
low sulphur 
(&lt;1%)</t>
  </si>
  <si>
    <t>Fuel oil-
high sulphur
 (&gt;=1%)</t>
  </si>
  <si>
    <r>
      <t>Primary product receipts</t>
    </r>
    <r>
      <rPr>
        <vertAlign val="superscript"/>
        <sz val="9"/>
        <rFont val="Arial"/>
        <family val="2"/>
      </rPr>
      <t>1</t>
    </r>
  </si>
  <si>
    <t>Refinery gross output</t>
  </si>
  <si>
    <t>Recycled products</t>
  </si>
  <si>
    <t>Refinery fuel</t>
  </si>
  <si>
    <r>
      <t>Imports (Balance)</t>
    </r>
    <r>
      <rPr>
        <vertAlign val="superscript"/>
        <sz val="9"/>
        <rFont val="Arial"/>
        <family val="2"/>
      </rPr>
      <t>2</t>
    </r>
  </si>
  <si>
    <r>
      <t>Exports (Balance)</t>
    </r>
    <r>
      <rPr>
        <vertAlign val="superscript"/>
        <sz val="9"/>
        <rFont val="Arial"/>
        <family val="2"/>
      </rPr>
      <t>3</t>
    </r>
  </si>
  <si>
    <t>International marine bunkers</t>
  </si>
  <si>
    <r>
      <t>Interproduct transfers</t>
    </r>
    <r>
      <rPr>
        <vertAlign val="superscript"/>
        <sz val="9"/>
        <rFont val="Arial"/>
        <family val="2"/>
      </rPr>
      <t>4</t>
    </r>
  </si>
  <si>
    <r>
      <t>Products transferred</t>
    </r>
    <r>
      <rPr>
        <vertAlign val="superscript"/>
        <sz val="9"/>
        <rFont val="Arial"/>
        <family val="2"/>
      </rPr>
      <t>5</t>
    </r>
  </si>
  <si>
    <t>Gross inland deliveries (Calculated)</t>
  </si>
  <si>
    <t>Gross inland deliveries (Observed)</t>
  </si>
  <si>
    <r>
      <t>Memo Items:</t>
    </r>
    <r>
      <rPr>
        <i/>
        <vertAlign val="superscript"/>
        <sz val="9"/>
        <rFont val="Arial"/>
        <family val="2"/>
      </rPr>
      <t xml:space="preserve">7          </t>
    </r>
    <r>
      <rPr>
        <i/>
        <sz val="9"/>
        <rFont val="Arial"/>
        <family val="2"/>
      </rPr>
      <t xml:space="preserve">        </t>
    </r>
    <r>
      <rPr>
        <sz val="9"/>
        <rFont val="Arial"/>
        <family val="2"/>
      </rPr>
      <t xml:space="preserve">  Deliveries to international aviation</t>
    </r>
  </si>
  <si>
    <t>Deliveries to main activity producer power plants</t>
  </si>
  <si>
    <t>Deliveries of automotive LPG</t>
  </si>
  <si>
    <t>Deliveries of rail and marine diesel</t>
  </si>
  <si>
    <r>
      <t>Gross deliveries to the petrochemical industry</t>
    </r>
    <r>
      <rPr>
        <vertAlign val="superscript"/>
        <sz val="9"/>
        <rFont val="Arial"/>
        <family val="2"/>
      </rPr>
      <t>8</t>
    </r>
  </si>
  <si>
    <r>
      <t>Backflows to refineries</t>
    </r>
    <r>
      <rPr>
        <vertAlign val="superscript"/>
        <sz val="9"/>
        <rFont val="Arial"/>
        <family val="2"/>
      </rPr>
      <t>9</t>
    </r>
  </si>
  <si>
    <t>Net deliveries of Total products</t>
  </si>
  <si>
    <t>ERAILMAR</t>
  </si>
  <si>
    <t>Total of Interproduct transfers (reference Z8) should add to 0.</t>
  </si>
  <si>
    <t>Memo item shouldn't be greater than the Gross inland deliveries (Observed):</t>
  </si>
  <si>
    <t xml:space="preserve">         - Deliveries to international aviation.</t>
  </si>
  <si>
    <t xml:space="preserve">         - Deliveries to main activity producer power plants.</t>
  </si>
  <si>
    <t xml:space="preserve">         - Deliveries of automotive LPG.</t>
  </si>
  <si>
    <t xml:space="preserve">         - Deliveries of rail and marine diesel.</t>
  </si>
  <si>
    <t>Gross deliveries to the petrochemical industry should not be greater than the Gross inland deliveries (Observed).</t>
  </si>
  <si>
    <t>Total of Primary product receipts (reference Z1) should correspond to Total of Direct use in MOS_Table_1 (reference G7).</t>
  </si>
  <si>
    <t>Total products of Products transferred (reference Z9) should correspond to Total of Products transferred in MOS_Table_1 (reference G4).</t>
  </si>
  <si>
    <t>Total of Backflows to refineries (reference Z19) should correspond to Total of Backflows in MOS_Table_1 (reference G3).</t>
  </si>
  <si>
    <t>Stock changes is Closing level minus Opening level of Stocks on national territory, MOS_Table_5 (line 2 minus line 1).</t>
  </si>
  <si>
    <t>NONBIOGASO</t>
  </si>
  <si>
    <t>BIOJETKERO</t>
  </si>
  <si>
    <t>NONBIOJETK</t>
  </si>
  <si>
    <t>NONBIODIES</t>
  </si>
  <si>
    <t xml:space="preserve"> </t>
  </si>
  <si>
    <t>under official agreement*</t>
  </si>
  <si>
    <t>Other
hydro-carbons</t>
  </si>
  <si>
    <t>Total
oil</t>
  </si>
  <si>
    <t>AC</t>
  </si>
  <si>
    <t>AD</t>
  </si>
  <si>
    <t>AE</t>
  </si>
  <si>
    <t>AF</t>
  </si>
  <si>
    <t>national territory (b+c+d+e+f+g+h+i) 1</t>
  </si>
  <si>
    <t>under official agreement</t>
  </si>
  <si>
    <t>(e) Stocks held by major consumers,</t>
  </si>
  <si>
    <t>obligated by law</t>
  </si>
  <si>
    <t xml:space="preserve">(j) Stocks held abroad under </t>
  </si>
  <si>
    <t>official agreement (o+p+q)*</t>
  </si>
  <si>
    <t xml:space="preserve">1. For All stocks on national territory the Closing minus Opening (line 2 minus line 1) should correspond to Stock changes in Table 1 (line 8) </t>
  </si>
  <si>
    <r>
      <t xml:space="preserve">Item1 </t>
    </r>
    <r>
      <rPr>
        <b/>
        <sz val="9"/>
        <rFont val="Wingdings"/>
        <charset val="2"/>
      </rPr>
      <t>ê</t>
    </r>
  </si>
  <si>
    <t>Joint Organisations Data Initiative - Oil</t>
  </si>
  <si>
    <t>Monthly Questionnaire</t>
  </si>
  <si>
    <t>Imports (Balance)</t>
  </si>
  <si>
    <t>Exports (Balance)</t>
  </si>
  <si>
    <r>
      <t>Direct use</t>
    </r>
    <r>
      <rPr>
        <vertAlign val="superscript"/>
        <sz val="9"/>
        <rFont val="Arial"/>
        <family val="2"/>
      </rPr>
      <t>3</t>
    </r>
  </si>
  <si>
    <r>
      <t>Stock changes</t>
    </r>
    <r>
      <rPr>
        <vertAlign val="superscript"/>
        <sz val="9"/>
        <rFont val="Arial"/>
        <family val="2"/>
      </rPr>
      <t>4</t>
    </r>
  </si>
  <si>
    <t>Total kerosene</t>
  </si>
  <si>
    <t>Of which: Jet
kerosene</t>
  </si>
  <si>
    <t>Gas/ diesel oil</t>
  </si>
  <si>
    <t>Fuel oil</t>
  </si>
  <si>
    <t>Other
products</t>
  </si>
  <si>
    <t>From other sources</t>
  </si>
  <si>
    <t>Products transferred /Backflows</t>
  </si>
  <si>
    <t>Direct use</t>
  </si>
  <si>
    <t>Stock change</t>
  </si>
  <si>
    <t>Refinery intake</t>
  </si>
  <si>
    <t>Products transferred</t>
  </si>
  <si>
    <t>Stat. diff./Refinery intake</t>
  </si>
  <si>
    <t>Negative products transferred</t>
  </si>
  <si>
    <t>Negative stock values</t>
  </si>
  <si>
    <t>Refinery losses</t>
  </si>
  <si>
    <t xml:space="preserve">Total products sum </t>
  </si>
  <si>
    <t>Stat. diff. /Demand</t>
  </si>
  <si>
    <t>Negative Products transferred</t>
  </si>
  <si>
    <t>Jet kerosene</t>
  </si>
  <si>
    <t xml:space="preserve"> 1. Crude oil </t>
  </si>
  <si>
    <t xml:space="preserve">: Including lease condensate  – excluding  NGL.
</t>
  </si>
  <si>
    <t>: Liquid or liquefied hydrocarbons recovered from gas separation plants and gas processing facilities.</t>
  </si>
  <si>
    <t xml:space="preserve">: Refinery feedstocks +  Additives/oxygenates + Other hydrocarbons.
</t>
  </si>
  <si>
    <t xml:space="preserve">: Sum of categories (1) to (3).
  Total = Crude Oil + NGL + Other
</t>
  </si>
  <si>
    <t xml:space="preserve">: Comprises propane and butane .
</t>
  </si>
  <si>
    <t xml:space="preserve">: Aviation fuel used for aviation turbine power units.
  This amount is a subset of the amount reported under Total kerosene.
</t>
  </si>
  <si>
    <t xml:space="preserve"> 8. Total kerosene</t>
  </si>
  <si>
    <t xml:space="preserve"> 9. Of which: Jet kerosene</t>
  </si>
  <si>
    <t>10. Gas/diesel oil</t>
  </si>
  <si>
    <t xml:space="preserve">: For automotive and other purposes. Biodiesel is included.
</t>
  </si>
  <si>
    <t xml:space="preserve">11. Heavy fuel oil </t>
  </si>
  <si>
    <t xml:space="preserve">: Heavy residual oil / boiler oil, including bunker oil.
</t>
  </si>
  <si>
    <t>12. Other products</t>
  </si>
  <si>
    <t xml:space="preserve">13. Total products </t>
  </si>
  <si>
    <t>Products transferred/ Backflows</t>
  </si>
  <si>
    <t>Stocks changes</t>
  </si>
  <si>
    <t xml:space="preserve">: Differences between observed supply flows and Refinery Intake or Demand.
</t>
  </si>
  <si>
    <t xml:space="preserve">: Observed refinery throughputs.
</t>
  </si>
  <si>
    <t xml:space="preserve">: Comprises Jet kerosene and Other kerosene.
</t>
  </si>
  <si>
    <t xml:space="preserve">: Comprises Motor gasoline, Aviation gasoline and Gasoline type jet fuel. Motorgasoline includes
  Biogasoline, e.g.ethanol blends.
</t>
  </si>
  <si>
    <t>vi.  Biooil: a pyrolysis oil fuel produced from biomass.</t>
  </si>
  <si>
    <t>Bulgaria</t>
  </si>
  <si>
    <t>BULGARIA</t>
  </si>
  <si>
    <t>BG</t>
  </si>
  <si>
    <t>Croatia</t>
  </si>
  <si>
    <t>CROATIA</t>
  </si>
  <si>
    <t>HR</t>
  </si>
  <si>
    <t>Cyprus</t>
  </si>
  <si>
    <t>CYPRUS</t>
  </si>
  <si>
    <t>CY</t>
  </si>
  <si>
    <t>Latvia</t>
  </si>
  <si>
    <t>LATVIA</t>
  </si>
  <si>
    <t>LV</t>
  </si>
  <si>
    <t>Lithuania</t>
  </si>
  <si>
    <t>LITHUANIA</t>
  </si>
  <si>
    <t>LT</t>
  </si>
  <si>
    <t>MK</t>
  </si>
  <si>
    <t>Malta</t>
  </si>
  <si>
    <t>MALTA</t>
  </si>
  <si>
    <t>MT</t>
  </si>
  <si>
    <t>Montenegro</t>
  </si>
  <si>
    <t>MONTENEGRO</t>
  </si>
  <si>
    <t>ME</t>
  </si>
  <si>
    <t>Romania</t>
  </si>
  <si>
    <t>ROMANIA</t>
  </si>
  <si>
    <t>RO</t>
  </si>
  <si>
    <t>Serbia</t>
  </si>
  <si>
    <t>SERBIA</t>
  </si>
  <si>
    <t>RS</t>
  </si>
  <si>
    <t>Total of Backflows (reference G3) should correspond to Total products of Backflows to refineries in Table 2 (reference Z19).</t>
  </si>
  <si>
    <t>Total of Products transferred (reference G4) should correspond to Total products of Products transferred in Table 2 (reference Z9).</t>
  </si>
  <si>
    <t>Direct use should be carried over to Primary product receipts in Table 2 (line 1).</t>
  </si>
  <si>
    <t>Stock changes should correspond to Closing level minus Opening level of Stocks on national territory, Table 5 (line 2 minus line 1).</t>
  </si>
  <si>
    <t>KOSOVO</t>
  </si>
  <si>
    <t>XK</t>
  </si>
  <si>
    <t>Georgia</t>
  </si>
  <si>
    <t>GEORGIA</t>
  </si>
  <si>
    <t>GE</t>
  </si>
  <si>
    <t>Moldova</t>
  </si>
  <si>
    <t>MOLDOVA</t>
  </si>
  <si>
    <t>MD</t>
  </si>
  <si>
    <t>Ukraine</t>
  </si>
  <si>
    <t>UKRAINE</t>
  </si>
  <si>
    <t>UA</t>
  </si>
  <si>
    <t>Albania</t>
  </si>
  <si>
    <t>ALBANIA</t>
  </si>
  <si>
    <t>AL</t>
  </si>
  <si>
    <t>Bosnia and Herzegovina</t>
  </si>
  <si>
    <t>BOSNIAHERZ</t>
  </si>
  <si>
    <t>BA</t>
  </si>
  <si>
    <t>Liechtenstein</t>
  </si>
  <si>
    <t>LIECHTEN</t>
  </si>
  <si>
    <t>LI</t>
  </si>
  <si>
    <t>Kosovo* (under UNSCR 1244/99)</t>
  </si>
  <si>
    <t>version 2021.1</t>
  </si>
  <si>
    <r>
      <t xml:space="preserve">2. Please make sure that you indicate the </t>
    </r>
    <r>
      <rPr>
        <b/>
        <sz val="10"/>
        <color indexed="12"/>
        <rFont val="Arial"/>
        <family val="2"/>
      </rPr>
      <t>correct data</t>
    </r>
    <r>
      <rPr>
        <sz val="10"/>
        <color indexed="12"/>
        <rFont val="Arial"/>
        <family val="2"/>
      </rPr>
      <t xml:space="preserve"> month in the cell for Month</t>
    </r>
  </si>
  <si>
    <t>Joint Organisations Data Initiative</t>
  </si>
  <si>
    <t>JODI OIL QUESTIONNAIRE</t>
  </si>
  <si>
    <t>The excel form includes one worksheet for JODI Oil and three worksheets for MOS tables</t>
  </si>
  <si>
    <t>Please either fill out worksheet JODI_Oil, or MOS Tables 1, 2 and 5 in this file.</t>
  </si>
  <si>
    <r>
      <t xml:space="preserve">Total
</t>
    </r>
    <r>
      <rPr>
        <sz val="10"/>
        <rFont val="Arial"/>
        <family val="2"/>
      </rPr>
      <t>(1)+(2)+(3)</t>
    </r>
  </si>
  <si>
    <r>
      <t>Total products</t>
    </r>
    <r>
      <rPr>
        <sz val="10"/>
        <rFont val="Arial"/>
        <family val="2"/>
      </rPr>
      <t xml:space="preserve"> (5)+(6) +(7) +(8) +(10) +(11) +(12)</t>
    </r>
  </si>
  <si>
    <t>: Refers to crude oil, NGL and Other hydrocarbons which are used directly, without being processed in 
  oil refineries, for example: crude oil burned for electricity generation</t>
  </si>
  <si>
    <t>: Inputs of  Additives, Biofuels and Other hydrocarbons that are produced from non-oil sources such as: Coal, Natural gas or Renewables.</t>
  </si>
  <si>
    <t>: Marketed production, after removal of impurities but including quantities consumed by the producer in the production process.</t>
  </si>
  <si>
    <t>: Goods having physically crossed the national boundaries, excluding transit trade, iternational marine and aviation bunkers.</t>
  </si>
  <si>
    <t xml:space="preserve">: Closing minus opening level. A positive number corresponds to stock build, negative number corresponds to stock draw. </t>
  </si>
  <si>
    <t xml:space="preserve">: Represents the primary stocks level at the end of the month within national territories; includes stocks held by importers, refiners, stock holding organisations and governments.
</t>
  </si>
  <si>
    <t>: Gross output (including refinery fuel).</t>
  </si>
  <si>
    <r>
      <t xml:space="preserve">: Primary product receipts (quantities of oil used directly without processing in a refinery) + Recycled products
 </t>
    </r>
    <r>
      <rPr>
        <i/>
        <sz val="11"/>
        <rFont val="Arial"/>
        <family val="2"/>
      </rPr>
      <t>receipts for Other products include Direct use of Crude oil and NGL.</t>
    </r>
  </si>
  <si>
    <t>: Imported petroleum products which are reclassified as feedstocks for further processing in the refinery, without delivery to final consumers.</t>
  </si>
  <si>
    <r>
      <t xml:space="preserve">: Reclassification of products, because their specification has changed, or because they are blended into another product: a negative indicates a product that will be reclassified, a positive shows a  reclassified product
 </t>
    </r>
    <r>
      <rPr>
        <i/>
        <sz val="11"/>
        <rFont val="Arial"/>
        <family val="2"/>
      </rPr>
      <t xml:space="preserve"> Interproduct transfers for Other products includes Interproduct transfers of Crude oil and NGL.</t>
    </r>
  </si>
  <si>
    <r>
      <t xml:space="preserve">: Deliveries or sales to the inland market (domestic consumption) plus Refinery fuel plus International marine and Aviation bunkers.
  </t>
    </r>
    <r>
      <rPr>
        <i/>
        <sz val="11"/>
        <rFont val="Arial"/>
        <family val="2"/>
      </rPr>
      <t>Demand for Other products includes direct consumption of Crude oil, NGL, and Other hydrocarbons.</t>
    </r>
  </si>
  <si>
    <r>
      <t>: Sum of Products transferred and Backflows from the Petrochemical industry.</t>
    </r>
    <r>
      <rPr>
        <b/>
        <i/>
        <sz val="11"/>
        <rFont val="Times New Roman"/>
        <family val="1"/>
      </rPr>
      <t/>
    </r>
  </si>
  <si>
    <t>: Comprises Naphtha used as feedstocks for producing high octane gasoline and also as feedstock for the chemical/petrochemical industries.</t>
  </si>
  <si>
    <t>: Refinery gas, Ethane, Petroleum coke, Lubricants, White spirit &amp; SPB, Bitumen, Paraffin waxes and Other petroleum products.</t>
  </si>
  <si>
    <t>: Sum of categories (5) to (12)
  Demand for Total products includes direct consumption of Crude oil, NGL and Other hydrocarbons.</t>
  </si>
  <si>
    <r>
      <t>LPG are light paraffinic hydrocarbons derived from the refinery processes, crude oil stabilisation and natural gas processing plants.  They consist mainly of propane (C</t>
    </r>
    <r>
      <rPr>
        <vertAlign val="subscript"/>
        <sz val="11"/>
        <rFont val="Arial"/>
        <family val="2"/>
      </rPr>
      <t>3</t>
    </r>
    <r>
      <rPr>
        <sz val="11"/>
        <rFont val="Arial"/>
        <family val="2"/>
      </rPr>
      <t>H</t>
    </r>
    <r>
      <rPr>
        <vertAlign val="subscript"/>
        <sz val="11"/>
        <rFont val="Arial"/>
        <family val="2"/>
      </rPr>
      <t>8</t>
    </r>
    <r>
      <rPr>
        <sz val="11"/>
        <rFont val="Arial"/>
        <family val="2"/>
      </rPr>
      <t>) and butane (C</t>
    </r>
    <r>
      <rPr>
        <vertAlign val="subscript"/>
        <sz val="11"/>
        <rFont val="Arial"/>
        <family val="2"/>
      </rPr>
      <t>4</t>
    </r>
    <r>
      <rPr>
        <sz val="11"/>
        <rFont val="Arial"/>
        <family val="2"/>
      </rPr>
      <t>H</t>
    </r>
    <r>
      <rPr>
        <vertAlign val="subscript"/>
        <sz val="11"/>
        <rFont val="Arial"/>
        <family val="2"/>
      </rPr>
      <t>l0</t>
    </r>
    <r>
      <rPr>
        <sz val="11"/>
        <rFont val="Arial"/>
        <family val="2"/>
      </rPr>
      <t xml:space="preserve">) or a combination of the two.  They could also include propylene, butylene, isobutene and isobutylene.  
LPG are normally liquefied under pressure for transportation and storage. </t>
    </r>
  </si>
  <si>
    <r>
      <t>Naphtha is a feedstock destined for either the petrochemical industry (e.g. ethylene manufacture or aromatics production).  Naphtha comprises material in the 30</t>
    </r>
    <r>
      <rPr>
        <vertAlign val="superscript"/>
        <sz val="11"/>
        <rFont val="Arial"/>
        <family val="2"/>
      </rPr>
      <t>o</t>
    </r>
    <r>
      <rPr>
        <sz val="11"/>
        <rFont val="Arial"/>
        <family val="2"/>
      </rPr>
      <t>C and 2l0</t>
    </r>
    <r>
      <rPr>
        <vertAlign val="superscript"/>
        <sz val="11"/>
        <rFont val="Arial"/>
        <family val="2"/>
      </rPr>
      <t>o</t>
    </r>
    <r>
      <rPr>
        <sz val="11"/>
        <rFont val="Arial"/>
        <family val="2"/>
      </rPr>
      <t>C distillation range or part of this range. Naphtha imported for blending is reported as an import of naphtha, then shown on the interproduct transfer row, as a negative entry for Naphtha, and a positive entry for the corresponding finished product.</t>
    </r>
  </si>
  <si>
    <r>
      <t>Motor gasoline consists of a mixture of light hydrocarbons distilling between 35</t>
    </r>
    <r>
      <rPr>
        <vertAlign val="superscript"/>
        <sz val="11"/>
        <rFont val="Arial"/>
        <family val="2"/>
      </rPr>
      <t>o</t>
    </r>
    <r>
      <rPr>
        <sz val="11"/>
        <rFont val="Arial"/>
        <family val="2"/>
      </rPr>
      <t>C and 215</t>
    </r>
    <r>
      <rPr>
        <vertAlign val="superscript"/>
        <sz val="11"/>
        <rFont val="Arial"/>
        <family val="2"/>
      </rPr>
      <t>o</t>
    </r>
    <r>
      <rPr>
        <sz val="11"/>
        <rFont val="Arial"/>
        <family val="2"/>
      </rPr>
      <t>C.  It is used as a fuel for land based spark ignition engines.  Motor gasoline may include additives, oxygenates and octane enhancers, including lead compounds such as TEL (Tetraethyl lead) and TML (tetramethyl lead).</t>
    </r>
  </si>
  <si>
    <r>
      <t>This is motor spirit prepared especially for aviation piston engines, with an octane number suited to the engine, a freezing point of -60</t>
    </r>
    <r>
      <rPr>
        <vertAlign val="superscript"/>
        <sz val="11"/>
        <rFont val="Arial"/>
        <family val="2"/>
      </rPr>
      <t>o</t>
    </r>
    <r>
      <rPr>
        <sz val="11"/>
        <rFont val="Arial"/>
        <family val="2"/>
      </rPr>
      <t>C and a distillation range usually within the limits of 30</t>
    </r>
    <r>
      <rPr>
        <vertAlign val="superscript"/>
        <sz val="11"/>
        <rFont val="Arial"/>
        <family val="2"/>
      </rPr>
      <t>o</t>
    </r>
    <r>
      <rPr>
        <sz val="11"/>
        <rFont val="Arial"/>
        <family val="2"/>
      </rPr>
      <t>C and 180</t>
    </r>
    <r>
      <rPr>
        <vertAlign val="superscript"/>
        <sz val="11"/>
        <rFont val="Arial"/>
        <family val="2"/>
      </rPr>
      <t>o</t>
    </r>
    <r>
      <rPr>
        <sz val="11"/>
        <rFont val="Arial"/>
        <family val="2"/>
      </rPr>
      <t>C.</t>
    </r>
  </si>
  <si>
    <r>
      <t>This includes all light hydrocarbon oils for use in aviation turbine power units, distilling between 100</t>
    </r>
    <r>
      <rPr>
        <vertAlign val="superscript"/>
        <sz val="11"/>
        <rFont val="Arial"/>
        <family val="2"/>
      </rPr>
      <t>o</t>
    </r>
    <r>
      <rPr>
        <sz val="11"/>
        <rFont val="Arial"/>
        <family val="2"/>
      </rPr>
      <t>C and 250</t>
    </r>
    <r>
      <rPr>
        <vertAlign val="superscript"/>
        <sz val="11"/>
        <rFont val="Arial"/>
        <family val="2"/>
      </rPr>
      <t>o</t>
    </r>
    <r>
      <rPr>
        <sz val="11"/>
        <rFont val="Arial"/>
        <family val="2"/>
      </rPr>
      <t>C.  They are obtained by blending kerosenes and gasoline or naphtha in such a way that the aromatic content does not exceed 25% in volume, and the vapour pressure is between 13.7kPa and 20.6kPa.</t>
    </r>
  </si>
  <si>
    <r>
      <t>This is a distillate used for aviation turbine power units.  It has the same distillation characteristics between 150</t>
    </r>
    <r>
      <rPr>
        <vertAlign val="superscript"/>
        <sz val="11"/>
        <rFont val="Arial"/>
        <family val="2"/>
      </rPr>
      <t>o</t>
    </r>
    <r>
      <rPr>
        <sz val="11"/>
        <rFont val="Arial"/>
        <family val="2"/>
      </rPr>
      <t>C and 300</t>
    </r>
    <r>
      <rPr>
        <vertAlign val="superscript"/>
        <sz val="11"/>
        <rFont val="Arial"/>
        <family val="2"/>
      </rPr>
      <t>o</t>
    </r>
    <r>
      <rPr>
        <sz val="11"/>
        <rFont val="Arial"/>
        <family val="2"/>
      </rPr>
      <t>C (generally not above 250</t>
    </r>
    <r>
      <rPr>
        <vertAlign val="superscript"/>
        <sz val="11"/>
        <rFont val="Arial"/>
        <family val="2"/>
      </rPr>
      <t>o</t>
    </r>
    <r>
      <rPr>
        <sz val="11"/>
        <rFont val="Arial"/>
        <family val="2"/>
      </rPr>
      <t>C) and flash point as kerosene.  In addition, it has particular specifications (such as freezing point) which are established by the International Air Transport Association (IATA). This category includes kerosene blending components</t>
    </r>
  </si>
  <si>
    <r>
      <t>Kerosene comprises refined petroleum distillate and is used in sectors other than aircraft transport. It distils between 150</t>
    </r>
    <r>
      <rPr>
        <vertAlign val="superscript"/>
        <sz val="11"/>
        <rFont val="Arial"/>
        <family val="2"/>
      </rPr>
      <t>o</t>
    </r>
    <r>
      <rPr>
        <sz val="11"/>
        <rFont val="Arial"/>
        <family val="2"/>
      </rPr>
      <t>C and 300</t>
    </r>
    <r>
      <rPr>
        <vertAlign val="superscript"/>
        <sz val="11"/>
        <rFont val="Arial"/>
        <family val="2"/>
      </rPr>
      <t>o</t>
    </r>
    <r>
      <rPr>
        <sz val="11"/>
        <rFont val="Arial"/>
        <family val="2"/>
      </rPr>
      <t>C.</t>
    </r>
  </si>
  <si>
    <r>
      <t>Gas/diesel oil is primarily a medium distillate distilling between 180</t>
    </r>
    <r>
      <rPr>
        <vertAlign val="superscript"/>
        <sz val="11"/>
        <rFont val="Arial"/>
        <family val="2"/>
      </rPr>
      <t>o</t>
    </r>
    <r>
      <rPr>
        <sz val="11"/>
        <rFont val="Arial"/>
        <family val="2"/>
      </rPr>
      <t>C and 380</t>
    </r>
    <r>
      <rPr>
        <vertAlign val="superscript"/>
        <sz val="11"/>
        <rFont val="Arial"/>
        <family val="2"/>
      </rPr>
      <t>o</t>
    </r>
    <r>
      <rPr>
        <sz val="11"/>
        <rFont val="Arial"/>
        <family val="2"/>
      </rPr>
      <t>C, and mainly used for diesel compression ignition (cars, trucks, etc.), usually of low sulphur content.</t>
    </r>
  </si>
  <si>
    <r>
      <t>This covers all residual (heavy) fuel oils (including those obtained by blending).  Kinematic viscosity is above 10 cSt at 80</t>
    </r>
    <r>
      <rPr>
        <vertAlign val="superscript"/>
        <sz val="11"/>
        <rFont val="Arial"/>
        <family val="2"/>
      </rPr>
      <t>o</t>
    </r>
    <r>
      <rPr>
        <sz val="11"/>
        <rFont val="Arial"/>
        <family val="2"/>
      </rPr>
      <t>C.  The flash point is always above 50</t>
    </r>
    <r>
      <rPr>
        <vertAlign val="superscript"/>
        <sz val="11"/>
        <rFont val="Arial"/>
        <family val="2"/>
      </rPr>
      <t>o</t>
    </r>
    <r>
      <rPr>
        <sz val="11"/>
        <rFont val="Arial"/>
        <family val="2"/>
      </rPr>
      <t>C and density is always more than 0.90 kg/l.</t>
    </r>
  </si>
  <si>
    <r>
      <t>A naturally gaseous straight-chain hydrocarbon, (C</t>
    </r>
    <r>
      <rPr>
        <vertAlign val="subscript"/>
        <sz val="11"/>
        <rFont val="Arial"/>
        <family val="2"/>
      </rPr>
      <t>2</t>
    </r>
    <r>
      <rPr>
        <sz val="11"/>
        <rFont val="Arial"/>
        <family val="2"/>
      </rPr>
      <t>H</t>
    </r>
    <r>
      <rPr>
        <vertAlign val="subscript"/>
        <sz val="11"/>
        <rFont val="Arial"/>
        <family val="2"/>
      </rPr>
      <t>6</t>
    </r>
    <r>
      <rPr>
        <sz val="11"/>
        <rFont val="Arial"/>
        <family val="2"/>
      </rPr>
      <t>) extracted from natural gas and refinery gas streams.</t>
    </r>
  </si>
  <si>
    <r>
      <t xml:space="preserve">i.  </t>
    </r>
    <r>
      <rPr>
        <u/>
        <sz val="11"/>
        <rFont val="Arial"/>
        <family val="2"/>
      </rPr>
      <t>Industrial Spirit (SBP):</t>
    </r>
    <r>
      <rPr>
        <sz val="11"/>
        <rFont val="Arial"/>
        <family val="2"/>
      </rPr>
      <t xml:space="preserve"> Light oils distilling between 30</t>
    </r>
    <r>
      <rPr>
        <vertAlign val="superscript"/>
        <sz val="11"/>
        <rFont val="Arial"/>
        <family val="2"/>
      </rPr>
      <t>o</t>
    </r>
    <r>
      <rPr>
        <sz val="11"/>
        <rFont val="Arial"/>
        <family val="2"/>
      </rPr>
      <t xml:space="preserve"> and 200</t>
    </r>
    <r>
      <rPr>
        <vertAlign val="superscript"/>
        <sz val="11"/>
        <rFont val="Arial"/>
        <family val="2"/>
      </rPr>
      <t>o</t>
    </r>
    <r>
      <rPr>
        <sz val="11"/>
        <rFont val="Arial"/>
        <family val="2"/>
      </rPr>
      <t>C.  There are 7 or 8 grades of industrial spirit, depending on the position of the cut in the distillation range.  The grades are defined according to the temperature difference between the 5% volume and 90% volume distillation points (which is not more than 60</t>
    </r>
    <r>
      <rPr>
        <vertAlign val="superscript"/>
        <sz val="11"/>
        <rFont val="Arial"/>
        <family val="2"/>
      </rPr>
      <t>o</t>
    </r>
    <r>
      <rPr>
        <sz val="11"/>
        <rFont val="Arial"/>
        <family val="2"/>
      </rPr>
      <t>C).</t>
    </r>
  </si>
  <si>
    <r>
      <t xml:space="preserve">ii.  </t>
    </r>
    <r>
      <rPr>
        <u/>
        <sz val="11"/>
        <rFont val="Arial"/>
        <family val="2"/>
      </rPr>
      <t>White Spirit:</t>
    </r>
    <r>
      <rPr>
        <sz val="11"/>
        <rFont val="Arial"/>
        <family val="2"/>
      </rPr>
      <t xml:space="preserve"> Industrial spirit with a flash point above 30</t>
    </r>
    <r>
      <rPr>
        <vertAlign val="superscript"/>
        <sz val="11"/>
        <rFont val="Arial"/>
        <family val="2"/>
      </rPr>
      <t>o</t>
    </r>
    <r>
      <rPr>
        <sz val="11"/>
        <rFont val="Arial"/>
        <family val="2"/>
      </rPr>
      <t>C.  The distillation range of white spirit is 135</t>
    </r>
    <r>
      <rPr>
        <vertAlign val="superscript"/>
        <sz val="11"/>
        <rFont val="Arial"/>
        <family val="2"/>
      </rPr>
      <t>o</t>
    </r>
    <r>
      <rPr>
        <sz val="11"/>
        <rFont val="Arial"/>
        <family val="2"/>
      </rPr>
      <t xml:space="preserve"> to 200</t>
    </r>
    <r>
      <rPr>
        <vertAlign val="superscript"/>
        <sz val="11"/>
        <rFont val="Arial"/>
        <family val="2"/>
      </rPr>
      <t>o</t>
    </r>
    <r>
      <rPr>
        <sz val="11"/>
        <rFont val="Arial"/>
        <family val="2"/>
      </rPr>
      <t>C.</t>
    </r>
  </si>
  <si>
    <r>
      <t>These are saturated aliphatic hydrocarbons.  These waxes are residues extracted when dewaxing lubricant oils.  They have a crystalline structure which is more-or-less fine according to the grade.  Their main characteristics are as follows: they are colourless, odourless and translucent, with a melting point above 45</t>
    </r>
    <r>
      <rPr>
        <vertAlign val="superscript"/>
        <sz val="11"/>
        <rFont val="Arial"/>
        <family val="2"/>
      </rPr>
      <t>o</t>
    </r>
    <r>
      <rPr>
        <sz val="11"/>
        <rFont val="Arial"/>
        <family val="2"/>
      </rPr>
      <t xml:space="preserve">C. </t>
    </r>
  </si>
  <si>
    <r>
      <t xml:space="preserve">All products not specifically mentioned above, for example: tar and sulphur.  This category also includes aromatics (e.g. BTX or benzene, toluene and xylene) and olefins (e.g. propylene) produced within refineries. This should not be confused with </t>
    </r>
    <r>
      <rPr>
        <b/>
        <sz val="11"/>
        <rFont val="Arial"/>
        <family val="2"/>
      </rPr>
      <t>"7.  OTHER PRODUCTS"</t>
    </r>
    <r>
      <rPr>
        <sz val="11"/>
        <rFont val="Arial"/>
        <family val="2"/>
      </rPr>
      <t xml:space="preserve"> above.</t>
    </r>
  </si>
  <si>
    <r>
      <t xml:space="preserve">Refers to </t>
    </r>
    <r>
      <rPr>
        <b/>
        <sz val="11"/>
        <rFont val="Arial"/>
        <family val="2"/>
      </rPr>
      <t xml:space="preserve">Indigenous Production </t>
    </r>
    <r>
      <rPr>
        <sz val="11"/>
        <rFont val="Arial"/>
        <family val="2"/>
      </rPr>
      <t>of Crude Oil, NGL and other Hydrocarbons: 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</si>
  <si>
    <r>
      <t xml:space="preserve">These refer to supplies of </t>
    </r>
    <r>
      <rPr>
        <b/>
        <sz val="11"/>
        <rFont val="Arial"/>
        <family val="2"/>
      </rPr>
      <t xml:space="preserve">Additives, </t>
    </r>
    <r>
      <rPr>
        <b/>
        <i/>
        <sz val="11"/>
        <rFont val="Arial"/>
        <family val="2"/>
      </rPr>
      <t xml:space="preserve">Biofuels </t>
    </r>
    <r>
      <rPr>
        <b/>
        <sz val="11"/>
        <rFont val="Arial"/>
        <family val="2"/>
      </rPr>
      <t>and Other Hydrocarbons</t>
    </r>
    <r>
      <rPr>
        <sz val="11"/>
        <rFont val="Arial"/>
        <family val="2"/>
      </rPr>
      <t xml:space="preserve"> that are produced from non-oil sources such as: coal, natural gas and renewable energy such as biofuels.</t>
    </r>
  </si>
  <si>
    <r>
      <t>Imports and Exports</t>
    </r>
    <r>
      <rPr>
        <sz val="11"/>
        <rFont val="Arial"/>
        <family val="2"/>
      </rPr>
      <t xml:space="preserve"> data should reflect amounts having crossed the national territorial boundaries, whether customs clearance has taken place or not.  Quantities of crude oil and products imported or exported under processing agreements (i.e. refining on account) should be included. </t>
    </r>
  </si>
  <si>
    <r>
      <t xml:space="preserve">Note 1: </t>
    </r>
    <r>
      <rPr>
        <sz val="11"/>
        <rFont val="Arial"/>
        <family val="2"/>
      </rPr>
      <t>Re-exports of oil imported for processing within bonded areas should be included as an export of product from the processing country to the final destination.</t>
    </r>
  </si>
  <si>
    <r>
      <t>Note 2:</t>
    </r>
    <r>
      <rPr>
        <b/>
        <sz val="11"/>
        <rFont val="Arial"/>
        <family val="2"/>
      </rPr>
      <t xml:space="preserve"> </t>
    </r>
    <r>
      <rPr>
        <sz val="11"/>
        <rFont val="Arial"/>
        <family val="2"/>
      </rPr>
      <t xml:space="preserve">Imports or exports of ethanol (reported in the Additives/Oxygenate column) should relate to the quantities destined for fuel use. </t>
    </r>
  </si>
  <si>
    <r>
      <t xml:space="preserve">PRODUCTS TRANSFERS/BACKFLOWS </t>
    </r>
    <r>
      <rPr>
        <sz val="11"/>
        <rFont val="Arial"/>
        <family val="2"/>
      </rPr>
      <t>(Sum of Products Transfers and Backflows from Petrochemical Industry)</t>
    </r>
  </si>
  <si>
    <r>
      <t>Products Transferred</t>
    </r>
    <r>
      <rPr>
        <sz val="11"/>
        <rFont val="Arial"/>
        <family val="2"/>
      </rPr>
      <t xml:space="preserve"> are imported petroleum products which are reclassified as feedstocks for further processing in the refinery, without delivery to final consumers.  For example, naphtha imported for upgrading would be first reported as imports of naphtha, and then appears also as products transferred of naphtha. </t>
    </r>
  </si>
  <si>
    <r>
      <t xml:space="preserve">Backflows from Petrochemical Industry </t>
    </r>
    <r>
      <rPr>
        <sz val="11"/>
        <rFont val="Arial"/>
        <family val="2"/>
      </rPr>
      <t>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t>
    </r>
  </si>
  <si>
    <r>
      <t xml:space="preserve">Direct Use </t>
    </r>
    <r>
      <rPr>
        <sz val="11"/>
        <rFont val="Arial"/>
        <family val="2"/>
      </rPr>
      <t>refers to Crude oil, NGL and other hydrocarbons which are used directly without being processed in oil refineries are reported as Direct use.  This includes, for example, crude oil burned for electricity generation.</t>
    </r>
  </si>
  <si>
    <r>
      <t>RECEIPTS (</t>
    </r>
    <r>
      <rPr>
        <sz val="11"/>
        <rFont val="Arial"/>
        <family val="2"/>
      </rPr>
      <t>Includes primary product receipts and recycled products)</t>
    </r>
  </si>
  <si>
    <r>
      <t>Primary Product Receipts:</t>
    </r>
    <r>
      <rPr>
        <sz val="11"/>
        <rFont val="Arial"/>
        <family val="2"/>
      </rPr>
      <t xml:space="preserve"> Quantities of indigenous or imported crude oil (including condensate) and indigenous NGL which are </t>
    </r>
    <r>
      <rPr>
        <b/>
        <i/>
        <sz val="11"/>
        <rFont val="Arial"/>
        <family val="2"/>
      </rPr>
      <t>used directly</t>
    </r>
    <r>
      <rPr>
        <sz val="11"/>
        <rFont val="Arial"/>
        <family val="2"/>
      </rPr>
      <t xml:space="preserve"> without being processed in an oil refinery.  For example, crude oil used to generate electricity should be placed in primary product receipts of crude oil. Quantities of indigenous NGL which are not included in refinery intake should be reported in primary product receipts of NGL, then transferred through the Interproduct transfers line to the allocated product type.  Please note that this flow includes the amounts of backflows from the petrochemical industry which, although not primary fuel, are used directly. </t>
    </r>
  </si>
  <si>
    <r>
      <t>Recycled Products:</t>
    </r>
    <r>
      <rPr>
        <sz val="11"/>
        <rFont val="Arial"/>
        <family val="2"/>
      </rPr>
      <t xml:space="preserve"> These are finished products which pass a second time through the marketing network, </t>
    </r>
    <r>
      <rPr>
        <b/>
        <sz val="11"/>
        <rFont val="Arial"/>
        <family val="2"/>
      </rPr>
      <t>after</t>
    </r>
    <r>
      <rPr>
        <sz val="11"/>
        <rFont val="Arial"/>
        <family val="2"/>
      </rPr>
      <t xml:space="preserve"> having been once delivered to final consumers (e.g. used lubricants which are reprocessed). These quantities should be distinguished from petrochemical Backflows.  </t>
    </r>
  </si>
  <si>
    <r>
      <t>Interproduct Transfers</t>
    </r>
    <r>
      <rPr>
        <sz val="11"/>
        <rFont val="Arial"/>
        <family val="2"/>
      </rPr>
      <t xml:space="preserve"> Result from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The total net effect should be zero.</t>
    </r>
  </si>
  <si>
    <t>When completed, please export the CSV file and upload it to E-VO</t>
  </si>
  <si>
    <t>https://evo.iea.org</t>
  </si>
  <si>
    <t>If you have other questions or wish more information, please contact</t>
  </si>
  <si>
    <t>Stève Gervais at Tel : 33 1 4057 6525 or the MOS Team at Tel : 33 1 4057 6795 (mos@iea.org)</t>
  </si>
  <si>
    <t>Armenia</t>
  </si>
  <si>
    <t>ARMENIA</t>
  </si>
  <si>
    <t>AM</t>
  </si>
  <si>
    <t>Belarus</t>
  </si>
  <si>
    <t>BELARUS</t>
  </si>
  <si>
    <t>BY</t>
  </si>
  <si>
    <t>Colombia</t>
  </si>
  <si>
    <t>COLOMBIA</t>
  </si>
  <si>
    <t>CO</t>
  </si>
  <si>
    <t>Costa Rica</t>
  </si>
  <si>
    <t>COSTARICA</t>
  </si>
  <si>
    <t>CR</t>
  </si>
  <si>
    <t>North Macedonia</t>
  </si>
  <si>
    <t>NORTHMACED</t>
  </si>
  <si>
    <t>Error message</t>
  </si>
  <si>
    <t>MOSO.CRUDEOIL.CSINDOBL : Unknown item found at row 1063 of the Ascii file</t>
  </si>
  <si>
    <t>MOSO.CRUDEOIL.CSINDOBL : Unknown item found at row 1186 of the Ascii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</si>
</sst>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_(&quot;$&quot;* #,##0.00_);_(&quot;$&quot;* \(#,##0.00\);_(&quot;$&quot;* &quot;-&quot;??_);_(@_)"/>
    <numFmt numFmtId="169" formatCode="mmmm\ yyyy"/>
    <numFmt numFmtId="170" formatCode="#,##0;\-#,##0;"/>
    <numFmt numFmtId="171" formatCode="0."/>
  </numFmts>
  <fonts count="107" x14ac:knownFonts="1">
    <font>
      <sz val="10"/>
      <name val="Arial"/>
    </font>
    <font>
      <sz val="10"/>
      <name val="Arial"/>
      <family val="2"/>
    </font>
    <font>
      <b/>
      <i/>
      <sz val="11"/>
      <name val="Times New Roman"/>
      <family val="1"/>
    </font>
    <font>
      <sz val="11"/>
      <name val="Times New Roman"/>
      <family val="1"/>
    </font>
    <font>
      <sz val="11"/>
      <color indexed="22"/>
      <name val="Times New Roman"/>
      <family val="1"/>
    </font>
    <font>
      <b/>
      <sz val="11"/>
      <name val="Times New Roman"/>
      <family val="1"/>
    </font>
    <font>
      <sz val="8"/>
      <name val="Arial"/>
      <family val="2"/>
    </font>
    <font>
      <sz val="10"/>
      <color indexed="22"/>
      <name val="Times New Roman"/>
      <family val="1"/>
    </font>
    <font>
      <b/>
      <sz val="10"/>
      <name val="Times New Roman"/>
      <family val="1"/>
    </font>
    <font>
      <sz val="10"/>
      <name val="Times New Roman"/>
      <family val="1"/>
    </font>
    <font>
      <sz val="10"/>
      <color indexed="9"/>
      <name val="Arial"/>
      <family val="2"/>
    </font>
    <font>
      <i/>
      <sz val="10"/>
      <name val="Times New Roman"/>
      <family val="1"/>
    </font>
    <font>
      <sz val="9"/>
      <name val="Times New Roman"/>
      <family val="1"/>
    </font>
    <font>
      <sz val="8"/>
      <color indexed="81"/>
      <name val="Tahoma"/>
      <family val="2"/>
    </font>
    <font>
      <b/>
      <sz val="9"/>
      <color indexed="81"/>
      <name val="Tahoma"/>
      <family val="2"/>
    </font>
    <font>
      <sz val="9"/>
      <color indexed="81"/>
      <name val="Tahoma"/>
      <family val="2"/>
    </font>
    <font>
      <i/>
      <sz val="9"/>
      <color indexed="81"/>
      <name val="Tahoma"/>
      <family val="2"/>
    </font>
    <font>
      <b/>
      <i/>
      <sz val="9"/>
      <color indexed="81"/>
      <name val="Tahoma"/>
      <family val="2"/>
    </font>
    <font>
      <u/>
      <sz val="10"/>
      <color indexed="12"/>
      <name val="Arial"/>
      <family val="2"/>
    </font>
    <font>
      <sz val="10"/>
      <name val="Arial"/>
      <family val="2"/>
    </font>
    <font>
      <b/>
      <sz val="16"/>
      <color indexed="9"/>
      <name val="Arial"/>
      <family val="2"/>
    </font>
    <font>
      <b/>
      <sz val="14"/>
      <color indexed="9"/>
      <name val="Arial"/>
      <family val="2"/>
    </font>
    <font>
      <sz val="10"/>
      <color indexed="12"/>
      <name val="Arial"/>
      <family val="2"/>
    </font>
    <font>
      <b/>
      <sz val="10"/>
      <color indexed="12"/>
      <name val="Arial"/>
      <family val="2"/>
    </font>
    <font>
      <sz val="10"/>
      <color indexed="12"/>
      <name val="Arial"/>
      <family val="2"/>
    </font>
    <font>
      <sz val="20"/>
      <color indexed="10"/>
      <name val="Wingdings"/>
      <charset val="2"/>
    </font>
    <font>
      <sz val="20"/>
      <color indexed="10"/>
      <name val="Arial Black"/>
      <family val="2"/>
    </font>
    <font>
      <sz val="16"/>
      <name val="Times New Roman"/>
      <family val="1"/>
    </font>
    <font>
      <sz val="24"/>
      <name val="Times New Roman"/>
      <family val="1"/>
    </font>
    <font>
      <b/>
      <sz val="12"/>
      <name val="Arial"/>
      <family val="2"/>
    </font>
    <font>
      <b/>
      <sz val="10"/>
      <name val="Arial"/>
      <family val="2"/>
    </font>
    <font>
      <i/>
      <sz val="10"/>
      <name val="Arial"/>
      <family val="2"/>
    </font>
    <font>
      <b/>
      <i/>
      <sz val="10"/>
      <name val="Arial"/>
      <family val="2"/>
    </font>
    <font>
      <b/>
      <sz val="10"/>
      <name val="Wingdings"/>
      <charset val="2"/>
    </font>
    <font>
      <b/>
      <i/>
      <sz val="12"/>
      <name val="Arial"/>
      <family val="2"/>
    </font>
    <font>
      <b/>
      <i/>
      <sz val="12"/>
      <color indexed="12"/>
      <name val="Arial"/>
      <family val="2"/>
    </font>
    <font>
      <sz val="12"/>
      <name val="Arial"/>
      <family val="2"/>
    </font>
    <font>
      <sz val="10"/>
      <name val="Arial"/>
      <family val="2"/>
    </font>
    <font>
      <sz val="9"/>
      <name val="Arial"/>
      <family val="2"/>
    </font>
    <font>
      <b/>
      <sz val="9"/>
      <name val="Arial"/>
      <family val="2"/>
    </font>
    <font>
      <b/>
      <sz val="10"/>
      <color indexed="10"/>
      <name val="Arial"/>
      <family val="2"/>
    </font>
    <font>
      <i/>
      <sz val="8"/>
      <name val="Times New Roman"/>
      <family val="1"/>
    </font>
    <font>
      <b/>
      <i/>
      <sz val="9"/>
      <name val="Arial"/>
      <family val="2"/>
    </font>
    <font>
      <i/>
      <sz val="9"/>
      <name val="Arial"/>
      <family val="2"/>
    </font>
    <font>
      <sz val="8"/>
      <name val="Arial"/>
      <family val="2"/>
    </font>
    <font>
      <i/>
      <sz val="8"/>
      <name val="Arial"/>
      <family val="2"/>
    </font>
    <font>
      <vertAlign val="superscript"/>
      <sz val="9"/>
      <name val="Arial"/>
      <family val="2"/>
    </font>
    <font>
      <b/>
      <i/>
      <sz val="8"/>
      <name val="Arial"/>
      <family val="2"/>
    </font>
    <font>
      <b/>
      <i/>
      <sz val="9"/>
      <name val="Arial"/>
      <family val="2"/>
    </font>
    <font>
      <sz val="8"/>
      <color indexed="10"/>
      <name val="Arial"/>
      <family val="2"/>
    </font>
    <font>
      <sz val="8"/>
      <color indexed="9"/>
      <name val="Arial"/>
      <family val="2"/>
    </font>
    <font>
      <b/>
      <sz val="8"/>
      <color indexed="81"/>
      <name val="Tahoma"/>
      <family val="2"/>
    </font>
    <font>
      <i/>
      <sz val="8"/>
      <color indexed="81"/>
      <name val="Tahoma"/>
      <family val="2"/>
    </font>
    <font>
      <i/>
      <u/>
      <sz val="8"/>
      <color indexed="81"/>
      <name val="Tahoma"/>
      <family val="2"/>
    </font>
    <font>
      <b/>
      <sz val="8"/>
      <color indexed="10"/>
      <name val="Arial"/>
      <family val="2"/>
    </font>
    <font>
      <i/>
      <vertAlign val="superscript"/>
      <sz val="9"/>
      <name val="Arial"/>
      <family val="2"/>
    </font>
    <font>
      <b/>
      <i/>
      <sz val="8"/>
      <color indexed="81"/>
      <name val="Tahoma"/>
      <family val="2"/>
    </font>
    <font>
      <b/>
      <sz val="8"/>
      <name val="Arial"/>
      <family val="2"/>
    </font>
    <font>
      <vertAlign val="superscript"/>
      <sz val="8"/>
      <name val="Arial"/>
      <family val="2"/>
    </font>
    <font>
      <sz val="10"/>
      <color indexed="10"/>
      <name val="Arial"/>
      <family val="2"/>
    </font>
    <font>
      <b/>
      <i/>
      <sz val="13"/>
      <color indexed="10"/>
      <name val="Arial"/>
      <family val="2"/>
    </font>
    <font>
      <u/>
      <sz val="10"/>
      <name val="Arial"/>
      <family val="2"/>
    </font>
    <font>
      <b/>
      <sz val="12"/>
      <color indexed="10"/>
      <name val="Arial"/>
      <family val="2"/>
    </font>
    <font>
      <b/>
      <u/>
      <sz val="12"/>
      <color indexed="10"/>
      <name val="Arial"/>
      <family val="2"/>
    </font>
    <font>
      <sz val="20"/>
      <name val="Arial Black"/>
      <family val="2"/>
    </font>
    <font>
      <sz val="10"/>
      <name val="Arial"/>
      <family val="2"/>
    </font>
    <font>
      <b/>
      <i/>
      <u/>
      <sz val="13"/>
      <color indexed="10"/>
      <name val="Arial"/>
      <family val="2"/>
    </font>
    <font>
      <sz val="22"/>
      <color indexed="10"/>
      <name val="Wingdings"/>
      <charset val="2"/>
    </font>
    <font>
      <b/>
      <sz val="20"/>
      <color indexed="10"/>
      <name val="Arial"/>
      <family val="2"/>
    </font>
    <font>
      <b/>
      <sz val="22"/>
      <color indexed="10"/>
      <name val="Arial"/>
      <family val="2"/>
    </font>
    <font>
      <u/>
      <sz val="8"/>
      <color indexed="81"/>
      <name val="Tahoma"/>
      <family val="2"/>
    </font>
    <font>
      <b/>
      <sz val="9"/>
      <name val="Wingdings"/>
      <charset val="2"/>
    </font>
    <font>
      <b/>
      <sz val="14"/>
      <color indexed="18"/>
      <name val="Arial"/>
      <family val="2"/>
    </font>
    <font>
      <sz val="10"/>
      <name val="Arial"/>
      <family val="2"/>
    </font>
    <font>
      <b/>
      <i/>
      <sz val="10"/>
      <name val="Arial"/>
      <family val="2"/>
    </font>
    <font>
      <sz val="11"/>
      <color theme="1"/>
      <name val="Calibri"/>
      <family val="2"/>
      <scheme val="minor"/>
    </font>
    <font>
      <sz val="10"/>
      <color rgb="FFFFCC99"/>
      <name val="Arial"/>
      <family val="2"/>
    </font>
    <font>
      <sz val="10"/>
      <color theme="0"/>
      <name val="Arial"/>
      <family val="2"/>
    </font>
    <font>
      <b/>
      <sz val="12"/>
      <color rgb="FFFF0000"/>
      <name val="Arial"/>
      <family val="2"/>
    </font>
    <font>
      <b/>
      <sz val="8"/>
      <color rgb="FFFF0000"/>
      <name val="Arial"/>
      <family val="2"/>
    </font>
    <font>
      <b/>
      <sz val="11"/>
      <color indexed="12"/>
      <name val="Arial"/>
      <family val="2"/>
    </font>
    <font>
      <sz val="12"/>
      <color rgb="FF000000"/>
      <name val="Arial"/>
      <family val="2"/>
    </font>
    <font>
      <i/>
      <sz val="10"/>
      <color indexed="12"/>
      <name val="Arial"/>
      <family val="2"/>
    </font>
    <font>
      <b/>
      <sz val="16"/>
      <color indexed="12"/>
      <name val="Arial"/>
      <family val="2"/>
    </font>
    <font>
      <b/>
      <u/>
      <sz val="16"/>
      <color indexed="12"/>
      <name val="Arial"/>
      <family val="2"/>
    </font>
    <font>
      <b/>
      <sz val="20"/>
      <color indexed="12"/>
      <name val="Arial"/>
      <family val="2"/>
    </font>
    <font>
      <sz val="16"/>
      <name val="Arial"/>
      <family val="2"/>
    </font>
    <font>
      <sz val="20"/>
      <name val="Arial"/>
      <family val="2"/>
    </font>
    <font>
      <sz val="11"/>
      <color indexed="22"/>
      <name val="Arial"/>
      <family val="2"/>
    </font>
    <font>
      <b/>
      <sz val="11"/>
      <name val="Arial"/>
      <family val="2"/>
    </font>
    <font>
      <sz val="10"/>
      <color indexed="22"/>
      <name val="Arial"/>
      <family val="2"/>
    </font>
    <font>
      <b/>
      <i/>
      <u/>
      <sz val="10"/>
      <name val="Arial"/>
      <family val="2"/>
    </font>
    <font>
      <b/>
      <sz val="18"/>
      <name val="Arial"/>
      <family val="2"/>
    </font>
    <font>
      <sz val="11"/>
      <name val="Arial"/>
      <family val="2"/>
    </font>
    <font>
      <b/>
      <sz val="11"/>
      <color indexed="10"/>
      <name val="Arial"/>
      <family val="2"/>
    </font>
    <font>
      <b/>
      <sz val="14"/>
      <name val="Arial"/>
      <family val="2"/>
    </font>
    <font>
      <b/>
      <i/>
      <sz val="11"/>
      <color indexed="10"/>
      <name val="Arial"/>
      <family val="2"/>
    </font>
    <font>
      <i/>
      <sz val="11"/>
      <name val="Arial"/>
      <family val="2"/>
    </font>
    <font>
      <b/>
      <i/>
      <sz val="11"/>
      <name val="Arial"/>
      <family val="2"/>
    </font>
    <font>
      <b/>
      <u/>
      <sz val="10"/>
      <color indexed="12"/>
      <name val="Arial"/>
      <family val="2"/>
    </font>
    <font>
      <vertAlign val="subscript"/>
      <sz val="11"/>
      <name val="Arial"/>
      <family val="2"/>
    </font>
    <font>
      <vertAlign val="superscript"/>
      <sz val="11"/>
      <name val="Arial"/>
      <family val="2"/>
    </font>
    <font>
      <u/>
      <sz val="11"/>
      <name val="Arial"/>
      <family val="2"/>
    </font>
    <font>
      <b/>
      <u/>
      <sz val="12"/>
      <name val="Arial"/>
      <family val="2"/>
    </font>
    <font>
      <b/>
      <sz val="16"/>
      <name val="Arial"/>
      <family val="2"/>
    </font>
    <font>
      <b/>
      <u/>
      <sz val="11"/>
      <color indexed="12"/>
      <name val="Arial"/>
      <family val="2"/>
    </font>
    <font>
      <sz val="14"/>
      <color rgb="FF000000"/>
      <name val="Arial"/>
      <family val="2"/>
    </font>
  </fonts>
  <fills count="2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darkTrellis">
        <bgColor indexed="22"/>
      </patternFill>
    </fill>
    <fill>
      <patternFill patternType="gray125">
        <bgColor indexed="22"/>
      </patternFill>
    </fill>
    <fill>
      <patternFill patternType="mediumGray">
        <bgColor indexed="55"/>
      </patternFill>
    </fill>
    <fill>
      <patternFill patternType="solid">
        <fgColor indexed="22"/>
        <bgColor indexed="22"/>
      </patternFill>
    </fill>
    <fill>
      <patternFill patternType="solid">
        <fgColor indexed="10"/>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2"/>
      </left>
      <right style="thin">
        <color indexed="12"/>
      </right>
      <top style="medium">
        <color indexed="12"/>
      </top>
      <bottom/>
      <diagonal/>
    </border>
    <border>
      <left/>
      <right style="medium">
        <color indexed="12"/>
      </right>
      <top style="medium">
        <color indexed="12"/>
      </top>
      <bottom/>
      <diagonal/>
    </border>
    <border>
      <left style="medium">
        <color indexed="12"/>
      </left>
      <right style="thin">
        <color indexed="12"/>
      </right>
      <top/>
      <bottom/>
      <diagonal/>
    </border>
    <border>
      <left/>
      <right style="medium">
        <color indexed="12"/>
      </right>
      <top/>
      <bottom/>
      <diagonal/>
    </border>
    <border>
      <left style="medium">
        <color indexed="12"/>
      </left>
      <right style="thin">
        <color indexed="12"/>
      </right>
      <top/>
      <bottom style="medium">
        <color indexed="12"/>
      </bottom>
      <diagonal/>
    </border>
    <border>
      <left/>
      <right style="medium">
        <color indexed="12"/>
      </right>
      <top/>
      <bottom style="medium">
        <color indexed="12"/>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12"/>
      </left>
      <right style="thin">
        <color indexed="64"/>
      </right>
      <top/>
      <bottom style="medium">
        <color indexed="12"/>
      </bottom>
      <diagonal/>
    </border>
    <border>
      <left style="thin">
        <color indexed="12"/>
      </left>
      <right style="medium">
        <color indexed="12"/>
      </right>
      <top style="hair">
        <color indexed="8"/>
      </top>
      <bottom style="hair">
        <color indexed="8"/>
      </bottom>
      <diagonal/>
    </border>
    <border>
      <left style="medium">
        <color indexed="12"/>
      </left>
      <right style="thin">
        <color indexed="12"/>
      </right>
      <top style="hair">
        <color indexed="8"/>
      </top>
      <bottom style="hair">
        <color indexed="8"/>
      </bottom>
      <diagonal/>
    </border>
    <border>
      <left style="thin">
        <color indexed="12"/>
      </left>
      <right style="thin">
        <color indexed="12"/>
      </right>
      <top style="hair">
        <color indexed="8"/>
      </top>
      <bottom style="hair">
        <color indexed="8"/>
      </bottom>
      <diagonal/>
    </border>
    <border>
      <left style="thin">
        <color indexed="12"/>
      </left>
      <right style="medium">
        <color indexed="12"/>
      </right>
      <top style="medium">
        <color indexed="12"/>
      </top>
      <bottom style="hair">
        <color indexed="8"/>
      </bottom>
      <diagonal/>
    </border>
    <border>
      <left style="thin">
        <color indexed="12"/>
      </left>
      <right style="medium">
        <color indexed="12"/>
      </right>
      <top/>
      <bottom style="hair">
        <color indexed="8"/>
      </bottom>
      <diagonal/>
    </border>
    <border>
      <left style="medium">
        <color indexed="12"/>
      </left>
      <right style="thin">
        <color indexed="12"/>
      </right>
      <top style="medium">
        <color indexed="12"/>
      </top>
      <bottom style="hair">
        <color indexed="8"/>
      </bottom>
      <diagonal/>
    </border>
    <border>
      <left style="medium">
        <color indexed="12"/>
      </left>
      <right style="thin">
        <color indexed="12"/>
      </right>
      <top/>
      <bottom style="hair">
        <color indexed="8"/>
      </bottom>
      <diagonal/>
    </border>
    <border>
      <left style="thin">
        <color indexed="12"/>
      </left>
      <right style="thin">
        <color indexed="12"/>
      </right>
      <top style="medium">
        <color indexed="12"/>
      </top>
      <bottom style="hair">
        <color indexed="8"/>
      </bottom>
      <diagonal/>
    </border>
    <border>
      <left style="thin">
        <color indexed="12"/>
      </left>
      <right style="thin">
        <color indexed="12"/>
      </right>
      <top/>
      <bottom style="hair">
        <color indexed="8"/>
      </bottom>
      <diagonal/>
    </border>
    <border>
      <left/>
      <right style="medium">
        <color indexed="64"/>
      </right>
      <top/>
      <bottom/>
      <diagonal/>
    </border>
    <border>
      <left style="thin">
        <color indexed="64"/>
      </left>
      <right/>
      <top/>
      <bottom/>
      <diagonal/>
    </border>
    <border>
      <left style="thin">
        <color indexed="9"/>
      </left>
      <right/>
      <top style="thin">
        <color indexed="64"/>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style="medium">
        <color indexed="64"/>
      </bottom>
      <diagonal/>
    </border>
    <border>
      <left style="thin">
        <color indexed="12"/>
      </left>
      <right style="medium">
        <color indexed="12"/>
      </right>
      <top/>
      <bottom style="medium">
        <color indexed="12"/>
      </bottom>
      <diagonal/>
    </border>
  </borders>
  <cellStyleXfs count="24">
    <xf numFmtId="0" fontId="0" fillId="0" borderId="0"/>
    <xf numFmtId="166" fontId="1" fillId="0" borderId="0" applyFont="0" applyFill="0" applyBorder="0" applyAlignment="0" applyProtection="0"/>
    <xf numFmtId="166" fontId="73" fillId="0" borderId="0" applyFont="0" applyFill="0" applyBorder="0" applyAlignment="0" applyProtection="0"/>
    <xf numFmtId="166" fontId="19" fillId="0" borderId="0" applyFont="0" applyFill="0" applyBorder="0" applyAlignment="0" applyProtection="0"/>
    <xf numFmtId="0" fontId="19" fillId="2" borderId="0" applyNumberFormat="0" applyBorder="0" applyAlignment="0">
      <protection hidden="1"/>
    </xf>
    <xf numFmtId="0" fontId="18" fillId="0" borderId="0" applyNumberFormat="0" applyFill="0" applyBorder="0" applyAlignment="0" applyProtection="0">
      <alignment vertical="top"/>
      <protection locked="0"/>
    </xf>
    <xf numFmtId="0" fontId="1" fillId="3" borderId="0" applyNumberFormat="0" applyFont="0" applyBorder="0" applyAlignment="0"/>
    <xf numFmtId="0" fontId="73" fillId="3" borderId="0" applyNumberFormat="0" applyFont="0" applyBorder="0" applyAlignment="0"/>
    <xf numFmtId="0" fontId="19" fillId="3" borderId="0" applyNumberFormat="0" applyFont="0" applyBorder="0" applyAlignment="0"/>
    <xf numFmtId="0" fontId="19" fillId="3" borderId="0" applyNumberFormat="0" applyFont="0" applyBorder="0" applyAlignment="0"/>
    <xf numFmtId="164"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38" fillId="0" borderId="0"/>
    <xf numFmtId="0" fontId="19" fillId="0" borderId="0"/>
    <xf numFmtId="0" fontId="73" fillId="0" borderId="0"/>
    <xf numFmtId="0" fontId="19" fillId="0" borderId="0"/>
    <xf numFmtId="0" fontId="75" fillId="0" borderId="0"/>
    <xf numFmtId="0" fontId="19" fillId="0" borderId="0"/>
    <xf numFmtId="0" fontId="73" fillId="0" borderId="0"/>
    <xf numFmtId="0" fontId="19" fillId="0" borderId="0"/>
    <xf numFmtId="0" fontId="38" fillId="0" borderId="0"/>
    <xf numFmtId="0" fontId="72" fillId="4" borderId="1">
      <alignment horizontal="center" vertical="center"/>
    </xf>
  </cellStyleXfs>
  <cellXfs count="866">
    <xf numFmtId="0" fontId="0" fillId="0" borderId="0" xfId="0"/>
    <xf numFmtId="0" fontId="0" fillId="6" borderId="2" xfId="0" applyFill="1" applyBorder="1" applyAlignment="1" applyProtection="1">
      <alignment horizontal="center"/>
    </xf>
    <xf numFmtId="0" fontId="20" fillId="7" borderId="0" xfId="0" applyFont="1" applyFill="1" applyAlignment="1" applyProtection="1">
      <alignment horizontal="centerContinuous" vertical="center"/>
    </xf>
    <xf numFmtId="0" fontId="21" fillId="7" borderId="0" xfId="0" applyFont="1" applyFill="1" applyAlignment="1" applyProtection="1">
      <alignment horizontal="centerContinuous" vertical="center"/>
    </xf>
    <xf numFmtId="0" fontId="0" fillId="0" borderId="0" xfId="0" applyProtection="1"/>
    <xf numFmtId="0" fontId="23" fillId="0" borderId="0" xfId="0" applyFont="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24" fillId="0" borderId="0" xfId="0" applyFont="1" applyAlignment="1" applyProtection="1">
      <alignment horizontal="right"/>
    </xf>
    <xf numFmtId="0" fontId="0" fillId="0" borderId="11" xfId="0" applyBorder="1" applyProtection="1"/>
    <xf numFmtId="0" fontId="25" fillId="0" borderId="0" xfId="0" applyFont="1" applyAlignment="1" applyProtection="1">
      <alignment horizontal="center" vertical="center"/>
    </xf>
    <xf numFmtId="0" fontId="26" fillId="0" borderId="0" xfId="0" applyFont="1" applyAlignment="1" applyProtection="1">
      <alignment vertical="center"/>
    </xf>
    <xf numFmtId="0" fontId="24" fillId="0" borderId="0" xfId="0" applyFont="1" applyFill="1" applyBorder="1" applyAlignment="1" applyProtection="1">
      <alignment horizontal="right"/>
    </xf>
    <xf numFmtId="0" fontId="0" fillId="0" borderId="11" xfId="0" applyBorder="1" applyProtection="1">
      <protection locked="0"/>
    </xf>
    <xf numFmtId="0" fontId="0" fillId="0" borderId="0" xfId="0" applyAlignment="1" applyProtection="1">
      <alignment horizontal="left" indent="1"/>
    </xf>
    <xf numFmtId="0" fontId="33" fillId="8" borderId="0" xfId="0" applyFont="1" applyFill="1" applyAlignment="1" applyProtection="1">
      <alignment horizontal="centerContinuous"/>
    </xf>
    <xf numFmtId="0" fontId="0" fillId="0" borderId="0" xfId="0" applyAlignment="1" applyProtection="1">
      <alignment horizontal="centerContinuous"/>
    </xf>
    <xf numFmtId="0" fontId="30" fillId="8" borderId="0" xfId="0" applyFont="1" applyFill="1" applyAlignment="1" applyProtection="1">
      <alignment horizontal="center"/>
    </xf>
    <xf numFmtId="0" fontId="30" fillId="8" borderId="0" xfId="0" applyFont="1" applyFill="1" applyAlignment="1" applyProtection="1">
      <alignment horizontal="right"/>
    </xf>
    <xf numFmtId="0" fontId="10" fillId="0" borderId="0" xfId="0" applyFont="1" applyProtection="1"/>
    <xf numFmtId="0" fontId="3" fillId="0" borderId="0" xfId="0" applyFont="1" applyAlignment="1" applyProtection="1">
      <alignment horizontal="centerContinuous"/>
    </xf>
    <xf numFmtId="0" fontId="3" fillId="0" borderId="0" xfId="0" applyFont="1" applyProtection="1"/>
    <xf numFmtId="0" fontId="3" fillId="0" borderId="0" xfId="0" applyFont="1" applyFill="1" applyProtection="1"/>
    <xf numFmtId="0" fontId="4" fillId="5" borderId="12" xfId="0" applyFont="1" applyFill="1" applyBorder="1" applyProtection="1"/>
    <xf numFmtId="0" fontId="4" fillId="5" borderId="13" xfId="0" applyFont="1" applyFill="1" applyBorder="1" applyProtection="1"/>
    <xf numFmtId="0" fontId="9" fillId="4" borderId="12" xfId="0" applyFont="1" applyFill="1" applyBorder="1" applyAlignment="1" applyProtection="1">
      <alignment wrapText="1"/>
    </xf>
    <xf numFmtId="0" fontId="9" fillId="4" borderId="13" xfId="0" applyFont="1" applyFill="1" applyBorder="1" applyAlignment="1" applyProtection="1">
      <alignment wrapText="1"/>
    </xf>
    <xf numFmtId="0" fontId="5" fillId="4" borderId="14" xfId="0" applyFont="1" applyFill="1" applyBorder="1" applyAlignment="1" applyProtection="1">
      <alignment horizontal="centerContinuous" vertical="center" wrapText="1"/>
    </xf>
    <xf numFmtId="0" fontId="8" fillId="4" borderId="13" xfId="0" applyFont="1" applyFill="1" applyBorder="1" applyAlignment="1" applyProtection="1">
      <alignment horizontal="centerContinuous" vertical="center" wrapText="1"/>
    </xf>
    <xf numFmtId="0" fontId="8" fillId="4" borderId="13" xfId="0" applyFont="1" applyFill="1" applyBorder="1" applyAlignment="1" applyProtection="1">
      <alignment horizontal="centerContinuous" wrapText="1"/>
    </xf>
    <xf numFmtId="0" fontId="9" fillId="4" borderId="13" xfId="0" applyFont="1" applyFill="1" applyBorder="1" applyAlignment="1" applyProtection="1">
      <alignment horizontal="centerContinuous" wrapText="1"/>
    </xf>
    <xf numFmtId="0" fontId="9" fillId="4" borderId="15" xfId="0" applyFont="1" applyFill="1" applyBorder="1" applyAlignment="1" applyProtection="1">
      <alignment horizontal="centerContinuous" wrapText="1"/>
    </xf>
    <xf numFmtId="0" fontId="3" fillId="4" borderId="16" xfId="0" applyFont="1" applyFill="1" applyBorder="1" applyAlignment="1" applyProtection="1">
      <alignment wrapText="1"/>
    </xf>
    <xf numFmtId="0" fontId="3" fillId="4" borderId="0" xfId="0" applyFont="1" applyFill="1" applyBorder="1" applyAlignment="1" applyProtection="1">
      <alignment wrapText="1"/>
    </xf>
    <xf numFmtId="0" fontId="5" fillId="4" borderId="17"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9" fillId="4" borderId="22" xfId="0" quotePrefix="1" applyFont="1" applyFill="1" applyBorder="1" applyAlignment="1" applyProtection="1">
      <alignment horizontal="center" vertical="center" wrapText="1"/>
    </xf>
    <xf numFmtId="0" fontId="9" fillId="4" borderId="23" xfId="0" quotePrefix="1" applyFont="1" applyFill="1" applyBorder="1" applyAlignment="1" applyProtection="1">
      <alignment horizontal="center" vertical="center" wrapText="1"/>
    </xf>
    <xf numFmtId="0" fontId="11" fillId="4" borderId="23" xfId="0" quotePrefix="1"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9" fillId="4" borderId="24" xfId="0" quotePrefix="1" applyFont="1" applyFill="1" applyBorder="1" applyAlignment="1" applyProtection="1">
      <alignment horizontal="center" vertical="center" wrapText="1"/>
    </xf>
    <xf numFmtId="0" fontId="9" fillId="0" borderId="0" xfId="0" applyFont="1" applyProtection="1"/>
    <xf numFmtId="0" fontId="8" fillId="5" borderId="14" xfId="0" applyFont="1" applyFill="1" applyBorder="1" applyAlignment="1" applyProtection="1">
      <alignment horizontal="right" vertical="center"/>
    </xf>
    <xf numFmtId="0" fontId="8" fillId="5" borderId="25" xfId="0" applyFont="1" applyFill="1" applyBorder="1" applyAlignment="1" applyProtection="1">
      <alignment vertical="center"/>
    </xf>
    <xf numFmtId="0" fontId="8" fillId="4" borderId="14" xfId="0" applyFont="1" applyFill="1" applyBorder="1" applyAlignment="1" applyProtection="1">
      <alignment horizontal="right" vertical="center"/>
    </xf>
    <xf numFmtId="0" fontId="8" fillId="4" borderId="25" xfId="0" applyFont="1" applyFill="1" applyBorder="1" applyAlignment="1" applyProtection="1">
      <alignment vertical="center"/>
    </xf>
    <xf numFmtId="0" fontId="8" fillId="5" borderId="26" xfId="0" applyFont="1" applyFill="1" applyBorder="1" applyAlignment="1" applyProtection="1">
      <alignment horizontal="right" vertical="center"/>
    </xf>
    <xf numFmtId="0" fontId="8" fillId="5" borderId="27" xfId="0" applyFont="1" applyFill="1" applyBorder="1" applyAlignment="1" applyProtection="1">
      <alignment vertical="center"/>
    </xf>
    <xf numFmtId="0" fontId="8" fillId="4" borderId="28" xfId="0" applyFont="1" applyFill="1" applyBorder="1" applyAlignment="1" applyProtection="1">
      <alignment horizontal="right"/>
    </xf>
    <xf numFmtId="0" fontId="8" fillId="4" borderId="29" xfId="0" applyFont="1" applyFill="1" applyBorder="1" applyProtection="1"/>
    <xf numFmtId="0" fontId="8" fillId="5" borderId="28" xfId="0" applyFont="1" applyFill="1" applyBorder="1" applyAlignment="1" applyProtection="1">
      <alignment horizontal="right" vertical="center"/>
    </xf>
    <xf numFmtId="0" fontId="8" fillId="5" borderId="29" xfId="0" applyFont="1" applyFill="1" applyBorder="1" applyAlignment="1" applyProtection="1">
      <alignment vertical="center"/>
    </xf>
    <xf numFmtId="0" fontId="8" fillId="4" borderId="26" xfId="0" applyFont="1" applyFill="1" applyBorder="1" applyAlignment="1" applyProtection="1">
      <alignment horizontal="right" vertical="center"/>
    </xf>
    <xf numFmtId="0" fontId="8" fillId="4" borderId="27" xfId="0" applyFont="1" applyFill="1" applyBorder="1" applyAlignment="1" applyProtection="1">
      <alignment vertical="center"/>
    </xf>
    <xf numFmtId="0" fontId="8" fillId="4" borderId="28" xfId="0" applyFont="1" applyFill="1" applyBorder="1" applyAlignment="1" applyProtection="1">
      <alignment horizontal="right" vertical="center"/>
    </xf>
    <xf numFmtId="0" fontId="8" fillId="4" borderId="29" xfId="0" applyFont="1" applyFill="1" applyBorder="1" applyAlignment="1" applyProtection="1">
      <alignment vertical="center"/>
    </xf>
    <xf numFmtId="0" fontId="8" fillId="5" borderId="29" xfId="0" applyFont="1" applyFill="1" applyBorder="1" applyAlignment="1" applyProtection="1">
      <alignment wrapText="1"/>
    </xf>
    <xf numFmtId="0" fontId="8" fillId="5" borderId="16" xfId="0" applyFont="1" applyFill="1" applyBorder="1" applyAlignment="1" applyProtection="1">
      <alignment horizontal="right" vertical="center"/>
    </xf>
    <xf numFmtId="0" fontId="8" fillId="5" borderId="30" xfId="0" applyFont="1" applyFill="1" applyBorder="1" applyAlignment="1" applyProtection="1">
      <alignment vertical="center"/>
    </xf>
    <xf numFmtId="0" fontId="8" fillId="5" borderId="31" xfId="0" applyFont="1" applyFill="1" applyBorder="1" applyAlignment="1" applyProtection="1">
      <alignment horizontal="right" vertical="center"/>
    </xf>
    <xf numFmtId="0" fontId="8" fillId="5" borderId="32" xfId="0" applyFont="1" applyFill="1" applyBorder="1" applyAlignment="1" applyProtection="1">
      <alignment vertical="center"/>
    </xf>
    <xf numFmtId="0" fontId="8" fillId="5" borderId="33" xfId="0" applyFont="1" applyFill="1" applyBorder="1" applyAlignment="1" applyProtection="1">
      <alignment vertical="center"/>
    </xf>
    <xf numFmtId="0" fontId="8" fillId="4" borderId="33" xfId="0" applyFont="1" applyFill="1" applyBorder="1" applyAlignment="1" applyProtection="1">
      <alignment vertical="center"/>
    </xf>
    <xf numFmtId="0" fontId="8" fillId="5" borderId="14" xfId="0" quotePrefix="1" applyFont="1" applyFill="1" applyBorder="1" applyAlignment="1" applyProtection="1">
      <alignment horizontal="right" vertical="center"/>
    </xf>
    <xf numFmtId="0" fontId="8" fillId="4" borderId="14" xfId="0" quotePrefix="1" applyFont="1" applyFill="1" applyBorder="1" applyAlignment="1" applyProtection="1">
      <alignment horizontal="right" vertical="center"/>
    </xf>
    <xf numFmtId="0" fontId="8" fillId="5" borderId="34" xfId="0" applyFont="1" applyFill="1" applyBorder="1" applyAlignment="1" applyProtection="1">
      <alignment horizontal="right" vertical="center"/>
    </xf>
    <xf numFmtId="0" fontId="8" fillId="5" borderId="35" xfId="0" applyFont="1" applyFill="1" applyBorder="1" applyAlignment="1" applyProtection="1">
      <alignment vertical="center"/>
    </xf>
    <xf numFmtId="0" fontId="8" fillId="4" borderId="34" xfId="0" applyFont="1" applyFill="1" applyBorder="1" applyAlignment="1" applyProtection="1">
      <alignment horizontal="right" vertical="center"/>
    </xf>
    <xf numFmtId="0" fontId="8" fillId="4" borderId="35" xfId="0" applyFont="1" applyFill="1" applyBorder="1" applyAlignment="1" applyProtection="1">
      <alignment vertical="center"/>
    </xf>
    <xf numFmtId="0" fontId="0" fillId="0" borderId="0" xfId="0" quotePrefix="1" applyProtection="1"/>
    <xf numFmtId="0" fontId="0" fillId="5" borderId="2" xfId="0" applyFill="1" applyBorder="1" applyAlignment="1" applyProtection="1">
      <alignment horizontal="center" vertical="center" shrinkToFit="1"/>
    </xf>
    <xf numFmtId="0" fontId="0" fillId="4" borderId="2" xfId="0" applyFill="1" applyBorder="1" applyAlignment="1" applyProtection="1">
      <alignment horizontal="center" vertical="center" shrinkToFit="1"/>
    </xf>
    <xf numFmtId="0" fontId="19" fillId="4" borderId="2" xfId="0" applyFont="1" applyFill="1" applyBorder="1" applyAlignment="1" applyProtection="1">
      <alignment horizontal="center" vertical="center" shrinkToFit="1"/>
    </xf>
    <xf numFmtId="0" fontId="3" fillId="0" borderId="0" xfId="0" applyFont="1" applyAlignment="1" applyProtection="1">
      <alignment vertical="center"/>
    </xf>
    <xf numFmtId="0" fontId="0" fillId="0" borderId="0" xfId="0" applyAlignment="1" applyProtection="1">
      <alignment vertical="center"/>
    </xf>
    <xf numFmtId="0" fontId="9" fillId="5" borderId="36" xfId="0" quotePrefix="1" applyFont="1" applyFill="1" applyBorder="1" applyAlignment="1" applyProtection="1">
      <alignment horizontal="center" vertical="center"/>
    </xf>
    <xf numFmtId="0" fontId="9" fillId="5" borderId="37" xfId="0" quotePrefix="1" applyFont="1" applyFill="1" applyBorder="1" applyAlignment="1" applyProtection="1">
      <alignment horizontal="center" vertical="center"/>
    </xf>
    <xf numFmtId="0" fontId="9" fillId="5" borderId="38" xfId="0" quotePrefix="1" applyFont="1" applyFill="1" applyBorder="1" applyAlignment="1" applyProtection="1">
      <alignment horizontal="center" vertical="center"/>
    </xf>
    <xf numFmtId="0" fontId="9" fillId="4" borderId="34" xfId="0" applyFont="1" applyFill="1" applyBorder="1" applyAlignment="1" applyProtection="1">
      <alignment vertical="center" wrapText="1"/>
    </xf>
    <xf numFmtId="0" fontId="9" fillId="4" borderId="39" xfId="0" quotePrefix="1" applyFont="1" applyFill="1" applyBorder="1" applyAlignment="1" applyProtection="1">
      <alignment horizontal="center" vertical="center" wrapText="1"/>
    </xf>
    <xf numFmtId="0" fontId="4" fillId="5" borderId="16" xfId="0" applyFont="1" applyFill="1" applyBorder="1" applyProtection="1"/>
    <xf numFmtId="0" fontId="4" fillId="5" borderId="0" xfId="0" applyFont="1" applyFill="1" applyBorder="1" applyProtection="1"/>
    <xf numFmtId="0" fontId="7" fillId="5" borderId="34" xfId="0" applyFont="1" applyFill="1" applyBorder="1" applyProtection="1"/>
    <xf numFmtId="0" fontId="9" fillId="5" borderId="39" xfId="0" quotePrefix="1" applyFont="1" applyFill="1" applyBorder="1" applyAlignment="1" applyProtection="1">
      <alignment horizontal="center"/>
    </xf>
    <xf numFmtId="0" fontId="35" fillId="0" borderId="27" xfId="0" applyFont="1" applyBorder="1" applyAlignment="1" applyProtection="1">
      <alignment horizontal="center"/>
      <protection locked="0"/>
    </xf>
    <xf numFmtId="0" fontId="34" fillId="0" borderId="27" xfId="0" applyFont="1" applyFill="1" applyBorder="1" applyAlignment="1" applyProtection="1">
      <alignment horizontal="center"/>
    </xf>
    <xf numFmtId="0" fontId="36" fillId="0" borderId="27" xfId="0" applyFont="1" applyBorder="1" applyProtection="1"/>
    <xf numFmtId="0" fontId="34" fillId="0" borderId="27" xfId="0" applyFont="1" applyFill="1" applyBorder="1" applyAlignment="1" applyProtection="1">
      <alignment horizontal="right"/>
    </xf>
    <xf numFmtId="0" fontId="34" fillId="0" borderId="0" xfId="0" applyFont="1" applyBorder="1" applyAlignment="1" applyProtection="1">
      <alignment horizontal="left"/>
    </xf>
    <xf numFmtId="0" fontId="0" fillId="0" borderId="0" xfId="0" applyAlignment="1" applyProtection="1">
      <alignment horizontal="left"/>
    </xf>
    <xf numFmtId="0" fontId="3" fillId="0" borderId="43" xfId="0" applyFont="1" applyFill="1" applyBorder="1" applyAlignment="1" applyProtection="1">
      <alignment vertical="center"/>
      <protection locked="0"/>
    </xf>
    <xf numFmtId="0" fontId="3" fillId="0" borderId="44" xfId="0" applyFont="1" applyFill="1" applyBorder="1" applyAlignment="1" applyProtection="1">
      <alignment vertical="center"/>
      <protection locked="0"/>
    </xf>
    <xf numFmtId="0" fontId="3" fillId="9" borderId="45" xfId="0" applyFont="1" applyFill="1" applyBorder="1" applyAlignment="1" applyProtection="1">
      <alignment vertical="center"/>
      <protection locked="0"/>
    </xf>
    <xf numFmtId="0" fontId="3" fillId="10" borderId="46" xfId="0" applyFont="1" applyFill="1" applyBorder="1" applyAlignment="1" applyProtection="1">
      <alignment vertical="center"/>
    </xf>
    <xf numFmtId="0" fontId="3" fillId="10" borderId="47" xfId="0" applyFont="1" applyFill="1" applyBorder="1" applyAlignment="1" applyProtection="1">
      <alignment vertical="center"/>
    </xf>
    <xf numFmtId="0" fontId="3" fillId="0" borderId="47" xfId="0" applyFont="1" applyFill="1" applyBorder="1" applyAlignment="1" applyProtection="1">
      <alignment vertical="center"/>
      <protection locked="0"/>
    </xf>
    <xf numFmtId="0" fontId="3" fillId="9" borderId="48" xfId="0" applyFont="1" applyFill="1" applyBorder="1" applyAlignment="1" applyProtection="1">
      <alignment vertical="center"/>
      <protection locked="0"/>
    </xf>
    <xf numFmtId="0" fontId="3" fillId="0" borderId="49"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46" xfId="0" applyFont="1" applyFill="1" applyBorder="1" applyAlignment="1" applyProtection="1">
      <alignment vertical="center"/>
      <protection locked="0"/>
    </xf>
    <xf numFmtId="0" fontId="3" fillId="1" borderId="50" xfId="0" applyFont="1" applyFill="1" applyBorder="1" applyAlignment="1" applyProtection="1">
      <alignment vertical="center"/>
      <protection locked="0"/>
    </xf>
    <xf numFmtId="0" fontId="3" fillId="11" borderId="15" xfId="0" applyFont="1" applyFill="1" applyBorder="1" applyAlignment="1" applyProtection="1">
      <alignment vertical="center"/>
      <protection locked="0"/>
    </xf>
    <xf numFmtId="0" fontId="3" fillId="0" borderId="51" xfId="0" applyFont="1" applyFill="1" applyBorder="1" applyAlignment="1" applyProtection="1">
      <alignment vertical="center"/>
      <protection locked="0"/>
    </xf>
    <xf numFmtId="0" fontId="3" fillId="0" borderId="52" xfId="0" applyFont="1" applyFill="1" applyBorder="1" applyAlignment="1" applyProtection="1">
      <alignment vertical="center"/>
      <protection locked="0"/>
    </xf>
    <xf numFmtId="0" fontId="3" fillId="9" borderId="53"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9" borderId="21" xfId="0" applyFont="1" applyFill="1" applyBorder="1" applyAlignment="1" applyProtection="1">
      <alignment vertical="center"/>
      <protection locked="0"/>
    </xf>
    <xf numFmtId="0" fontId="3" fillId="0" borderId="54" xfId="0" applyFont="1" applyFill="1" applyBorder="1" applyAlignment="1" applyProtection="1">
      <alignment vertical="center"/>
      <protection locked="0"/>
    </xf>
    <xf numFmtId="0" fontId="3" fillId="0" borderId="54" xfId="0" quotePrefix="1" applyFont="1" applyFill="1" applyBorder="1" applyAlignment="1" applyProtection="1">
      <alignment vertical="center"/>
      <protection locked="0"/>
    </xf>
    <xf numFmtId="0" fontId="3" fillId="9" borderId="55" xfId="0" applyFont="1" applyFill="1" applyBorder="1" applyAlignment="1" applyProtection="1">
      <alignment vertical="center"/>
      <protection locked="0"/>
    </xf>
    <xf numFmtId="0" fontId="3" fillId="0" borderId="56" xfId="0" applyFont="1" applyFill="1" applyBorder="1" applyAlignment="1" applyProtection="1">
      <alignment vertical="center"/>
      <protection locked="0"/>
    </xf>
    <xf numFmtId="0" fontId="3" fillId="0" borderId="57" xfId="0" applyFont="1" applyFill="1" applyBorder="1" applyAlignment="1" applyProtection="1">
      <alignment vertical="center"/>
      <protection locked="0"/>
    </xf>
    <xf numFmtId="0" fontId="3" fillId="0" borderId="58" xfId="0" applyFont="1" applyFill="1" applyBorder="1" applyAlignment="1" applyProtection="1">
      <alignment vertical="center"/>
      <protection locked="0"/>
    </xf>
    <xf numFmtId="0" fontId="3" fillId="9" borderId="59" xfId="0" applyFont="1" applyFill="1" applyBorder="1" applyAlignment="1" applyProtection="1">
      <alignment vertical="center"/>
      <protection locked="0"/>
    </xf>
    <xf numFmtId="0" fontId="3" fillId="11" borderId="55" xfId="0" applyFont="1" applyFill="1" applyBorder="1" applyAlignment="1" applyProtection="1">
      <alignment vertical="center"/>
      <protection locked="0"/>
    </xf>
    <xf numFmtId="0" fontId="3" fillId="0" borderId="60" xfId="0" applyFont="1" applyFill="1" applyBorder="1" applyAlignment="1" applyProtection="1">
      <alignment vertical="center"/>
      <protection locked="0"/>
    </xf>
    <xf numFmtId="0" fontId="3" fillId="9" borderId="61" xfId="0" applyFont="1" applyFill="1" applyBorder="1" applyAlignment="1" applyProtection="1">
      <alignment vertical="center"/>
      <protection locked="0"/>
    </xf>
    <xf numFmtId="0" fontId="37" fillId="0" borderId="0" xfId="0" applyFont="1" applyProtection="1"/>
    <xf numFmtId="0" fontId="37" fillId="0" borderId="0" xfId="0" applyFont="1" applyAlignment="1" applyProtection="1">
      <alignment vertical="center"/>
    </xf>
    <xf numFmtId="0" fontId="37" fillId="0" borderId="0" xfId="0" applyFont="1" applyAlignment="1" applyProtection="1">
      <alignment wrapText="1"/>
    </xf>
    <xf numFmtId="0" fontId="2" fillId="0" borderId="0" xfId="0" applyFont="1" applyBorder="1" applyAlignment="1" applyProtection="1">
      <alignment horizontal="left"/>
    </xf>
    <xf numFmtId="0" fontId="0" fillId="8" borderId="0" xfId="0" applyFill="1" applyProtection="1"/>
    <xf numFmtId="0" fontId="38" fillId="8" borderId="0" xfId="0" applyFont="1" applyFill="1" applyProtection="1"/>
    <xf numFmtId="0" fontId="39" fillId="8" borderId="0" xfId="0" applyFont="1" applyFill="1" applyAlignment="1" applyProtection="1">
      <alignment horizontal="left"/>
    </xf>
    <xf numFmtId="0" fontId="38" fillId="8" borderId="0" xfId="0" applyFont="1" applyFill="1" applyAlignment="1" applyProtection="1">
      <alignment horizontal="right"/>
    </xf>
    <xf numFmtId="0" fontId="30" fillId="8" borderId="30" xfId="0" applyFont="1" applyFill="1" applyBorder="1" applyProtection="1"/>
    <xf numFmtId="0" fontId="42" fillId="0" borderId="2" xfId="0" applyFont="1" applyFill="1" applyBorder="1" applyAlignment="1" applyProtection="1">
      <alignment horizontal="center" vertical="center" wrapText="1"/>
    </xf>
    <xf numFmtId="0" fontId="0" fillId="8" borderId="62" xfId="0" applyFill="1" applyBorder="1" applyProtection="1"/>
    <xf numFmtId="0" fontId="30" fillId="8" borderId="57" xfId="0" applyFont="1" applyFill="1" applyBorder="1" applyProtection="1"/>
    <xf numFmtId="0" fontId="43" fillId="8" borderId="56"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wrapText="1"/>
    </xf>
    <xf numFmtId="0" fontId="43" fillId="0" borderId="2" xfId="0" applyFont="1" applyFill="1" applyBorder="1" applyAlignment="1" applyProtection="1">
      <alignment horizontal="center" vertical="center" wrapText="1"/>
    </xf>
    <xf numFmtId="0" fontId="43" fillId="9" borderId="2" xfId="0" applyFont="1" applyFill="1" applyBorder="1" applyAlignment="1" applyProtection="1">
      <alignment horizontal="center" vertical="center" wrapText="1"/>
    </xf>
    <xf numFmtId="0" fontId="44" fillId="8" borderId="47" xfId="0" quotePrefix="1" applyFont="1" applyFill="1" applyBorder="1" applyAlignment="1" applyProtection="1">
      <alignment horizontal="center"/>
    </xf>
    <xf numFmtId="0" fontId="38" fillId="8" borderId="57" xfId="0" applyFont="1" applyFill="1" applyBorder="1" applyProtection="1"/>
    <xf numFmtId="0" fontId="45" fillId="8" borderId="57" xfId="0" applyFont="1" applyFill="1" applyBorder="1" applyAlignment="1" applyProtection="1">
      <alignment horizontal="right"/>
    </xf>
    <xf numFmtId="0" fontId="38" fillId="8" borderId="2" xfId="0" applyFont="1" applyFill="1" applyBorder="1" applyProtection="1">
      <protection locked="0"/>
    </xf>
    <xf numFmtId="0" fontId="38" fillId="12" borderId="2" xfId="0" applyFont="1" applyFill="1" applyBorder="1" applyProtection="1">
      <protection locked="0"/>
    </xf>
    <xf numFmtId="0" fontId="38" fillId="9" borderId="2" xfId="0" applyFont="1" applyFill="1" applyBorder="1" applyProtection="1">
      <protection locked="0"/>
    </xf>
    <xf numFmtId="0" fontId="44" fillId="8" borderId="0" xfId="0" applyFont="1" applyFill="1" applyProtection="1"/>
    <xf numFmtId="0" fontId="44" fillId="8" borderId="2" xfId="0" quotePrefix="1" applyFont="1" applyFill="1" applyBorder="1" applyAlignment="1" applyProtection="1">
      <alignment horizontal="center"/>
    </xf>
    <xf numFmtId="0" fontId="38" fillId="8" borderId="56" xfId="0" applyFont="1" applyFill="1" applyBorder="1" applyProtection="1"/>
    <xf numFmtId="0" fontId="45" fillId="8" borderId="56" xfId="0" applyFont="1" applyFill="1" applyBorder="1" applyAlignment="1" applyProtection="1">
      <alignment horizontal="right"/>
    </xf>
    <xf numFmtId="0" fontId="38" fillId="0" borderId="2" xfId="0" applyFont="1" applyFill="1" applyBorder="1" applyProtection="1">
      <protection locked="0"/>
    </xf>
    <xf numFmtId="0" fontId="38" fillId="8" borderId="56" xfId="0" quotePrefix="1" applyFont="1" applyFill="1" applyBorder="1" applyAlignment="1" applyProtection="1">
      <alignment horizontal="left"/>
    </xf>
    <xf numFmtId="0" fontId="45" fillId="8" borderId="56" xfId="0" quotePrefix="1" applyFont="1" applyFill="1" applyBorder="1" applyAlignment="1" applyProtection="1">
      <alignment horizontal="right"/>
    </xf>
    <xf numFmtId="0" fontId="38" fillId="9" borderId="56" xfId="0" applyFont="1" applyFill="1" applyBorder="1" applyProtection="1"/>
    <xf numFmtId="0" fontId="45" fillId="9" borderId="56" xfId="0" applyFont="1" applyFill="1" applyBorder="1" applyAlignment="1" applyProtection="1">
      <alignment horizontal="right"/>
    </xf>
    <xf numFmtId="0" fontId="38" fillId="13" borderId="2" xfId="0" applyFont="1" applyFill="1" applyBorder="1" applyProtection="1">
      <protection locked="0"/>
    </xf>
    <xf numFmtId="0" fontId="47" fillId="8" borderId="2" xfId="0" quotePrefix="1" applyFont="1" applyFill="1" applyBorder="1" applyAlignment="1" applyProtection="1">
      <alignment horizontal="center"/>
    </xf>
    <xf numFmtId="0" fontId="45" fillId="0" borderId="2" xfId="0" applyFont="1" applyFill="1" applyBorder="1" applyAlignment="1" applyProtection="1">
      <alignment horizontal="right"/>
    </xf>
    <xf numFmtId="0" fontId="42" fillId="0" borderId="2" xfId="0" applyFont="1" applyFill="1" applyBorder="1" applyProtection="1">
      <protection locked="0"/>
    </xf>
    <xf numFmtId="0" fontId="42" fillId="9" borderId="2" xfId="0" applyFont="1" applyFill="1" applyBorder="1" applyProtection="1">
      <protection locked="0"/>
    </xf>
    <xf numFmtId="0" fontId="43" fillId="8" borderId="57" xfId="0" applyFont="1" applyFill="1" applyBorder="1" applyAlignment="1" applyProtection="1">
      <alignment horizontal="right"/>
    </xf>
    <xf numFmtId="0" fontId="49" fillId="8" borderId="0" xfId="0" applyFont="1" applyFill="1" applyAlignment="1" applyProtection="1">
      <alignment wrapText="1"/>
    </xf>
    <xf numFmtId="0" fontId="49" fillId="8" borderId="0" xfId="0" applyFont="1" applyFill="1" applyProtection="1"/>
    <xf numFmtId="0" fontId="0" fillId="8" borderId="0" xfId="0" applyFill="1" applyAlignment="1" applyProtection="1">
      <alignment horizontal="left"/>
    </xf>
    <xf numFmtId="169" fontId="38" fillId="8" borderId="0" xfId="0" applyNumberFormat="1" applyFont="1" applyFill="1" applyAlignment="1" applyProtection="1">
      <alignment horizontal="left"/>
    </xf>
    <xf numFmtId="0" fontId="41" fillId="8" borderId="0" xfId="22" applyFont="1" applyFill="1" applyAlignment="1" applyProtection="1">
      <alignment horizontal="right"/>
    </xf>
    <xf numFmtId="0" fontId="39" fillId="8" borderId="29" xfId="0" applyFont="1" applyFill="1" applyBorder="1" applyProtection="1"/>
    <xf numFmtId="0" fontId="39" fillId="8" borderId="27" xfId="0" applyFont="1" applyFill="1" applyBorder="1" applyProtection="1"/>
    <xf numFmtId="0" fontId="43" fillId="8" borderId="63" xfId="0" applyFont="1" applyFill="1" applyBorder="1" applyAlignment="1" applyProtection="1">
      <alignment horizontal="center" vertical="center" wrapText="1"/>
    </xf>
    <xf numFmtId="0" fontId="45" fillId="8" borderId="2" xfId="0" applyFont="1" applyFill="1" applyBorder="1" applyAlignment="1" applyProtection="1">
      <alignment horizontal="center" vertical="center" wrapText="1"/>
    </xf>
    <xf numFmtId="0" fontId="45" fillId="0" borderId="56" xfId="0" applyFont="1" applyFill="1" applyBorder="1" applyAlignment="1" applyProtection="1">
      <alignment horizontal="center" vertical="center" wrapText="1"/>
    </xf>
    <xf numFmtId="0" fontId="45" fillId="8" borderId="56" xfId="0" applyFont="1" applyFill="1" applyBorder="1" applyAlignment="1" applyProtection="1">
      <alignment horizontal="center" vertical="center" wrapText="1"/>
    </xf>
    <xf numFmtId="0" fontId="38" fillId="8" borderId="63" xfId="0" applyFont="1" applyFill="1" applyBorder="1" applyProtection="1"/>
    <xf numFmtId="1" fontId="38" fillId="8" borderId="56" xfId="0" applyNumberFormat="1" applyFont="1" applyFill="1" applyBorder="1" applyProtection="1">
      <protection locked="0"/>
    </xf>
    <xf numFmtId="1" fontId="38" fillId="8" borderId="2" xfId="0" applyNumberFormat="1" applyFont="1" applyFill="1" applyBorder="1" applyProtection="1">
      <protection locked="0"/>
    </xf>
    <xf numFmtId="1" fontId="38" fillId="8" borderId="63" xfId="0" applyNumberFormat="1" applyFont="1" applyFill="1" applyBorder="1" applyProtection="1">
      <protection locked="0"/>
    </xf>
    <xf numFmtId="1" fontId="38" fillId="0" borderId="64" xfId="0" applyNumberFormat="1" applyFont="1" applyFill="1" applyBorder="1" applyProtection="1">
      <protection locked="0"/>
    </xf>
    <xf numFmtId="1" fontId="38" fillId="8" borderId="65" xfId="0" applyNumberFormat="1" applyFont="1" applyFill="1" applyBorder="1" applyProtection="1">
      <protection locked="0"/>
    </xf>
    <xf numFmtId="1" fontId="38" fillId="0" borderId="2" xfId="0" applyNumberFormat="1" applyFont="1" applyFill="1" applyBorder="1" applyProtection="1">
      <protection locked="0"/>
    </xf>
    <xf numFmtId="1" fontId="38" fillId="9" borderId="2" xfId="0" applyNumberFormat="1" applyFont="1" applyFill="1" applyBorder="1" applyProtection="1">
      <protection locked="0"/>
    </xf>
    <xf numFmtId="0" fontId="38" fillId="12" borderId="56" xfId="0" applyFont="1" applyFill="1" applyBorder="1" applyProtection="1">
      <protection locked="0"/>
    </xf>
    <xf numFmtId="0" fontId="38" fillId="8" borderId="63" xfId="0" quotePrefix="1" applyFont="1" applyFill="1" applyBorder="1" applyAlignment="1" applyProtection="1">
      <alignment horizontal="left"/>
    </xf>
    <xf numFmtId="0" fontId="38" fillId="9" borderId="63" xfId="0" applyFont="1" applyFill="1" applyBorder="1" applyProtection="1"/>
    <xf numFmtId="1" fontId="38" fillId="9" borderId="56" xfId="0" applyNumberFormat="1" applyFont="1" applyFill="1" applyBorder="1" applyProtection="1">
      <protection locked="0"/>
    </xf>
    <xf numFmtId="1" fontId="38" fillId="9" borderId="63" xfId="0" applyNumberFormat="1" applyFont="1" applyFill="1" applyBorder="1" applyProtection="1">
      <protection locked="0"/>
    </xf>
    <xf numFmtId="1" fontId="38" fillId="13" borderId="64" xfId="0" applyNumberFormat="1" applyFont="1" applyFill="1" applyBorder="1" applyProtection="1">
      <protection locked="0"/>
    </xf>
    <xf numFmtId="1" fontId="38" fillId="9" borderId="65" xfId="0" applyNumberFormat="1" applyFont="1" applyFill="1" applyBorder="1" applyProtection="1">
      <protection locked="0"/>
    </xf>
    <xf numFmtId="1" fontId="38" fillId="13" borderId="2" xfId="0" applyNumberFormat="1" applyFont="1" applyFill="1" applyBorder="1" applyProtection="1">
      <protection locked="0"/>
    </xf>
    <xf numFmtId="1" fontId="38" fillId="9" borderId="64" xfId="0" applyNumberFormat="1" applyFont="1" applyFill="1" applyBorder="1" applyProtection="1">
      <protection locked="0"/>
    </xf>
    <xf numFmtId="1" fontId="42" fillId="8" borderId="56" xfId="0" applyNumberFormat="1" applyFont="1" applyFill="1" applyBorder="1" applyProtection="1">
      <protection locked="0"/>
    </xf>
    <xf numFmtId="1" fontId="42" fillId="8" borderId="2" xfId="0" applyNumberFormat="1" applyFont="1" applyFill="1" applyBorder="1" applyProtection="1">
      <protection locked="0"/>
    </xf>
    <xf numFmtId="1" fontId="42" fillId="8" borderId="63" xfId="0" applyNumberFormat="1" applyFont="1" applyFill="1" applyBorder="1" applyProtection="1">
      <protection locked="0"/>
    </xf>
    <xf numFmtId="1" fontId="42" fillId="0" borderId="64" xfId="0" applyNumberFormat="1" applyFont="1" applyFill="1" applyBorder="1" applyProtection="1">
      <protection locked="0"/>
    </xf>
    <xf numFmtId="1" fontId="42" fillId="8" borderId="65" xfId="0" applyNumberFormat="1" applyFont="1" applyFill="1" applyBorder="1" applyProtection="1">
      <protection locked="0"/>
    </xf>
    <xf numFmtId="1" fontId="42" fillId="0" borderId="2" xfId="0" applyNumberFormat="1" applyFont="1" applyFill="1" applyBorder="1" applyProtection="1">
      <protection locked="0"/>
    </xf>
    <xf numFmtId="1" fontId="42" fillId="9" borderId="2" xfId="0" applyNumberFormat="1" applyFont="1" applyFill="1" applyBorder="1" applyProtection="1">
      <protection locked="0"/>
    </xf>
    <xf numFmtId="0" fontId="48" fillId="8" borderId="0" xfId="0" applyFont="1" applyFill="1" applyProtection="1"/>
    <xf numFmtId="0" fontId="43" fillId="8" borderId="30" xfId="0" applyFont="1" applyFill="1" applyBorder="1" applyAlignment="1" applyProtection="1">
      <alignment horizontal="right"/>
    </xf>
    <xf numFmtId="0" fontId="38" fillId="12" borderId="63" xfId="0" applyFont="1" applyFill="1" applyBorder="1" applyProtection="1">
      <protection locked="0"/>
    </xf>
    <xf numFmtId="0" fontId="38" fillId="12" borderId="64" xfId="0" applyFont="1" applyFill="1" applyBorder="1" applyProtection="1">
      <protection locked="0"/>
    </xf>
    <xf numFmtId="0" fontId="38" fillId="12" borderId="65" xfId="0" applyFont="1" applyFill="1" applyBorder="1" applyProtection="1">
      <protection locked="0"/>
    </xf>
    <xf numFmtId="0" fontId="38" fillId="8" borderId="0" xfId="0" applyFont="1" applyFill="1" applyBorder="1" applyAlignment="1" applyProtection="1">
      <alignment horizontal="right"/>
    </xf>
    <xf numFmtId="1" fontId="50" fillId="8" borderId="0" xfId="0" applyNumberFormat="1" applyFont="1" applyFill="1" applyAlignment="1" applyProtection="1">
      <alignment horizontal="right"/>
    </xf>
    <xf numFmtId="1" fontId="50" fillId="8" borderId="0" xfId="0" applyNumberFormat="1" applyFont="1" applyFill="1" applyProtection="1"/>
    <xf numFmtId="0" fontId="45" fillId="0" borderId="2" xfId="0" applyFont="1" applyFill="1" applyBorder="1" applyAlignment="1" applyProtection="1">
      <alignment horizontal="center" vertical="center" wrapText="1"/>
    </xf>
    <xf numFmtId="0" fontId="45" fillId="8" borderId="29" xfId="0" applyFont="1" applyFill="1" applyBorder="1" applyAlignment="1" applyProtection="1">
      <alignment horizontal="center" vertical="center" wrapText="1"/>
    </xf>
    <xf numFmtId="0" fontId="45" fillId="8" borderId="64" xfId="0" applyFont="1" applyFill="1" applyBorder="1" applyAlignment="1" applyProtection="1">
      <alignment horizontal="center" vertical="center" wrapText="1"/>
    </xf>
    <xf numFmtId="0" fontId="45" fillId="9" borderId="2" xfId="0" applyFont="1" applyFill="1" applyBorder="1" applyAlignment="1" applyProtection="1">
      <alignment horizontal="center" vertical="center" wrapText="1"/>
    </xf>
    <xf numFmtId="0" fontId="59" fillId="8" borderId="0" xfId="0" applyFont="1" applyFill="1" applyProtection="1"/>
    <xf numFmtId="0" fontId="49" fillId="8" borderId="0" xfId="0" applyFont="1" applyFill="1" applyAlignment="1" applyProtection="1">
      <alignment horizontal="center" wrapText="1"/>
    </xf>
    <xf numFmtId="0" fontId="19" fillId="8" borderId="0" xfId="0" applyFont="1" applyFill="1" applyProtection="1"/>
    <xf numFmtId="0" fontId="30" fillId="8" borderId="0" xfId="0" applyFont="1" applyFill="1" applyAlignment="1">
      <alignment horizontal="center"/>
    </xf>
    <xf numFmtId="0" fontId="54" fillId="9" borderId="2" xfId="0" applyFont="1" applyFill="1" applyBorder="1" applyProtection="1"/>
    <xf numFmtId="0" fontId="38" fillId="2" borderId="2" xfId="0" applyFont="1" applyFill="1" applyBorder="1" applyProtection="1"/>
    <xf numFmtId="0" fontId="48" fillId="2" borderId="2" xfId="0" applyFont="1" applyFill="1" applyBorder="1" applyProtection="1"/>
    <xf numFmtId="0" fontId="34" fillId="0" borderId="27" xfId="0" applyFont="1" applyBorder="1" applyAlignment="1" applyProtection="1">
      <alignment horizontal="left"/>
    </xf>
    <xf numFmtId="0" fontId="0" fillId="0" borderId="27" xfId="0" applyBorder="1" applyProtection="1"/>
    <xf numFmtId="0" fontId="3" fillId="0" borderId="27" xfId="0" applyFont="1" applyBorder="1" applyAlignment="1" applyProtection="1">
      <alignment horizontal="centerContinuous"/>
    </xf>
    <xf numFmtId="0" fontId="0" fillId="0" borderId="0" xfId="0" applyAlignment="1">
      <alignment vertical="center"/>
    </xf>
    <xf numFmtId="0" fontId="62" fillId="0" borderId="0" xfId="0" applyFont="1" applyAlignment="1">
      <alignment vertical="center"/>
    </xf>
    <xf numFmtId="0" fontId="63" fillId="0" borderId="0" xfId="0" applyFont="1" applyAlignment="1" applyProtection="1">
      <alignment vertical="center"/>
    </xf>
    <xf numFmtId="0" fontId="64" fillId="14" borderId="0" xfId="0" applyFont="1" applyFill="1" applyAlignment="1" applyProtection="1">
      <alignment horizontal="centerContinuous" vertical="center"/>
    </xf>
    <xf numFmtId="0" fontId="65" fillId="14" borderId="0" xfId="0" applyFont="1" applyFill="1" applyAlignment="1" applyProtection="1">
      <alignment horizontal="centerContinuous"/>
    </xf>
    <xf numFmtId="0" fontId="65" fillId="14" borderId="0" xfId="0" applyFont="1" applyFill="1" applyAlignment="1">
      <alignment horizontal="centerContinuous"/>
    </xf>
    <xf numFmtId="0" fontId="67" fillId="0" borderId="0" xfId="0" applyFont="1" applyAlignment="1" applyProtection="1">
      <alignment vertical="center"/>
    </xf>
    <xf numFmtId="0" fontId="69" fillId="0" borderId="0" xfId="0" applyFont="1" applyAlignment="1" applyProtection="1">
      <alignment horizontal="right" vertical="center"/>
    </xf>
    <xf numFmtId="0" fontId="62" fillId="0" borderId="0" xfId="0" applyFont="1" applyAlignment="1" applyProtection="1">
      <alignment horizontal="centerContinuous"/>
    </xf>
    <xf numFmtId="0" fontId="3" fillId="10" borderId="46" xfId="0" applyFont="1" applyFill="1" applyBorder="1" applyAlignment="1" applyProtection="1">
      <alignment vertical="center"/>
      <protection locked="0"/>
    </xf>
    <xf numFmtId="0" fontId="3" fillId="10" borderId="47" xfId="0" applyFont="1" applyFill="1" applyBorder="1" applyAlignment="1" applyProtection="1">
      <alignment vertical="center"/>
      <protection locked="0"/>
    </xf>
    <xf numFmtId="0" fontId="77" fillId="15" borderId="0" xfId="0" applyFont="1" applyFill="1" applyProtection="1"/>
    <xf numFmtId="0" fontId="3" fillId="0" borderId="43" xfId="0" quotePrefix="1" applyFont="1" applyFill="1" applyBorder="1" applyAlignment="1" applyProtection="1">
      <alignment vertical="center"/>
      <protection locked="0"/>
    </xf>
    <xf numFmtId="0" fontId="3" fillId="0" borderId="44" xfId="0" quotePrefix="1" applyFont="1" applyFill="1" applyBorder="1" applyAlignment="1" applyProtection="1">
      <alignment vertical="center"/>
      <protection locked="0"/>
    </xf>
    <xf numFmtId="0" fontId="3" fillId="9" borderId="45" xfId="0" quotePrefix="1" applyFont="1" applyFill="1" applyBorder="1" applyAlignment="1" applyProtection="1">
      <alignment vertical="center"/>
      <protection locked="0"/>
    </xf>
    <xf numFmtId="0" fontId="3" fillId="0" borderId="51" xfId="0" quotePrefix="1" applyFont="1" applyFill="1" applyBorder="1" applyAlignment="1" applyProtection="1">
      <alignment vertical="center"/>
      <protection locked="0"/>
    </xf>
    <xf numFmtId="0" fontId="3" fillId="0" borderId="47" xfId="0" quotePrefix="1" applyFont="1" applyFill="1" applyBorder="1" applyAlignment="1" applyProtection="1">
      <alignment vertical="center"/>
      <protection locked="0"/>
    </xf>
    <xf numFmtId="0" fontId="3" fillId="9" borderId="48" xfId="0" quotePrefix="1" applyFont="1" applyFill="1" applyBorder="1" applyAlignment="1" applyProtection="1">
      <alignment vertical="center"/>
      <protection locked="0"/>
    </xf>
    <xf numFmtId="0" fontId="3" fillId="0" borderId="49" xfId="0" quotePrefix="1" applyFont="1" applyFill="1" applyBorder="1" applyAlignment="1" applyProtection="1">
      <alignment vertical="center"/>
      <protection locked="0"/>
    </xf>
    <xf numFmtId="0" fontId="3" fillId="0" borderId="2" xfId="0" quotePrefix="1" applyFont="1" applyFill="1" applyBorder="1" applyAlignment="1" applyProtection="1">
      <alignment vertical="center"/>
      <protection locked="0"/>
    </xf>
    <xf numFmtId="0" fontId="3" fillId="0" borderId="46" xfId="0" quotePrefix="1" applyFont="1" applyFill="1" applyBorder="1" applyAlignment="1" applyProtection="1">
      <alignment vertical="center"/>
      <protection locked="0"/>
    </xf>
    <xf numFmtId="0" fontId="3" fillId="1" borderId="50" xfId="0" quotePrefix="1" applyFont="1" applyFill="1" applyBorder="1" applyAlignment="1" applyProtection="1">
      <alignment vertical="center"/>
      <protection locked="0"/>
    </xf>
    <xf numFmtId="0" fontId="3" fillId="0" borderId="52" xfId="0" quotePrefix="1" applyFont="1" applyFill="1" applyBorder="1" applyAlignment="1" applyProtection="1">
      <alignment vertical="center"/>
      <protection locked="0"/>
    </xf>
    <xf numFmtId="0" fontId="3" fillId="9" borderId="53" xfId="0" quotePrefix="1" applyFont="1" applyFill="1" applyBorder="1" applyAlignment="1" applyProtection="1">
      <alignment vertical="center"/>
      <protection locked="0"/>
    </xf>
    <xf numFmtId="0" fontId="3" fillId="0" borderId="17" xfId="0" quotePrefix="1" applyFont="1" applyFill="1" applyBorder="1" applyAlignment="1" applyProtection="1">
      <alignment vertical="center"/>
      <protection locked="0"/>
    </xf>
    <xf numFmtId="0" fontId="3" fillId="0" borderId="19" xfId="0" quotePrefix="1" applyFont="1" applyFill="1" applyBorder="1" applyAlignment="1" applyProtection="1">
      <alignment vertical="center"/>
      <protection locked="0"/>
    </xf>
    <xf numFmtId="0" fontId="3" fillId="9" borderId="21" xfId="0" quotePrefix="1" applyFont="1" applyFill="1" applyBorder="1" applyAlignment="1" applyProtection="1">
      <alignment vertical="center"/>
      <protection locked="0"/>
    </xf>
    <xf numFmtId="0" fontId="3" fillId="0" borderId="60" xfId="0" quotePrefix="1" applyFont="1" applyFill="1" applyBorder="1" applyAlignment="1" applyProtection="1">
      <alignment vertical="center"/>
      <protection locked="0"/>
    </xf>
    <xf numFmtId="0" fontId="3" fillId="9" borderId="61" xfId="0" quotePrefix="1" applyFont="1" applyFill="1" applyBorder="1" applyAlignment="1" applyProtection="1">
      <alignment vertical="center"/>
      <protection locked="0"/>
    </xf>
    <xf numFmtId="0" fontId="3" fillId="11" borderId="15" xfId="0" quotePrefix="1" applyFont="1" applyFill="1" applyBorder="1" applyAlignment="1" applyProtection="1">
      <alignment vertical="center"/>
      <protection locked="0"/>
    </xf>
    <xf numFmtId="1" fontId="3" fillId="0" borderId="51" xfId="0" quotePrefix="1" applyNumberFormat="1" applyFont="1" applyFill="1" applyBorder="1" applyAlignment="1" applyProtection="1">
      <alignment vertical="center"/>
      <protection locked="0"/>
    </xf>
    <xf numFmtId="1" fontId="3" fillId="0" borderId="49" xfId="0" quotePrefix="1" applyNumberFormat="1" applyFont="1" applyFill="1" applyBorder="1" applyAlignment="1" applyProtection="1">
      <alignment vertical="center"/>
      <protection locked="0"/>
    </xf>
    <xf numFmtId="1" fontId="3" fillId="0" borderId="46" xfId="0" quotePrefix="1" applyNumberFormat="1" applyFont="1" applyFill="1" applyBorder="1" applyAlignment="1" applyProtection="1">
      <alignment vertical="center"/>
      <protection locked="0"/>
    </xf>
    <xf numFmtId="1" fontId="3" fillId="1" borderId="50" xfId="0" quotePrefix="1" applyNumberFormat="1" applyFont="1" applyFill="1" applyBorder="1" applyAlignment="1" applyProtection="1">
      <alignment vertical="center"/>
      <protection locked="0"/>
    </xf>
    <xf numFmtId="1" fontId="3" fillId="0" borderId="54" xfId="0" quotePrefix="1" applyNumberFormat="1" applyFont="1" applyFill="1" applyBorder="1" applyAlignment="1" applyProtection="1">
      <alignment vertical="center"/>
      <protection locked="0"/>
    </xf>
    <xf numFmtId="1" fontId="3" fillId="0" borderId="56" xfId="0" quotePrefix="1" applyNumberFormat="1" applyFont="1" applyFill="1" applyBorder="1" applyAlignment="1" applyProtection="1">
      <alignment vertical="center"/>
      <protection locked="0"/>
    </xf>
    <xf numFmtId="1" fontId="3" fillId="0" borderId="57" xfId="0" quotePrefix="1" applyNumberFormat="1" applyFont="1" applyFill="1" applyBorder="1" applyAlignment="1" applyProtection="1">
      <alignment vertical="center"/>
      <protection locked="0"/>
    </xf>
    <xf numFmtId="1" fontId="3" fillId="0" borderId="44" xfId="0" quotePrefix="1" applyNumberFormat="1" applyFont="1" applyFill="1" applyBorder="1" applyAlignment="1" applyProtection="1">
      <alignment vertical="center"/>
      <protection locked="0"/>
    </xf>
    <xf numFmtId="1" fontId="3" fillId="0" borderId="2" xfId="0" quotePrefix="1" applyNumberFormat="1" applyFont="1" applyFill="1" applyBorder="1" applyAlignment="1" applyProtection="1">
      <alignment vertical="center"/>
      <protection locked="0"/>
    </xf>
    <xf numFmtId="1" fontId="3" fillId="0" borderId="58" xfId="0" quotePrefix="1" applyNumberFormat="1" applyFont="1" applyFill="1" applyBorder="1" applyAlignment="1" applyProtection="1">
      <alignment vertical="center"/>
      <protection locked="0"/>
    </xf>
    <xf numFmtId="1" fontId="3" fillId="11" borderId="55" xfId="0" quotePrefix="1" applyNumberFormat="1" applyFont="1" applyFill="1" applyBorder="1" applyAlignment="1" applyProtection="1">
      <alignment vertical="center"/>
      <protection locked="0"/>
    </xf>
    <xf numFmtId="1" fontId="3" fillId="9" borderId="55" xfId="0" quotePrefix="1" applyNumberFormat="1" applyFont="1" applyFill="1" applyBorder="1" applyAlignment="1" applyProtection="1">
      <alignment vertical="center"/>
      <protection locked="0"/>
    </xf>
    <xf numFmtId="1" fontId="3" fillId="9" borderId="48" xfId="0" quotePrefix="1" applyNumberFormat="1" applyFont="1" applyFill="1" applyBorder="1" applyAlignment="1" applyProtection="1">
      <alignment vertical="center"/>
      <protection locked="0"/>
    </xf>
    <xf numFmtId="1" fontId="3" fillId="9" borderId="59" xfId="0" quotePrefix="1" applyNumberFormat="1" applyFont="1" applyFill="1" applyBorder="1" applyAlignment="1" applyProtection="1">
      <alignment vertical="center"/>
      <protection locked="0"/>
    </xf>
    <xf numFmtId="0" fontId="4" fillId="16" borderId="12" xfId="0" applyFont="1" applyFill="1" applyBorder="1" applyProtection="1"/>
    <xf numFmtId="0" fontId="4" fillId="16" borderId="13" xfId="0" applyFont="1" applyFill="1" applyBorder="1" applyProtection="1"/>
    <xf numFmtId="0" fontId="4" fillId="16" borderId="16" xfId="0" applyFont="1" applyFill="1" applyBorder="1" applyProtection="1"/>
    <xf numFmtId="0" fontId="4" fillId="16" borderId="0" xfId="0" applyFont="1" applyFill="1" applyBorder="1" applyProtection="1"/>
    <xf numFmtId="0" fontId="7" fillId="16" borderId="34" xfId="0" applyFont="1" applyFill="1" applyBorder="1" applyProtection="1"/>
    <xf numFmtId="0" fontId="9" fillId="16" borderId="39" xfId="0" quotePrefix="1" applyFont="1" applyFill="1" applyBorder="1" applyAlignment="1" applyProtection="1">
      <alignment horizontal="center"/>
    </xf>
    <xf numFmtId="0" fontId="8" fillId="16" borderId="14" xfId="0" applyFont="1" applyFill="1" applyBorder="1" applyAlignment="1" applyProtection="1">
      <alignment horizontal="right" vertical="center"/>
    </xf>
    <xf numFmtId="0" fontId="8" fillId="16" borderId="25" xfId="0" applyFont="1" applyFill="1" applyBorder="1" applyAlignment="1" applyProtection="1">
      <alignment vertical="center"/>
    </xf>
    <xf numFmtId="0" fontId="8" fillId="16" borderId="26" xfId="0" applyFont="1" applyFill="1" applyBorder="1" applyAlignment="1" applyProtection="1">
      <alignment horizontal="right" vertical="center"/>
    </xf>
    <xf numFmtId="0" fontId="8" fillId="16" borderId="27" xfId="0" applyFont="1" applyFill="1" applyBorder="1" applyAlignment="1" applyProtection="1">
      <alignment vertical="center"/>
    </xf>
    <xf numFmtId="0" fontId="8" fillId="16" borderId="28" xfId="0" applyFont="1" applyFill="1" applyBorder="1" applyAlignment="1" applyProtection="1">
      <alignment horizontal="right" vertical="center"/>
    </xf>
    <xf numFmtId="0" fontId="8" fillId="16" borderId="29" xfId="0" applyFont="1" applyFill="1" applyBorder="1" applyAlignment="1" applyProtection="1">
      <alignment vertical="center"/>
    </xf>
    <xf numFmtId="0" fontId="8" fillId="16" borderId="29" xfId="0" applyFont="1" applyFill="1" applyBorder="1" applyAlignment="1" applyProtection="1">
      <alignment wrapText="1"/>
    </xf>
    <xf numFmtId="0" fontId="8" fillId="16" borderId="16" xfId="0" applyFont="1" applyFill="1" applyBorder="1" applyAlignment="1" applyProtection="1">
      <alignment horizontal="right" vertical="center"/>
    </xf>
    <xf numFmtId="0" fontId="8" fillId="16" borderId="30" xfId="0" applyFont="1" applyFill="1" applyBorder="1" applyAlignment="1" applyProtection="1">
      <alignment vertical="center"/>
    </xf>
    <xf numFmtId="0" fontId="8" fillId="16" borderId="31" xfId="0" applyFont="1" applyFill="1" applyBorder="1" applyAlignment="1" applyProtection="1">
      <alignment horizontal="right" vertical="center"/>
    </xf>
    <xf numFmtId="0" fontId="8" fillId="16" borderId="32" xfId="0" applyFont="1" applyFill="1" applyBorder="1" applyAlignment="1" applyProtection="1">
      <alignment vertical="center"/>
    </xf>
    <xf numFmtId="0" fontId="8" fillId="16" borderId="33" xfId="0" applyFont="1" applyFill="1" applyBorder="1" applyAlignment="1" applyProtection="1">
      <alignment vertical="center"/>
    </xf>
    <xf numFmtId="0" fontId="8" fillId="16" borderId="14" xfId="0" quotePrefix="1" applyFont="1" applyFill="1" applyBorder="1" applyAlignment="1" applyProtection="1">
      <alignment horizontal="right" vertical="center"/>
    </xf>
    <xf numFmtId="0" fontId="8" fillId="16" borderId="34" xfId="0" applyFont="1" applyFill="1" applyBorder="1" applyAlignment="1" applyProtection="1">
      <alignment horizontal="right" vertical="center"/>
    </xf>
    <xf numFmtId="0" fontId="8" fillId="16" borderId="35" xfId="0" applyFont="1" applyFill="1" applyBorder="1" applyAlignment="1" applyProtection="1">
      <alignment vertical="center"/>
    </xf>
    <xf numFmtId="0" fontId="5" fillId="16" borderId="14" xfId="0" applyFont="1" applyFill="1" applyBorder="1" applyAlignment="1" applyProtection="1">
      <alignment horizontal="center" vertical="center" wrapText="1"/>
    </xf>
    <xf numFmtId="0" fontId="5" fillId="16" borderId="25" xfId="0" applyFont="1" applyFill="1" applyBorder="1" applyAlignment="1" applyProtection="1">
      <alignment horizontal="center" vertical="center" wrapText="1"/>
    </xf>
    <xf numFmtId="0" fontId="5" fillId="16" borderId="33" xfId="0" applyFont="1" applyFill="1" applyBorder="1" applyAlignment="1" applyProtection="1">
      <alignment horizontal="center" vertical="center" wrapText="1"/>
    </xf>
    <xf numFmtId="0" fontId="5" fillId="16" borderId="22" xfId="0" applyFont="1" applyFill="1" applyBorder="1" applyAlignment="1" applyProtection="1">
      <alignment horizontal="center" vertical="center" wrapText="1"/>
    </xf>
    <xf numFmtId="0" fontId="5" fillId="16" borderId="66" xfId="0" applyFont="1" applyFill="1" applyBorder="1" applyAlignment="1" applyProtection="1">
      <alignment horizontal="center" vertical="center" wrapText="1"/>
    </xf>
    <xf numFmtId="0" fontId="5" fillId="16" borderId="24" xfId="0" applyFont="1" applyFill="1" applyBorder="1" applyAlignment="1" applyProtection="1">
      <alignment horizontal="center" vertical="center" wrapText="1"/>
    </xf>
    <xf numFmtId="0" fontId="9" fillId="16" borderId="36" xfId="0" quotePrefix="1" applyFont="1" applyFill="1" applyBorder="1" applyAlignment="1" applyProtection="1">
      <alignment horizontal="center" vertical="center"/>
    </xf>
    <xf numFmtId="0" fontId="9" fillId="16" borderId="37" xfId="0" quotePrefix="1" applyFont="1" applyFill="1" applyBorder="1" applyAlignment="1" applyProtection="1">
      <alignment horizontal="center" vertical="center"/>
    </xf>
    <xf numFmtId="0" fontId="9" fillId="16" borderId="38" xfId="0" quotePrefix="1" applyFont="1" applyFill="1" applyBorder="1" applyAlignment="1" applyProtection="1">
      <alignment horizontal="center" vertical="center"/>
    </xf>
    <xf numFmtId="0" fontId="9" fillId="16" borderId="12" xfId="0" applyFont="1" applyFill="1" applyBorder="1" applyAlignment="1" applyProtection="1">
      <alignment wrapText="1"/>
    </xf>
    <xf numFmtId="0" fontId="9" fillId="16" borderId="13" xfId="0" applyFont="1" applyFill="1" applyBorder="1" applyAlignment="1" applyProtection="1">
      <alignment wrapText="1"/>
    </xf>
    <xf numFmtId="0" fontId="5" fillId="16" borderId="14" xfId="0" applyFont="1" applyFill="1" applyBorder="1" applyAlignment="1" applyProtection="1">
      <alignment horizontal="centerContinuous" vertical="center" wrapText="1"/>
    </xf>
    <xf numFmtId="0" fontId="8" fillId="16" borderId="13" xfId="0" applyFont="1" applyFill="1" applyBorder="1" applyAlignment="1" applyProtection="1">
      <alignment horizontal="centerContinuous" vertical="center" wrapText="1"/>
    </xf>
    <xf numFmtId="0" fontId="8" fillId="16" borderId="13" xfId="0" applyFont="1" applyFill="1" applyBorder="1" applyAlignment="1" applyProtection="1">
      <alignment horizontal="centerContinuous" wrapText="1"/>
    </xf>
    <xf numFmtId="0" fontId="9" fillId="16" borderId="13" xfId="0" applyFont="1" applyFill="1" applyBorder="1" applyAlignment="1" applyProtection="1">
      <alignment horizontal="centerContinuous" wrapText="1"/>
    </xf>
    <xf numFmtId="0" fontId="9" fillId="16" borderId="15" xfId="0" applyFont="1" applyFill="1" applyBorder="1" applyAlignment="1" applyProtection="1">
      <alignment horizontal="centerContinuous" wrapText="1"/>
    </xf>
    <xf numFmtId="0" fontId="3" fillId="16" borderId="16" xfId="0" applyFont="1" applyFill="1" applyBorder="1" applyAlignment="1" applyProtection="1">
      <alignment wrapText="1"/>
    </xf>
    <xf numFmtId="0" fontId="3" fillId="16" borderId="0" xfId="0" applyFont="1" applyFill="1" applyBorder="1" applyAlignment="1" applyProtection="1">
      <alignment wrapText="1"/>
    </xf>
    <xf numFmtId="0" fontId="5" fillId="16" borderId="17" xfId="0" applyFont="1" applyFill="1" applyBorder="1" applyAlignment="1" applyProtection="1">
      <alignment horizontal="center" vertical="center" wrapText="1"/>
    </xf>
    <xf numFmtId="0" fontId="5" fillId="16" borderId="18" xfId="0" applyFont="1" applyFill="1" applyBorder="1" applyAlignment="1" applyProtection="1">
      <alignment horizontal="center" vertical="center" wrapText="1"/>
    </xf>
    <xf numFmtId="0" fontId="11" fillId="16" borderId="18" xfId="0" applyFont="1" applyFill="1" applyBorder="1" applyAlignment="1" applyProtection="1">
      <alignment horizontal="center" vertical="center" wrapText="1"/>
    </xf>
    <xf numFmtId="0" fontId="5" fillId="16" borderId="19" xfId="0" applyFont="1" applyFill="1" applyBorder="1" applyAlignment="1" applyProtection="1">
      <alignment horizontal="center" vertical="center" wrapText="1"/>
    </xf>
    <xf numFmtId="0" fontId="5" fillId="16" borderId="20" xfId="0" applyFont="1" applyFill="1" applyBorder="1" applyAlignment="1" applyProtection="1">
      <alignment horizontal="center" vertical="center" wrapText="1"/>
    </xf>
    <xf numFmtId="0" fontId="5" fillId="16" borderId="21" xfId="0" applyFont="1" applyFill="1" applyBorder="1" applyAlignment="1" applyProtection="1">
      <alignment horizontal="center" vertical="center" wrapText="1"/>
    </xf>
    <xf numFmtId="0" fontId="9" fillId="16" borderId="34" xfId="0" applyFont="1" applyFill="1" applyBorder="1" applyAlignment="1" applyProtection="1">
      <alignment vertical="center" wrapText="1"/>
    </xf>
    <xf numFmtId="0" fontId="9" fillId="16" borderId="39" xfId="0" quotePrefix="1" applyFont="1" applyFill="1" applyBorder="1" applyAlignment="1" applyProtection="1">
      <alignment horizontal="center" vertical="center" wrapText="1"/>
    </xf>
    <xf numFmtId="0" fontId="9" fillId="16" borderId="22" xfId="0" quotePrefix="1" applyFont="1" applyFill="1" applyBorder="1" applyAlignment="1" applyProtection="1">
      <alignment horizontal="center" vertical="center" wrapText="1"/>
    </xf>
    <xf numFmtId="0" fontId="9" fillId="16" borderId="23" xfId="0" quotePrefix="1" applyFont="1" applyFill="1" applyBorder="1" applyAlignment="1" applyProtection="1">
      <alignment horizontal="center" vertical="center" wrapText="1"/>
    </xf>
    <xf numFmtId="0" fontId="11" fillId="16" borderId="23" xfId="0" quotePrefix="1" applyFont="1" applyFill="1" applyBorder="1" applyAlignment="1" applyProtection="1">
      <alignment horizontal="center" vertical="center" wrapText="1"/>
    </xf>
    <xf numFmtId="0" fontId="9" fillId="16" borderId="0" xfId="0" quotePrefix="1" applyFont="1" applyFill="1" applyBorder="1" applyAlignment="1" applyProtection="1">
      <alignment horizontal="center" vertical="center" wrapText="1"/>
    </xf>
    <xf numFmtId="0" fontId="9" fillId="16" borderId="24" xfId="0" quotePrefix="1" applyFont="1" applyFill="1" applyBorder="1" applyAlignment="1" applyProtection="1">
      <alignment horizontal="center" vertical="center" wrapText="1"/>
    </xf>
    <xf numFmtId="0" fontId="8" fillId="16" borderId="28" xfId="0" applyFont="1" applyFill="1" applyBorder="1" applyAlignment="1" applyProtection="1">
      <alignment horizontal="right"/>
    </xf>
    <xf numFmtId="0" fontId="8" fillId="16" borderId="29" xfId="0" applyFont="1" applyFill="1" applyBorder="1" applyProtection="1"/>
    <xf numFmtId="0" fontId="4" fillId="17" borderId="12" xfId="0" applyFont="1" applyFill="1" applyBorder="1" applyProtection="1"/>
    <xf numFmtId="0" fontId="4" fillId="17" borderId="13" xfId="0" applyFont="1" applyFill="1" applyBorder="1" applyProtection="1"/>
    <xf numFmtId="0" fontId="5" fillId="17" borderId="14" xfId="0" applyFont="1" applyFill="1" applyBorder="1" applyAlignment="1" applyProtection="1">
      <alignment horizontal="center" vertical="center" wrapText="1"/>
    </xf>
    <xf numFmtId="0" fontId="5" fillId="17" borderId="25" xfId="0" applyFont="1" applyFill="1" applyBorder="1" applyAlignment="1" applyProtection="1">
      <alignment horizontal="center" vertical="center" wrapText="1"/>
    </xf>
    <xf numFmtId="0" fontId="5" fillId="17" borderId="33" xfId="0" applyFont="1" applyFill="1" applyBorder="1" applyAlignment="1" applyProtection="1">
      <alignment horizontal="center" vertical="center" wrapText="1"/>
    </xf>
    <xf numFmtId="0" fontId="9" fillId="17" borderId="12" xfId="0" applyFont="1" applyFill="1" applyBorder="1" applyAlignment="1" applyProtection="1">
      <alignment wrapText="1"/>
    </xf>
    <xf numFmtId="0" fontId="9" fillId="17" borderId="13" xfId="0" applyFont="1" applyFill="1" applyBorder="1" applyAlignment="1" applyProtection="1">
      <alignment wrapText="1"/>
    </xf>
    <xf numFmtId="0" fontId="5" fillId="17" borderId="14" xfId="0" applyFont="1" applyFill="1" applyBorder="1" applyAlignment="1" applyProtection="1">
      <alignment horizontal="centerContinuous" vertical="center" wrapText="1"/>
    </xf>
    <xf numFmtId="0" fontId="8" fillId="17" borderId="13" xfId="0" applyFont="1" applyFill="1" applyBorder="1" applyAlignment="1" applyProtection="1">
      <alignment horizontal="centerContinuous" vertical="center" wrapText="1"/>
    </xf>
    <xf numFmtId="0" fontId="8" fillId="17" borderId="13" xfId="0" applyFont="1" applyFill="1" applyBorder="1" applyAlignment="1" applyProtection="1">
      <alignment horizontal="centerContinuous" wrapText="1"/>
    </xf>
    <xf numFmtId="0" fontId="9" fillId="17" borderId="13" xfId="0" applyFont="1" applyFill="1" applyBorder="1" applyAlignment="1" applyProtection="1">
      <alignment horizontal="centerContinuous" wrapText="1"/>
    </xf>
    <xf numFmtId="0" fontId="9" fillId="17" borderId="15" xfId="0" applyFont="1" applyFill="1" applyBorder="1" applyAlignment="1" applyProtection="1">
      <alignment horizontal="centerContinuous" wrapText="1"/>
    </xf>
    <xf numFmtId="0" fontId="4" fillId="17" borderId="16" xfId="0" applyFont="1" applyFill="1" applyBorder="1" applyProtection="1"/>
    <xf numFmtId="0" fontId="4" fillId="17" borderId="0" xfId="0" applyFont="1" applyFill="1" applyBorder="1" applyProtection="1"/>
    <xf numFmtId="0" fontId="5" fillId="17" borderId="22" xfId="0" applyFont="1" applyFill="1" applyBorder="1" applyAlignment="1" applyProtection="1">
      <alignment horizontal="center" vertical="center" wrapText="1"/>
    </xf>
    <xf numFmtId="0" fontId="5" fillId="17" borderId="66" xfId="0" applyFont="1" applyFill="1" applyBorder="1" applyAlignment="1" applyProtection="1">
      <alignment horizontal="center" vertical="center" wrapText="1"/>
    </xf>
    <xf numFmtId="0" fontId="5" fillId="17" borderId="24" xfId="0" applyFont="1" applyFill="1" applyBorder="1" applyAlignment="1" applyProtection="1">
      <alignment horizontal="center" vertical="center" wrapText="1"/>
    </xf>
    <xf numFmtId="0" fontId="3" fillId="17" borderId="16" xfId="0" applyFont="1" applyFill="1" applyBorder="1" applyAlignment="1" applyProtection="1">
      <alignment wrapText="1"/>
    </xf>
    <xf numFmtId="0" fontId="3" fillId="17" borderId="0" xfId="0" applyFont="1" applyFill="1" applyBorder="1" applyAlignment="1" applyProtection="1">
      <alignment wrapText="1"/>
    </xf>
    <xf numFmtId="0" fontId="5" fillId="17" borderId="17" xfId="0" applyFont="1" applyFill="1" applyBorder="1" applyAlignment="1" applyProtection="1">
      <alignment horizontal="center" vertical="center" wrapText="1"/>
    </xf>
    <xf numFmtId="0" fontId="5" fillId="17" borderId="18" xfId="0" applyFont="1" applyFill="1" applyBorder="1" applyAlignment="1" applyProtection="1">
      <alignment horizontal="center" vertical="center" wrapText="1"/>
    </xf>
    <xf numFmtId="0" fontId="11" fillId="17" borderId="18" xfId="0" applyFont="1" applyFill="1" applyBorder="1" applyAlignment="1" applyProtection="1">
      <alignment horizontal="center" vertical="center" wrapText="1"/>
    </xf>
    <xf numFmtId="0" fontId="5" fillId="17" borderId="19" xfId="0" applyFont="1" applyFill="1" applyBorder="1" applyAlignment="1" applyProtection="1">
      <alignment horizontal="center" vertical="center" wrapText="1"/>
    </xf>
    <xf numFmtId="0" fontId="5" fillId="17" borderId="20" xfId="0" applyFont="1" applyFill="1" applyBorder="1" applyAlignment="1" applyProtection="1">
      <alignment horizontal="center" vertical="center" wrapText="1"/>
    </xf>
    <xf numFmtId="0" fontId="5" fillId="17" borderId="21" xfId="0" applyFont="1" applyFill="1" applyBorder="1" applyAlignment="1" applyProtection="1">
      <alignment horizontal="center" vertical="center" wrapText="1"/>
    </xf>
    <xf numFmtId="0" fontId="7" fillId="17" borderId="34" xfId="0" applyFont="1" applyFill="1" applyBorder="1" applyProtection="1"/>
    <xf numFmtId="0" fontId="9" fillId="17" borderId="39" xfId="0" quotePrefix="1" applyFont="1" applyFill="1" applyBorder="1" applyAlignment="1" applyProtection="1">
      <alignment horizontal="center"/>
    </xf>
    <xf numFmtId="0" fontId="9" fillId="17" borderId="36" xfId="0" quotePrefix="1" applyFont="1" applyFill="1" applyBorder="1" applyAlignment="1" applyProtection="1">
      <alignment horizontal="center" vertical="center"/>
    </xf>
    <xf numFmtId="0" fontId="9" fillId="17" borderId="37" xfId="0" quotePrefix="1" applyFont="1" applyFill="1" applyBorder="1" applyAlignment="1" applyProtection="1">
      <alignment horizontal="center" vertical="center"/>
    </xf>
    <xf numFmtId="0" fontId="9" fillId="17" borderId="38" xfId="0" quotePrefix="1" applyFont="1" applyFill="1" applyBorder="1" applyAlignment="1" applyProtection="1">
      <alignment horizontal="center" vertical="center"/>
    </xf>
    <xf numFmtId="0" fontId="9" fillId="17" borderId="34" xfId="0" applyFont="1" applyFill="1" applyBorder="1" applyAlignment="1" applyProtection="1">
      <alignment vertical="center" wrapText="1"/>
    </xf>
    <xf numFmtId="0" fontId="9" fillId="17" borderId="39" xfId="0" quotePrefix="1" applyFont="1" applyFill="1" applyBorder="1" applyAlignment="1" applyProtection="1">
      <alignment horizontal="center" vertical="center" wrapText="1"/>
    </xf>
    <xf numFmtId="0" fontId="9" fillId="17" borderId="22" xfId="0" quotePrefix="1" applyFont="1" applyFill="1" applyBorder="1" applyAlignment="1" applyProtection="1">
      <alignment horizontal="center" vertical="center" wrapText="1"/>
    </xf>
    <xf numFmtId="0" fontId="9" fillId="17" borderId="23" xfId="0" quotePrefix="1" applyFont="1" applyFill="1" applyBorder="1" applyAlignment="1" applyProtection="1">
      <alignment horizontal="center" vertical="center" wrapText="1"/>
    </xf>
    <xf numFmtId="0" fontId="11" fillId="17" borderId="23" xfId="0" quotePrefix="1" applyFont="1" applyFill="1" applyBorder="1" applyAlignment="1" applyProtection="1">
      <alignment horizontal="center" vertical="center" wrapText="1"/>
    </xf>
    <xf numFmtId="0" fontId="9" fillId="17" borderId="0" xfId="0" quotePrefix="1" applyFont="1" applyFill="1" applyBorder="1" applyAlignment="1" applyProtection="1">
      <alignment horizontal="center" vertical="center" wrapText="1"/>
    </xf>
    <xf numFmtId="0" fontId="9" fillId="17" borderId="24" xfId="0" quotePrefix="1" applyFont="1" applyFill="1" applyBorder="1" applyAlignment="1" applyProtection="1">
      <alignment horizontal="center" vertical="center" wrapText="1"/>
    </xf>
    <xf numFmtId="0" fontId="8" fillId="17" borderId="14" xfId="0" applyFont="1" applyFill="1" applyBorder="1" applyAlignment="1" applyProtection="1">
      <alignment horizontal="right" vertical="center"/>
    </xf>
    <xf numFmtId="0" fontId="8" fillId="17" borderId="25" xfId="0" applyFont="1" applyFill="1" applyBorder="1" applyAlignment="1" applyProtection="1">
      <alignment vertical="center"/>
    </xf>
    <xf numFmtId="0" fontId="8" fillId="17" borderId="26" xfId="0" applyFont="1" applyFill="1" applyBorder="1" applyAlignment="1" applyProtection="1">
      <alignment horizontal="right" vertical="center"/>
    </xf>
    <xf numFmtId="0" fontId="8" fillId="17" borderId="27" xfId="0" applyFont="1" applyFill="1" applyBorder="1" applyAlignment="1" applyProtection="1">
      <alignment vertical="center"/>
    </xf>
    <xf numFmtId="0" fontId="8" fillId="17" borderId="28" xfId="0" applyFont="1" applyFill="1" applyBorder="1" applyAlignment="1" applyProtection="1">
      <alignment horizontal="right" vertical="center"/>
    </xf>
    <xf numFmtId="0" fontId="8" fillId="17" borderId="29" xfId="0" applyFont="1" applyFill="1" applyBorder="1" applyAlignment="1" applyProtection="1">
      <alignment vertical="center"/>
    </xf>
    <xf numFmtId="0" fontId="8" fillId="17" borderId="29" xfId="0" applyFont="1" applyFill="1" applyBorder="1" applyAlignment="1" applyProtection="1">
      <alignment wrapText="1"/>
    </xf>
    <xf numFmtId="0" fontId="8" fillId="17" borderId="16" xfId="0" applyFont="1" applyFill="1" applyBorder="1" applyAlignment="1" applyProtection="1">
      <alignment horizontal="right" vertical="center"/>
    </xf>
    <xf numFmtId="0" fontId="8" fillId="17" borderId="30" xfId="0" applyFont="1" applyFill="1" applyBorder="1" applyAlignment="1" applyProtection="1">
      <alignment vertical="center"/>
    </xf>
    <xf numFmtId="0" fontId="8" fillId="17" borderId="31" xfId="0" applyFont="1" applyFill="1" applyBorder="1" applyAlignment="1" applyProtection="1">
      <alignment horizontal="right" vertical="center"/>
    </xf>
    <xf numFmtId="0" fontId="8" fillId="17" borderId="32" xfId="0" applyFont="1" applyFill="1" applyBorder="1" applyAlignment="1" applyProtection="1">
      <alignment vertical="center"/>
    </xf>
    <xf numFmtId="0" fontId="8" fillId="17" borderId="33" xfId="0" applyFont="1" applyFill="1" applyBorder="1" applyAlignment="1" applyProtection="1">
      <alignment vertical="center"/>
    </xf>
    <xf numFmtId="0" fontId="8" fillId="17" borderId="14" xfId="0" quotePrefix="1" applyFont="1" applyFill="1" applyBorder="1" applyAlignment="1" applyProtection="1">
      <alignment horizontal="right" vertical="center"/>
    </xf>
    <xf numFmtId="0" fontId="8" fillId="17" borderId="34" xfId="0" applyFont="1" applyFill="1" applyBorder="1" applyAlignment="1" applyProtection="1">
      <alignment horizontal="right" vertical="center"/>
    </xf>
    <xf numFmtId="0" fontId="8" fillId="17" borderId="35" xfId="0" applyFont="1" applyFill="1" applyBorder="1" applyAlignment="1" applyProtection="1">
      <alignment vertical="center"/>
    </xf>
    <xf numFmtId="0" fontId="8" fillId="17" borderId="28" xfId="0" applyFont="1" applyFill="1" applyBorder="1" applyAlignment="1" applyProtection="1">
      <alignment horizontal="right"/>
    </xf>
    <xf numFmtId="0" fontId="8" fillId="17" borderId="29" xfId="0" applyFont="1" applyFill="1" applyBorder="1" applyProtection="1"/>
    <xf numFmtId="0" fontId="0" fillId="0" borderId="11" xfId="0" applyBorder="1" applyAlignment="1" applyProtection="1">
      <alignment horizontal="center" vertical="center"/>
      <protection locked="0"/>
    </xf>
    <xf numFmtId="0" fontId="22" fillId="0" borderId="0" xfId="0" applyFont="1" applyAlignment="1" applyProtection="1">
      <alignment horizontal="right" vertical="center"/>
    </xf>
    <xf numFmtId="0" fontId="22" fillId="0" borderId="0" xfId="0" applyFont="1" applyFill="1" applyBorder="1" applyAlignment="1" applyProtection="1">
      <alignment horizontal="right"/>
    </xf>
    <xf numFmtId="1" fontId="3" fillId="1" borderId="50" xfId="0" applyNumberFormat="1" applyFont="1" applyFill="1" applyBorder="1" applyAlignment="1" applyProtection="1">
      <alignment vertical="center"/>
      <protection locked="0"/>
    </xf>
    <xf numFmtId="0" fontId="33" fillId="15" borderId="0" xfId="0" applyFont="1" applyFill="1" applyAlignment="1" applyProtection="1">
      <alignment horizontal="centerContinuous"/>
    </xf>
    <xf numFmtId="0" fontId="0" fillId="15" borderId="0" xfId="0" applyFill="1" applyAlignment="1" applyProtection="1">
      <alignment horizontal="centerContinuous"/>
    </xf>
    <xf numFmtId="0" fontId="0" fillId="18" borderId="2" xfId="0" applyFill="1" applyBorder="1" applyAlignment="1" applyProtection="1">
      <alignment horizontal="center" vertical="center" shrinkToFit="1"/>
    </xf>
    <xf numFmtId="0" fontId="19" fillId="18" borderId="2" xfId="0" applyFont="1" applyFill="1" applyBorder="1" applyAlignment="1" applyProtection="1">
      <alignment horizontal="center" vertical="center" shrinkToFit="1"/>
    </xf>
    <xf numFmtId="0" fontId="0" fillId="18" borderId="2" xfId="0" applyFill="1" applyBorder="1" applyAlignment="1" applyProtection="1">
      <alignment horizontal="center"/>
    </xf>
    <xf numFmtId="0" fontId="0" fillId="18" borderId="2" xfId="0" applyFill="1" applyBorder="1" applyAlignment="1" applyProtection="1">
      <alignment vertical="center"/>
    </xf>
    <xf numFmtId="0" fontId="78" fillId="0" borderId="0" xfId="0" applyFont="1" applyBorder="1" applyAlignment="1" applyProtection="1">
      <alignment horizontal="left"/>
    </xf>
    <xf numFmtId="0" fontId="78" fillId="0" borderId="0" xfId="0" applyFont="1" applyBorder="1" applyAlignment="1" applyProtection="1">
      <alignment horizontal="center"/>
    </xf>
    <xf numFmtId="0" fontId="0" fillId="5" borderId="2" xfId="0" applyFill="1" applyBorder="1" applyAlignment="1" applyProtection="1">
      <alignment horizontal="center" vertical="center"/>
    </xf>
    <xf numFmtId="0" fontId="0" fillId="4" borderId="2" xfId="0" applyFill="1" applyBorder="1" applyAlignment="1" applyProtection="1">
      <alignment horizontal="center" vertical="center"/>
    </xf>
    <xf numFmtId="0" fontId="38" fillId="8" borderId="2" xfId="0" quotePrefix="1" applyFont="1" applyFill="1" applyBorder="1" applyAlignment="1" applyProtection="1">
      <alignment horizontal="left"/>
    </xf>
    <xf numFmtId="0" fontId="42" fillId="0" borderId="56" xfId="0" applyFont="1" applyFill="1" applyBorder="1" applyProtection="1"/>
    <xf numFmtId="0" fontId="39" fillId="8" borderId="0" xfId="0" applyFont="1" applyFill="1" applyProtection="1"/>
    <xf numFmtId="0" fontId="10" fillId="8" borderId="0" xfId="0" applyFont="1" applyFill="1" applyProtection="1"/>
    <xf numFmtId="0" fontId="6" fillId="8" borderId="0" xfId="0" applyFont="1" applyFill="1" applyProtection="1"/>
    <xf numFmtId="0" fontId="38" fillId="0" borderId="0" xfId="0" applyFont="1" applyFill="1" applyAlignment="1" applyProtection="1">
      <alignment horizontal="right"/>
    </xf>
    <xf numFmtId="0" fontId="39" fillId="8" borderId="67" xfId="0" applyFont="1" applyFill="1" applyBorder="1" applyAlignment="1" applyProtection="1">
      <alignment horizontal="left"/>
    </xf>
    <xf numFmtId="0" fontId="38" fillId="8" borderId="30" xfId="0" applyFont="1" applyFill="1" applyBorder="1" applyProtection="1"/>
    <xf numFmtId="0" fontId="38" fillId="8" borderId="68" xfId="0" applyFont="1" applyFill="1" applyBorder="1" applyProtection="1"/>
    <xf numFmtId="0" fontId="6" fillId="19" borderId="30" xfId="0" applyFont="1" applyFill="1" applyBorder="1" applyAlignment="1" applyProtection="1">
      <alignment horizontal="center" vertical="center" wrapText="1"/>
    </xf>
    <xf numFmtId="0" fontId="6" fillId="19" borderId="69" xfId="0" applyFont="1" applyFill="1" applyBorder="1" applyAlignment="1" applyProtection="1">
      <alignment horizontal="right"/>
    </xf>
    <xf numFmtId="0" fontId="6" fillId="19" borderId="29" xfId="0" applyFont="1" applyFill="1" applyBorder="1" applyAlignment="1" applyProtection="1">
      <alignment horizontal="right"/>
    </xf>
    <xf numFmtId="0" fontId="6" fillId="19" borderId="56" xfId="0" applyFont="1" applyFill="1" applyBorder="1" applyAlignment="1" applyProtection="1">
      <alignment horizontal="right"/>
    </xf>
    <xf numFmtId="0" fontId="6" fillId="19" borderId="70" xfId="0" applyFont="1" applyFill="1" applyBorder="1" applyAlignment="1" applyProtection="1">
      <alignment horizontal="right"/>
    </xf>
    <xf numFmtId="0" fontId="6" fillId="19" borderId="30" xfId="0" applyFont="1" applyFill="1" applyBorder="1" applyAlignment="1" applyProtection="1">
      <alignment horizontal="right"/>
    </xf>
    <xf numFmtId="0" fontId="6" fillId="8" borderId="62" xfId="0" applyFont="1" applyFill="1" applyBorder="1" applyProtection="1"/>
    <xf numFmtId="0" fontId="39" fillId="8" borderId="57" xfId="0" applyFont="1" applyFill="1" applyBorder="1" applyProtection="1"/>
    <xf numFmtId="0" fontId="6" fillId="0" borderId="2"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6" fillId="8" borderId="63"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65" xfId="0" applyFont="1" applyFill="1" applyBorder="1" applyAlignment="1" applyProtection="1">
      <alignment horizontal="center" vertical="center" wrapText="1"/>
    </xf>
    <xf numFmtId="0" fontId="6" fillId="8" borderId="56" xfId="0" applyFont="1" applyFill="1" applyBorder="1" applyAlignment="1" applyProtection="1">
      <alignment horizontal="center" vertical="center" wrapText="1"/>
    </xf>
    <xf numFmtId="0" fontId="6" fillId="8" borderId="64" xfId="0" applyFont="1" applyFill="1" applyBorder="1" applyAlignment="1" applyProtection="1">
      <alignment horizontal="center" vertical="center" wrapText="1"/>
    </xf>
    <xf numFmtId="0" fontId="6" fillId="8" borderId="28" xfId="0" applyFont="1" applyFill="1" applyBorder="1" applyProtection="1"/>
    <xf numFmtId="0" fontId="43" fillId="8" borderId="64" xfId="0" applyFont="1" applyFill="1" applyBorder="1" applyAlignment="1" applyProtection="1">
      <alignment horizontal="center" vertical="center" wrapText="1"/>
    </xf>
    <xf numFmtId="0" fontId="43" fillId="19" borderId="65" xfId="0" applyFont="1" applyFill="1" applyBorder="1" applyAlignment="1" applyProtection="1">
      <alignment horizontal="center" vertical="center" wrapText="1"/>
    </xf>
    <xf numFmtId="1" fontId="43" fillId="0" borderId="64" xfId="0" applyNumberFormat="1" applyFont="1" applyFill="1" applyBorder="1" applyAlignment="1" applyProtection="1">
      <alignment horizontal="center"/>
    </xf>
    <xf numFmtId="0" fontId="43" fillId="19" borderId="2" xfId="0" applyFont="1" applyFill="1" applyBorder="1" applyAlignment="1" applyProtection="1">
      <alignment horizontal="center" vertical="center" wrapText="1"/>
    </xf>
    <xf numFmtId="0" fontId="45" fillId="19" borderId="56" xfId="0" applyFont="1" applyFill="1" applyBorder="1" applyAlignment="1" applyProtection="1">
      <alignment horizontal="center" vertical="center" wrapText="1"/>
    </xf>
    <xf numFmtId="0" fontId="6" fillId="8" borderId="49" xfId="0" quotePrefix="1" applyFont="1" applyFill="1" applyBorder="1" applyProtection="1"/>
    <xf numFmtId="0" fontId="45" fillId="8" borderId="2" xfId="0" applyFont="1" applyFill="1" applyBorder="1" applyAlignment="1" applyProtection="1">
      <alignment horizontal="center"/>
    </xf>
    <xf numFmtId="1" fontId="38" fillId="8" borderId="64" xfId="0" applyNumberFormat="1" applyFont="1" applyFill="1" applyBorder="1" applyProtection="1">
      <protection locked="0"/>
    </xf>
    <xf numFmtId="3" fontId="6" fillId="19" borderId="65" xfId="22" applyNumberFormat="1" applyFont="1" applyFill="1" applyBorder="1" applyProtection="1">
      <protection locked="0"/>
    </xf>
    <xf numFmtId="1" fontId="38" fillId="19" borderId="2" xfId="0" applyNumberFormat="1" applyFont="1" applyFill="1" applyBorder="1" applyProtection="1">
      <protection locked="0"/>
    </xf>
    <xf numFmtId="1" fontId="38" fillId="19" borderId="56" xfId="0" applyNumberFormat="1" applyFont="1" applyFill="1" applyBorder="1" applyProtection="1">
      <protection locked="0"/>
    </xf>
    <xf numFmtId="3" fontId="6" fillId="19" borderId="72" xfId="22" applyNumberFormat="1" applyFont="1" applyFill="1" applyBorder="1" applyProtection="1">
      <protection locked="0"/>
    </xf>
    <xf numFmtId="0" fontId="45" fillId="8" borderId="2" xfId="0" quotePrefix="1" applyFont="1" applyFill="1" applyBorder="1" applyAlignment="1" applyProtection="1">
      <alignment horizontal="center"/>
    </xf>
    <xf numFmtId="0" fontId="45" fillId="9" borderId="2" xfId="0" applyFont="1" applyFill="1" applyBorder="1" applyAlignment="1" applyProtection="1">
      <alignment horizontal="center"/>
    </xf>
    <xf numFmtId="0" fontId="47" fillId="8" borderId="28" xfId="0" quotePrefix="1" applyFont="1" applyFill="1" applyBorder="1" applyProtection="1"/>
    <xf numFmtId="0" fontId="42" fillId="8" borderId="63" xfId="0" applyFont="1" applyFill="1" applyBorder="1" applyProtection="1"/>
    <xf numFmtId="1" fontId="42" fillId="8" borderId="64" xfId="0" applyNumberFormat="1" applyFont="1" applyFill="1" applyBorder="1" applyProtection="1">
      <protection locked="0"/>
    </xf>
    <xf numFmtId="1" fontId="42" fillId="19" borderId="65" xfId="0" applyNumberFormat="1" applyFont="1" applyFill="1" applyBorder="1" applyProtection="1">
      <protection locked="0"/>
    </xf>
    <xf numFmtId="1" fontId="42" fillId="19" borderId="2" xfId="0" applyNumberFormat="1" applyFont="1" applyFill="1" applyBorder="1" applyProtection="1">
      <protection locked="0"/>
    </xf>
    <xf numFmtId="1" fontId="42" fillId="19" borderId="56" xfId="0" applyNumberFormat="1" applyFont="1" applyFill="1" applyBorder="1" applyProtection="1">
      <protection locked="0"/>
    </xf>
    <xf numFmtId="0" fontId="42" fillId="8" borderId="0" xfId="0" applyFont="1" applyFill="1" applyProtection="1"/>
    <xf numFmtId="0" fontId="6" fillId="8" borderId="31" xfId="0" applyFont="1" applyFill="1" applyBorder="1" applyProtection="1"/>
    <xf numFmtId="1" fontId="38" fillId="8" borderId="29" xfId="0" applyNumberFormat="1" applyFont="1" applyFill="1" applyBorder="1" applyProtection="1">
      <protection locked="0"/>
    </xf>
    <xf numFmtId="0" fontId="6" fillId="8" borderId="16" xfId="0" applyFont="1" applyFill="1" applyBorder="1" applyProtection="1"/>
    <xf numFmtId="1" fontId="38" fillId="19" borderId="65" xfId="0" applyNumberFormat="1" applyFont="1" applyFill="1" applyBorder="1" applyProtection="1">
      <protection locked="0"/>
    </xf>
    <xf numFmtId="0" fontId="6" fillId="8" borderId="2" xfId="0" applyFont="1" applyFill="1" applyBorder="1" applyAlignment="1" applyProtection="1">
      <alignment horizontal="left"/>
    </xf>
    <xf numFmtId="0" fontId="38" fillId="8" borderId="2" xfId="0" applyFont="1" applyFill="1" applyBorder="1" applyAlignment="1" applyProtection="1">
      <alignment horizontal="left"/>
    </xf>
    <xf numFmtId="0" fontId="49" fillId="8" borderId="0" xfId="0" applyFont="1" applyFill="1" applyAlignment="1" applyProtection="1"/>
    <xf numFmtId="171" fontId="6" fillId="8" borderId="0" xfId="0" applyNumberFormat="1" applyFont="1" applyFill="1" applyProtection="1"/>
    <xf numFmtId="0" fontId="39" fillId="8" borderId="0" xfId="0" applyFont="1" applyFill="1" applyAlignment="1" applyProtection="1">
      <alignment horizontal="center"/>
    </xf>
    <xf numFmtId="0" fontId="6" fillId="8" borderId="0" xfId="0" applyFont="1" applyFill="1" applyAlignment="1" applyProtection="1">
      <alignment horizontal="left"/>
    </xf>
    <xf numFmtId="0" fontId="50" fillId="8" borderId="0" xfId="0" applyFont="1" applyFill="1" applyProtection="1"/>
    <xf numFmtId="0" fontId="38" fillId="2" borderId="2" xfId="0" applyFont="1" applyFill="1" applyBorder="1" applyAlignment="1" applyProtection="1">
      <alignment horizontal="center" vertical="center" shrinkToFit="1"/>
    </xf>
    <xf numFmtId="0" fontId="30" fillId="15" borderId="0" xfId="0" applyFont="1" applyFill="1" applyProtection="1"/>
    <xf numFmtId="0" fontId="0" fillId="15" borderId="0" xfId="0" applyFill="1" applyProtection="1"/>
    <xf numFmtId="0" fontId="6" fillId="8" borderId="0" xfId="0" applyFont="1" applyFill="1" applyAlignment="1" applyProtection="1">
      <alignment horizontal="right"/>
    </xf>
    <xf numFmtId="0" fontId="57" fillId="8" borderId="0" xfId="0" applyFont="1" applyFill="1" applyProtection="1"/>
    <xf numFmtId="0" fontId="38" fillId="6" borderId="2" xfId="0" applyFont="1" applyFill="1" applyBorder="1" applyAlignment="1" applyProtection="1">
      <alignment horizontal="center"/>
    </xf>
    <xf numFmtId="0" fontId="30" fillId="8" borderId="67" xfId="0" applyFont="1" applyFill="1" applyBorder="1" applyProtection="1"/>
    <xf numFmtId="0" fontId="47" fillId="8" borderId="68" xfId="0" applyFont="1" applyFill="1" applyBorder="1" applyAlignment="1" applyProtection="1">
      <alignment horizontal="right"/>
    </xf>
    <xf numFmtId="165" fontId="38" fillId="0" borderId="56" xfId="0" applyNumberFormat="1" applyFont="1" applyFill="1" applyBorder="1" applyAlignment="1" applyProtection="1">
      <alignment vertical="center" wrapText="1"/>
    </xf>
    <xf numFmtId="0" fontId="31" fillId="8" borderId="62" xfId="0" applyFont="1" applyFill="1" applyBorder="1" applyProtection="1"/>
    <xf numFmtId="0" fontId="31" fillId="8" borderId="27" xfId="0" applyFont="1" applyFill="1" applyBorder="1" applyProtection="1"/>
    <xf numFmtId="0" fontId="6" fillId="0" borderId="29" xfId="0" applyFont="1" applyFill="1" applyBorder="1" applyAlignment="1" applyProtection="1">
      <alignment horizontal="center" vertical="center" wrapText="1"/>
    </xf>
    <xf numFmtId="0" fontId="30" fillId="8" borderId="62" xfId="0" applyFont="1" applyFill="1" applyBorder="1" applyProtection="1"/>
    <xf numFmtId="0" fontId="30" fillId="8" borderId="63" xfId="0" applyFont="1" applyFill="1" applyBorder="1" applyProtection="1"/>
    <xf numFmtId="0" fontId="45" fillId="15" borderId="2" xfId="0" applyFont="1" applyFill="1" applyBorder="1" applyAlignment="1" applyProtection="1">
      <alignment horizontal="center" vertical="center" wrapText="1"/>
    </xf>
    <xf numFmtId="0" fontId="45" fillId="20" borderId="64" xfId="0" applyFont="1" applyFill="1" applyBorder="1" applyAlignment="1" applyProtection="1">
      <alignment horizontal="center" vertical="center" wrapText="1"/>
    </xf>
    <xf numFmtId="0" fontId="45" fillId="19" borderId="65" xfId="0" applyFont="1" applyFill="1" applyBorder="1" applyAlignment="1" applyProtection="1">
      <alignment horizontal="center" vertical="center" wrapText="1"/>
    </xf>
    <xf numFmtId="0" fontId="45" fillId="8" borderId="63" xfId="0" applyFont="1" applyFill="1" applyBorder="1" applyAlignment="1" applyProtection="1">
      <alignment horizontal="center" vertical="center" wrapText="1"/>
    </xf>
    <xf numFmtId="0" fontId="45" fillId="8" borderId="65" xfId="0" applyFont="1" applyFill="1" applyBorder="1" applyAlignment="1" applyProtection="1">
      <alignment horizontal="center" vertical="center" wrapText="1"/>
    </xf>
    <xf numFmtId="0" fontId="45" fillId="0" borderId="63" xfId="0" applyFont="1" applyFill="1" applyBorder="1" applyAlignment="1" applyProtection="1">
      <alignment horizontal="center" vertical="center" wrapText="1"/>
    </xf>
    <xf numFmtId="0" fontId="45" fillId="19" borderId="2" xfId="0" applyFont="1" applyFill="1" applyBorder="1" applyAlignment="1" applyProtection="1">
      <alignment horizontal="center" vertical="center" wrapText="1"/>
    </xf>
    <xf numFmtId="0" fontId="45" fillId="15" borderId="63" xfId="0" applyFont="1" applyFill="1" applyBorder="1" applyAlignment="1" applyProtection="1">
      <alignment horizontal="center" vertical="center" wrapText="1"/>
    </xf>
    <xf numFmtId="0" fontId="45" fillId="8" borderId="73" xfId="0" applyFont="1" applyFill="1" applyBorder="1" applyAlignment="1" applyProtection="1">
      <alignment horizontal="center" vertical="center" wrapText="1"/>
    </xf>
    <xf numFmtId="0" fontId="6" fillId="9" borderId="58" xfId="0" quotePrefix="1" applyFont="1" applyFill="1" applyBorder="1" applyAlignment="1" applyProtection="1">
      <alignment horizontal="left"/>
    </xf>
    <xf numFmtId="0" fontId="6" fillId="9" borderId="2" xfId="0" quotePrefix="1" applyFont="1" applyFill="1" applyBorder="1" applyAlignment="1" applyProtection="1">
      <alignment horizontal="left" vertical="center"/>
    </xf>
    <xf numFmtId="0" fontId="45" fillId="9" borderId="47" xfId="0" quotePrefix="1" applyFont="1" applyFill="1" applyBorder="1" applyAlignment="1" applyProtection="1">
      <alignment horizontal="center" vertical="center"/>
    </xf>
    <xf numFmtId="0" fontId="38" fillId="20" borderId="2" xfId="0" applyFont="1" applyFill="1" applyBorder="1" applyAlignment="1" applyProtection="1">
      <alignment vertical="center"/>
      <protection locked="0"/>
    </xf>
    <xf numFmtId="0" fontId="38" fillId="20" borderId="64" xfId="0" applyFont="1" applyFill="1" applyBorder="1" applyAlignment="1" applyProtection="1">
      <alignment vertical="center"/>
      <protection locked="0"/>
    </xf>
    <xf numFmtId="0" fontId="38" fillId="20" borderId="56" xfId="0" applyFont="1" applyFill="1" applyBorder="1" applyAlignment="1" applyProtection="1">
      <alignment vertical="center"/>
      <protection locked="0"/>
    </xf>
    <xf numFmtId="0" fontId="38" fillId="20" borderId="63" xfId="0" applyFont="1" applyFill="1" applyBorder="1" applyAlignment="1" applyProtection="1">
      <alignment vertical="center"/>
      <protection locked="0"/>
    </xf>
    <xf numFmtId="0" fontId="38" fillId="20" borderId="65" xfId="0" applyFont="1" applyFill="1" applyBorder="1" applyProtection="1">
      <protection locked="0"/>
    </xf>
    <xf numFmtId="0" fontId="38" fillId="20" borderId="29" xfId="0" applyFont="1" applyFill="1" applyBorder="1" applyAlignment="1" applyProtection="1">
      <alignment vertical="center"/>
      <protection locked="0"/>
    </xf>
    <xf numFmtId="0" fontId="38" fillId="20" borderId="2" xfId="0" applyFont="1" applyFill="1" applyBorder="1" applyProtection="1">
      <protection locked="0"/>
    </xf>
    <xf numFmtId="0" fontId="38" fillId="20" borderId="56" xfId="0" applyFont="1" applyFill="1" applyBorder="1" applyProtection="1">
      <protection locked="0"/>
    </xf>
    <xf numFmtId="0" fontId="38" fillId="9" borderId="2" xfId="0" applyFont="1" applyFill="1" applyBorder="1" applyAlignment="1" applyProtection="1">
      <alignment vertical="center"/>
      <protection locked="0"/>
    </xf>
    <xf numFmtId="0" fontId="38" fillId="9" borderId="64" xfId="0" applyFont="1" applyFill="1" applyBorder="1" applyAlignment="1" applyProtection="1">
      <alignment vertical="center"/>
      <protection locked="0"/>
    </xf>
    <xf numFmtId="0" fontId="38" fillId="9" borderId="63" xfId="0" applyFont="1" applyFill="1" applyBorder="1" applyAlignment="1" applyProtection="1">
      <alignment vertical="center"/>
      <protection locked="0"/>
    </xf>
    <xf numFmtId="0" fontId="77" fillId="15" borderId="0" xfId="0" applyFont="1" applyFill="1" applyAlignment="1" applyProtection="1">
      <alignment horizontal="center"/>
    </xf>
    <xf numFmtId="0" fontId="79" fillId="9" borderId="2" xfId="0" applyFont="1" applyFill="1" applyBorder="1" applyAlignment="1" applyProtection="1">
      <alignment horizontal="center" vertical="center" wrapText="1"/>
    </xf>
    <xf numFmtId="0" fontId="6" fillId="9" borderId="47" xfId="0" quotePrefix="1" applyFont="1" applyFill="1" applyBorder="1" applyAlignment="1" applyProtection="1">
      <alignment horizontal="left" vertical="top"/>
    </xf>
    <xf numFmtId="0" fontId="6" fillId="9" borderId="2" xfId="0" applyFont="1" applyFill="1" applyBorder="1" applyAlignment="1" applyProtection="1">
      <alignment horizontal="left" vertical="center"/>
    </xf>
    <xf numFmtId="0" fontId="45" fillId="9" borderId="2" xfId="0" applyFont="1" applyFill="1" applyBorder="1" applyAlignment="1" applyProtection="1">
      <alignment horizontal="center" vertical="center"/>
    </xf>
    <xf numFmtId="0" fontId="6" fillId="8" borderId="58" xfId="0" quotePrefix="1" applyFont="1" applyFill="1" applyBorder="1" applyAlignment="1" applyProtection="1">
      <alignment horizontal="left"/>
    </xf>
    <xf numFmtId="0" fontId="6" fillId="8" borderId="2" xfId="0" applyFont="1" applyFill="1" applyBorder="1" applyAlignment="1" applyProtection="1">
      <alignment horizontal="left" vertical="center"/>
    </xf>
    <xf numFmtId="0" fontId="45" fillId="8" borderId="2" xfId="0" applyFont="1" applyFill="1" applyBorder="1" applyAlignment="1" applyProtection="1">
      <alignment horizontal="center" vertical="center"/>
    </xf>
    <xf numFmtId="0" fontId="38" fillId="8" borderId="2" xfId="0" applyFont="1" applyFill="1" applyBorder="1" applyAlignment="1" applyProtection="1">
      <alignment vertical="center"/>
      <protection locked="0"/>
    </xf>
    <xf numFmtId="0" fontId="38" fillId="0" borderId="2" xfId="0" applyFont="1" applyFill="1" applyBorder="1" applyAlignment="1" applyProtection="1">
      <alignment vertical="center"/>
      <protection locked="0"/>
    </xf>
    <xf numFmtId="0" fontId="38" fillId="8" borderId="56" xfId="0" applyFont="1" applyFill="1" applyBorder="1" applyAlignment="1" applyProtection="1">
      <alignment vertical="center"/>
      <protection locked="0"/>
    </xf>
    <xf numFmtId="0" fontId="38" fillId="19" borderId="65" xfId="0" applyFont="1" applyFill="1" applyBorder="1" applyProtection="1">
      <protection locked="0"/>
    </xf>
    <xf numFmtId="0" fontId="38" fillId="0" borderId="64" xfId="0" applyFont="1" applyFill="1" applyBorder="1" applyAlignment="1" applyProtection="1">
      <alignment vertical="center"/>
      <protection locked="0"/>
    </xf>
    <xf numFmtId="0" fontId="38" fillId="19" borderId="2" xfId="0" applyFont="1" applyFill="1" applyBorder="1" applyProtection="1">
      <protection locked="0"/>
    </xf>
    <xf numFmtId="0" fontId="38" fillId="15" borderId="64" xfId="0" applyFont="1" applyFill="1" applyBorder="1" applyAlignment="1" applyProtection="1">
      <alignment vertical="center"/>
      <protection locked="0"/>
    </xf>
    <xf numFmtId="0" fontId="38" fillId="19" borderId="56" xfId="0" applyFont="1" applyFill="1" applyBorder="1" applyProtection="1">
      <protection locked="0"/>
    </xf>
    <xf numFmtId="0" fontId="38" fillId="15" borderId="2" xfId="0" applyFont="1" applyFill="1" applyBorder="1" applyAlignment="1" applyProtection="1">
      <alignment vertical="center"/>
      <protection locked="0"/>
    </xf>
    <xf numFmtId="0" fontId="38" fillId="0" borderId="63" xfId="0" applyFont="1" applyFill="1" applyBorder="1" applyAlignment="1" applyProtection="1">
      <alignment vertical="center"/>
      <protection locked="0"/>
    </xf>
    <xf numFmtId="0" fontId="6" fillId="8" borderId="47" xfId="0" applyFont="1" applyFill="1" applyBorder="1" applyAlignment="1" applyProtection="1">
      <alignment horizontal="left" vertical="top"/>
    </xf>
    <xf numFmtId="0" fontId="6" fillId="8" borderId="2" xfId="0" quotePrefix="1" applyFont="1" applyFill="1" applyBorder="1" applyAlignment="1" applyProtection="1">
      <alignment horizontal="left" vertical="center"/>
    </xf>
    <xf numFmtId="0" fontId="45" fillId="8" borderId="2" xfId="0" quotePrefix="1" applyFont="1" applyFill="1" applyBorder="1" applyAlignment="1" applyProtection="1">
      <alignment horizontal="center" vertical="center"/>
    </xf>
    <xf numFmtId="0" fontId="6" fillId="8" borderId="47" xfId="0" quotePrefix="1" applyFont="1" applyFill="1" applyBorder="1" applyAlignment="1" applyProtection="1">
      <alignment horizontal="left" vertical="top"/>
    </xf>
    <xf numFmtId="0" fontId="38" fillId="8" borderId="63" xfId="0" applyFont="1" applyFill="1" applyBorder="1" applyAlignment="1" applyProtection="1">
      <alignment vertical="center"/>
      <protection locked="0"/>
    </xf>
    <xf numFmtId="0" fontId="38" fillId="15" borderId="29" xfId="0" applyFont="1" applyFill="1" applyBorder="1" applyAlignment="1" applyProtection="1">
      <alignment vertical="center"/>
      <protection locked="0"/>
    </xf>
    <xf numFmtId="0" fontId="6" fillId="8" borderId="58" xfId="19" quotePrefix="1" applyFont="1" applyFill="1" applyBorder="1" applyAlignment="1" applyProtection="1">
      <alignment horizontal="left"/>
    </xf>
    <xf numFmtId="0" fontId="38" fillId="9" borderId="56" xfId="0" applyFont="1" applyFill="1" applyBorder="1" applyAlignment="1" applyProtection="1">
      <alignment vertical="center"/>
      <protection locked="0"/>
    </xf>
    <xf numFmtId="0" fontId="6" fillId="9" borderId="60" xfId="0" quotePrefix="1" applyFont="1" applyFill="1" applyBorder="1" applyAlignment="1" applyProtection="1">
      <alignment horizontal="left" vertical="top"/>
    </xf>
    <xf numFmtId="0" fontId="6" fillId="9" borderId="19" xfId="0" applyFont="1" applyFill="1" applyBorder="1" applyAlignment="1" applyProtection="1">
      <alignment horizontal="left" vertical="center"/>
    </xf>
    <xf numFmtId="0" fontId="45" fillId="9" borderId="19" xfId="0" applyFont="1" applyFill="1" applyBorder="1" applyAlignment="1" applyProtection="1">
      <alignment horizontal="center" vertical="center"/>
    </xf>
    <xf numFmtId="0" fontId="38" fillId="9" borderId="19" xfId="0" applyFont="1" applyFill="1" applyBorder="1" applyAlignment="1" applyProtection="1">
      <alignment vertical="center"/>
      <protection locked="0"/>
    </xf>
    <xf numFmtId="0" fontId="38" fillId="9" borderId="18" xfId="0" applyFont="1" applyFill="1" applyBorder="1" applyAlignment="1" applyProtection="1">
      <alignment vertical="center"/>
      <protection locked="0"/>
    </xf>
    <xf numFmtId="0" fontId="38" fillId="9" borderId="74" xfId="0" applyFont="1" applyFill="1" applyBorder="1" applyAlignment="1" applyProtection="1">
      <alignment vertical="center"/>
      <protection locked="0"/>
    </xf>
    <xf numFmtId="0" fontId="38" fillId="20" borderId="20" xfId="0" applyFont="1" applyFill="1" applyBorder="1" applyAlignment="1" applyProtection="1">
      <alignment vertical="center"/>
      <protection locked="0"/>
    </xf>
    <xf numFmtId="0" fontId="38" fillId="20" borderId="75" xfId="0" applyFont="1" applyFill="1" applyBorder="1" applyProtection="1">
      <protection locked="0"/>
    </xf>
    <xf numFmtId="0" fontId="38" fillId="20" borderId="76" xfId="0" applyFont="1" applyFill="1" applyBorder="1" applyAlignment="1" applyProtection="1">
      <alignment vertical="center"/>
      <protection locked="0"/>
    </xf>
    <xf numFmtId="0" fontId="38" fillId="20" borderId="74" xfId="0" applyFont="1" applyFill="1" applyBorder="1" applyAlignment="1" applyProtection="1">
      <alignment vertical="center"/>
      <protection locked="0"/>
    </xf>
    <xf numFmtId="0" fontId="38" fillId="20" borderId="18" xfId="0" applyFont="1" applyFill="1" applyBorder="1" applyAlignment="1" applyProtection="1">
      <alignment vertical="center"/>
      <protection locked="0"/>
    </xf>
    <xf numFmtId="0" fontId="38" fillId="20" borderId="19" xfId="0" applyFont="1" applyFill="1" applyBorder="1" applyProtection="1">
      <protection locked="0"/>
    </xf>
    <xf numFmtId="0" fontId="38" fillId="20" borderId="19" xfId="0" applyFont="1" applyFill="1" applyBorder="1" applyAlignment="1" applyProtection="1">
      <alignment vertical="center"/>
      <protection locked="0"/>
    </xf>
    <xf numFmtId="0" fontId="38" fillId="20" borderId="18" xfId="0" applyFont="1" applyFill="1" applyBorder="1" applyProtection="1">
      <protection locked="0"/>
    </xf>
    <xf numFmtId="0" fontId="38" fillId="9" borderId="20" xfId="0" applyFont="1" applyFill="1" applyBorder="1" applyAlignment="1" applyProtection="1">
      <alignment vertical="center"/>
      <protection locked="0"/>
    </xf>
    <xf numFmtId="0" fontId="45" fillId="8" borderId="52" xfId="0" quotePrefix="1" applyFont="1" applyFill="1" applyBorder="1" applyAlignment="1" applyProtection="1">
      <alignment horizontal="left" indent="1"/>
    </xf>
    <xf numFmtId="0" fontId="6" fillId="8" borderId="47" xfId="0" applyFont="1" applyFill="1" applyBorder="1" applyAlignment="1" applyProtection="1">
      <alignment horizontal="left" vertical="center"/>
    </xf>
    <xf numFmtId="0" fontId="45" fillId="8" borderId="47" xfId="0" applyFont="1" applyFill="1" applyBorder="1" applyAlignment="1" applyProtection="1">
      <alignment horizontal="center" vertical="center"/>
    </xf>
    <xf numFmtId="0" fontId="38" fillId="8" borderId="47" xfId="0" applyFont="1" applyFill="1" applyBorder="1" applyAlignment="1" applyProtection="1">
      <alignment vertical="center"/>
      <protection locked="0"/>
    </xf>
    <xf numFmtId="0" fontId="38" fillId="9" borderId="77" xfId="0" applyFont="1" applyFill="1" applyBorder="1" applyAlignment="1" applyProtection="1">
      <alignment vertical="center"/>
      <protection locked="0"/>
    </xf>
    <xf numFmtId="0" fontId="38" fillId="8" borderId="57" xfId="0" applyFont="1" applyFill="1" applyBorder="1" applyAlignment="1" applyProtection="1">
      <alignment vertical="center"/>
      <protection locked="0"/>
    </xf>
    <xf numFmtId="0" fontId="38" fillId="8" borderId="62" xfId="0" applyFont="1" applyFill="1" applyBorder="1" applyAlignment="1" applyProtection="1">
      <alignment vertical="center"/>
      <protection locked="0"/>
    </xf>
    <xf numFmtId="0" fontId="38" fillId="19" borderId="78" xfId="0" applyFont="1" applyFill="1" applyBorder="1" applyProtection="1">
      <protection locked="0"/>
    </xf>
    <xf numFmtId="0" fontId="38" fillId="15" borderId="27" xfId="0" applyFont="1" applyFill="1" applyBorder="1" applyAlignment="1" applyProtection="1">
      <alignment vertical="center"/>
      <protection locked="0"/>
    </xf>
    <xf numFmtId="0" fontId="38" fillId="0" borderId="77" xfId="0" applyFont="1" applyFill="1" applyBorder="1" applyAlignment="1" applyProtection="1">
      <alignment vertical="center"/>
      <protection locked="0"/>
    </xf>
    <xf numFmtId="0" fontId="38" fillId="19" borderId="47" xfId="0" applyFont="1" applyFill="1" applyBorder="1" applyProtection="1">
      <protection locked="0"/>
    </xf>
    <xf numFmtId="0" fontId="38" fillId="15" borderId="77" xfId="0" applyFont="1" applyFill="1" applyBorder="1" applyAlignment="1" applyProtection="1">
      <alignment vertical="center"/>
      <protection locked="0"/>
    </xf>
    <xf numFmtId="0" fontId="38" fillId="0" borderId="47" xfId="0" applyFont="1" applyFill="1" applyBorder="1" applyAlignment="1" applyProtection="1">
      <alignment vertical="center"/>
      <protection locked="0"/>
    </xf>
    <xf numFmtId="0" fontId="38" fillId="19" borderId="57" xfId="0" applyFont="1" applyFill="1" applyBorder="1" applyProtection="1">
      <protection locked="0"/>
    </xf>
    <xf numFmtId="0" fontId="38" fillId="15" borderId="47" xfId="0" applyFont="1" applyFill="1" applyBorder="1" applyAlignment="1" applyProtection="1">
      <alignment vertical="center"/>
      <protection locked="0"/>
    </xf>
    <xf numFmtId="0" fontId="38" fillId="0" borderId="62" xfId="0" applyFont="1" applyFill="1" applyBorder="1" applyAlignment="1" applyProtection="1">
      <alignment vertical="center"/>
      <protection locked="0"/>
    </xf>
    <xf numFmtId="0" fontId="38" fillId="9" borderId="47" xfId="0" applyFont="1" applyFill="1" applyBorder="1" applyAlignment="1" applyProtection="1">
      <alignment vertical="center"/>
      <protection locked="0"/>
    </xf>
    <xf numFmtId="0" fontId="45" fillId="8" borderId="47" xfId="0" quotePrefix="1" applyFont="1" applyFill="1" applyBorder="1" applyAlignment="1" applyProtection="1">
      <alignment horizontal="left" vertical="top" indent="1"/>
    </xf>
    <xf numFmtId="0" fontId="45" fillId="8" borderId="58" xfId="0" quotePrefix="1" applyFont="1" applyFill="1" applyBorder="1" applyAlignment="1" applyProtection="1">
      <alignment horizontal="left" indent="1"/>
    </xf>
    <xf numFmtId="0" fontId="10" fillId="8" borderId="0" xfId="0" applyFont="1" applyFill="1" applyAlignment="1" applyProtection="1">
      <alignment horizontal="center"/>
    </xf>
    <xf numFmtId="0" fontId="49" fillId="8" borderId="0" xfId="0" applyFont="1" applyFill="1" applyAlignment="1" applyProtection="1">
      <alignment horizontal="left" wrapText="1"/>
    </xf>
    <xf numFmtId="0" fontId="6" fillId="8" borderId="0" xfId="0" quotePrefix="1" applyFont="1" applyFill="1" applyAlignment="1" applyProtection="1">
      <alignment horizontal="left"/>
    </xf>
    <xf numFmtId="1" fontId="10" fillId="8" borderId="0" xfId="0" applyNumberFormat="1" applyFont="1" applyFill="1" applyProtection="1"/>
    <xf numFmtId="0" fontId="0" fillId="2" borderId="2" xfId="0" applyFill="1" applyBorder="1" applyAlignment="1" applyProtection="1">
      <alignment shrinkToFit="1"/>
    </xf>
    <xf numFmtId="0" fontId="6" fillId="19" borderId="30" xfId="0" applyFont="1" applyFill="1" applyBorder="1" applyAlignment="1" applyProtection="1">
      <alignment horizontal="center" vertical="center" wrapText="1"/>
    </xf>
    <xf numFmtId="0" fontId="30" fillId="0" borderId="0" xfId="0" applyFont="1"/>
    <xf numFmtId="0" fontId="0" fillId="0" borderId="79" xfId="0" applyBorder="1" applyProtection="1"/>
    <xf numFmtId="0" fontId="0" fillId="21" borderId="80" xfId="0" applyFill="1" applyBorder="1" applyAlignment="1" applyProtection="1">
      <alignment horizontal="center"/>
    </xf>
    <xf numFmtId="0" fontId="0" fillId="0" borderId="83" xfId="0" applyBorder="1" applyAlignment="1" applyProtection="1">
      <alignment horizontal="center"/>
    </xf>
    <xf numFmtId="0" fontId="0" fillId="0" borderId="84" xfId="0" applyBorder="1" applyAlignment="1" applyProtection="1">
      <alignment horizontal="center"/>
    </xf>
    <xf numFmtId="0" fontId="0" fillId="0" borderId="80" xfId="0" applyBorder="1" applyAlignment="1" applyProtection="1">
      <alignment horizontal="center"/>
    </xf>
    <xf numFmtId="0" fontId="0" fillId="0" borderId="80" xfId="0" applyFill="1" applyBorder="1" applyAlignment="1" applyProtection="1">
      <alignment horizontal="center"/>
    </xf>
    <xf numFmtId="0" fontId="0" fillId="0" borderId="85" xfId="0" applyBorder="1" applyProtection="1"/>
    <xf numFmtId="0" fontId="0" fillId="0" borderId="86" xfId="0" applyBorder="1" applyProtection="1"/>
    <xf numFmtId="0" fontId="0" fillId="0" borderId="87" xfId="0" applyBorder="1" applyProtection="1"/>
    <xf numFmtId="0" fontId="0" fillId="0" borderId="88" xfId="0" applyBorder="1" applyProtection="1"/>
    <xf numFmtId="0" fontId="0" fillId="0" borderId="82" xfId="0" applyFill="1" applyBorder="1" applyProtection="1"/>
    <xf numFmtId="0" fontId="0" fillId="0" borderId="81" xfId="0" applyFill="1" applyBorder="1" applyProtection="1"/>
    <xf numFmtId="0" fontId="0" fillId="21" borderId="81" xfId="0" applyFill="1" applyBorder="1" applyProtection="1"/>
    <xf numFmtId="0" fontId="0" fillId="21" borderId="82" xfId="0" applyFill="1" applyBorder="1" applyProtection="1"/>
    <xf numFmtId="0" fontId="35" fillId="0" borderId="27" xfId="0" applyFont="1" applyBorder="1" applyAlignment="1" applyProtection="1">
      <alignment horizontal="left"/>
      <protection locked="0"/>
    </xf>
    <xf numFmtId="0" fontId="38" fillId="8" borderId="0" xfId="0" quotePrefix="1" applyFont="1" applyFill="1" applyAlignment="1" applyProtection="1">
      <alignment horizontal="left"/>
    </xf>
    <xf numFmtId="0" fontId="74" fillId="8" borderId="0" xfId="0" applyFont="1" applyFill="1" applyProtection="1"/>
    <xf numFmtId="0" fontId="0" fillId="9" borderId="12" xfId="0" applyFill="1" applyBorder="1" applyProtection="1"/>
    <xf numFmtId="0" fontId="0" fillId="9" borderId="13" xfId="0" applyFill="1" applyBorder="1" applyProtection="1"/>
    <xf numFmtId="0" fontId="0" fillId="9" borderId="15" xfId="0" applyFill="1" applyBorder="1" applyProtection="1"/>
    <xf numFmtId="0" fontId="40" fillId="9" borderId="16" xfId="0" quotePrefix="1" applyFont="1" applyFill="1" applyBorder="1" applyAlignment="1" applyProtection="1">
      <alignment horizontal="centerContinuous"/>
    </xf>
    <xf numFmtId="0" fontId="40" fillId="9" borderId="0" xfId="0" applyFont="1" applyFill="1" applyBorder="1" applyAlignment="1" applyProtection="1">
      <alignment horizontal="centerContinuous"/>
    </xf>
    <xf numFmtId="0" fontId="0" fillId="9" borderId="89" xfId="0" applyFill="1" applyBorder="1" applyAlignment="1" applyProtection="1">
      <alignment horizontal="centerContinuous"/>
    </xf>
    <xf numFmtId="0" fontId="40" fillId="9" borderId="16" xfId="0" applyFont="1" applyFill="1" applyBorder="1" applyAlignment="1" applyProtection="1">
      <alignment horizontal="centerContinuous"/>
    </xf>
    <xf numFmtId="0" fontId="0" fillId="9" borderId="34" xfId="0" applyFill="1" applyBorder="1" applyProtection="1"/>
    <xf numFmtId="0" fontId="0" fillId="9" borderId="35" xfId="0" applyFill="1" applyBorder="1" applyProtection="1"/>
    <xf numFmtId="0" fontId="0" fillId="9" borderId="39" xfId="0" applyFill="1" applyBorder="1" applyProtection="1"/>
    <xf numFmtId="2" fontId="10" fillId="8" borderId="0" xfId="0" applyNumberFormat="1" applyFont="1" applyFill="1" applyProtection="1"/>
    <xf numFmtId="0" fontId="6" fillId="8" borderId="2" xfId="0" quotePrefix="1" applyFont="1" applyFill="1" applyBorder="1" applyAlignment="1" applyProtection="1">
      <alignment horizontal="center"/>
    </xf>
    <xf numFmtId="0" fontId="41" fillId="0" borderId="0" xfId="22" applyFont="1" applyAlignment="1" applyProtection="1">
      <alignment horizontal="right"/>
    </xf>
    <xf numFmtId="0" fontId="0" fillId="8" borderId="67" xfId="0" applyFill="1" applyBorder="1" applyProtection="1"/>
    <xf numFmtId="0" fontId="49" fillId="8" borderId="0" xfId="0" applyFont="1" applyFill="1" applyAlignment="1" applyProtection="1">
      <alignment horizontal="right" wrapText="1"/>
    </xf>
    <xf numFmtId="170" fontId="50" fillId="8" borderId="0" xfId="0" applyNumberFormat="1" applyFont="1" applyFill="1" applyProtection="1"/>
    <xf numFmtId="0" fontId="6" fillId="8" borderId="47" xfId="0" quotePrefix="1" applyFont="1" applyFill="1" applyBorder="1" applyAlignment="1" applyProtection="1">
      <alignment horizontal="center"/>
    </xf>
    <xf numFmtId="0" fontId="30" fillId="8" borderId="27" xfId="0" applyFont="1" applyFill="1" applyBorder="1" applyProtection="1"/>
    <xf numFmtId="0" fontId="0" fillId="2" borderId="2" xfId="0" applyFill="1" applyBorder="1" applyAlignment="1" applyProtection="1">
      <alignment horizontal="center"/>
    </xf>
    <xf numFmtId="0" fontId="38" fillId="6" borderId="2" xfId="0" applyFont="1" applyFill="1" applyBorder="1" applyAlignment="1" applyProtection="1">
      <alignment horizontal="center" vertical="center"/>
    </xf>
    <xf numFmtId="0" fontId="42" fillId="2" borderId="2" xfId="0" applyFont="1" applyFill="1" applyBorder="1" applyAlignment="1" applyProtection="1">
      <alignment vertical="center"/>
    </xf>
    <xf numFmtId="0" fontId="45" fillId="0" borderId="2" xfId="0" applyFont="1" applyFill="1" applyBorder="1" applyAlignment="1" applyProtection="1">
      <alignment horizontal="center"/>
    </xf>
    <xf numFmtId="0" fontId="45" fillId="8" borderId="57" xfId="0" applyFont="1" applyFill="1" applyBorder="1" applyAlignment="1" applyProtection="1">
      <alignment horizontal="center"/>
    </xf>
    <xf numFmtId="0" fontId="45" fillId="8" borderId="56" xfId="0" applyFont="1" applyFill="1" applyBorder="1" applyAlignment="1" applyProtection="1">
      <alignment horizontal="center"/>
    </xf>
    <xf numFmtId="0" fontId="45" fillId="8" borderId="56" xfId="0" quotePrefix="1" applyFont="1" applyFill="1" applyBorder="1" applyAlignment="1" applyProtection="1">
      <alignment horizontal="center"/>
    </xf>
    <xf numFmtId="0" fontId="45" fillId="9" borderId="56" xfId="0" applyFont="1" applyFill="1" applyBorder="1" applyAlignment="1" applyProtection="1">
      <alignment horizontal="center"/>
    </xf>
    <xf numFmtId="0" fontId="38" fillId="8" borderId="68" xfId="0" applyFont="1" applyFill="1" applyBorder="1" applyAlignment="1" applyProtection="1">
      <alignment horizontal="right"/>
    </xf>
    <xf numFmtId="0" fontId="30" fillId="8" borderId="0" xfId="0" applyFont="1" applyFill="1" applyBorder="1" applyProtection="1"/>
    <xf numFmtId="0" fontId="30" fillId="8" borderId="23" xfId="0" applyFont="1" applyFill="1" applyBorder="1" applyProtection="1"/>
    <xf numFmtId="0" fontId="0" fillId="8" borderId="90" xfId="0" applyFill="1" applyBorder="1" applyProtection="1"/>
    <xf numFmtId="0" fontId="0" fillId="8" borderId="30" xfId="0" applyFill="1" applyBorder="1" applyProtection="1"/>
    <xf numFmtId="0" fontId="6" fillId="8" borderId="63" xfId="0" quotePrefix="1" applyFont="1" applyFill="1" applyBorder="1" applyAlignment="1" applyProtection="1">
      <alignment horizontal="center"/>
    </xf>
    <xf numFmtId="0" fontId="6" fillId="8" borderId="0" xfId="0" applyFont="1" applyFill="1" applyProtection="1">
      <protection hidden="1"/>
    </xf>
    <xf numFmtId="0" fontId="35" fillId="0" borderId="91" xfId="0" applyFont="1" applyBorder="1" applyAlignment="1" applyProtection="1">
      <alignment horizontal="center"/>
      <protection locked="0"/>
    </xf>
    <xf numFmtId="0" fontId="0" fillId="8" borderId="35" xfId="0" applyFill="1" applyBorder="1" applyAlignment="1" applyProtection="1">
      <alignment horizontal="left"/>
      <protection locked="0"/>
    </xf>
    <xf numFmtId="15" fontId="0" fillId="8" borderId="35" xfId="0" applyNumberFormat="1" applyFill="1" applyBorder="1" applyAlignment="1" applyProtection="1">
      <alignment horizontal="left"/>
      <protection locked="0"/>
    </xf>
    <xf numFmtId="0" fontId="19" fillId="8" borderId="35" xfId="0" applyFont="1" applyFill="1" applyBorder="1" applyAlignment="1" applyProtection="1">
      <alignment horizontal="left"/>
      <protection locked="0"/>
    </xf>
    <xf numFmtId="0" fontId="1" fillId="15" borderId="0" xfId="6" applyFill="1"/>
    <xf numFmtId="0" fontId="76" fillId="15" borderId="0" xfId="6" applyFont="1" applyFill="1"/>
    <xf numFmtId="0" fontId="27" fillId="15" borderId="0" xfId="6" applyFont="1" applyFill="1" applyAlignment="1">
      <alignment horizontal="centerContinuous"/>
    </xf>
    <xf numFmtId="0" fontId="1" fillId="15" borderId="0" xfId="6" applyFill="1" applyAlignment="1">
      <alignment horizontal="centerContinuous"/>
    </xf>
    <xf numFmtId="0" fontId="9" fillId="15" borderId="0" xfId="6" applyFont="1" applyFill="1" applyAlignment="1">
      <alignment horizontal="centerContinuous"/>
    </xf>
    <xf numFmtId="0" fontId="28" fillId="15" borderId="0" xfId="6" applyFont="1" applyFill="1" applyAlignment="1">
      <alignment horizontal="centerContinuous"/>
    </xf>
    <xf numFmtId="0" fontId="61" fillId="15" borderId="0" xfId="6" applyFont="1" applyFill="1" applyAlignment="1">
      <alignment horizontal="centerContinuous"/>
    </xf>
    <xf numFmtId="0" fontId="80" fillId="15" borderId="0" xfId="0" applyFont="1" applyFill="1" applyAlignment="1" applyProtection="1"/>
    <xf numFmtId="0" fontId="29" fillId="15" borderId="0" xfId="6" applyFont="1" applyFill="1"/>
    <xf numFmtId="0" fontId="22" fillId="15" borderId="0" xfId="0" applyFont="1" applyFill="1" applyAlignment="1" applyProtection="1"/>
    <xf numFmtId="0" fontId="60" fillId="15" borderId="0" xfId="6" applyFont="1" applyFill="1" applyAlignment="1">
      <alignment horizontal="left" vertical="center"/>
    </xf>
    <xf numFmtId="0" fontId="19" fillId="15" borderId="0" xfId="6" applyFont="1" applyFill="1" applyAlignment="1">
      <alignment vertical="center"/>
    </xf>
    <xf numFmtId="0" fontId="1" fillId="15" borderId="0" xfId="6" applyFill="1" applyAlignment="1">
      <alignment vertical="center"/>
    </xf>
    <xf numFmtId="0" fontId="32" fillId="15" borderId="0" xfId="6" applyFont="1" applyFill="1" applyAlignment="1">
      <alignment horizontal="centerContinuous"/>
    </xf>
    <xf numFmtId="0" fontId="1" fillId="15" borderId="0" xfId="6" applyFont="1" applyFill="1"/>
    <xf numFmtId="0" fontId="82" fillId="15" borderId="0" xfId="0" applyFont="1" applyFill="1" applyAlignment="1" applyProtection="1">
      <alignment horizontal="centerContinuous"/>
    </xf>
    <xf numFmtId="0" fontId="84" fillId="15" borderId="0" xfId="0" applyFont="1" applyFill="1" applyAlignment="1" applyProtection="1">
      <alignment horizontal="centerContinuous"/>
    </xf>
    <xf numFmtId="0" fontId="85" fillId="15" borderId="0" xfId="0" applyFont="1" applyFill="1" applyAlignment="1" applyProtection="1">
      <alignment horizontal="centerContinuous"/>
    </xf>
    <xf numFmtId="0" fontId="83" fillId="15" borderId="0" xfId="0" applyFont="1" applyFill="1" applyAlignment="1" applyProtection="1">
      <alignment horizontal="centerContinuous"/>
    </xf>
    <xf numFmtId="0" fontId="86" fillId="15" borderId="0" xfId="6" applyFont="1" applyFill="1" applyAlignment="1">
      <alignment horizontal="centerContinuous"/>
    </xf>
    <xf numFmtId="0" fontId="87" fillId="15" borderId="0" xfId="6" applyFont="1" applyFill="1" applyAlignment="1">
      <alignment horizontal="centerContinuous"/>
    </xf>
    <xf numFmtId="0" fontId="88" fillId="5" borderId="12" xfId="0" applyFont="1" applyFill="1" applyBorder="1" applyProtection="1"/>
    <xf numFmtId="0" fontId="88" fillId="5" borderId="13" xfId="0" applyFont="1" applyFill="1" applyBorder="1" applyProtection="1"/>
    <xf numFmtId="0" fontId="89" fillId="5" borderId="14" xfId="0" applyFont="1" applyFill="1" applyBorder="1" applyAlignment="1" applyProtection="1">
      <alignment horizontal="center" vertical="center" wrapText="1"/>
    </xf>
    <xf numFmtId="0" fontId="89" fillId="5" borderId="25" xfId="0" applyFont="1" applyFill="1" applyBorder="1" applyAlignment="1" applyProtection="1">
      <alignment horizontal="center" vertical="center" wrapText="1"/>
    </xf>
    <xf numFmtId="0" fontId="89" fillId="5" borderId="33" xfId="0" applyFont="1" applyFill="1" applyBorder="1" applyAlignment="1" applyProtection="1">
      <alignment horizontal="center" vertical="center" wrapText="1"/>
    </xf>
    <xf numFmtId="0" fontId="1" fillId="4" borderId="12" xfId="0" applyFont="1" applyFill="1" applyBorder="1" applyAlignment="1" applyProtection="1">
      <alignment wrapText="1"/>
    </xf>
    <xf numFmtId="0" fontId="1" fillId="4" borderId="13" xfId="0" applyFont="1" applyFill="1" applyBorder="1" applyAlignment="1" applyProtection="1">
      <alignment wrapText="1"/>
    </xf>
    <xf numFmtId="0" fontId="30" fillId="4" borderId="13" xfId="0" applyFont="1" applyFill="1" applyBorder="1" applyAlignment="1" applyProtection="1">
      <alignment horizontal="centerContinuous" vertical="center" wrapText="1"/>
    </xf>
    <xf numFmtId="0" fontId="30" fillId="4" borderId="13" xfId="0" applyFont="1" applyFill="1" applyBorder="1" applyAlignment="1" applyProtection="1">
      <alignment horizontal="centerContinuous" wrapText="1"/>
    </xf>
    <xf numFmtId="0" fontId="1" fillId="4" borderId="13" xfId="0" applyFont="1" applyFill="1" applyBorder="1" applyAlignment="1" applyProtection="1">
      <alignment horizontal="centerContinuous" wrapText="1"/>
    </xf>
    <xf numFmtId="0" fontId="1" fillId="4" borderId="15" xfId="0" applyFont="1" applyFill="1" applyBorder="1" applyAlignment="1" applyProtection="1">
      <alignment horizontal="centerContinuous" wrapText="1"/>
    </xf>
    <xf numFmtId="0" fontId="88" fillId="5" borderId="16" xfId="0" applyFont="1" applyFill="1" applyBorder="1" applyProtection="1"/>
    <xf numFmtId="0" fontId="88" fillId="5" borderId="0" xfId="0" applyFont="1" applyFill="1" applyBorder="1" applyProtection="1"/>
    <xf numFmtId="0" fontId="31" fillId="4" borderId="18" xfId="0" applyFont="1" applyFill="1" applyBorder="1" applyAlignment="1" applyProtection="1">
      <alignment horizontal="center" vertical="center" wrapText="1"/>
    </xf>
    <xf numFmtId="0" fontId="90" fillId="5" borderId="34" xfId="0" applyFont="1" applyFill="1" applyBorder="1" applyProtection="1"/>
    <xf numFmtId="0" fontId="1" fillId="5" borderId="39" xfId="0" quotePrefix="1" applyFont="1" applyFill="1" applyBorder="1" applyAlignment="1" applyProtection="1">
      <alignment horizontal="center"/>
    </xf>
    <xf numFmtId="0" fontId="1" fillId="5" borderId="36" xfId="0" quotePrefix="1" applyFont="1" applyFill="1" applyBorder="1" applyAlignment="1" applyProtection="1">
      <alignment horizontal="center" vertical="center"/>
    </xf>
    <xf numFmtId="0" fontId="1" fillId="5" borderId="37" xfId="0" quotePrefix="1" applyFont="1" applyFill="1" applyBorder="1" applyAlignment="1" applyProtection="1">
      <alignment horizontal="center" vertical="center"/>
    </xf>
    <xf numFmtId="0" fontId="1" fillId="5" borderId="38" xfId="0" quotePrefix="1" applyFont="1" applyFill="1" applyBorder="1" applyAlignment="1" applyProtection="1">
      <alignment horizontal="center" vertical="center"/>
    </xf>
    <xf numFmtId="0" fontId="1" fillId="4" borderId="34" xfId="0" applyFont="1" applyFill="1" applyBorder="1" applyAlignment="1" applyProtection="1">
      <alignment vertical="center" wrapText="1"/>
    </xf>
    <xf numFmtId="0" fontId="1" fillId="4" borderId="39" xfId="0" quotePrefix="1" applyFont="1" applyFill="1" applyBorder="1" applyAlignment="1" applyProtection="1">
      <alignment horizontal="center" vertical="center" wrapText="1"/>
    </xf>
    <xf numFmtId="0" fontId="1" fillId="4" borderId="22" xfId="0" quotePrefix="1" applyFont="1" applyFill="1" applyBorder="1" applyAlignment="1" applyProtection="1">
      <alignment horizontal="center" vertical="center" wrapText="1"/>
    </xf>
    <xf numFmtId="0" fontId="1" fillId="4" borderId="23" xfId="0" quotePrefix="1" applyFont="1" applyFill="1" applyBorder="1" applyAlignment="1" applyProtection="1">
      <alignment horizontal="center" vertical="center" wrapText="1"/>
    </xf>
    <xf numFmtId="0" fontId="31" fillId="4" borderId="23" xfId="0" quotePrefix="1" applyFont="1" applyFill="1" applyBorder="1" applyAlignment="1" applyProtection="1">
      <alignment horizontal="center" vertical="center" wrapText="1"/>
    </xf>
    <xf numFmtId="0" fontId="1" fillId="4" borderId="0" xfId="0" quotePrefix="1" applyFont="1" applyFill="1" applyBorder="1" applyAlignment="1" applyProtection="1">
      <alignment horizontal="center" vertical="center" wrapText="1"/>
    </xf>
    <xf numFmtId="0" fontId="1" fillId="4" borderId="24" xfId="0" quotePrefix="1" applyFont="1" applyFill="1" applyBorder="1" applyAlignment="1" applyProtection="1">
      <alignment horizontal="center" vertical="center" wrapText="1"/>
    </xf>
    <xf numFmtId="0" fontId="30" fillId="5" borderId="14" xfId="0" applyFont="1" applyFill="1" applyBorder="1" applyAlignment="1" applyProtection="1">
      <alignment horizontal="right" vertical="center"/>
    </xf>
    <xf numFmtId="0" fontId="30" fillId="4" borderId="14" xfId="0" applyFont="1" applyFill="1" applyBorder="1" applyAlignment="1" applyProtection="1">
      <alignment horizontal="right" vertical="center"/>
    </xf>
    <xf numFmtId="0" fontId="30" fillId="5" borderId="26" xfId="0" applyFont="1" applyFill="1" applyBorder="1" applyAlignment="1" applyProtection="1">
      <alignment horizontal="right" vertical="center"/>
    </xf>
    <xf numFmtId="0" fontId="30" fillId="4" borderId="28" xfId="0" applyFont="1" applyFill="1" applyBorder="1" applyAlignment="1" applyProtection="1">
      <alignment horizontal="right"/>
    </xf>
    <xf numFmtId="0" fontId="30" fillId="5" borderId="28" xfId="0" applyFont="1" applyFill="1" applyBorder="1" applyAlignment="1" applyProtection="1">
      <alignment horizontal="right" vertical="center"/>
    </xf>
    <xf numFmtId="0" fontId="30" fillId="4" borderId="26" xfId="0" applyFont="1" applyFill="1" applyBorder="1" applyAlignment="1" applyProtection="1">
      <alignment horizontal="right" vertical="center"/>
    </xf>
    <xf numFmtId="0" fontId="30" fillId="4" borderId="28" xfId="0" applyFont="1" applyFill="1" applyBorder="1" applyAlignment="1" applyProtection="1">
      <alignment horizontal="right" vertical="center"/>
    </xf>
    <xf numFmtId="0" fontId="30" fillId="5" borderId="16" xfId="0" applyFont="1" applyFill="1" applyBorder="1" applyAlignment="1" applyProtection="1">
      <alignment horizontal="right" vertical="center"/>
    </xf>
    <xf numFmtId="0" fontId="30" fillId="5" borderId="31" xfId="0" applyFont="1" applyFill="1" applyBorder="1" applyAlignment="1" applyProtection="1">
      <alignment horizontal="right" vertical="center"/>
    </xf>
    <xf numFmtId="0" fontId="30" fillId="5" borderId="14" xfId="0" quotePrefix="1" applyFont="1" applyFill="1" applyBorder="1" applyAlignment="1" applyProtection="1">
      <alignment horizontal="right" vertical="center"/>
    </xf>
    <xf numFmtId="0" fontId="30" fillId="4" borderId="14" xfId="0" quotePrefix="1" applyFont="1" applyFill="1" applyBorder="1" applyAlignment="1" applyProtection="1">
      <alignment horizontal="right" vertical="center"/>
    </xf>
    <xf numFmtId="0" fontId="30" fillId="5" borderId="34" xfId="0" applyFont="1" applyFill="1" applyBorder="1" applyAlignment="1" applyProtection="1">
      <alignment horizontal="right" vertical="center"/>
    </xf>
    <xf numFmtId="0" fontId="30" fillId="4" borderId="34" xfId="0" applyFont="1" applyFill="1" applyBorder="1" applyAlignment="1" applyProtection="1">
      <alignment horizontal="right" vertical="center"/>
    </xf>
    <xf numFmtId="0" fontId="30" fillId="5" borderId="22" xfId="0" applyFont="1" applyFill="1" applyBorder="1" applyAlignment="1" applyProtection="1">
      <alignment horizontal="center" vertical="center" wrapText="1"/>
    </xf>
    <xf numFmtId="0" fontId="30" fillId="5" borderId="66" xfId="0" applyFont="1" applyFill="1" applyBorder="1" applyAlignment="1" applyProtection="1">
      <alignment horizontal="center" vertical="center" wrapText="1"/>
    </xf>
    <xf numFmtId="0" fontId="30" fillId="5" borderId="24" xfId="0" applyFont="1" applyFill="1" applyBorder="1" applyAlignment="1" applyProtection="1">
      <alignment horizontal="center" vertical="center" wrapText="1"/>
    </xf>
    <xf numFmtId="0" fontId="1" fillId="4" borderId="16" xfId="0" applyFont="1" applyFill="1" applyBorder="1" applyAlignment="1" applyProtection="1">
      <alignment wrapText="1"/>
    </xf>
    <xf numFmtId="0" fontId="1" fillId="4" borderId="0" xfId="0" applyFont="1" applyFill="1" applyBorder="1" applyAlignment="1" applyProtection="1">
      <alignment wrapText="1"/>
    </xf>
    <xf numFmtId="0" fontId="30" fillId="4" borderId="17" xfId="0" applyFont="1" applyFill="1" applyBorder="1" applyAlignment="1" applyProtection="1">
      <alignment horizontal="center" vertical="center" wrapText="1"/>
    </xf>
    <xf numFmtId="0" fontId="30" fillId="4" borderId="18" xfId="0" applyFont="1" applyFill="1" applyBorder="1" applyAlignment="1" applyProtection="1">
      <alignment horizontal="center" vertical="center" wrapText="1"/>
    </xf>
    <xf numFmtId="0" fontId="30" fillId="4" borderId="19" xfId="0" applyFont="1" applyFill="1" applyBorder="1" applyAlignment="1" applyProtection="1">
      <alignment horizontal="center" vertical="center" wrapText="1"/>
    </xf>
    <xf numFmtId="0" fontId="30" fillId="4" borderId="20" xfId="0" applyFont="1" applyFill="1" applyBorder="1" applyAlignment="1" applyProtection="1">
      <alignment horizontal="center" vertical="center" wrapText="1"/>
    </xf>
    <xf numFmtId="0" fontId="30" fillId="4" borderId="21" xfId="0" applyFont="1" applyFill="1" applyBorder="1" applyAlignment="1" applyProtection="1">
      <alignment horizontal="center" vertical="center" wrapText="1"/>
    </xf>
    <xf numFmtId="0" fontId="1" fillId="9" borderId="1" xfId="0" quotePrefix="1" applyFont="1" applyFill="1" applyBorder="1" applyAlignment="1" applyProtection="1">
      <alignment horizontal="center" vertical="center"/>
    </xf>
    <xf numFmtId="0" fontId="30" fillId="9" borderId="1" xfId="0" applyFont="1" applyFill="1" applyBorder="1" applyAlignment="1" applyProtection="1">
      <alignment horizontal="center" vertical="center"/>
    </xf>
    <xf numFmtId="0" fontId="39" fillId="5" borderId="25" xfId="0" applyFont="1" applyFill="1" applyBorder="1" applyAlignment="1" applyProtection="1">
      <alignment vertical="center"/>
    </xf>
    <xf numFmtId="0" fontId="39" fillId="5" borderId="27" xfId="0" applyFont="1" applyFill="1" applyBorder="1" applyAlignment="1" applyProtection="1">
      <alignment vertical="center"/>
    </xf>
    <xf numFmtId="0" fontId="39" fillId="5" borderId="29" xfId="0" applyFont="1" applyFill="1" applyBorder="1" applyAlignment="1" applyProtection="1">
      <alignment vertical="center"/>
    </xf>
    <xf numFmtId="0" fontId="39" fillId="5" borderId="29" xfId="0" applyFont="1" applyFill="1" applyBorder="1" applyAlignment="1" applyProtection="1">
      <alignment wrapText="1"/>
    </xf>
    <xf numFmtId="0" fontId="39" fillId="5" borderId="30" xfId="0" applyFont="1" applyFill="1" applyBorder="1" applyAlignment="1" applyProtection="1">
      <alignment vertical="center"/>
    </xf>
    <xf numFmtId="0" fontId="39" fillId="5" borderId="32" xfId="0" applyFont="1" applyFill="1" applyBorder="1" applyAlignment="1" applyProtection="1">
      <alignment vertical="center"/>
    </xf>
    <xf numFmtId="0" fontId="39" fillId="5" borderId="33" xfId="0" applyFont="1" applyFill="1" applyBorder="1" applyAlignment="1" applyProtection="1">
      <alignment vertical="center"/>
    </xf>
    <xf numFmtId="0" fontId="39" fillId="5" borderId="35" xfId="0" applyFont="1" applyFill="1" applyBorder="1" applyAlignment="1" applyProtection="1">
      <alignment vertical="center"/>
    </xf>
    <xf numFmtId="0" fontId="39" fillId="4" borderId="25" xfId="0" applyFont="1" applyFill="1" applyBorder="1" applyAlignment="1" applyProtection="1">
      <alignment vertical="center"/>
    </xf>
    <xf numFmtId="0" fontId="39" fillId="4" borderId="29" xfId="0" applyFont="1" applyFill="1" applyBorder="1" applyProtection="1"/>
    <xf numFmtId="0" fontId="39" fillId="4" borderId="27" xfId="0" applyFont="1" applyFill="1" applyBorder="1" applyAlignment="1" applyProtection="1">
      <alignment vertical="center"/>
    </xf>
    <xf numFmtId="0" fontId="39" fillId="4" borderId="29" xfId="0" applyFont="1" applyFill="1" applyBorder="1" applyAlignment="1" applyProtection="1">
      <alignment vertical="center"/>
    </xf>
    <xf numFmtId="0" fontId="39" fillId="4" borderId="33" xfId="0" applyFont="1" applyFill="1" applyBorder="1" applyAlignment="1" applyProtection="1">
      <alignment vertical="center"/>
    </xf>
    <xf numFmtId="0" fontId="39" fillId="4" borderId="35" xfId="0" applyFont="1" applyFill="1" applyBorder="1" applyAlignment="1" applyProtection="1">
      <alignment vertical="center"/>
    </xf>
    <xf numFmtId="0" fontId="30" fillId="4" borderId="14" xfId="0" applyFont="1" applyFill="1" applyBorder="1" applyAlignment="1" applyProtection="1">
      <alignment horizontal="centerContinuous" vertical="center" wrapText="1"/>
    </xf>
    <xf numFmtId="0" fontId="91" fillId="0" borderId="0" xfId="0" applyFont="1" applyAlignment="1" applyProtection="1">
      <alignment vertical="center"/>
    </xf>
    <xf numFmtId="0" fontId="38" fillId="0" borderId="0" xfId="0" quotePrefix="1" applyFont="1" applyFill="1" applyAlignment="1" applyProtection="1">
      <alignment vertical="center"/>
    </xf>
    <xf numFmtId="0" fontId="42" fillId="0" borderId="0" xfId="0" applyFont="1" applyAlignment="1" applyProtection="1">
      <alignment vertical="center"/>
    </xf>
    <xf numFmtId="0" fontId="38" fillId="0" borderId="0" xfId="0" applyFont="1" applyProtection="1"/>
    <xf numFmtId="0" fontId="38" fillId="0" borderId="0" xfId="0" applyFont="1" applyAlignment="1" applyProtection="1">
      <alignment vertical="center"/>
    </xf>
    <xf numFmtId="0" fontId="38" fillId="0" borderId="0" xfId="0" quotePrefix="1" applyFont="1" applyFill="1" applyProtection="1"/>
    <xf numFmtId="3" fontId="39" fillId="0" borderId="0" xfId="1" applyNumberFormat="1" applyFont="1" applyAlignment="1" applyProtection="1">
      <alignment horizontal="center" vertical="center"/>
    </xf>
    <xf numFmtId="0" fontId="38" fillId="0" borderId="0" xfId="0" quotePrefix="1" applyFont="1" applyProtection="1"/>
    <xf numFmtId="0" fontId="91" fillId="0" borderId="0" xfId="0" applyFont="1" applyAlignment="1" applyProtection="1">
      <alignment horizontal="left" vertical="center"/>
    </xf>
    <xf numFmtId="0" fontId="42" fillId="0" borderId="0" xfId="0" applyFont="1" applyAlignment="1" applyProtection="1">
      <alignment horizontal="left" vertical="center" indent="1"/>
    </xf>
    <xf numFmtId="0" fontId="38" fillId="0" borderId="0" xfId="0" applyFont="1" applyFill="1" applyAlignment="1" applyProtection="1">
      <alignment vertical="center"/>
    </xf>
    <xf numFmtId="0" fontId="1" fillId="0" borderId="43" xfId="0" quotePrefix="1" applyFont="1" applyFill="1" applyBorder="1" applyProtection="1">
      <protection locked="0"/>
    </xf>
    <xf numFmtId="0" fontId="1" fillId="0" borderId="44" xfId="0" applyFont="1" applyFill="1" applyBorder="1" applyProtection="1">
      <protection locked="0"/>
    </xf>
    <xf numFmtId="0" fontId="1" fillId="9" borderId="45" xfId="0" applyFont="1" applyFill="1" applyBorder="1" applyProtection="1">
      <protection locked="0"/>
    </xf>
    <xf numFmtId="0" fontId="1" fillId="10" borderId="46" xfId="0" applyFont="1" applyFill="1" applyBorder="1" applyProtection="1">
      <protection locked="0"/>
    </xf>
    <xf numFmtId="0" fontId="1" fillId="10" borderId="47" xfId="0" applyFont="1" applyFill="1" applyBorder="1" applyProtection="1">
      <protection locked="0"/>
    </xf>
    <xf numFmtId="0" fontId="1" fillId="0" borderId="47" xfId="0" applyFont="1" applyFill="1" applyBorder="1" applyProtection="1">
      <protection locked="0"/>
    </xf>
    <xf numFmtId="0" fontId="1" fillId="9" borderId="48" xfId="0" applyFont="1" applyFill="1" applyBorder="1" applyProtection="1">
      <protection locked="0"/>
    </xf>
    <xf numFmtId="0" fontId="1" fillId="0" borderId="49" xfId="0" applyFont="1" applyFill="1" applyBorder="1" applyProtection="1">
      <protection locked="0"/>
    </xf>
    <xf numFmtId="0" fontId="1" fillId="0" borderId="2" xfId="0" applyFont="1" applyFill="1" applyBorder="1" applyProtection="1">
      <protection locked="0"/>
    </xf>
    <xf numFmtId="0" fontId="1" fillId="0" borderId="46" xfId="0" applyFont="1" applyFill="1" applyBorder="1" applyProtection="1">
      <protection locked="0"/>
    </xf>
    <xf numFmtId="0" fontId="1" fillId="1" borderId="50" xfId="0" applyFont="1" applyFill="1" applyBorder="1" applyProtection="1">
      <protection locked="0"/>
    </xf>
    <xf numFmtId="0" fontId="1" fillId="11" borderId="54" xfId="0" applyFont="1" applyFill="1" applyBorder="1" applyProtection="1">
      <protection locked="0"/>
    </xf>
    <xf numFmtId="0" fontId="1" fillId="0" borderId="51" xfId="0" applyFont="1" applyFill="1" applyBorder="1" applyProtection="1">
      <protection locked="0"/>
    </xf>
    <xf numFmtId="0" fontId="1" fillId="0" borderId="52" xfId="0" applyFont="1" applyFill="1" applyBorder="1" applyProtection="1">
      <protection locked="0"/>
    </xf>
    <xf numFmtId="0" fontId="1" fillId="9" borderId="52" xfId="0" applyFont="1" applyFill="1" applyBorder="1" applyProtection="1">
      <protection locked="0"/>
    </xf>
    <xf numFmtId="0" fontId="1" fillId="0" borderId="17" xfId="0" applyFont="1" applyFill="1" applyBorder="1" applyProtection="1">
      <protection locked="0"/>
    </xf>
    <xf numFmtId="0" fontId="1" fillId="0" borderId="19" xfId="0" applyFont="1" applyFill="1" applyBorder="1" applyProtection="1">
      <protection locked="0"/>
    </xf>
    <xf numFmtId="0" fontId="1" fillId="9" borderId="21" xfId="0" applyFont="1" applyFill="1" applyBorder="1" applyProtection="1">
      <protection locked="0"/>
    </xf>
    <xf numFmtId="0" fontId="1" fillId="0" borderId="51" xfId="0" applyFont="1" applyFill="1" applyBorder="1" applyAlignment="1" applyProtection="1">
      <alignment vertical="center"/>
      <protection locked="0"/>
    </xf>
    <xf numFmtId="0" fontId="1" fillId="0" borderId="54" xfId="0" applyFont="1" applyFill="1" applyBorder="1" applyAlignment="1" applyProtection="1">
      <alignment vertical="center"/>
      <protection locked="0"/>
    </xf>
    <xf numFmtId="0" fontId="1" fillId="0" borderId="44" xfId="0" applyFont="1" applyFill="1" applyBorder="1" applyAlignment="1" applyProtection="1">
      <alignment vertical="center"/>
      <protection locked="0"/>
    </xf>
    <xf numFmtId="0" fontId="1" fillId="0" borderId="54" xfId="0" quotePrefix="1" applyFont="1" applyFill="1" applyBorder="1" applyAlignment="1" applyProtection="1">
      <alignment vertical="center"/>
      <protection locked="0"/>
    </xf>
    <xf numFmtId="0" fontId="1" fillId="9" borderId="55" xfId="0" applyFont="1" applyFill="1" applyBorder="1" applyAlignment="1" applyProtection="1">
      <alignment vertical="center"/>
      <protection locked="0"/>
    </xf>
    <xf numFmtId="0" fontId="1" fillId="0" borderId="49" xfId="0" applyFont="1" applyFill="1" applyBorder="1" applyAlignment="1" applyProtection="1">
      <alignment vertical="center"/>
      <protection locked="0"/>
    </xf>
    <xf numFmtId="0" fontId="1" fillId="0" borderId="56"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9" borderId="48" xfId="0" applyFont="1" applyFill="1" applyBorder="1" applyAlignment="1" applyProtection="1">
      <alignment vertical="center"/>
      <protection locked="0"/>
    </xf>
    <xf numFmtId="0" fontId="1" fillId="0" borderId="46" xfId="0" applyFont="1" applyFill="1" applyBorder="1" applyAlignment="1" applyProtection="1">
      <alignment vertical="center"/>
      <protection locked="0"/>
    </xf>
    <xf numFmtId="0" fontId="1" fillId="0" borderId="57" xfId="0" applyFont="1" applyFill="1" applyBorder="1" applyAlignment="1" applyProtection="1">
      <alignment vertical="center"/>
      <protection locked="0"/>
    </xf>
    <xf numFmtId="0" fontId="1" fillId="0" borderId="58" xfId="0" applyFont="1" applyFill="1" applyBorder="1" applyAlignment="1" applyProtection="1">
      <alignment vertical="center"/>
      <protection locked="0"/>
    </xf>
    <xf numFmtId="0" fontId="1" fillId="9" borderId="59" xfId="0" applyFont="1" applyFill="1" applyBorder="1" applyAlignment="1" applyProtection="1">
      <alignment vertical="center"/>
      <protection locked="0"/>
    </xf>
    <xf numFmtId="0" fontId="1" fillId="1" borderId="50" xfId="0" applyFont="1" applyFill="1" applyBorder="1" applyAlignment="1" applyProtection="1">
      <alignment vertical="center"/>
      <protection locked="0"/>
    </xf>
    <xf numFmtId="0" fontId="1" fillId="11" borderId="55" xfId="0" applyFont="1" applyFill="1" applyBorder="1" applyAlignment="1" applyProtection="1">
      <alignment vertical="center"/>
      <protection locked="0"/>
    </xf>
    <xf numFmtId="0" fontId="1" fillId="0" borderId="17" xfId="0" applyFont="1" applyFill="1" applyBorder="1" applyAlignment="1" applyProtection="1">
      <alignment vertical="center"/>
      <protection locked="0"/>
    </xf>
    <xf numFmtId="0" fontId="1" fillId="0" borderId="19" xfId="0" applyFont="1" applyFill="1" applyBorder="1" applyAlignment="1" applyProtection="1">
      <alignment vertical="center"/>
      <protection locked="0"/>
    </xf>
    <xf numFmtId="0" fontId="1" fillId="0" borderId="60" xfId="0" applyFont="1" applyFill="1" applyBorder="1" applyAlignment="1" applyProtection="1">
      <alignment vertical="center"/>
      <protection locked="0"/>
    </xf>
    <xf numFmtId="0" fontId="1" fillId="9" borderId="61" xfId="0" applyFont="1" applyFill="1" applyBorder="1" applyAlignment="1" applyProtection="1">
      <alignment vertical="center"/>
      <protection locked="0"/>
    </xf>
    <xf numFmtId="0" fontId="40" fillId="9" borderId="41" xfId="0" applyFont="1" applyFill="1" applyBorder="1" applyAlignment="1" applyProtection="1">
      <alignment vertical="center"/>
    </xf>
    <xf numFmtId="0" fontId="40" fillId="9" borderId="40" xfId="0" applyFont="1" applyFill="1" applyBorder="1" applyAlignment="1" applyProtection="1">
      <alignment vertical="center"/>
    </xf>
    <xf numFmtId="0" fontId="40" fillId="9" borderId="42" xfId="0" applyFont="1" applyFill="1" applyBorder="1" applyAlignment="1" applyProtection="1">
      <alignment vertical="center"/>
    </xf>
    <xf numFmtId="0" fontId="92" fillId="0" borderId="0" xfId="0" applyFont="1" applyProtection="1"/>
    <xf numFmtId="0" fontId="93" fillId="0" borderId="0" xfId="0" applyFont="1"/>
    <xf numFmtId="0" fontId="93" fillId="0" borderId="4" xfId="0" applyFont="1" applyBorder="1" applyAlignment="1">
      <alignment horizontal="centerContinuous"/>
    </xf>
    <xf numFmtId="0" fontId="94" fillId="0" borderId="0" xfId="0" applyFont="1"/>
    <xf numFmtId="0" fontId="95" fillId="4" borderId="0" xfId="0" applyFont="1" applyFill="1" applyAlignment="1">
      <alignment vertical="top"/>
    </xf>
    <xf numFmtId="0" fontId="93" fillId="4" borderId="0" xfId="0" applyFont="1" applyFill="1"/>
    <xf numFmtId="0" fontId="93" fillId="4" borderId="0" xfId="0" applyFont="1" applyFill="1" applyAlignment="1">
      <alignment vertical="top" wrapText="1"/>
    </xf>
    <xf numFmtId="0" fontId="96" fillId="0" borderId="0" xfId="0" applyFont="1" applyAlignment="1">
      <alignment vertical="top" wrapText="1"/>
    </xf>
    <xf numFmtId="0" fontId="93" fillId="0" borderId="0" xfId="0" applyFont="1" applyAlignment="1">
      <alignment vertical="top" wrapText="1"/>
    </xf>
    <xf numFmtId="0" fontId="95" fillId="5" borderId="0" xfId="0" applyFont="1" applyFill="1" applyAlignment="1">
      <alignment vertical="top"/>
    </xf>
    <xf numFmtId="0" fontId="93" fillId="5" borderId="0" xfId="0" applyFont="1" applyFill="1" applyAlignment="1">
      <alignment vertical="top"/>
    </xf>
    <xf numFmtId="0" fontId="93" fillId="0" borderId="0" xfId="0" applyNumberFormat="1" applyFont="1"/>
    <xf numFmtId="0" fontId="93" fillId="5" borderId="0" xfId="0" applyNumberFormat="1" applyFont="1" applyFill="1" applyAlignment="1">
      <alignment vertical="center" wrapText="1"/>
    </xf>
    <xf numFmtId="0" fontId="93" fillId="0" borderId="0" xfId="0" applyFont="1" applyAlignment="1">
      <alignment vertical="top"/>
    </xf>
    <xf numFmtId="0" fontId="93" fillId="0" borderId="0" xfId="0" applyNumberFormat="1" applyFont="1" applyAlignment="1">
      <alignment vertical="top" wrapText="1"/>
    </xf>
    <xf numFmtId="0" fontId="98" fillId="4" borderId="0" xfId="0" applyFont="1" applyFill="1" applyAlignment="1">
      <alignment vertical="top" wrapText="1"/>
    </xf>
    <xf numFmtId="0" fontId="98" fillId="5" borderId="0" xfId="0" applyFont="1" applyFill="1" applyAlignment="1">
      <alignment vertical="top" wrapText="1"/>
    </xf>
    <xf numFmtId="0" fontId="93" fillId="5" borderId="0" xfId="0" applyFont="1" applyFill="1" applyAlignment="1">
      <alignment vertical="top" wrapText="1"/>
    </xf>
    <xf numFmtId="0" fontId="89" fillId="0" borderId="0" xfId="0" applyFont="1"/>
    <xf numFmtId="0" fontId="93" fillId="0" borderId="0" xfId="0" applyFont="1" applyAlignment="1">
      <alignment horizontal="justify" vertical="center" wrapText="1"/>
    </xf>
    <xf numFmtId="0" fontId="89" fillId="0" borderId="0" xfId="0" applyFont="1" applyAlignment="1">
      <alignment horizontal="center"/>
    </xf>
    <xf numFmtId="0" fontId="89" fillId="0" borderId="3" xfId="0" applyFont="1" applyBorder="1"/>
    <xf numFmtId="0" fontId="89" fillId="4" borderId="0" xfId="0" applyFont="1" applyFill="1"/>
    <xf numFmtId="0" fontId="89" fillId="4" borderId="0" xfId="0" quotePrefix="1" applyFont="1" applyFill="1" applyAlignment="1">
      <alignment horizontal="left" vertical="top" wrapText="1" readingOrder="1"/>
    </xf>
    <xf numFmtId="0" fontId="89" fillId="4" borderId="0" xfId="0" applyFont="1" applyFill="1" applyAlignment="1">
      <alignment horizontal="left" vertical="top" wrapText="1" readingOrder="1"/>
    </xf>
    <xf numFmtId="0" fontId="99" fillId="0" borderId="0" xfId="5" applyFont="1" applyAlignment="1" applyProtection="1">
      <alignment horizontal="center"/>
    </xf>
    <xf numFmtId="0" fontId="93" fillId="4" borderId="0" xfId="0" applyFont="1" applyFill="1" applyAlignment="1">
      <alignment horizontal="left" vertical="top" wrapText="1" indent="1" readingOrder="1"/>
    </xf>
    <xf numFmtId="0" fontId="98" fillId="4" borderId="0" xfId="0" applyFont="1" applyFill="1"/>
    <xf numFmtId="0" fontId="98" fillId="4" borderId="0" xfId="0" applyFont="1" applyFill="1" applyAlignment="1">
      <alignment horizontal="left" vertical="top" wrapText="1" indent="1" readingOrder="1"/>
    </xf>
    <xf numFmtId="0" fontId="98" fillId="0" borderId="0" xfId="0" applyFont="1" applyAlignment="1">
      <alignment horizontal="center"/>
    </xf>
    <xf numFmtId="0" fontId="97" fillId="0" borderId="0" xfId="0" applyFont="1"/>
    <xf numFmtId="0" fontId="93" fillId="4" borderId="0" xfId="0" applyNumberFormat="1" applyFont="1" applyFill="1" applyAlignment="1">
      <alignment horizontal="left" vertical="top" wrapText="1" indent="3" readingOrder="1"/>
    </xf>
    <xf numFmtId="0" fontId="93" fillId="4" borderId="0" xfId="0" applyFont="1" applyFill="1" applyAlignment="1">
      <alignment horizontal="left" vertical="top" wrapText="1" indent="3" readingOrder="1"/>
    </xf>
    <xf numFmtId="0" fontId="93" fillId="4" borderId="0" xfId="0" applyFont="1" applyFill="1" applyAlignment="1">
      <alignment horizontal="left" vertical="top" wrapText="1" indent="4" readingOrder="1"/>
    </xf>
    <xf numFmtId="0" fontId="98" fillId="4" borderId="0" xfId="0" applyFont="1" applyFill="1" applyAlignment="1">
      <alignment horizontal="left" vertical="center" wrapText="1" indent="1"/>
    </xf>
    <xf numFmtId="0" fontId="98" fillId="0" borderId="0" xfId="0" applyFont="1"/>
    <xf numFmtId="0" fontId="93" fillId="4" borderId="0" xfId="0" applyFont="1" applyFill="1" applyAlignment="1">
      <alignment horizontal="left" vertical="center" wrapText="1" indent="2"/>
    </xf>
    <xf numFmtId="0" fontId="93" fillId="4" borderId="0" xfId="0" applyFont="1" applyFill="1" applyAlignment="1">
      <alignment horizontal="left" wrapText="1" indent="1"/>
    </xf>
    <xf numFmtId="0" fontId="98" fillId="4" borderId="0" xfId="0" applyFont="1" applyFill="1" applyAlignment="1">
      <alignment horizontal="left" wrapText="1" indent="1"/>
    </xf>
    <xf numFmtId="0" fontId="93" fillId="4" borderId="0" xfId="0" applyFont="1" applyFill="1" applyAlignment="1">
      <alignment horizontal="left" vertical="top" wrapText="1" indent="2" readingOrder="1"/>
    </xf>
    <xf numFmtId="0" fontId="89" fillId="4" borderId="0" xfId="0" quotePrefix="1" applyFont="1" applyFill="1"/>
    <xf numFmtId="0" fontId="89" fillId="4" borderId="0" xfId="0" applyFont="1" applyFill="1" applyAlignment="1">
      <alignment horizontal="justify" wrapText="1"/>
    </xf>
    <xf numFmtId="0" fontId="93" fillId="4" borderId="0" xfId="0" applyFont="1" applyFill="1" applyAlignment="1">
      <alignment horizontal="left" wrapText="1" indent="2"/>
    </xf>
    <xf numFmtId="0" fontId="89" fillId="4" borderId="0" xfId="0" applyFont="1" applyFill="1" applyAlignment="1">
      <alignment horizontal="left" indent="1"/>
    </xf>
    <xf numFmtId="0" fontId="93" fillId="0" borderId="0" xfId="0" applyFont="1" applyAlignment="1">
      <alignment horizontal="left" indent="1"/>
    </xf>
    <xf numFmtId="0" fontId="93" fillId="4" borderId="0" xfId="0" applyFont="1" applyFill="1" applyAlignment="1">
      <alignment horizontal="left" wrapText="1" indent="2" readingOrder="1"/>
    </xf>
    <xf numFmtId="0" fontId="89" fillId="4" borderId="0" xfId="0" applyFont="1" applyFill="1" applyAlignment="1">
      <alignment horizontal="justify" vertical="center" wrapText="1"/>
    </xf>
    <xf numFmtId="0" fontId="95" fillId="0" borderId="4" xfId="0" applyFont="1" applyBorder="1" applyAlignment="1">
      <alignment horizontal="center" vertical="center" wrapText="1"/>
    </xf>
    <xf numFmtId="0" fontId="103" fillId="4" borderId="0" xfId="0" applyFont="1" applyFill="1" applyAlignment="1">
      <alignment horizontal="justify" vertical="center" wrapText="1"/>
    </xf>
    <xf numFmtId="0" fontId="103" fillId="4" borderId="0" xfId="0" applyFont="1" applyFill="1" applyAlignment="1">
      <alignment horizontal="left" vertical="center" wrapText="1"/>
    </xf>
    <xf numFmtId="0" fontId="104" fillId="0" borderId="3" xfId="0" applyFont="1" applyBorder="1" applyAlignment="1">
      <alignment horizontal="centerContinuous" vertical="center"/>
    </xf>
    <xf numFmtId="0" fontId="89" fillId="0" borderId="0" xfId="0" applyFont="1" applyAlignment="1">
      <alignment vertical="top" wrapText="1"/>
    </xf>
    <xf numFmtId="0" fontId="1" fillId="0" borderId="0" xfId="0" applyFont="1"/>
    <xf numFmtId="0" fontId="89" fillId="5" borderId="0" xfId="0" quotePrefix="1" applyFont="1" applyFill="1" applyAlignment="1">
      <alignment vertical="top" wrapText="1"/>
    </xf>
    <xf numFmtId="0" fontId="89" fillId="5" borderId="0" xfId="0" applyFont="1" applyFill="1" applyAlignment="1">
      <alignment horizontal="justify"/>
    </xf>
    <xf numFmtId="0" fontId="89" fillId="5" borderId="0" xfId="0" applyFont="1" applyFill="1" applyAlignment="1">
      <alignment vertical="top" wrapText="1"/>
    </xf>
    <xf numFmtId="0" fontId="93" fillId="5" borderId="0" xfId="0" applyFont="1" applyFill="1" applyAlignment="1">
      <alignment horizontal="left" wrapText="1" indent="1"/>
    </xf>
    <xf numFmtId="0" fontId="89" fillId="5" borderId="0" xfId="0" applyFont="1" applyFill="1" applyAlignment="1">
      <alignment horizontal="left" wrapText="1"/>
    </xf>
    <xf numFmtId="0" fontId="93" fillId="5" borderId="0" xfId="0" applyFont="1" applyFill="1" applyAlignment="1">
      <alignment horizontal="left" vertical="top" wrapText="1" indent="1" readingOrder="1"/>
    </xf>
    <xf numFmtId="0" fontId="89" fillId="5" borderId="0" xfId="0" applyFont="1" applyFill="1" applyAlignment="1">
      <alignment horizontal="left" wrapText="1" indent="1"/>
    </xf>
    <xf numFmtId="0" fontId="98" fillId="5" borderId="0" xfId="0" applyFont="1" applyFill="1" applyAlignment="1">
      <alignment horizontal="left" wrapText="1" indent="1"/>
    </xf>
    <xf numFmtId="0" fontId="99" fillId="0" borderId="0" xfId="5" applyFont="1" applyAlignment="1" applyProtection="1">
      <alignment horizontal="center" vertical="center"/>
    </xf>
    <xf numFmtId="0" fontId="89" fillId="5" borderId="0" xfId="0" applyFont="1" applyFill="1"/>
    <xf numFmtId="0" fontId="89" fillId="5" borderId="0" xfId="0" applyFont="1" applyFill="1" applyAlignment="1">
      <alignment horizontal="left" vertical="top" wrapText="1" indent="1"/>
    </xf>
    <xf numFmtId="0" fontId="89" fillId="0" borderId="0" xfId="0" applyFont="1" applyAlignment="1">
      <alignment horizontal="justify"/>
    </xf>
    <xf numFmtId="0" fontId="93" fillId="0" borderId="0" xfId="0" applyFont="1" applyAlignment="1">
      <alignment horizontal="justify"/>
    </xf>
    <xf numFmtId="0" fontId="95" fillId="0" borderId="4" xfId="0" applyFont="1" applyBorder="1" applyAlignment="1">
      <alignment horizontal="center" vertical="center"/>
    </xf>
    <xf numFmtId="0" fontId="80" fillId="15" borderId="0" xfId="0" applyFont="1" applyFill="1" applyAlignment="1" applyProtection="1">
      <alignment horizontal="centerContinuous"/>
    </xf>
    <xf numFmtId="0" fontId="1" fillId="15" borderId="0" xfId="6" applyFill="1" applyAlignment="1"/>
    <xf numFmtId="0" fontId="105" fillId="15" borderId="0" xfId="5" applyFont="1" applyFill="1" applyAlignment="1" applyProtection="1"/>
    <xf numFmtId="0" fontId="0" fillId="0" borderId="81" xfId="0" applyBorder="1" applyProtection="1"/>
    <xf numFmtId="0" fontId="0" fillId="0" borderId="82" xfId="0" applyBorder="1" applyProtection="1"/>
    <xf numFmtId="0" fontId="19" fillId="21" borderId="81" xfId="15" applyFill="1" applyBorder="1" applyProtection="1"/>
    <xf numFmtId="0" fontId="1" fillId="21" borderId="81" xfId="0" applyFont="1" applyFill="1" applyBorder="1" applyProtection="1"/>
    <xf numFmtId="0" fontId="0" fillId="17" borderId="82" xfId="0" applyFill="1" applyBorder="1" applyProtection="1"/>
    <xf numFmtId="0" fontId="1" fillId="0" borderId="81" xfId="0" applyFont="1" applyFill="1" applyBorder="1" applyProtection="1"/>
    <xf numFmtId="0" fontId="1" fillId="0" borderId="82" xfId="0" applyFont="1" applyFill="1" applyBorder="1" applyProtection="1"/>
    <xf numFmtId="0" fontId="1" fillId="0" borderId="80" xfId="0" applyFont="1" applyFill="1" applyBorder="1" applyAlignment="1" applyProtection="1">
      <alignment horizontal="center"/>
    </xf>
    <xf numFmtId="0" fontId="0" fillId="0" borderId="95" xfId="0" applyBorder="1" applyAlignment="1" applyProtection="1">
      <alignment horizontal="center" vertical="center"/>
    </xf>
    <xf numFmtId="0" fontId="35" fillId="0" borderId="27" xfId="0" applyFont="1" applyBorder="1" applyAlignment="1" applyProtection="1">
      <alignment horizontal="left"/>
      <protection locked="0"/>
    </xf>
    <xf numFmtId="0" fontId="36" fillId="0" borderId="27" xfId="0" applyFont="1" applyBorder="1" applyAlignment="1" applyProtection="1">
      <alignment horizontal="left"/>
      <protection locked="0"/>
    </xf>
    <xf numFmtId="0" fontId="30" fillId="9" borderId="58" xfId="0" applyFont="1" applyFill="1" applyBorder="1" applyAlignment="1" applyProtection="1">
      <alignment horizontal="center" vertical="center"/>
    </xf>
    <xf numFmtId="0" fontId="0" fillId="0" borderId="47" xfId="0" applyBorder="1" applyProtection="1"/>
    <xf numFmtId="0" fontId="39" fillId="9" borderId="58" xfId="0" applyFont="1" applyFill="1" applyBorder="1" applyAlignment="1" applyProtection="1">
      <alignment horizontal="center" vertical="center" wrapText="1"/>
    </xf>
    <xf numFmtId="0" fontId="39" fillId="9" borderId="47" xfId="0" applyFont="1" applyFill="1" applyBorder="1" applyAlignment="1" applyProtection="1">
      <alignment horizontal="center" vertical="center" wrapText="1"/>
    </xf>
    <xf numFmtId="0" fontId="0" fillId="0" borderId="27" xfId="0" applyBorder="1" applyAlignment="1" applyProtection="1">
      <alignment horizontal="left"/>
      <protection locked="0"/>
    </xf>
    <xf numFmtId="0" fontId="38" fillId="8" borderId="58" xfId="0" applyFont="1" applyFill="1" applyBorder="1" applyAlignment="1" applyProtection="1">
      <alignment horizontal="center" vertical="center" wrapText="1"/>
    </xf>
    <xf numFmtId="0" fontId="38" fillId="8" borderId="47" xfId="0" applyFont="1" applyFill="1" applyBorder="1" applyAlignment="1" applyProtection="1">
      <alignment horizontal="center" vertical="center" wrapText="1"/>
    </xf>
    <xf numFmtId="0" fontId="38" fillId="15" borderId="67" xfId="0" applyFont="1" applyFill="1" applyBorder="1" applyAlignment="1" applyProtection="1">
      <alignment horizontal="center" vertical="center" wrapText="1"/>
    </xf>
    <xf numFmtId="0" fontId="38" fillId="8" borderId="62" xfId="0" applyFont="1" applyFill="1" applyBorder="1" applyAlignment="1" applyProtection="1">
      <alignment horizontal="center" vertical="center" wrapText="1"/>
    </xf>
    <xf numFmtId="0" fontId="6" fillId="19" borderId="70" xfId="0" applyFont="1" applyFill="1" applyBorder="1" applyAlignment="1" applyProtection="1">
      <alignment horizontal="center" vertical="center" wrapText="1"/>
    </xf>
    <xf numFmtId="0" fontId="6" fillId="19" borderId="92" xfId="0" applyFont="1" applyFill="1" applyBorder="1" applyAlignment="1" applyProtection="1">
      <alignment horizontal="center" vertical="center" wrapText="1"/>
    </xf>
    <xf numFmtId="0" fontId="6" fillId="8" borderId="68" xfId="0" applyFont="1" applyFill="1" applyBorder="1" applyAlignment="1" applyProtection="1">
      <alignment horizontal="center" vertical="center" wrapText="1"/>
    </xf>
    <xf numFmtId="0" fontId="6" fillId="8" borderId="57" xfId="0" applyFont="1" applyFill="1" applyBorder="1" applyAlignment="1" applyProtection="1">
      <alignment horizontal="center" vertical="center" wrapText="1"/>
    </xf>
    <xf numFmtId="0" fontId="6" fillId="8" borderId="58" xfId="0" applyFont="1" applyFill="1" applyBorder="1" applyAlignment="1" applyProtection="1">
      <alignment horizontal="center" vertical="center" wrapText="1"/>
    </xf>
    <xf numFmtId="0" fontId="6" fillId="8" borderId="47" xfId="0" applyFont="1" applyFill="1" applyBorder="1" applyAlignment="1" applyProtection="1">
      <alignment horizontal="center" vertical="center" wrapText="1"/>
    </xf>
    <xf numFmtId="0" fontId="57" fillId="9" borderId="58" xfId="0" applyFont="1" applyFill="1" applyBorder="1" applyAlignment="1" applyProtection="1">
      <alignment horizontal="center" vertical="center" wrapText="1"/>
    </xf>
    <xf numFmtId="0" fontId="57" fillId="9" borderId="47" xfId="0" applyFont="1" applyFill="1" applyBorder="1" applyAlignment="1" applyProtection="1">
      <alignment horizontal="center" vertical="center" wrapText="1"/>
    </xf>
    <xf numFmtId="0" fontId="30" fillId="9" borderId="47" xfId="0" applyFont="1" applyFill="1" applyBorder="1" applyAlignment="1" applyProtection="1">
      <alignment horizontal="center" vertical="center"/>
    </xf>
    <xf numFmtId="0" fontId="6" fillId="19" borderId="30" xfId="0" applyFont="1" applyFill="1" applyBorder="1" applyAlignment="1" applyProtection="1">
      <alignment horizontal="center" vertical="center" wrapText="1"/>
    </xf>
    <xf numFmtId="0" fontId="6" fillId="19" borderId="27" xfId="0" applyFont="1" applyFill="1" applyBorder="1" applyAlignment="1" applyProtection="1">
      <alignment horizontal="center" vertical="center" wrapText="1"/>
    </xf>
    <xf numFmtId="0" fontId="6" fillId="8" borderId="93" xfId="0" applyFont="1" applyFill="1" applyBorder="1" applyAlignment="1" applyProtection="1">
      <alignment horizontal="center" vertical="center" wrapText="1"/>
    </xf>
    <xf numFmtId="0" fontId="6" fillId="8" borderId="77" xfId="0" applyFont="1" applyFill="1" applyBorder="1" applyAlignment="1" applyProtection="1">
      <alignment horizontal="center" vertical="center" wrapText="1"/>
    </xf>
    <xf numFmtId="0" fontId="6" fillId="8" borderId="72" xfId="0" applyFont="1" applyFill="1" applyBorder="1" applyAlignment="1" applyProtection="1">
      <alignment horizontal="center" vertical="center" wrapText="1"/>
    </xf>
    <xf numFmtId="0" fontId="6" fillId="8" borderId="78" xfId="0" applyFont="1" applyFill="1" applyBorder="1" applyAlignment="1" applyProtection="1">
      <alignment horizontal="center" vertical="center" wrapText="1"/>
    </xf>
    <xf numFmtId="0" fontId="6" fillId="19" borderId="67" xfId="0" applyFont="1" applyFill="1" applyBorder="1" applyAlignment="1" applyProtection="1">
      <alignment horizontal="center" vertical="center" wrapText="1"/>
    </xf>
    <xf numFmtId="0" fontId="6" fillId="19" borderId="62" xfId="0" applyFont="1" applyFill="1" applyBorder="1" applyAlignment="1" applyProtection="1">
      <alignment horizontal="center" vertical="center" wrapText="1"/>
    </xf>
    <xf numFmtId="0" fontId="30" fillId="9" borderId="58" xfId="0" applyFont="1" applyFill="1" applyBorder="1" applyAlignment="1" applyProtection="1">
      <alignment horizontal="center" vertical="center" wrapText="1"/>
    </xf>
    <xf numFmtId="0" fontId="30" fillId="9" borderId="47" xfId="0" applyFont="1" applyFill="1" applyBorder="1" applyAlignment="1" applyProtection="1">
      <alignment horizontal="center" vertical="center" wrapText="1"/>
    </xf>
    <xf numFmtId="0" fontId="6" fillId="8" borderId="67" xfId="0" applyFont="1" applyFill="1" applyBorder="1" applyAlignment="1" applyProtection="1">
      <alignment horizontal="center" vertical="center" wrapText="1"/>
    </xf>
    <xf numFmtId="0" fontId="6" fillId="8" borderId="62" xfId="0" applyFont="1" applyFill="1" applyBorder="1" applyAlignment="1" applyProtection="1">
      <alignment horizontal="center" vertical="center" wrapText="1"/>
    </xf>
    <xf numFmtId="0" fontId="38" fillId="15" borderId="47" xfId="0" applyFont="1" applyFill="1" applyBorder="1" applyAlignment="1" applyProtection="1">
      <alignment horizontal="center" vertical="center" wrapText="1"/>
    </xf>
    <xf numFmtId="0" fontId="68" fillId="8" borderId="67" xfId="0" applyFont="1" applyFill="1" applyBorder="1" applyAlignment="1" applyProtection="1">
      <alignment horizontal="center" vertical="center"/>
    </xf>
    <xf numFmtId="0" fontId="68" fillId="8" borderId="30" xfId="0" applyFont="1" applyFill="1" applyBorder="1" applyAlignment="1" applyProtection="1">
      <alignment horizontal="center" vertical="center"/>
    </xf>
    <xf numFmtId="0" fontId="68" fillId="8" borderId="68" xfId="0" applyFont="1" applyFill="1" applyBorder="1" applyAlignment="1" applyProtection="1">
      <alignment horizontal="center" vertical="center"/>
    </xf>
    <xf numFmtId="0" fontId="68" fillId="8" borderId="90" xfId="0" applyFont="1" applyFill="1" applyBorder="1" applyAlignment="1" applyProtection="1">
      <alignment horizontal="center" vertical="center"/>
    </xf>
    <xf numFmtId="0" fontId="68" fillId="8" borderId="0" xfId="0" applyFont="1" applyFill="1" applyBorder="1" applyAlignment="1" applyProtection="1">
      <alignment horizontal="center" vertical="center"/>
    </xf>
    <xf numFmtId="0" fontId="68" fillId="8" borderId="23" xfId="0" applyFont="1" applyFill="1" applyBorder="1" applyAlignment="1" applyProtection="1">
      <alignment horizontal="center" vertical="center"/>
    </xf>
    <xf numFmtId="0" fontId="68" fillId="8" borderId="62" xfId="0" applyFont="1" applyFill="1" applyBorder="1" applyAlignment="1" applyProtection="1">
      <alignment horizontal="center" vertical="center"/>
    </xf>
    <xf numFmtId="0" fontId="68" fillId="8" borderId="27" xfId="0" applyFont="1" applyFill="1" applyBorder="1" applyAlignment="1" applyProtection="1">
      <alignment horizontal="center" vertical="center"/>
    </xf>
    <xf numFmtId="0" fontId="68" fillId="8" borderId="57" xfId="0" applyFont="1" applyFill="1" applyBorder="1" applyAlignment="1" applyProtection="1">
      <alignment horizontal="center" vertical="center"/>
    </xf>
    <xf numFmtId="0" fontId="5" fillId="5" borderId="53" xfId="0" applyFont="1" applyFill="1" applyBorder="1" applyAlignment="1" applyProtection="1">
      <alignment horizontal="center" vertical="center" wrapText="1"/>
    </xf>
    <xf numFmtId="0" fontId="0" fillId="0" borderId="61" xfId="0" applyBorder="1" applyAlignment="1" applyProtection="1"/>
    <xf numFmtId="0" fontId="5" fillId="5" borderId="51" xfId="0" applyFont="1" applyFill="1" applyBorder="1" applyAlignment="1" applyProtection="1">
      <alignment horizontal="center" vertical="center" wrapText="1"/>
    </xf>
    <xf numFmtId="0" fontId="0" fillId="0" borderId="94" xfId="0" applyBorder="1" applyAlignment="1" applyProtection="1"/>
    <xf numFmtId="0" fontId="5" fillId="5" borderId="52" xfId="0" applyFont="1" applyFill="1" applyBorder="1" applyAlignment="1" applyProtection="1">
      <alignment horizontal="center" vertical="center" wrapText="1"/>
    </xf>
    <xf numFmtId="0" fontId="0" fillId="0" borderId="60" xfId="0" applyBorder="1" applyAlignment="1" applyProtection="1"/>
  </cellXfs>
  <cellStyles count="24">
    <cellStyle name="Comma 2" xfId="2" xr:uid="{00000000-0005-0000-0000-000001000000}"/>
    <cellStyle name="Comma 2 2" xfId="3" xr:uid="{00000000-0005-0000-0000-000002000000}"/>
    <cellStyle name="Cover" xfId="4" xr:uid="{00000000-0005-0000-0000-000003000000}"/>
    <cellStyle name="Hyperlink" xfId="5" builtinId="8"/>
    <cellStyle name="Komma" xfId="1" builtinId="3"/>
    <cellStyle name="Menu" xfId="6" xr:uid="{00000000-0005-0000-0000-000005000000}"/>
    <cellStyle name="Menu 2" xfId="7" xr:uid="{00000000-0005-0000-0000-000006000000}"/>
    <cellStyle name="Menu 2 2" xfId="8" xr:uid="{00000000-0005-0000-0000-000007000000}"/>
    <cellStyle name="Menu 3" xfId="9" xr:uid="{00000000-0005-0000-0000-000008000000}"/>
    <cellStyle name="Milliers [0]_ElecTimeSeries" xfId="10" xr:uid="{00000000-0005-0000-0000-000009000000}"/>
    <cellStyle name="Milliers_ElecTimeSeries" xfId="11" xr:uid="{00000000-0005-0000-0000-00000A000000}"/>
    <cellStyle name="Monétaire [0]_ElecTimeSeries" xfId="12" xr:uid="{00000000-0005-0000-0000-00000B000000}"/>
    <cellStyle name="Monétaire_ElecTimeSeries" xfId="13" xr:uid="{00000000-0005-0000-0000-00000C000000}"/>
    <cellStyle name="Normal 2" xfId="14" xr:uid="{00000000-0005-0000-0000-00000E000000}"/>
    <cellStyle name="Normal 2 2" xfId="15" xr:uid="{00000000-0005-0000-0000-00000F000000}"/>
    <cellStyle name="Normal 3" xfId="16" xr:uid="{00000000-0005-0000-0000-000010000000}"/>
    <cellStyle name="Normal 3 2" xfId="17" xr:uid="{00000000-0005-0000-0000-000011000000}"/>
    <cellStyle name="Normal 4" xfId="18" xr:uid="{00000000-0005-0000-0000-000012000000}"/>
    <cellStyle name="Normal 5" xfId="19" xr:uid="{00000000-0005-0000-0000-000013000000}"/>
    <cellStyle name="Normal 6" xfId="20" xr:uid="{00000000-0005-0000-0000-000014000000}"/>
    <cellStyle name="Normal 6 2" xfId="21" xr:uid="{00000000-0005-0000-0000-000015000000}"/>
    <cellStyle name="Normal_OilQues" xfId="22" xr:uid="{00000000-0005-0000-0000-000016000000}"/>
    <cellStyle name="Standaard" xfId="0" builtinId="0"/>
    <cellStyle name="Year" xfId="23" xr:uid="{00000000-0005-0000-0000-000017000000}"/>
  </cellStyles>
  <dxfs count="341">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color rgb="FFFF0000"/>
      </font>
    </dxf>
    <dxf>
      <font>
        <b/>
        <i val="0"/>
        <condense val="0"/>
        <extend val="0"/>
        <color indexed="10"/>
      </font>
    </dxf>
    <dxf>
      <font>
        <b val="0"/>
        <i val="0"/>
        <condense val="0"/>
        <extend val="0"/>
        <color auto="1"/>
      </font>
      <fill>
        <patternFill patternType="solid">
          <bgColor indexed="10"/>
        </patternFill>
      </fill>
    </dxf>
    <dxf>
      <font>
        <b/>
        <i val="0"/>
        <condense val="0"/>
        <extend val="0"/>
        <color indexed="10"/>
      </font>
    </dxf>
    <dxf>
      <font>
        <b/>
        <i val="0"/>
        <condense val="0"/>
        <extend val="0"/>
        <color indexed="61"/>
      </font>
    </dxf>
    <dxf>
      <font>
        <b/>
        <i val="0"/>
        <condense val="0"/>
        <extend val="0"/>
        <color indexed="10"/>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font>
    </dxf>
    <dxf>
      <font>
        <b/>
        <i val="0"/>
        <color rgb="FFFF0000"/>
      </font>
    </dxf>
    <dxf>
      <font>
        <b/>
        <i val="0"/>
      </font>
    </dxf>
    <dxf>
      <font>
        <b/>
        <i val="0"/>
        <condense val="0"/>
        <extend val="0"/>
        <color indexed="10"/>
      </font>
    </dxf>
    <dxf>
      <font>
        <b/>
        <i val="0"/>
        <condense val="0"/>
        <extend val="0"/>
        <color auto="1"/>
      </font>
    </dxf>
    <dxf>
      <font>
        <b/>
        <i val="0"/>
        <condense val="0"/>
        <extend val="0"/>
        <color auto="1"/>
      </font>
    </dxf>
    <dxf>
      <font>
        <b/>
        <i val="0"/>
        <condense val="0"/>
        <extend val="0"/>
        <color indexed="10"/>
      </font>
    </dxf>
    <dxf>
      <fill>
        <patternFill>
          <bgColor rgb="FFFF0000"/>
        </patternFill>
      </fill>
    </dxf>
    <dxf>
      <font>
        <b/>
        <i val="0"/>
        <color auto="1"/>
      </font>
      <fill>
        <patternFill>
          <bgColor rgb="FFFF0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font>
    </dxf>
    <dxf>
      <font>
        <b/>
        <i val="0"/>
        <condense val="0"/>
        <extend val="0"/>
      </font>
    </dxf>
    <dxf>
      <font>
        <b/>
        <i val="0"/>
        <condense val="0"/>
        <extend val="0"/>
        <color indexed="61"/>
      </font>
    </dxf>
    <dxf>
      <font>
        <b/>
        <i val="0"/>
        <condense val="0"/>
        <extend val="0"/>
        <color indexed="10"/>
      </font>
    </dxf>
    <dxf>
      <font>
        <b/>
        <i val="0"/>
        <condense val="0"/>
        <extend val="0"/>
        <color auto="1"/>
      </font>
    </dxf>
    <dxf>
      <font>
        <b/>
        <i val="0"/>
        <condense val="0"/>
        <extend val="0"/>
        <color auto="1"/>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fill>
        <patternFill patternType="none">
          <bgColor indexed="65"/>
        </patternFill>
      </fill>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auto="1"/>
      </font>
      <fill>
        <patternFill>
          <bgColor indexed="10"/>
        </patternFill>
      </fill>
    </dxf>
    <dxf>
      <font>
        <b/>
        <i val="0"/>
        <condense val="0"/>
        <extend val="0"/>
        <color indexed="10"/>
      </font>
    </dxf>
    <dxf>
      <font>
        <b val="0"/>
        <i val="0"/>
        <condense val="0"/>
        <extend val="0"/>
        <color auto="1"/>
      </font>
      <fill>
        <patternFill patternType="solid">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font>
    </dxf>
    <dxf>
      <font>
        <b/>
        <i val="0"/>
        <condense val="0"/>
        <extend val="0"/>
      </font>
    </dxf>
    <dxf>
      <font>
        <b/>
        <i val="0"/>
        <condense val="0"/>
        <extend val="0"/>
        <color indexed="61"/>
      </font>
    </dxf>
    <dxf>
      <font>
        <b/>
        <i val="0"/>
        <condense val="0"/>
        <extend val="0"/>
        <color indexed="10"/>
      </font>
    </dxf>
    <dxf>
      <font>
        <b/>
        <i val="0"/>
        <condense val="0"/>
        <extend val="0"/>
        <color auto="1"/>
      </font>
    </dxf>
    <dxf>
      <font>
        <b/>
        <i val="0"/>
        <condense val="0"/>
        <extend val="0"/>
        <color auto="1"/>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color rgb="FFFF0000"/>
      </font>
    </dxf>
    <dxf>
      <font>
        <condense val="0"/>
        <extend val="0"/>
        <color indexed="10"/>
      </font>
    </dxf>
    <dxf>
      <font>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font>
    </dxf>
    <dxf>
      <font>
        <b/>
        <i val="0"/>
        <color rgb="FFFF0000"/>
      </font>
    </dxf>
    <dxf>
      <font>
        <b/>
        <i val="0"/>
      </font>
    </dxf>
    <dxf>
      <font>
        <b/>
        <i val="0"/>
        <condense val="0"/>
        <extend val="0"/>
        <color indexed="10"/>
      </font>
    </dxf>
    <dxf>
      <font>
        <b/>
        <i val="0"/>
        <condense val="0"/>
        <extend val="0"/>
        <color auto="1"/>
      </font>
    </dxf>
    <dxf>
      <font>
        <b/>
        <i val="0"/>
        <condense val="0"/>
        <extend val="0"/>
        <color auto="1"/>
      </font>
    </dxf>
    <dxf>
      <font>
        <b/>
        <i val="0"/>
        <condense val="0"/>
        <extend val="0"/>
        <color indexed="10"/>
      </font>
    </dxf>
    <dxf>
      <fill>
        <patternFill>
          <bgColor rgb="FFFF0000"/>
        </patternFill>
      </fill>
    </dxf>
    <dxf>
      <font>
        <b/>
        <i val="0"/>
        <color auto="1"/>
      </font>
      <fill>
        <patternFill>
          <bgColor rgb="FFFF0000"/>
        </patternFill>
      </fill>
    </dxf>
    <dxf>
      <font>
        <b/>
        <i val="0"/>
        <condense val="0"/>
        <extend val="0"/>
        <color indexed="10"/>
      </font>
    </dxf>
    <dxf>
      <font>
        <b/>
        <i val="0"/>
        <condense val="0"/>
        <extend val="0"/>
        <color indexed="10"/>
      </font>
    </dxf>
    <dxf>
      <font>
        <b/>
        <i val="0"/>
        <condense val="0"/>
        <extend val="0"/>
        <color auto="1"/>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color auto="1"/>
      </font>
      <fill>
        <patternFill>
          <bgColor rgb="FFFF0000"/>
        </patternFill>
      </fill>
    </dxf>
    <dxf>
      <font>
        <b/>
        <i val="0"/>
        <condense val="0"/>
        <extend val="0"/>
        <color indexed="10"/>
      </font>
    </dxf>
    <dxf>
      <font>
        <b/>
        <i val="0"/>
        <condense val="0"/>
        <extend val="0"/>
        <color auto="1"/>
      </font>
      <fill>
        <patternFill>
          <bgColor indexed="10"/>
        </patternFill>
      </fill>
    </dxf>
    <dxf>
      <font>
        <b/>
        <i val="0"/>
        <condense val="0"/>
        <extend val="0"/>
        <color indexed="10"/>
      </font>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checked="Checked" fmlaLink="DataFromMOS"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476250</xdr:colOff>
      <xdr:row>18</xdr:row>
      <xdr:rowOff>28575</xdr:rowOff>
    </xdr:from>
    <xdr:to>
      <xdr:col>10</xdr:col>
      <xdr:colOff>142875</xdr:colOff>
      <xdr:row>19</xdr:row>
      <xdr:rowOff>19050</xdr:rowOff>
    </xdr:to>
    <xdr:sp macro="" textlink="">
      <xdr:nvSpPr>
        <xdr:cNvPr id="3738" name="Rectangle 5">
          <a:extLst>
            <a:ext uri="{FF2B5EF4-FFF2-40B4-BE49-F238E27FC236}">
              <a16:creationId xmlns:a16="http://schemas.microsoft.com/office/drawing/2014/main" id="{00000000-0008-0000-0000-00009A0E0000}"/>
            </a:ext>
          </a:extLst>
        </xdr:cNvPr>
        <xdr:cNvSpPr>
          <a:spLocks noChangeAspect="1" noChangeArrowheads="1"/>
        </xdr:cNvSpPr>
      </xdr:nvSpPr>
      <xdr:spPr bwMode="auto">
        <a:xfrm>
          <a:off x="6229350" y="3695700"/>
          <a:ext cx="276225" cy="276225"/>
        </a:xfrm>
        <a:prstGeom prst="rect">
          <a:avLst/>
        </a:prstGeom>
        <a:noFill/>
        <a:ln w="127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133350</xdr:colOff>
          <xdr:row>25</xdr:row>
          <xdr:rowOff>76200</xdr:rowOff>
        </xdr:from>
        <xdr:to>
          <xdr:col>4</xdr:col>
          <xdr:colOff>276225</xdr:colOff>
          <xdr:row>29</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Export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533400</xdr:colOff>
          <xdr:row>25</xdr:row>
          <xdr:rowOff>66675</xdr:rowOff>
        </xdr:from>
        <xdr:to>
          <xdr:col>7</xdr:col>
          <xdr:colOff>66675</xdr:colOff>
          <xdr:row>28</xdr:row>
          <xdr:rowOff>152400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Import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342900</xdr:colOff>
          <xdr:row>25</xdr:row>
          <xdr:rowOff>57150</xdr:rowOff>
        </xdr:from>
        <xdr:to>
          <xdr:col>9</xdr:col>
          <xdr:colOff>485775</xdr:colOff>
          <xdr:row>28</xdr:row>
          <xdr:rowOff>142875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Reset forms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57150</xdr:rowOff>
        </xdr:from>
        <xdr:to>
          <xdr:col>10</xdr:col>
          <xdr:colOff>200025</xdr:colOff>
          <xdr:row>18</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FFFF00" mc:Ignorable="a14" a14:legacySpreadsheetColorIndex="13"/>
                  </a:solidFill>
                  <a:miter lim="800000"/>
                  <a:headEnd/>
                  <a:tailEnd/>
                </a14:hiddenLine>
              </a:ext>
            </a:extLst>
          </xdr:spPr>
        </xdr:sp>
        <xdr:clientData fLocksWithSheet="0"/>
      </xdr:twoCellAnchor>
    </mc:Choice>
    <mc:Fallback/>
  </mc:AlternateContent>
  <xdr:twoCellAnchor editAs="oneCell">
    <xdr:from>
      <xdr:col>1</xdr:col>
      <xdr:colOff>47624</xdr:colOff>
      <xdr:row>1</xdr:row>
      <xdr:rowOff>114300</xdr:rowOff>
    </xdr:from>
    <xdr:to>
      <xdr:col>3</xdr:col>
      <xdr:colOff>123825</xdr:colOff>
      <xdr:row>3</xdr:row>
      <xdr:rowOff>231796</xdr:rowOff>
    </xdr:to>
    <xdr:pic>
      <xdr:nvPicPr>
        <xdr:cNvPr id="8" name="Pictur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4" y="276225"/>
          <a:ext cx="1295401" cy="536596"/>
        </a:xfrm>
        <a:prstGeom prst="rect">
          <a:avLst/>
        </a:prstGeom>
      </xdr:spPr>
    </xdr:pic>
    <xdr:clientData/>
  </xdr:twoCellAnchor>
  <xdr:twoCellAnchor editAs="oneCell">
    <xdr:from>
      <xdr:col>9</xdr:col>
      <xdr:colOff>95251</xdr:colOff>
      <xdr:row>0</xdr:row>
      <xdr:rowOff>142876</xdr:rowOff>
    </xdr:from>
    <xdr:to>
      <xdr:col>11</xdr:col>
      <xdr:colOff>38100</xdr:colOff>
      <xdr:row>4</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8351" y="142876"/>
          <a:ext cx="1162049" cy="1162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28575</xdr:colOff>
          <xdr:row>14</xdr:row>
          <xdr:rowOff>95250</xdr:rowOff>
        </xdr:from>
        <xdr:to>
          <xdr:col>11</xdr:col>
          <xdr:colOff>276225</xdr:colOff>
          <xdr:row>19</xdr:row>
          <xdr:rowOff>38100</xdr:rowOff>
        </xdr:to>
        <xdr:sp macro="" textlink="">
          <xdr:nvSpPr>
            <xdr:cNvPr id="4105" name="Button 9" hidden="1">
              <a:extLst>
                <a:ext uri="{63B3BB69-23CF-44E3-9099-C40C66FF867C}">
                  <a14:compatExt spid="_x0000_s4105"/>
                </a:ext>
                <a:ext uri="{FF2B5EF4-FFF2-40B4-BE49-F238E27FC236}">
                  <a16:creationId xmlns:a16="http://schemas.microsoft.com/office/drawing/2014/main" id="{00000000-0008-0000-0800-0000091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nl-NL" sz="1400" b="0" i="0" u="none" strike="noStrike" baseline="0">
                  <a:solidFill>
                    <a:srgbClr val="000000"/>
                  </a:solidFill>
                  <a:latin typeface="Arial"/>
                  <a:cs typeface="Arial"/>
                </a:rPr>
                <a:t>Fill all the forms with</a:t>
              </a:r>
            </a:p>
            <a:p>
              <a:pPr algn="ctr" rtl="0">
                <a:defRPr sz="1000"/>
              </a:pPr>
              <a:r>
                <a:rPr lang="nl-NL" sz="1400" b="0" i="0" u="none" strike="noStrike" baseline="0">
                  <a:solidFill>
                    <a:srgbClr val="000000"/>
                  </a:solidFill>
                  <a:latin typeface="Arial"/>
                  <a:cs typeface="Arial"/>
                </a:rPr>
                <a:t>a value you will enter</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evo.iea.or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tabColor indexed="47"/>
    <pageSetUpPr fitToPage="1"/>
  </sheetPr>
  <dimension ref="B1:K31"/>
  <sheetViews>
    <sheetView showGridLines="0" zoomScaleNormal="100" workbookViewId="0"/>
  </sheetViews>
  <sheetFormatPr defaultRowHeight="12.75" x14ac:dyDescent="0.2"/>
  <cols>
    <col min="1" max="1" width="3.7109375" style="601" customWidth="1"/>
    <col min="2" max="16384" width="9.140625" style="601"/>
  </cols>
  <sheetData>
    <row r="1" spans="2:11" x14ac:dyDescent="0.2">
      <c r="D1" s="602"/>
    </row>
    <row r="2" spans="2:11" ht="20.25" x14ac:dyDescent="0.3">
      <c r="B2" s="603"/>
      <c r="C2" s="604"/>
      <c r="D2" s="604"/>
      <c r="E2" s="604"/>
      <c r="F2" s="604"/>
      <c r="G2" s="604"/>
      <c r="H2" s="604"/>
      <c r="I2" s="604"/>
    </row>
    <row r="3" spans="2:11" x14ac:dyDescent="0.2">
      <c r="B3" s="605"/>
      <c r="C3" s="604"/>
      <c r="D3" s="604"/>
      <c r="E3" s="604"/>
      <c r="F3" s="604"/>
      <c r="G3" s="604"/>
      <c r="H3" s="604"/>
      <c r="I3" s="604"/>
    </row>
    <row r="4" spans="2:11" ht="51" customHeight="1" x14ac:dyDescent="0.45">
      <c r="B4" s="606"/>
      <c r="C4" s="604"/>
      <c r="D4" s="604"/>
      <c r="E4" s="604"/>
      <c r="F4" s="604"/>
      <c r="G4" s="604"/>
      <c r="H4" s="604"/>
      <c r="I4" s="604"/>
    </row>
    <row r="5" spans="2:11" ht="20.25" x14ac:dyDescent="0.3">
      <c r="B5" s="619" t="s">
        <v>711</v>
      </c>
      <c r="C5" s="604"/>
      <c r="D5" s="604"/>
      <c r="E5" s="604"/>
      <c r="F5" s="604"/>
      <c r="G5" s="604"/>
      <c r="H5" s="604"/>
      <c r="I5" s="604"/>
      <c r="J5" s="604"/>
      <c r="K5" s="604"/>
    </row>
    <row r="6" spans="2:11" ht="30" customHeight="1" x14ac:dyDescent="0.4">
      <c r="B6" s="618" t="s">
        <v>712</v>
      </c>
      <c r="C6" s="620"/>
      <c r="D6" s="620"/>
      <c r="E6" s="621"/>
      <c r="F6" s="620"/>
      <c r="G6" s="620"/>
      <c r="H6" s="620"/>
      <c r="I6" s="620"/>
      <c r="J6" s="620"/>
      <c r="K6" s="620"/>
    </row>
    <row r="8" spans="2:11" ht="20.25" x14ac:dyDescent="0.3">
      <c r="B8" s="617" t="s">
        <v>372</v>
      </c>
      <c r="C8" s="607"/>
      <c r="D8" s="607"/>
      <c r="E8" s="607"/>
      <c r="F8" s="607"/>
      <c r="G8" s="607"/>
      <c r="H8" s="607"/>
      <c r="I8" s="607"/>
      <c r="J8" s="604"/>
      <c r="K8" s="604"/>
    </row>
    <row r="11" spans="2:11" ht="15.75" x14ac:dyDescent="0.25">
      <c r="B11" s="608" t="s">
        <v>248</v>
      </c>
      <c r="I11" s="609"/>
      <c r="J11" s="608" t="s">
        <v>709</v>
      </c>
      <c r="K11" s="609"/>
    </row>
    <row r="13" spans="2:11" x14ac:dyDescent="0.2">
      <c r="B13" s="610" t="s">
        <v>713</v>
      </c>
    </row>
    <row r="14" spans="2:11" x14ac:dyDescent="0.2">
      <c r="B14" s="610" t="s">
        <v>387</v>
      </c>
    </row>
    <row r="15" spans="2:11" x14ac:dyDescent="0.2">
      <c r="B15" s="610" t="s">
        <v>710</v>
      </c>
    </row>
    <row r="16" spans="2:11" x14ac:dyDescent="0.2">
      <c r="B16" s="610" t="s">
        <v>249</v>
      </c>
    </row>
    <row r="18" spans="2:11" s="613" customFormat="1" ht="22.5" customHeight="1" x14ac:dyDescent="0.2">
      <c r="B18" s="611" t="s">
        <v>714</v>
      </c>
      <c r="C18" s="612"/>
    </row>
    <row r="19" spans="2:11" s="613" customFormat="1" ht="22.5" customHeight="1" x14ac:dyDescent="0.2">
      <c r="B19" s="611" t="s">
        <v>377</v>
      </c>
      <c r="C19" s="612"/>
    </row>
    <row r="20" spans="2:11" s="613" customFormat="1" ht="22.5" customHeight="1" x14ac:dyDescent="0.2">
      <c r="B20" s="611" t="s">
        <v>373</v>
      </c>
      <c r="C20" s="612"/>
    </row>
    <row r="22" spans="2:11" ht="15" x14ac:dyDescent="0.25">
      <c r="B22" s="806" t="s">
        <v>759</v>
      </c>
      <c r="C22" s="604"/>
      <c r="D22" s="604"/>
      <c r="E22" s="604"/>
      <c r="F22" s="604"/>
      <c r="G22" s="604"/>
      <c r="H22" s="604"/>
      <c r="I22" s="604"/>
      <c r="J22" s="808" t="s">
        <v>760</v>
      </c>
      <c r="K22" s="807"/>
    </row>
    <row r="23" spans="2:11" ht="18.75" customHeight="1" x14ac:dyDescent="0.2">
      <c r="B23" s="616" t="s">
        <v>761</v>
      </c>
      <c r="C23" s="614"/>
      <c r="D23" s="604"/>
      <c r="E23" s="604"/>
      <c r="F23" s="604"/>
      <c r="G23" s="604"/>
      <c r="H23" s="604"/>
      <c r="I23" s="604"/>
      <c r="J23" s="604"/>
      <c r="K23" s="604"/>
    </row>
    <row r="24" spans="2:11" x14ac:dyDescent="0.2">
      <c r="B24" s="616" t="s">
        <v>762</v>
      </c>
      <c r="C24" s="614"/>
      <c r="D24" s="604"/>
      <c r="E24" s="604"/>
      <c r="F24" s="604"/>
      <c r="G24" s="604"/>
      <c r="H24" s="604"/>
      <c r="I24" s="604"/>
      <c r="J24" s="604"/>
      <c r="K24" s="604"/>
    </row>
    <row r="31" spans="2:11" x14ac:dyDescent="0.2">
      <c r="B31" s="615"/>
    </row>
  </sheetData>
  <sheetProtection algorithmName="SHA-512" hashValue="VR/dSvs5MoQQhYcIK3pnmd1zwNGdtYQjM4LzyLIMYVRkh/ysAW5tpn3c27ETTw+HlhNLqcIwnUOMUnKUGHsBoQ==" saltValue="iV/BfzhBNL36IWcHntq0kg==" spinCount="100000" sheet="1" objects="1" scenarios="1"/>
  <phoneticPr fontId="0" type="noConversion"/>
  <hyperlinks>
    <hyperlink ref="J22" r:id="rId1" xr:uid="{00000000-0004-0000-0000-000000000000}"/>
  </hyperlinks>
  <pageMargins left="0.74803149606299213" right="0.74803149606299213" top="0.98425196850393704" bottom="0.98425196850393704" header="0.51181102362204722" footer="0.51181102362204722"/>
  <pageSetup scale="93"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Button 1">
              <controlPr defaultSize="0" print="0" autoFill="0" autoPict="0" macro="[0]!CreateAsciiFile">
                <anchor moveWithCells="1" sizeWithCells="1">
                  <from>
                    <xdr:col>2</xdr:col>
                    <xdr:colOff>133350</xdr:colOff>
                    <xdr:row>25</xdr:row>
                    <xdr:rowOff>76200</xdr:rowOff>
                  </from>
                  <to>
                    <xdr:col>4</xdr:col>
                    <xdr:colOff>276225</xdr:colOff>
                    <xdr:row>29</xdr:row>
                    <xdr:rowOff>0</xdr:rowOff>
                  </to>
                </anchor>
              </controlPr>
            </control>
          </mc:Choice>
        </mc:AlternateContent>
        <mc:AlternateContent xmlns:mc="http://schemas.openxmlformats.org/markup-compatibility/2006">
          <mc:Choice Requires="x14">
            <control shapeId="3074" r:id="rId6" name="Button 2">
              <controlPr defaultSize="0" print="0" autoFill="0" autoPict="0" macro="[0]!BeginImport">
                <anchor moveWithCells="1" sizeWithCells="1">
                  <from>
                    <xdr:col>4</xdr:col>
                    <xdr:colOff>533400</xdr:colOff>
                    <xdr:row>25</xdr:row>
                    <xdr:rowOff>66675</xdr:rowOff>
                  </from>
                  <to>
                    <xdr:col>7</xdr:col>
                    <xdr:colOff>66675</xdr:colOff>
                    <xdr:row>28</xdr:row>
                    <xdr:rowOff>152400</xdr:rowOff>
                  </to>
                </anchor>
              </controlPr>
            </control>
          </mc:Choice>
        </mc:AlternateContent>
        <mc:AlternateContent xmlns:mc="http://schemas.openxmlformats.org/markup-compatibility/2006">
          <mc:Choice Requires="x14">
            <control shapeId="3075" r:id="rId7" name="Button 3">
              <controlPr defaultSize="0" print="0" autoFill="0" autoPict="0" macro="[0]!EmptyForms">
                <anchor moveWithCells="1" sizeWithCells="1">
                  <from>
                    <xdr:col>7</xdr:col>
                    <xdr:colOff>342900</xdr:colOff>
                    <xdr:row>25</xdr:row>
                    <xdr:rowOff>57150</xdr:rowOff>
                  </from>
                  <to>
                    <xdr:col>9</xdr:col>
                    <xdr:colOff>485775</xdr:colOff>
                    <xdr:row>28</xdr:row>
                    <xdr:rowOff>142875</xdr:rowOff>
                  </to>
                </anchor>
              </controlPr>
            </control>
          </mc:Choice>
        </mc:AlternateContent>
        <mc:AlternateContent xmlns:mc="http://schemas.openxmlformats.org/markup-compatibility/2006">
          <mc:Choice Requires="x14">
            <control shapeId="3076" r:id="rId8" name="Check Box 4">
              <controlPr locked="0" defaultSize="0" autoFill="0" autoLine="0" autoPict="0" macro="[0]!ChangeCheckBox">
                <anchor moveWithCells="1">
                  <from>
                    <xdr:col>9</xdr:col>
                    <xdr:colOff>504825</xdr:colOff>
                    <xdr:row>18</xdr:row>
                    <xdr:rowOff>57150</xdr:rowOff>
                  </from>
                  <to>
                    <xdr:col>10</xdr:col>
                    <xdr:colOff>200025</xdr:colOff>
                    <xdr:row>18</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9B78-F8F3-47C4-81A6-08FC80E92FE8}">
  <dimension ref="B2:B4"/>
  <sheetViews>
    <sheetView workbookViewId="0"/>
  </sheetViews>
  <sheetFormatPr defaultRowHeight="12.75" x14ac:dyDescent="0.2"/>
  <sheetData>
    <row r="2" spans="2:2" x14ac:dyDescent="0.2">
      <c r="B2" s="546" t="s">
        <v>777</v>
      </c>
    </row>
    <row r="3" spans="2:2" x14ac:dyDescent="0.2">
      <c r="B3" t="s">
        <v>778</v>
      </c>
    </row>
    <row r="4" spans="2:2" x14ac:dyDescent="0.2">
      <c r="B4" t="s">
        <v>779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sheetPr>
  <dimension ref="A1:CP79"/>
  <sheetViews>
    <sheetView showGridLines="0" zoomScaleNormal="100" workbookViewId="0">
      <selection activeCell="L25" sqref="L25"/>
    </sheetView>
  </sheetViews>
  <sheetFormatPr defaultRowHeight="12.75" x14ac:dyDescent="0.2"/>
  <cols>
    <col min="1" max="2" width="1.7109375" style="4" customWidth="1"/>
    <col min="3" max="3" width="19.5703125" style="4" customWidth="1"/>
    <col min="4" max="6" width="8.5703125" style="4" customWidth="1"/>
    <col min="7" max="7" width="9.28515625" style="4" customWidth="1"/>
    <col min="8" max="8" width="2.28515625" style="4" customWidth="1"/>
    <col min="9" max="9" width="20.85546875" style="4" customWidth="1"/>
    <col min="10" max="12" width="9.140625" style="4"/>
    <col min="13" max="13" width="10.28515625" style="4" customWidth="1"/>
    <col min="14" max="17" width="9.140625" style="4"/>
    <col min="18" max="18" width="14.140625" style="4" customWidth="1"/>
    <col min="19" max="19" width="9.140625" style="4"/>
    <col min="20" max="20" width="2.42578125" style="4" customWidth="1"/>
    <col min="21" max="21" width="27.28515625" style="4" bestFit="1" customWidth="1"/>
    <col min="22" max="22" width="3.28515625" style="4" customWidth="1"/>
    <col min="23" max="24" width="9.140625" style="4"/>
    <col min="25" max="25" width="10.140625" style="4" customWidth="1"/>
    <col min="26" max="26" width="11.28515625" style="4" customWidth="1"/>
    <col min="27" max="27" width="9.140625" style="4"/>
    <col min="28" max="28" width="12.140625" style="4" customWidth="1"/>
    <col min="29" max="30" width="9.140625" style="4"/>
    <col min="31" max="31" width="2.42578125" style="4" bestFit="1" customWidth="1"/>
    <col min="32" max="32" width="47.5703125" style="4" bestFit="1" customWidth="1"/>
    <col min="33" max="33" width="3.28515625" style="4" bestFit="1" customWidth="1"/>
    <col min="34" max="60" width="9.140625" style="4"/>
    <col min="61" max="61" width="36.28515625" style="4" bestFit="1" customWidth="1"/>
    <col min="62" max="62" width="7" style="4" bestFit="1" customWidth="1"/>
    <col min="63" max="63" width="3.28515625" style="4" bestFit="1" customWidth="1"/>
    <col min="64" max="65" width="9.140625" style="4"/>
    <col min="66" max="67" width="10.28515625" style="4" customWidth="1"/>
    <col min="68" max="16384" width="9.140625" style="4"/>
  </cols>
  <sheetData>
    <row r="1" spans="1:18" x14ac:dyDescent="0.2">
      <c r="A1" s="23">
        <v>2007.1</v>
      </c>
      <c r="B1" s="23"/>
    </row>
    <row r="2" spans="1:18" ht="31.5" x14ac:dyDescent="0.2">
      <c r="C2" s="223" t="s">
        <v>383</v>
      </c>
      <c r="D2" s="224"/>
      <c r="E2" s="224"/>
      <c r="F2" s="224"/>
      <c r="G2" s="224"/>
      <c r="H2" s="225"/>
      <c r="I2" s="225"/>
      <c r="J2"/>
      <c r="K2"/>
    </row>
    <row r="3" spans="1:18" ht="21" customHeight="1" x14ac:dyDescent="0.2">
      <c r="C3"/>
      <c r="H3"/>
    </row>
    <row r="4" spans="1:18" s="82" customFormat="1" ht="20.25" customHeight="1" x14ac:dyDescent="0.2">
      <c r="C4" s="222" t="s">
        <v>374</v>
      </c>
      <c r="H4" s="220"/>
    </row>
    <row r="5" spans="1:18" s="220" customFormat="1" ht="20.25" customHeight="1" x14ac:dyDescent="0.2">
      <c r="C5" s="221" t="s">
        <v>385</v>
      </c>
    </row>
    <row r="6" spans="1:18" s="220" customFormat="1" ht="20.25" customHeight="1" x14ac:dyDescent="0.2">
      <c r="C6" s="221" t="s">
        <v>384</v>
      </c>
    </row>
    <row r="7" spans="1:18" customFormat="1" ht="20.25" customHeight="1" x14ac:dyDescent="0.2">
      <c r="C7" s="221" t="s">
        <v>386</v>
      </c>
    </row>
    <row r="8" spans="1:18" ht="15.75" thickBot="1" x14ac:dyDescent="0.3">
      <c r="C8" s="26"/>
      <c r="D8" s="26"/>
      <c r="E8" s="26"/>
      <c r="F8" s="26"/>
      <c r="G8" s="26"/>
      <c r="H8" s="26"/>
      <c r="I8" s="26"/>
      <c r="J8" s="26"/>
      <c r="K8" s="26"/>
      <c r="L8" s="26"/>
      <c r="M8" s="26"/>
      <c r="N8" s="26"/>
      <c r="O8" s="26"/>
      <c r="P8" s="26"/>
      <c r="Q8" s="26"/>
      <c r="R8" s="25"/>
    </row>
    <row r="9" spans="1:18" ht="15" x14ac:dyDescent="0.25">
      <c r="B9" s="27"/>
      <c r="C9" s="28"/>
      <c r="D9" s="862" t="s">
        <v>390</v>
      </c>
      <c r="E9" s="864" t="s">
        <v>391</v>
      </c>
      <c r="F9" s="864" t="s">
        <v>429</v>
      </c>
      <c r="G9" s="860" t="s">
        <v>428</v>
      </c>
      <c r="H9" s="29"/>
      <c r="I9" s="30"/>
      <c r="J9" s="31" t="s">
        <v>392</v>
      </c>
      <c r="K9" s="32"/>
      <c r="L9" s="32"/>
      <c r="M9" s="32"/>
      <c r="N9" s="32"/>
      <c r="O9" s="33"/>
      <c r="P9" s="34"/>
      <c r="Q9" s="34"/>
      <c r="R9" s="35"/>
    </row>
    <row r="10" spans="1:18" ht="53.25" thickBot="1" x14ac:dyDescent="0.3">
      <c r="B10" s="88"/>
      <c r="C10" s="89"/>
      <c r="D10" s="863"/>
      <c r="E10" s="865"/>
      <c r="F10" s="865"/>
      <c r="G10" s="861"/>
      <c r="H10" s="36"/>
      <c r="I10" s="37"/>
      <c r="J10" s="38" t="s">
        <v>393</v>
      </c>
      <c r="K10" s="39" t="s">
        <v>394</v>
      </c>
      <c r="L10" s="39" t="s">
        <v>395</v>
      </c>
      <c r="M10" s="39" t="s">
        <v>407</v>
      </c>
      <c r="N10" s="40" t="s">
        <v>408</v>
      </c>
      <c r="O10" s="41" t="s">
        <v>401</v>
      </c>
      <c r="P10" s="41" t="s">
        <v>396</v>
      </c>
      <c r="Q10" s="42" t="s">
        <v>431</v>
      </c>
      <c r="R10" s="43" t="s">
        <v>111</v>
      </c>
    </row>
    <row r="11" spans="1:18" ht="13.5" thickBot="1" x14ac:dyDescent="0.25">
      <c r="B11" s="90"/>
      <c r="C11" s="91"/>
      <c r="D11" s="83" t="s">
        <v>413</v>
      </c>
      <c r="E11" s="84" t="s">
        <v>414</v>
      </c>
      <c r="F11" s="84" t="s">
        <v>415</v>
      </c>
      <c r="G11" s="85" t="s">
        <v>416</v>
      </c>
      <c r="H11" s="86"/>
      <c r="I11" s="87"/>
      <c r="J11" s="44" t="s">
        <v>417</v>
      </c>
      <c r="K11" s="45" t="s">
        <v>418</v>
      </c>
      <c r="L11" s="45" t="s">
        <v>419</v>
      </c>
      <c r="M11" s="45" t="s">
        <v>420</v>
      </c>
      <c r="N11" s="46" t="s">
        <v>421</v>
      </c>
      <c r="O11" s="45" t="s">
        <v>422</v>
      </c>
      <c r="P11" s="45" t="s">
        <v>423</v>
      </c>
      <c r="Q11" s="47" t="s">
        <v>424</v>
      </c>
      <c r="R11" s="48" t="s">
        <v>425</v>
      </c>
    </row>
    <row r="12" spans="1:18" ht="15" x14ac:dyDescent="0.2">
      <c r="B12" s="50" t="s">
        <v>409</v>
      </c>
      <c r="C12" s="51" t="s">
        <v>397</v>
      </c>
      <c r="D12" s="232">
        <f>ROUND(MOS_Table_1!$D$14,0)</f>
        <v>35</v>
      </c>
      <c r="E12" s="233">
        <f>ROUND(MOS_Table_1!$E$14,0)</f>
        <v>7</v>
      </c>
      <c r="F12" s="233">
        <f>ROUND(MOS_Table_1!$G$14+MOS_Table_1!$I$14,0)</f>
        <v>4</v>
      </c>
      <c r="G12" s="234">
        <f>ROUND(MOS_Table_1!$J$14,0)</f>
        <v>46</v>
      </c>
      <c r="H12" s="52" t="s">
        <v>409</v>
      </c>
      <c r="I12" s="53" t="s">
        <v>398</v>
      </c>
      <c r="J12" s="250">
        <f>ROUND(MOS_Table_2!$H$9,0)</f>
        <v>93</v>
      </c>
      <c r="K12" s="254">
        <f>ROUND(MOS_Table_2!$I$9,0)</f>
        <v>983</v>
      </c>
      <c r="L12" s="254">
        <f>ROUND(MOS_Table_2!$J$9+MOS_Table_2!$M$9+MOS_Table_2!$N$9,0)</f>
        <v>348</v>
      </c>
      <c r="M12" s="254">
        <f>ROUND(MOS_Table_2!$O$9+MOS_Table_2!$R$9,0)</f>
        <v>878</v>
      </c>
      <c r="N12" s="257">
        <f>ROUND(MOS_Table_2!$O$9,0)</f>
        <v>759</v>
      </c>
      <c r="O12" s="254">
        <f>ROUND(MOS_Table_2!$U$9,0)</f>
        <v>1538</v>
      </c>
      <c r="P12" s="254">
        <f>ROUND(MOS_Table_2!$X$9,0)</f>
        <v>779</v>
      </c>
      <c r="Q12" s="254">
        <f>ROUND(MOS_Table_2!$F$9+MOS_Table_2!$G$9+MOS_Table_2!$AA$9+MOS_Table_2!$AB$9,0)</f>
        <v>583</v>
      </c>
      <c r="R12" s="261">
        <f>ROUND(MOS_Table_2!$AC$9,0)</f>
        <v>5202</v>
      </c>
    </row>
    <row r="13" spans="1:18" ht="15" x14ac:dyDescent="0.2">
      <c r="B13" s="54" t="s">
        <v>409</v>
      </c>
      <c r="C13" s="55" t="s">
        <v>403</v>
      </c>
      <c r="D13" s="101"/>
      <c r="E13" s="102"/>
      <c r="F13" s="236">
        <f>ROUND(MOS_Table_1!$G$15+MOS_Table_1!$I$15,0)</f>
        <v>160</v>
      </c>
      <c r="G13" s="237">
        <f>ROUND(MOS_Table_1!$J$15,0)</f>
        <v>160</v>
      </c>
      <c r="H13" s="56" t="s">
        <v>409</v>
      </c>
      <c r="I13" s="57" t="s">
        <v>430</v>
      </c>
      <c r="J13" s="251">
        <f>ROUND(MOS_Table_2!$H$8+MOS_Table_2!$H$10,0)</f>
        <v>0</v>
      </c>
      <c r="K13" s="255">
        <f>ROUND(MOS_Table_2!$I$8+MOS_Table_2!$I$10,0)</f>
        <v>16</v>
      </c>
      <c r="L13" s="255">
        <f>ROUND(MOS_Table_2!$J$8+MOS_Table_2!$J$10+MOS_Table_2!$M$8+MOS_Table_2!$M$10+MOS_Table_2!$N$8+MOS_Table_2!$N$10,0)</f>
        <v>104</v>
      </c>
      <c r="M13" s="255">
        <f>ROUND(MOS_Table_2!$O$8+MOS_Table_2!$O$10+MOS_Table_2!$R$8+MOS_Table_2!$R$10,0)</f>
        <v>0</v>
      </c>
      <c r="N13" s="258">
        <f>ROUND(MOS_Table_2!$O$8+MOS_Table_2!$O$10,0)</f>
        <v>0</v>
      </c>
      <c r="O13" s="255">
        <f>ROUND(MOS_Table_2!$U$8+MOS_Table_2!$U$10,0)</f>
        <v>123</v>
      </c>
      <c r="P13" s="255">
        <f>ROUND(MOS_Table_2!$X$8+MOS_Table_2!$X$10,0)</f>
        <v>0</v>
      </c>
      <c r="Q13" s="255">
        <f>ROUND(MOS_Table_2!$D$8+MOS_Table_2!$E$8+MOS_Table_2!$F$8+MOS_Table_2!$G$8+MOS_Table_2!$AA$8+MOS_Table_2!$AB$8+MOS_Table_2!$F$10+MOS_Table_2!$G$10+MOS_Table_2!$AA$10+MOS_Table_2!$AB$10,0)</f>
        <v>245</v>
      </c>
      <c r="R13" s="262">
        <f>ROUND(MOS_Table_2!$AC$8+MOS_Table_2!$AC$10,0)</f>
        <v>488</v>
      </c>
    </row>
    <row r="14" spans="1:18" ht="15" x14ac:dyDescent="0.2">
      <c r="B14" s="58" t="s">
        <v>409</v>
      </c>
      <c r="C14" s="59" t="s">
        <v>404</v>
      </c>
      <c r="D14" s="238">
        <f>ROUND(MOS_Table_1!$D$18,0)</f>
        <v>5038</v>
      </c>
      <c r="E14" s="239">
        <f>ROUND(MOS_Table_1!$E$18,0)</f>
        <v>848</v>
      </c>
      <c r="F14" s="239">
        <f>ROUND(MOS_Table_1!$F$18+MOS_Table_1!$G$18+MOS_Table_1!$I$18,0)</f>
        <v>83</v>
      </c>
      <c r="G14" s="237">
        <f>ROUND(MOS_Table_1!$J$18,0)</f>
        <v>5969</v>
      </c>
      <c r="H14" s="60" t="s">
        <v>409</v>
      </c>
      <c r="I14" s="61" t="s">
        <v>404</v>
      </c>
      <c r="J14" s="252">
        <f>ROUND(MOS_Table_2!$H$12,0)</f>
        <v>253</v>
      </c>
      <c r="K14" s="256">
        <f>ROUND(MOS_Table_2!$I$12,0)</f>
        <v>1359</v>
      </c>
      <c r="L14" s="256">
        <f>ROUND(MOS_Table_2!$J$12+MOS_Table_2!$M$12+MOS_Table_2!$N$12,0)</f>
        <v>665</v>
      </c>
      <c r="M14" s="256">
        <f>ROUND(MOS_Table_2!$O$12+MOS_Table_2!$R$12,0)</f>
        <v>275</v>
      </c>
      <c r="N14" s="258">
        <f>ROUND(MOS_Table_2!$O$12,0)</f>
        <v>182</v>
      </c>
      <c r="O14" s="256">
        <f>ROUND(MOS_Table_2!$U$12,0)</f>
        <v>1103</v>
      </c>
      <c r="P14" s="256">
        <f>ROUND(MOS_Table_2!$X$12,0)</f>
        <v>1800</v>
      </c>
      <c r="Q14" s="256">
        <f>ROUND(MOS_Table_2!$G$12+MOS_Table_2!$AA$12+MOS_Table_2!$AB$12,0)</f>
        <v>748</v>
      </c>
      <c r="R14" s="262">
        <f>ROUND(MOS_Table_2!$AC$12,0)</f>
        <v>6203</v>
      </c>
    </row>
    <row r="15" spans="1:18" ht="15" x14ac:dyDescent="0.2">
      <c r="B15" s="58" t="s">
        <v>410</v>
      </c>
      <c r="C15" s="59" t="s">
        <v>405</v>
      </c>
      <c r="D15" s="238">
        <f>ROUND(MOS_Table_1!$D$19,0)</f>
        <v>0</v>
      </c>
      <c r="E15" s="239">
        <f>ROUND(MOS_Table_1!$E$19,0)</f>
        <v>8</v>
      </c>
      <c r="F15" s="239">
        <f>ROUND(MOS_Table_1!$F$19+MOS_Table_1!$G$19+MOS_Table_1!$I$19,0)</f>
        <v>42</v>
      </c>
      <c r="G15" s="237">
        <f>ROUND(MOS_Table_1!$J$19,0)</f>
        <v>50</v>
      </c>
      <c r="H15" s="62" t="s">
        <v>410</v>
      </c>
      <c r="I15" s="63" t="s">
        <v>405</v>
      </c>
      <c r="J15" s="252">
        <f>ROUND(MOS_Table_2!$H$13,0)</f>
        <v>125</v>
      </c>
      <c r="K15" s="255">
        <f>ROUND(MOS_Table_2!$I$13,0)</f>
        <v>1392</v>
      </c>
      <c r="L15" s="255">
        <f>ROUND(MOS_Table_2!$J$13+MOS_Table_2!$M$13+MOS_Table_2!$N$13,0)</f>
        <v>1792</v>
      </c>
      <c r="M15" s="255">
        <f>ROUND(MOS_Table_2!$O$13+MOS_Table_2!$R$13,0)</f>
        <v>909</v>
      </c>
      <c r="N15" s="258">
        <f>ROUND(MOS_Table_2!$O$13,0)</f>
        <v>791</v>
      </c>
      <c r="O15" s="255">
        <f>ROUND(MOS_Table_2!$U$13,0)</f>
        <v>2359</v>
      </c>
      <c r="P15" s="255">
        <f>ROUND(MOS_Table_2!$X$13,0)</f>
        <v>2032</v>
      </c>
      <c r="Q15" s="255">
        <f>ROUND(MOS_Table_2!$G$13+MOS_Table_2!$AA$13+MOS_Table_2!$AB$13,0)</f>
        <v>934</v>
      </c>
      <c r="R15" s="262">
        <f>ROUND(MOS_Table_2!$AC$13,0)</f>
        <v>9543</v>
      </c>
    </row>
    <row r="16" spans="1:18" ht="25.5" x14ac:dyDescent="0.2">
      <c r="B16" s="58" t="s">
        <v>409</v>
      </c>
      <c r="C16" s="64" t="s">
        <v>254</v>
      </c>
      <c r="D16" s="101"/>
      <c r="E16" s="102"/>
      <c r="F16" s="236">
        <f>ROUND(MOS_Table_1!$F$17+MOS_Table_1!$F$16,0)</f>
        <v>327</v>
      </c>
      <c r="G16" s="237">
        <f>ROUND(MOS_Table_1!$J$16+MOS_Table_1!$J$17,0)</f>
        <v>327</v>
      </c>
      <c r="H16" s="60" t="s">
        <v>410</v>
      </c>
      <c r="I16" s="61" t="s">
        <v>427</v>
      </c>
      <c r="J16" s="252">
        <f>ROUND(MOS_Table_2!$H$16,0)</f>
        <v>0</v>
      </c>
      <c r="K16" s="256">
        <f>ROUND(MOS_Table_2!$I$16,0)</f>
        <v>0</v>
      </c>
      <c r="L16" s="256">
        <f>ROUND(MOS_Table_2!$J$16+MOS_Table_2!$M$16+MOS_Table_2!$N$16,0)</f>
        <v>0</v>
      </c>
      <c r="M16" s="256">
        <f>ROUND(MOS_Table_2!$O$16+MOS_Table_2!$R$16,0)</f>
        <v>3</v>
      </c>
      <c r="N16" s="258">
        <f>ROUND(MOS_Table_2!$O$16,0)</f>
        <v>0</v>
      </c>
      <c r="O16" s="256">
        <f>ROUND(MOS_Table_2!$U$16,0)</f>
        <v>0</v>
      </c>
      <c r="P16" s="256">
        <f>ROUND(MOS_Table_2!$X$16,0)</f>
        <v>161</v>
      </c>
      <c r="Q16" s="256">
        <f>ROUND(MOS_Table_2!$F$16+MOS_Table_2!$G$16+MOS_Table_2!$AA$16+MOS_Table_2!$AB$16,0)</f>
        <v>38</v>
      </c>
      <c r="R16" s="262">
        <f>ROUND(MOS_Table_2!$AC$16,0)</f>
        <v>202</v>
      </c>
    </row>
    <row r="17" spans="1:18" ht="15" x14ac:dyDescent="0.2">
      <c r="B17" s="65" t="s">
        <v>410</v>
      </c>
      <c r="C17" s="66" t="s">
        <v>399</v>
      </c>
      <c r="D17" s="238">
        <f>ROUND(MOS_Table_1!$D$20,0)</f>
        <v>68</v>
      </c>
      <c r="E17" s="239">
        <f>ROUND(MOS_Table_1!$E$20,0)</f>
        <v>65</v>
      </c>
      <c r="F17" s="239">
        <f>ROUND(MOS_Table_1!$F$20+MOS_Table_1!$G$20+MOS_Table_1!$I$20,0)</f>
        <v>350</v>
      </c>
      <c r="G17" s="237">
        <f>ROUND(MOS_Table_1!$J$20,0)</f>
        <v>483</v>
      </c>
      <c r="H17" s="60" t="s">
        <v>409</v>
      </c>
      <c r="I17" s="61" t="s">
        <v>434</v>
      </c>
      <c r="J17" s="252">
        <f>ROUND(MOS_Table_2!$H$15,0)</f>
        <v>-13</v>
      </c>
      <c r="K17" s="256">
        <f>ROUND(MOS_Table_2!$I$15,0)</f>
        <v>-693</v>
      </c>
      <c r="L17" s="256">
        <f>ROUND(MOS_Table_2!$J$15+MOS_Table_2!$M$15+MOS_Table_2!$N$15,0)</f>
        <v>903</v>
      </c>
      <c r="M17" s="256">
        <f>ROUND(MOS_Table_2!$O$15+MOS_Table_2!$R$15,0)</f>
        <v>-1</v>
      </c>
      <c r="N17" s="258">
        <f>ROUND(MOS_Table_2!$O$15,0)</f>
        <v>95</v>
      </c>
      <c r="O17" s="256">
        <f>ROUND(MOS_Table_2!$U$15,0)</f>
        <v>-130</v>
      </c>
      <c r="P17" s="256">
        <f>ROUND(MOS_Table_2!$X$15,0)</f>
        <v>109</v>
      </c>
      <c r="Q17" s="256">
        <f>ROUND(MOS_Table_2!$D$15+MOS_Table_2!$E$15+MOS_Table_2!$F$15+MOS_Table_2!$G$15+MOS_Table_2!$AA$15+MOS_Table_2!$AB$15,0)</f>
        <v>-189</v>
      </c>
      <c r="R17" s="262">
        <f>ROUND(MOS_Table_2!$AC$15,0)</f>
        <v>-14</v>
      </c>
    </row>
    <row r="18" spans="1:18" ht="15.75" thickBot="1" x14ac:dyDescent="0.25">
      <c r="B18" s="67" t="s">
        <v>410</v>
      </c>
      <c r="C18" s="68" t="s">
        <v>411</v>
      </c>
      <c r="D18" s="240">
        <f>ROUND(MOS_Table_1!$D$21,0)</f>
        <v>381</v>
      </c>
      <c r="E18" s="236">
        <f>ROUND(MOS_Table_1!$E$21,0)</f>
        <v>195</v>
      </c>
      <c r="F18" s="236">
        <f>ROUND(MOS_Table_1!$F$21+MOS_Table_1!$G$21+MOS_Table_1!$I$21,0)</f>
        <v>-21</v>
      </c>
      <c r="G18" s="237">
        <f>ROUND(MOS_Table_1!$J$21,0)</f>
        <v>555</v>
      </c>
      <c r="H18" s="62" t="s">
        <v>410</v>
      </c>
      <c r="I18" s="63" t="s">
        <v>411</v>
      </c>
      <c r="J18" s="251">
        <f>ROUND(MOS_Table_2!$H$17,0)</f>
        <v>13</v>
      </c>
      <c r="K18" s="255">
        <f>ROUND(MOS_Table_2!$I$17,0)</f>
        <v>-181</v>
      </c>
      <c r="L18" s="255">
        <f>ROUND(MOS_Table_2!$J$17+MOS_Table_2!$M$17+MOS_Table_2!$N$17,0)</f>
        <v>-109</v>
      </c>
      <c r="M18" s="255">
        <f>ROUND(MOS_Table_2!$O$17+MOS_Table_2!$R$17,0)</f>
        <v>-73</v>
      </c>
      <c r="N18" s="259">
        <f>ROUND(MOS_Table_2!$O$17,0)</f>
        <v>-63</v>
      </c>
      <c r="O18" s="255">
        <f>ROUND(MOS_Table_2!$U$17,0)</f>
        <v>-332</v>
      </c>
      <c r="P18" s="255">
        <f>ROUND(MOS_Table_2!$X$17,0)</f>
        <v>-249</v>
      </c>
      <c r="Q18" s="255">
        <f>ROUND(MOS_Table_2!$F$17+MOS_Table_2!$G$17+MOS_Table_2!$AA$17+MOS_Table_2!$AB$17,0)</f>
        <v>-3</v>
      </c>
      <c r="R18" s="263">
        <f>ROUND(MOS_Table_2!$AC$17,0)</f>
        <v>-934</v>
      </c>
    </row>
    <row r="19" spans="1:18" ht="15.75" thickBot="1" x14ac:dyDescent="0.25">
      <c r="B19" s="50" t="s">
        <v>410</v>
      </c>
      <c r="C19" s="69" t="s">
        <v>402</v>
      </c>
      <c r="D19" s="241">
        <f>ROUND(MOS_Table_1!$D$23,0)</f>
        <v>138</v>
      </c>
      <c r="E19" s="241">
        <f>ROUND(MOS_Table_1!$E$23,0)</f>
        <v>1</v>
      </c>
      <c r="F19" s="241">
        <f>ROUND(MOS_Table_1!$F$23+MOS_Table_1!$G$23+MOS_Table_1!$I$23,0)</f>
        <v>0</v>
      </c>
      <c r="G19" s="249">
        <f>ROUND(MOS_Table_1!$J$23,0)</f>
        <v>139</v>
      </c>
      <c r="H19" s="52" t="s">
        <v>410</v>
      </c>
      <c r="I19" s="70" t="s">
        <v>402</v>
      </c>
      <c r="J19" s="253">
        <f>ROUND(MOS_Table_2!$H$19,0)</f>
        <v>0</v>
      </c>
      <c r="K19" s="253">
        <f>ROUND(MOS_Table_2!$I$19,0)</f>
        <v>-48</v>
      </c>
      <c r="L19" s="253">
        <f>ROUND(MOS_Table_2!$J$19+MOS_Table_2!$M$19+MOS_Table_2!$N$19,0)</f>
        <v>3</v>
      </c>
      <c r="M19" s="253">
        <f>ROUND(MOS_Table_2!$O$19+MOS_Table_2!$R$19,0)</f>
        <v>-1</v>
      </c>
      <c r="N19" s="253">
        <f>ROUND(MOS_Table_2!$O$19,0)</f>
        <v>0</v>
      </c>
      <c r="O19" s="253">
        <f>ROUND(MOS_Table_2!$U$19,0)</f>
        <v>1</v>
      </c>
      <c r="P19" s="253">
        <f>ROUND(MOS_Table_2!$X$19,0)</f>
        <v>32</v>
      </c>
      <c r="Q19" s="253">
        <f>ROUND(MOS_Table_2!$D$19+MOS_Table_2!$E$19+MOS_Table_2!$F$19+MOS_Table_2!$G$19+MOS_Table_2!$AA$19+MOS_Table_2!$AB$19,0)</f>
        <v>-6</v>
      </c>
      <c r="R19" s="260">
        <f>ROUND(MOS_Table_2!$AC$19,0)</f>
        <v>-19</v>
      </c>
    </row>
    <row r="20" spans="1:18" ht="15" x14ac:dyDescent="0.2">
      <c r="B20" s="71" t="s">
        <v>426</v>
      </c>
      <c r="C20" s="69" t="s">
        <v>406</v>
      </c>
      <c r="D20" s="235">
        <f>ROUND(MOS_Table_1!$D$24,0)</f>
        <v>4486</v>
      </c>
      <c r="E20" s="242">
        <f>ROUND(MOS_Table_1!$E$24,0)</f>
        <v>586</v>
      </c>
      <c r="F20" s="242">
        <f>ROUND(MOS_Table_1!$F$24+MOS_Table_1!$G$24+MOS_Table_1!$I$24,0)</f>
        <v>203</v>
      </c>
      <c r="G20" s="243">
        <f>ROUND(MOS_Table_1!$J$24,0)</f>
        <v>5275</v>
      </c>
      <c r="H20" s="72" t="s">
        <v>426</v>
      </c>
      <c r="I20" s="70" t="s">
        <v>400</v>
      </c>
      <c r="J20" s="250">
        <f>ROUND(MOS_Table_2!$H$11+MOS_Table_2!$H$14+MOS_Table_2!$H$20,0)</f>
        <v>195</v>
      </c>
      <c r="K20" s="254">
        <f>ROUND(MOS_Table_2!$I$11+MOS_Table_2!$I$14+MOS_Table_2!$I$20,0)</f>
        <v>502</v>
      </c>
      <c r="L20" s="254">
        <f>ROUND(MOS_Table_2!$J$11+MOS_Table_2!$J$14+MOS_Table_2!$J$20+MOS_Table_2!$M$11+MOS_Table_2!$M$14+MOS_Table_2!$M$20+MOS_Table_2!$N$11+MOS_Table_2!$N$14+MOS_Table_2!$N$20,0)</f>
        <v>334</v>
      </c>
      <c r="M20" s="254">
        <f>ROUND(MOS_Table_2!$O$11+MOS_Table_2!$O$14+MOS_Table_2!$O$20+MOS_Table_2!$R$11+MOS_Table_2!$R$14+MOS_Table_2!$R$20,0)</f>
        <v>314</v>
      </c>
      <c r="N20" s="257">
        <f>ROUND(MOS_Table_2!$O$11+MOS_Table_2!$O$14+MOS_Table_2!$O$20,0)</f>
        <v>308</v>
      </c>
      <c r="O20" s="254">
        <f>ROUND(MOS_Table_2!$U$11+MOS_Table_2!$U$14+MOS_Table_2!$U$20,0)</f>
        <v>606</v>
      </c>
      <c r="P20" s="254">
        <f>ROUND(MOS_Table_2!$X$11+MOS_Table_2!$X$14+MOS_Table_2!$X$20,0)</f>
        <v>712</v>
      </c>
      <c r="Q20" s="254">
        <f>ROUND(MOS_Table_2!$D$20+MOS_Table_2!$E$20+MOS_Table_2!$F$11+MOS_Table_2!$F$14+MOS_Table_2!$F$20+MOS_Table_2!$G$11+MOS_Table_2!$G$14+MOS_Table_2!$G$20+MOS_Table_2!$AA$11+MOS_Table_2!$AA$14+MOS_Table_2!$AA$20+MOS_Table_2!$AB$11+MOS_Table_2!$AB$14+MOS_Table_2!$AB$20,0)</f>
        <v>424</v>
      </c>
      <c r="R20" s="261">
        <f>ROUND(MOS_Table_2!$AC$11+MOS_Table_2!$AC$14+MOS_Table_2!$AC$20,0)</f>
        <v>3087</v>
      </c>
    </row>
    <row r="21" spans="1:18" ht="15.75" thickBot="1" x14ac:dyDescent="0.25">
      <c r="B21" s="73"/>
      <c r="C21" s="74" t="s">
        <v>412</v>
      </c>
      <c r="D21" s="244">
        <f>ROUND(MOS_Table_5!$D$9,0)</f>
        <v>4291</v>
      </c>
      <c r="E21" s="245">
        <f>ROUND(MOS_Table_5!$E$9,0)</f>
        <v>533</v>
      </c>
      <c r="F21" s="245">
        <f>ROUND(MOS_Table_5!$F$9+MOS_Table_5!$G$9+MOS_Table_5!$I$9,0)</f>
        <v>1419</v>
      </c>
      <c r="G21" s="246">
        <f>ROUND(MOS_Table_5!$J$9,0)</f>
        <v>6243</v>
      </c>
      <c r="H21" s="75"/>
      <c r="I21" s="76" t="s">
        <v>412</v>
      </c>
      <c r="J21" s="244">
        <f>ROUND(MOS_Table_5!$L$9,0)</f>
        <v>73</v>
      </c>
      <c r="K21" s="245">
        <f>ROUND(MOS_Table_5!$M$9,0)</f>
        <v>1621</v>
      </c>
      <c r="L21" s="245">
        <f>ROUND(MOS_Table_5!$N$9+MOS_Table_5!$Q$9+MOS_Table_5!$R$9,0)</f>
        <v>964</v>
      </c>
      <c r="M21" s="245">
        <f>ROUND(MOS_Table_5!$S$9+MOS_Table_5!$V$9,0)</f>
        <v>608</v>
      </c>
      <c r="N21" s="247">
        <f>ROUND(MOS_Table_5!$S$9,0)</f>
        <v>553</v>
      </c>
      <c r="O21" s="245">
        <f>ROUND(MOS_Table_5!$Y$9,0)</f>
        <v>2920</v>
      </c>
      <c r="P21" s="245">
        <f>ROUND(MOS_Table_5!$AB$9,0)</f>
        <v>2177</v>
      </c>
      <c r="Q21" s="245">
        <f>ROUND(MOS_Table_5!$K$9+MOS_Table_5!$AE$9+MOS_Table_5!$AF$9,0)</f>
        <v>710</v>
      </c>
      <c r="R21" s="248">
        <f>ROUND(MOS_Table_5!$AG$9,0)</f>
        <v>9073</v>
      </c>
    </row>
    <row r="22" spans="1:18" ht="15" x14ac:dyDescent="0.25">
      <c r="A22" s="25"/>
      <c r="B22" s="25"/>
      <c r="C22" s="25"/>
      <c r="D22" s="25"/>
      <c r="E22" s="25"/>
      <c r="F22" s="25"/>
      <c r="H22" s="25"/>
      <c r="I22" s="25"/>
      <c r="K22" s="25"/>
      <c r="L22" s="25"/>
      <c r="M22" s="25"/>
      <c r="O22" s="25"/>
      <c r="P22" s="25"/>
      <c r="Q22" s="25"/>
      <c r="R22" s="25"/>
    </row>
    <row r="23" spans="1:18" ht="15" x14ac:dyDescent="0.25">
      <c r="A23" s="25"/>
      <c r="B23" s="25"/>
      <c r="C23" s="25"/>
      <c r="D23" s="25"/>
      <c r="E23" s="25"/>
      <c r="F23" s="25"/>
      <c r="H23" s="25"/>
      <c r="I23" s="25"/>
      <c r="K23" s="25"/>
      <c r="L23" s="25"/>
      <c r="M23" s="25"/>
      <c r="O23" s="25"/>
      <c r="P23" s="25"/>
      <c r="Q23" s="25"/>
      <c r="R23" s="25"/>
    </row>
    <row r="24" spans="1:18" ht="15" x14ac:dyDescent="0.25">
      <c r="A24" s="25"/>
      <c r="B24" s="25"/>
      <c r="C24" s="25"/>
      <c r="D24" s="25"/>
      <c r="E24" s="25"/>
      <c r="F24" s="25"/>
      <c r="H24" s="25"/>
      <c r="I24" s="25"/>
      <c r="K24" s="25"/>
      <c r="L24" s="25"/>
      <c r="M24" s="25"/>
      <c r="O24" s="25"/>
      <c r="P24" s="25"/>
      <c r="Q24" s="25"/>
      <c r="R24" s="25"/>
    </row>
    <row r="25" spans="1:18" s="220" customFormat="1" ht="20.25" customHeight="1" x14ac:dyDescent="0.2">
      <c r="C25" s="221" t="s">
        <v>375</v>
      </c>
    </row>
    <row r="26" spans="1:18" s="220" customFormat="1" ht="20.25" customHeight="1" x14ac:dyDescent="0.2">
      <c r="C26" s="221" t="s">
        <v>376</v>
      </c>
    </row>
    <row r="27" spans="1:18" ht="15.75" thickBot="1" x14ac:dyDescent="0.3">
      <c r="A27" s="25"/>
      <c r="B27" s="25"/>
      <c r="C27" s="25"/>
      <c r="D27" s="25"/>
      <c r="E27" s="25"/>
      <c r="F27" s="25"/>
      <c r="H27" s="25"/>
      <c r="I27" s="25"/>
      <c r="K27" s="25"/>
      <c r="L27" s="25"/>
      <c r="M27" s="25"/>
      <c r="O27" s="25"/>
      <c r="P27" s="25"/>
      <c r="Q27" s="25"/>
      <c r="R27" s="25"/>
    </row>
    <row r="28" spans="1:18" ht="15" x14ac:dyDescent="0.25">
      <c r="B28" s="27"/>
      <c r="C28" s="28"/>
      <c r="D28" s="862" t="s">
        <v>390</v>
      </c>
      <c r="E28" s="864" t="s">
        <v>391</v>
      </c>
      <c r="F28" s="864" t="s">
        <v>429</v>
      </c>
      <c r="G28" s="860" t="s">
        <v>428</v>
      </c>
      <c r="H28" s="29"/>
      <c r="I28" s="30"/>
      <c r="J28" s="31" t="s">
        <v>392</v>
      </c>
      <c r="K28" s="32"/>
      <c r="L28" s="32"/>
      <c r="M28" s="32"/>
      <c r="N28" s="32"/>
      <c r="O28" s="33"/>
      <c r="P28" s="34"/>
      <c r="Q28" s="34"/>
      <c r="R28" s="35"/>
    </row>
    <row r="29" spans="1:18" ht="53.25" thickBot="1" x14ac:dyDescent="0.3">
      <c r="B29" s="88"/>
      <c r="C29" s="89"/>
      <c r="D29" s="863"/>
      <c r="E29" s="865"/>
      <c r="F29" s="865"/>
      <c r="G29" s="861"/>
      <c r="H29" s="36"/>
      <c r="I29" s="37"/>
      <c r="J29" s="38" t="s">
        <v>393</v>
      </c>
      <c r="K29" s="39" t="s">
        <v>394</v>
      </c>
      <c r="L29" s="39" t="s">
        <v>395</v>
      </c>
      <c r="M29" s="39" t="s">
        <v>407</v>
      </c>
      <c r="N29" s="40" t="s">
        <v>408</v>
      </c>
      <c r="O29" s="41" t="s">
        <v>401</v>
      </c>
      <c r="P29" s="41" t="s">
        <v>396</v>
      </c>
      <c r="Q29" s="42" t="s">
        <v>431</v>
      </c>
      <c r="R29" s="43" t="s">
        <v>111</v>
      </c>
    </row>
    <row r="30" spans="1:18" ht="13.5" thickBot="1" x14ac:dyDescent="0.25">
      <c r="B30" s="90"/>
      <c r="C30" s="91"/>
      <c r="D30" s="83" t="s">
        <v>413</v>
      </c>
      <c r="E30" s="84" t="s">
        <v>414</v>
      </c>
      <c r="F30" s="84" t="s">
        <v>415</v>
      </c>
      <c r="G30" s="85" t="s">
        <v>416</v>
      </c>
      <c r="H30" s="86"/>
      <c r="I30" s="87"/>
      <c r="J30" s="44" t="s">
        <v>417</v>
      </c>
      <c r="K30" s="45" t="s">
        <v>418</v>
      </c>
      <c r="L30" s="45" t="s">
        <v>419</v>
      </c>
      <c r="M30" s="45" t="s">
        <v>420</v>
      </c>
      <c r="N30" s="46" t="s">
        <v>421</v>
      </c>
      <c r="O30" s="45" t="s">
        <v>422</v>
      </c>
      <c r="P30" s="45" t="s">
        <v>423</v>
      </c>
      <c r="Q30" s="47" t="s">
        <v>424</v>
      </c>
      <c r="R30" s="48" t="s">
        <v>425</v>
      </c>
    </row>
    <row r="31" spans="1:18" ht="15" x14ac:dyDescent="0.2">
      <c r="B31" s="50" t="s">
        <v>409</v>
      </c>
      <c r="C31" s="51" t="s">
        <v>397</v>
      </c>
      <c r="D31" s="98"/>
      <c r="E31" s="99"/>
      <c r="F31" s="99"/>
      <c r="G31" s="100">
        <f t="shared" ref="G31:G37" si="0">SUM(D31:F31)</f>
        <v>0</v>
      </c>
      <c r="H31" s="52" t="s">
        <v>409</v>
      </c>
      <c r="I31" s="53" t="s">
        <v>398</v>
      </c>
      <c r="J31" s="110"/>
      <c r="K31" s="116"/>
      <c r="L31" s="116"/>
      <c r="M31" s="116"/>
      <c r="N31" s="99"/>
      <c r="O31" s="116"/>
      <c r="P31" s="117"/>
      <c r="Q31" s="116"/>
      <c r="R31" s="118">
        <f t="shared" ref="R31:R37" si="1">SUM(J31:M31,O31:Q31)</f>
        <v>0</v>
      </c>
    </row>
    <row r="32" spans="1:18" ht="15" x14ac:dyDescent="0.2">
      <c r="B32" s="54" t="s">
        <v>409</v>
      </c>
      <c r="C32" s="55" t="s">
        <v>403</v>
      </c>
      <c r="D32" s="101"/>
      <c r="E32" s="102"/>
      <c r="F32" s="103"/>
      <c r="G32" s="104">
        <f t="shared" si="0"/>
        <v>0</v>
      </c>
      <c r="H32" s="56" t="s">
        <v>409</v>
      </c>
      <c r="I32" s="57" t="s">
        <v>430</v>
      </c>
      <c r="J32" s="105"/>
      <c r="K32" s="119"/>
      <c r="L32" s="119"/>
      <c r="M32" s="119"/>
      <c r="N32" s="106"/>
      <c r="O32" s="119"/>
      <c r="P32" s="119"/>
      <c r="Q32" s="119"/>
      <c r="R32" s="104">
        <f t="shared" si="1"/>
        <v>0</v>
      </c>
    </row>
    <row r="33" spans="1:94" ht="15" x14ac:dyDescent="0.2">
      <c r="B33" s="58" t="s">
        <v>409</v>
      </c>
      <c r="C33" s="59" t="s">
        <v>404</v>
      </c>
      <c r="D33" s="105"/>
      <c r="E33" s="106"/>
      <c r="F33" s="106"/>
      <c r="G33" s="104">
        <f t="shared" si="0"/>
        <v>0</v>
      </c>
      <c r="H33" s="60" t="s">
        <v>409</v>
      </c>
      <c r="I33" s="61" t="s">
        <v>404</v>
      </c>
      <c r="J33" s="107"/>
      <c r="K33" s="120"/>
      <c r="L33" s="120"/>
      <c r="M33" s="120"/>
      <c r="N33" s="106"/>
      <c r="O33" s="120"/>
      <c r="P33" s="120"/>
      <c r="Q33" s="120"/>
      <c r="R33" s="104">
        <f t="shared" si="1"/>
        <v>0</v>
      </c>
    </row>
    <row r="34" spans="1:94" ht="15" x14ac:dyDescent="0.2">
      <c r="B34" s="58" t="s">
        <v>410</v>
      </c>
      <c r="C34" s="59" t="s">
        <v>405</v>
      </c>
      <c r="D34" s="105"/>
      <c r="E34" s="106"/>
      <c r="F34" s="106"/>
      <c r="G34" s="104">
        <f t="shared" si="0"/>
        <v>0</v>
      </c>
      <c r="H34" s="62" t="s">
        <v>410</v>
      </c>
      <c r="I34" s="63" t="s">
        <v>405</v>
      </c>
      <c r="J34" s="107"/>
      <c r="K34" s="119"/>
      <c r="L34" s="119"/>
      <c r="M34" s="119"/>
      <c r="N34" s="106"/>
      <c r="O34" s="119"/>
      <c r="P34" s="119"/>
      <c r="Q34" s="119"/>
      <c r="R34" s="104">
        <f t="shared" si="1"/>
        <v>0</v>
      </c>
    </row>
    <row r="35" spans="1:94" ht="25.5" x14ac:dyDescent="0.2">
      <c r="B35" s="58" t="s">
        <v>409</v>
      </c>
      <c r="C35" s="64" t="s">
        <v>254</v>
      </c>
      <c r="D35" s="101"/>
      <c r="E35" s="102"/>
      <c r="F35" s="103"/>
      <c r="G35" s="104">
        <f t="shared" si="0"/>
        <v>0</v>
      </c>
      <c r="H35" s="60" t="s">
        <v>410</v>
      </c>
      <c r="I35" s="61" t="s">
        <v>427</v>
      </c>
      <c r="J35" s="107"/>
      <c r="K35" s="120"/>
      <c r="L35" s="120"/>
      <c r="M35" s="120"/>
      <c r="N35" s="106"/>
      <c r="O35" s="120"/>
      <c r="P35" s="120"/>
      <c r="Q35" s="120"/>
      <c r="R35" s="104">
        <f t="shared" si="1"/>
        <v>0</v>
      </c>
    </row>
    <row r="36" spans="1:94" ht="15" x14ac:dyDescent="0.2">
      <c r="B36" s="65" t="s">
        <v>410</v>
      </c>
      <c r="C36" s="66" t="s">
        <v>399</v>
      </c>
      <c r="D36" s="105"/>
      <c r="E36" s="106"/>
      <c r="F36" s="106"/>
      <c r="G36" s="104">
        <f t="shared" si="0"/>
        <v>0</v>
      </c>
      <c r="H36" s="60" t="s">
        <v>409</v>
      </c>
      <c r="I36" s="61" t="s">
        <v>434</v>
      </c>
      <c r="J36" s="107"/>
      <c r="K36" s="120"/>
      <c r="L36" s="120"/>
      <c r="M36" s="120"/>
      <c r="N36" s="106"/>
      <c r="O36" s="120"/>
      <c r="P36" s="120"/>
      <c r="Q36" s="120"/>
      <c r="R36" s="104">
        <f t="shared" si="1"/>
        <v>0</v>
      </c>
    </row>
    <row r="37" spans="1:94" ht="15.75" thickBot="1" x14ac:dyDescent="0.25">
      <c r="B37" s="67" t="s">
        <v>410</v>
      </c>
      <c r="C37" s="68" t="s">
        <v>411</v>
      </c>
      <c r="D37" s="107"/>
      <c r="E37" s="103"/>
      <c r="F37" s="103"/>
      <c r="G37" s="104">
        <f t="shared" si="0"/>
        <v>0</v>
      </c>
      <c r="H37" s="62" t="s">
        <v>410</v>
      </c>
      <c r="I37" s="63" t="s">
        <v>411</v>
      </c>
      <c r="J37" s="105"/>
      <c r="K37" s="119"/>
      <c r="L37" s="119"/>
      <c r="M37" s="119"/>
      <c r="N37" s="121"/>
      <c r="O37" s="119"/>
      <c r="P37" s="119"/>
      <c r="Q37" s="119"/>
      <c r="R37" s="122">
        <f t="shared" si="1"/>
        <v>0</v>
      </c>
    </row>
    <row r="38" spans="1:94" ht="15.75" thickBot="1" x14ac:dyDescent="0.25">
      <c r="B38" s="50" t="s">
        <v>410</v>
      </c>
      <c r="C38" s="69" t="s">
        <v>402</v>
      </c>
      <c r="D38" s="108">
        <f>D31+D33-D34-D36-D37-D39</f>
        <v>0</v>
      </c>
      <c r="E38" s="108">
        <f>E31+E33-E34-E36-E37-E39</f>
        <v>0</v>
      </c>
      <c r="F38" s="108">
        <f>F31+F32+F33-F34+F35-F36-F37-F39</f>
        <v>0</v>
      </c>
      <c r="G38" s="109">
        <f>G31+G32+G33-G34+G35-G36-G37-G39</f>
        <v>0</v>
      </c>
      <c r="H38" s="52" t="s">
        <v>410</v>
      </c>
      <c r="I38" s="70" t="s">
        <v>402</v>
      </c>
      <c r="J38" s="108">
        <f t="shared" ref="J38:R38" si="2">J31+J32+J33-J34-J35+J36-J37-J39</f>
        <v>0</v>
      </c>
      <c r="K38" s="108">
        <f t="shared" si="2"/>
        <v>0</v>
      </c>
      <c r="L38" s="108">
        <f t="shared" si="2"/>
        <v>0</v>
      </c>
      <c r="M38" s="108">
        <f t="shared" si="2"/>
        <v>0</v>
      </c>
      <c r="N38" s="108">
        <f t="shared" si="2"/>
        <v>0</v>
      </c>
      <c r="O38" s="108">
        <f t="shared" si="2"/>
        <v>0</v>
      </c>
      <c r="P38" s="108">
        <f t="shared" si="2"/>
        <v>0</v>
      </c>
      <c r="Q38" s="108">
        <f t="shared" si="2"/>
        <v>0</v>
      </c>
      <c r="R38" s="123">
        <f t="shared" si="2"/>
        <v>0</v>
      </c>
    </row>
    <row r="39" spans="1:94" ht="15" x14ac:dyDescent="0.2">
      <c r="B39" s="71" t="s">
        <v>426</v>
      </c>
      <c r="C39" s="69" t="s">
        <v>406</v>
      </c>
      <c r="D39" s="110"/>
      <c r="E39" s="111"/>
      <c r="F39" s="111"/>
      <c r="G39" s="112">
        <f>SUM(D39:F39)</f>
        <v>0</v>
      </c>
      <c r="H39" s="72" t="s">
        <v>426</v>
      </c>
      <c r="I39" s="70" t="s">
        <v>400</v>
      </c>
      <c r="J39" s="110"/>
      <c r="K39" s="116"/>
      <c r="L39" s="116"/>
      <c r="M39" s="116"/>
      <c r="N39" s="99"/>
      <c r="O39" s="116"/>
      <c r="P39" s="116"/>
      <c r="Q39" s="116"/>
      <c r="R39" s="118">
        <f>SUM(J39:M39,O39:Q39)</f>
        <v>0</v>
      </c>
    </row>
    <row r="40" spans="1:94" ht="15.75" thickBot="1" x14ac:dyDescent="0.25">
      <c r="B40" s="73"/>
      <c r="C40" s="74" t="s">
        <v>412</v>
      </c>
      <c r="D40" s="113"/>
      <c r="E40" s="114"/>
      <c r="F40" s="114"/>
      <c r="G40" s="115">
        <f>SUM(D40:F40)</f>
        <v>0</v>
      </c>
      <c r="H40" s="75"/>
      <c r="I40" s="76" t="s">
        <v>412</v>
      </c>
      <c r="J40" s="113"/>
      <c r="K40" s="114"/>
      <c r="L40" s="114"/>
      <c r="M40" s="114"/>
      <c r="N40" s="124"/>
      <c r="O40" s="114"/>
      <c r="P40" s="114"/>
      <c r="Q40" s="114"/>
      <c r="R40" s="125">
        <f>SUM(J40:M40,O40:Q40)</f>
        <v>0</v>
      </c>
    </row>
    <row r="41" spans="1:94" ht="15" x14ac:dyDescent="0.25">
      <c r="A41" s="25"/>
      <c r="B41" s="25"/>
      <c r="C41" s="25"/>
      <c r="D41" s="25"/>
      <c r="E41" s="25"/>
      <c r="F41" s="25"/>
      <c r="H41" s="25"/>
      <c r="I41" s="25"/>
      <c r="K41" s="25"/>
      <c r="L41" s="25"/>
      <c r="M41" s="25"/>
      <c r="O41" s="25"/>
      <c r="P41" s="25"/>
      <c r="Q41" s="25"/>
      <c r="R41" s="25"/>
    </row>
    <row r="42" spans="1:94" ht="15" x14ac:dyDescent="0.25">
      <c r="A42" s="25"/>
      <c r="B42" s="25"/>
      <c r="C42" s="25"/>
      <c r="D42" s="25"/>
      <c r="E42" s="25"/>
      <c r="F42" s="25"/>
      <c r="H42" s="25"/>
      <c r="I42" s="25"/>
      <c r="K42" s="25"/>
      <c r="L42" s="25"/>
      <c r="M42" s="25"/>
      <c r="O42" s="25"/>
      <c r="P42" s="25"/>
      <c r="Q42" s="25"/>
      <c r="R42" s="25"/>
    </row>
    <row r="43" spans="1:94" ht="12.75" customHeight="1" x14ac:dyDescent="0.25">
      <c r="A43" s="25"/>
      <c r="B43" s="25"/>
      <c r="C43" s="25"/>
      <c r="D43" s="25"/>
      <c r="E43" s="25"/>
      <c r="F43" s="25"/>
      <c r="H43" s="25"/>
      <c r="I43" s="227" t="s">
        <v>381</v>
      </c>
      <c r="K43" s="226" t="s">
        <v>378</v>
      </c>
      <c r="L43" s="25"/>
      <c r="M43" s="25"/>
      <c r="O43" s="25"/>
      <c r="P43" s="25"/>
      <c r="Q43" s="25"/>
      <c r="R43" s="25"/>
      <c r="T43" s="851" t="s">
        <v>379</v>
      </c>
      <c r="U43" s="852"/>
      <c r="V43" s="853"/>
      <c r="W43" s="825" t="s">
        <v>518</v>
      </c>
      <c r="X43" s="825" t="s">
        <v>519</v>
      </c>
      <c r="Y43" s="825" t="s">
        <v>520</v>
      </c>
      <c r="Z43" s="827" t="s">
        <v>521</v>
      </c>
      <c r="AA43" s="135"/>
      <c r="AB43" s="825" t="s">
        <v>523</v>
      </c>
      <c r="AC43" s="822" t="s">
        <v>524</v>
      </c>
      <c r="AE43" s="851" t="s">
        <v>380</v>
      </c>
      <c r="AF43" s="852"/>
      <c r="AG43" s="853"/>
      <c r="AH43" s="833" t="s">
        <v>535</v>
      </c>
      <c r="AI43" s="840" t="s">
        <v>536</v>
      </c>
      <c r="AJ43" s="831" t="s">
        <v>537</v>
      </c>
      <c r="AK43" s="833" t="s">
        <v>449</v>
      </c>
      <c r="AL43" s="833" t="s">
        <v>393</v>
      </c>
      <c r="AM43" s="840" t="s">
        <v>394</v>
      </c>
      <c r="AN43" s="829" t="s">
        <v>538</v>
      </c>
      <c r="AO43" s="545"/>
      <c r="AP43" s="396"/>
      <c r="AQ43" s="842" t="s">
        <v>539</v>
      </c>
      <c r="AR43" s="833" t="s">
        <v>540</v>
      </c>
      <c r="AS43" s="844" t="s">
        <v>541</v>
      </c>
      <c r="AT43" s="397"/>
      <c r="AU43" s="398"/>
      <c r="AV43" s="840" t="s">
        <v>542</v>
      </c>
      <c r="AW43" s="399"/>
      <c r="AX43" s="400"/>
      <c r="AY43" s="838" t="s">
        <v>543</v>
      </c>
      <c r="AZ43" s="400"/>
      <c r="BA43" s="396"/>
      <c r="BB43" s="829" t="s">
        <v>544</v>
      </c>
      <c r="BC43" s="400"/>
      <c r="BD43" s="396"/>
      <c r="BE43" s="831" t="s">
        <v>545</v>
      </c>
      <c r="BF43" s="833" t="s">
        <v>546</v>
      </c>
      <c r="BG43" s="835" t="s">
        <v>547</v>
      </c>
      <c r="BI43" s="851" t="s">
        <v>380</v>
      </c>
      <c r="BJ43" s="852"/>
      <c r="BK43" s="853"/>
      <c r="BL43" s="825" t="s">
        <v>535</v>
      </c>
      <c r="BM43" s="825" t="s">
        <v>536</v>
      </c>
      <c r="BN43" s="825" t="s">
        <v>520</v>
      </c>
      <c r="BO43" s="827" t="s">
        <v>521</v>
      </c>
      <c r="BP43" s="451"/>
      <c r="BQ43" s="848" t="s">
        <v>595</v>
      </c>
      <c r="BR43" s="822" t="s">
        <v>524</v>
      </c>
      <c r="BS43" s="842" t="s">
        <v>449</v>
      </c>
      <c r="BT43" s="833" t="s">
        <v>393</v>
      </c>
      <c r="BU43" s="840" t="s">
        <v>394</v>
      </c>
      <c r="BV43" s="829" t="s">
        <v>538</v>
      </c>
      <c r="BW43" s="545"/>
      <c r="BX43" s="400"/>
      <c r="BY43" s="842" t="s">
        <v>539</v>
      </c>
      <c r="BZ43" s="833" t="s">
        <v>540</v>
      </c>
      <c r="CA43" s="844" t="s">
        <v>541</v>
      </c>
      <c r="CB43" s="397"/>
      <c r="CC43" s="398"/>
      <c r="CD43" s="840" t="s">
        <v>542</v>
      </c>
      <c r="CE43" s="399"/>
      <c r="CF43" s="400"/>
      <c r="CG43" s="838" t="s">
        <v>543</v>
      </c>
      <c r="CH43" s="400"/>
      <c r="CI43" s="400"/>
      <c r="CJ43" s="829" t="s">
        <v>544</v>
      </c>
      <c r="CK43" s="400"/>
      <c r="CL43" s="400"/>
      <c r="CM43" s="842" t="s">
        <v>545</v>
      </c>
      <c r="CN43" s="848" t="s">
        <v>546</v>
      </c>
      <c r="CO43" s="835" t="s">
        <v>547</v>
      </c>
      <c r="CP43" s="835" t="s">
        <v>596</v>
      </c>
    </row>
    <row r="44" spans="1:94" ht="24" customHeight="1" x14ac:dyDescent="0.25">
      <c r="A44" s="25"/>
      <c r="B44" s="25"/>
      <c r="C44" s="25"/>
      <c r="D44" s="25"/>
      <c r="E44" s="25"/>
      <c r="F44" s="25"/>
      <c r="H44" s="25"/>
      <c r="I44" s="227"/>
      <c r="K44" s="226"/>
      <c r="L44" s="25"/>
      <c r="M44" s="25"/>
      <c r="O44" s="25"/>
      <c r="P44" s="25"/>
      <c r="Q44" s="25"/>
      <c r="R44" s="25"/>
      <c r="T44" s="854"/>
      <c r="U44" s="855"/>
      <c r="V44" s="856"/>
      <c r="W44" s="826"/>
      <c r="X44" s="826"/>
      <c r="Y44" s="826"/>
      <c r="Z44" s="828"/>
      <c r="AA44" s="140" t="s">
        <v>522</v>
      </c>
      <c r="AB44" s="826"/>
      <c r="AC44" s="823"/>
      <c r="AE44" s="854"/>
      <c r="AF44" s="855"/>
      <c r="AG44" s="856"/>
      <c r="AH44" s="834"/>
      <c r="AI44" s="841"/>
      <c r="AJ44" s="832"/>
      <c r="AK44" s="834"/>
      <c r="AL44" s="834"/>
      <c r="AM44" s="841"/>
      <c r="AN44" s="830"/>
      <c r="AO44" s="403" t="s">
        <v>549</v>
      </c>
      <c r="AP44" s="404" t="s">
        <v>550</v>
      </c>
      <c r="AQ44" s="843"/>
      <c r="AR44" s="834"/>
      <c r="AS44" s="845"/>
      <c r="AT44" s="405" t="s">
        <v>551</v>
      </c>
      <c r="AU44" s="406" t="s">
        <v>552</v>
      </c>
      <c r="AV44" s="841"/>
      <c r="AW44" s="407" t="s">
        <v>553</v>
      </c>
      <c r="AX44" s="408" t="s">
        <v>554</v>
      </c>
      <c r="AY44" s="839"/>
      <c r="AZ44" s="403" t="s">
        <v>555</v>
      </c>
      <c r="BA44" s="409" t="s">
        <v>556</v>
      </c>
      <c r="BB44" s="830"/>
      <c r="BC44" s="406" t="s">
        <v>557</v>
      </c>
      <c r="BD44" s="409" t="s">
        <v>558</v>
      </c>
      <c r="BE44" s="832"/>
      <c r="BF44" s="834"/>
      <c r="BG44" s="836"/>
      <c r="BI44" s="854"/>
      <c r="BJ44" s="855"/>
      <c r="BK44" s="856"/>
      <c r="BL44" s="826"/>
      <c r="BM44" s="826"/>
      <c r="BN44" s="826"/>
      <c r="BO44" s="850"/>
      <c r="BP44" s="140" t="s">
        <v>522</v>
      </c>
      <c r="BQ44" s="849"/>
      <c r="BR44" s="823"/>
      <c r="BS44" s="843"/>
      <c r="BT44" s="834"/>
      <c r="BU44" s="841"/>
      <c r="BV44" s="830"/>
      <c r="BW44" s="403" t="s">
        <v>549</v>
      </c>
      <c r="BX44" s="454" t="s">
        <v>550</v>
      </c>
      <c r="BY44" s="843"/>
      <c r="BZ44" s="834"/>
      <c r="CA44" s="845"/>
      <c r="CB44" s="405" t="s">
        <v>551</v>
      </c>
      <c r="CC44" s="406" t="s">
        <v>552</v>
      </c>
      <c r="CD44" s="841"/>
      <c r="CE44" s="407" t="s">
        <v>553</v>
      </c>
      <c r="CF44" s="408" t="s">
        <v>554</v>
      </c>
      <c r="CG44" s="839"/>
      <c r="CH44" s="403" t="s">
        <v>555</v>
      </c>
      <c r="CI44" s="405" t="s">
        <v>556</v>
      </c>
      <c r="CJ44" s="830"/>
      <c r="CK44" s="406" t="s">
        <v>557</v>
      </c>
      <c r="CL44" s="409" t="s">
        <v>558</v>
      </c>
      <c r="CM44" s="843"/>
      <c r="CN44" s="849"/>
      <c r="CO44" s="836"/>
      <c r="CP44" s="836"/>
    </row>
    <row r="45" spans="1:94" ht="12.75" customHeight="1" x14ac:dyDescent="0.25">
      <c r="A45" s="25"/>
      <c r="B45" s="25"/>
      <c r="C45" s="25"/>
      <c r="D45" s="25"/>
      <c r="E45" s="228" t="s">
        <v>382</v>
      </c>
      <c r="F45" s="228"/>
      <c r="G45" s="228"/>
      <c r="H45" s="228"/>
      <c r="I45" s="228"/>
      <c r="J45" s="228"/>
      <c r="K45" s="25"/>
      <c r="L45" s="25"/>
      <c r="M45" s="25"/>
      <c r="O45" s="25"/>
      <c r="P45" s="25"/>
      <c r="Q45" s="25"/>
      <c r="R45" s="25"/>
      <c r="T45" s="857"/>
      <c r="U45" s="858"/>
      <c r="V45" s="859"/>
      <c r="W45" s="138" t="s">
        <v>265</v>
      </c>
      <c r="X45" s="139" t="s">
        <v>266</v>
      </c>
      <c r="Y45" s="139" t="s">
        <v>267</v>
      </c>
      <c r="Z45" s="139" t="s">
        <v>268</v>
      </c>
      <c r="AA45" s="140" t="s">
        <v>269</v>
      </c>
      <c r="AB45" s="139" t="s">
        <v>270</v>
      </c>
      <c r="AC45" s="141" t="s">
        <v>271</v>
      </c>
      <c r="AE45" s="857"/>
      <c r="AF45" s="858"/>
      <c r="AG45" s="859"/>
      <c r="AH45" s="138" t="s">
        <v>265</v>
      </c>
      <c r="AI45" s="411" t="s">
        <v>266</v>
      </c>
      <c r="AJ45" s="138" t="s">
        <v>267</v>
      </c>
      <c r="AK45" s="139" t="s">
        <v>268</v>
      </c>
      <c r="AL45" s="139" t="s">
        <v>269</v>
      </c>
      <c r="AM45" s="170" t="s">
        <v>270</v>
      </c>
      <c r="AN45" s="412" t="s">
        <v>271</v>
      </c>
      <c r="AO45" s="170" t="s">
        <v>450</v>
      </c>
      <c r="AP45" s="413" t="s">
        <v>451</v>
      </c>
      <c r="AQ45" s="138" t="s">
        <v>452</v>
      </c>
      <c r="AR45" s="139" t="s">
        <v>453</v>
      </c>
      <c r="AS45" s="414" t="s">
        <v>454</v>
      </c>
      <c r="AT45" s="170" t="s">
        <v>455</v>
      </c>
      <c r="AU45" s="170" t="s">
        <v>456</v>
      </c>
      <c r="AV45" s="413" t="s">
        <v>457</v>
      </c>
      <c r="AW45" s="171" t="s">
        <v>458</v>
      </c>
      <c r="AX45" s="172" t="s">
        <v>459</v>
      </c>
      <c r="AY45" s="415" t="s">
        <v>460</v>
      </c>
      <c r="AZ45" s="173" t="s">
        <v>461</v>
      </c>
      <c r="BA45" s="413" t="s">
        <v>462</v>
      </c>
      <c r="BB45" s="415" t="s">
        <v>463</v>
      </c>
      <c r="BC45" s="171" t="s">
        <v>464</v>
      </c>
      <c r="BD45" s="413" t="s">
        <v>467</v>
      </c>
      <c r="BE45" s="138" t="s">
        <v>468</v>
      </c>
      <c r="BF45" s="139" t="s">
        <v>469</v>
      </c>
      <c r="BG45" s="141" t="s">
        <v>470</v>
      </c>
      <c r="BI45" s="857"/>
      <c r="BJ45" s="858"/>
      <c r="BK45" s="859"/>
      <c r="BL45" s="171" t="s">
        <v>265</v>
      </c>
      <c r="BM45" s="171" t="s">
        <v>266</v>
      </c>
      <c r="BN45" s="171" t="s">
        <v>267</v>
      </c>
      <c r="BO45" s="206" t="s">
        <v>268</v>
      </c>
      <c r="BP45" s="457" t="s">
        <v>269</v>
      </c>
      <c r="BQ45" s="457" t="s">
        <v>270</v>
      </c>
      <c r="BR45" s="458" t="s">
        <v>271</v>
      </c>
      <c r="BS45" s="173" t="s">
        <v>450</v>
      </c>
      <c r="BT45" s="173" t="s">
        <v>451</v>
      </c>
      <c r="BU45" s="207" t="s">
        <v>452</v>
      </c>
      <c r="BV45" s="459" t="s">
        <v>453</v>
      </c>
      <c r="BW45" s="457" t="s">
        <v>454</v>
      </c>
      <c r="BX45" s="460" t="s">
        <v>455</v>
      </c>
      <c r="BY45" s="461" t="s">
        <v>456</v>
      </c>
      <c r="BZ45" s="462" t="s">
        <v>457</v>
      </c>
      <c r="CA45" s="463" t="s">
        <v>458</v>
      </c>
      <c r="CB45" s="457" t="s">
        <v>459</v>
      </c>
      <c r="CC45" s="171" t="s">
        <v>460</v>
      </c>
      <c r="CD45" s="208" t="s">
        <v>461</v>
      </c>
      <c r="CE45" s="173" t="s">
        <v>462</v>
      </c>
      <c r="CF45" s="206" t="s">
        <v>463</v>
      </c>
      <c r="CG45" s="415" t="s">
        <v>464</v>
      </c>
      <c r="CH45" s="464" t="s">
        <v>467</v>
      </c>
      <c r="CI45" s="460" t="s">
        <v>468</v>
      </c>
      <c r="CJ45" s="459" t="s">
        <v>469</v>
      </c>
      <c r="CK45" s="464" t="s">
        <v>470</v>
      </c>
      <c r="CL45" s="460" t="s">
        <v>471</v>
      </c>
      <c r="CM45" s="465" t="s">
        <v>370</v>
      </c>
      <c r="CN45" s="460" t="s">
        <v>597</v>
      </c>
      <c r="CO45" s="209" t="s">
        <v>598</v>
      </c>
      <c r="CP45" s="209" t="s">
        <v>599</v>
      </c>
    </row>
    <row r="46" spans="1:94" ht="15" x14ac:dyDescent="0.25">
      <c r="A46" s="25"/>
      <c r="B46" s="25"/>
      <c r="C46" s="25"/>
      <c r="D46" s="25"/>
      <c r="E46" s="25"/>
      <c r="F46" s="25"/>
      <c r="H46" s="25"/>
      <c r="I46" s="25"/>
      <c r="K46" s="25"/>
      <c r="L46" s="25"/>
      <c r="M46" s="25"/>
      <c r="O46" s="25"/>
      <c r="P46" s="25"/>
      <c r="Q46" s="25"/>
      <c r="R46" s="25"/>
      <c r="T46" s="142" t="s">
        <v>409</v>
      </c>
      <c r="U46" s="143" t="s">
        <v>525</v>
      </c>
      <c r="V46" s="144">
        <v>1</v>
      </c>
      <c r="W46" s="145"/>
      <c r="X46" s="145"/>
      <c r="Y46" s="146"/>
      <c r="Z46" s="145"/>
      <c r="AA46" s="146"/>
      <c r="AB46" s="145"/>
      <c r="AC46" s="147">
        <f t="shared" ref="AC46:AC57" si="3">SUM(W46:Z46,AB46)</f>
        <v>0</v>
      </c>
      <c r="AE46" s="416" t="s">
        <v>409</v>
      </c>
      <c r="AF46" s="174" t="s">
        <v>559</v>
      </c>
      <c r="AG46" s="417">
        <v>1</v>
      </c>
      <c r="AH46" s="175"/>
      <c r="AI46" s="418"/>
      <c r="AJ46" s="175"/>
      <c r="AK46" s="176"/>
      <c r="AL46" s="176"/>
      <c r="AM46" s="177"/>
      <c r="AN46" s="419"/>
      <c r="AO46" s="177"/>
      <c r="AP46" s="178"/>
      <c r="AQ46" s="175"/>
      <c r="AR46" s="176"/>
      <c r="AS46" s="420"/>
      <c r="AT46" s="177"/>
      <c r="AU46" s="177"/>
      <c r="AV46" s="177"/>
      <c r="AW46" s="179"/>
      <c r="AX46" s="180"/>
      <c r="AY46" s="421"/>
      <c r="AZ46" s="175"/>
      <c r="BA46" s="178"/>
      <c r="BB46" s="421"/>
      <c r="BC46" s="176"/>
      <c r="BD46" s="178"/>
      <c r="BE46" s="175"/>
      <c r="BF46" s="176"/>
      <c r="BG46" s="181">
        <f>SUM(AH46:AN46,AQ46:AS46,AV46,AY46,BB46,BE46:BF46)</f>
        <v>0</v>
      </c>
      <c r="BI46" s="466" t="s">
        <v>472</v>
      </c>
      <c r="BJ46" s="467" t="s">
        <v>473</v>
      </c>
      <c r="BK46" s="468">
        <v>1</v>
      </c>
      <c r="BL46" s="469">
        <f>BL48+BL50+BL52+BL54+BL56+BL58+BL60+BL62</f>
        <v>0</v>
      </c>
      <c r="BM46" s="469">
        <f t="shared" ref="BM46:BS47" si="4">BM48+BM50+BM52+BM54+BM56+BM58+BM60+BM62</f>
        <v>0</v>
      </c>
      <c r="BN46" s="469">
        <f t="shared" si="4"/>
        <v>0</v>
      </c>
      <c r="BO46" s="469">
        <f>BO48+BO50+BO52+BO54+BO56+BO58+BO60+BO62</f>
        <v>0</v>
      </c>
      <c r="BP46" s="469">
        <f>BP48+BP50+BP52+BP54+BP56+BP58+BP60+BP62</f>
        <v>0</v>
      </c>
      <c r="BQ46" s="469">
        <f t="shared" si="4"/>
        <v>0</v>
      </c>
      <c r="BR46" s="470">
        <f>BR48+BR50+BR52+BR54+BR56+BR58+BR60+BR62</f>
        <v>0</v>
      </c>
      <c r="BS46" s="471">
        <f t="shared" si="4"/>
        <v>0</v>
      </c>
      <c r="BT46" s="471">
        <f>BT48+BT50+BT52+BT54+BT56+BT58+BT60+BT62</f>
        <v>0</v>
      </c>
      <c r="BU46" s="472">
        <f t="shared" ref="BU46:CN47" si="5">BU48+BU50+BU52+BU54+BU56+BU58+BU60+BU62</f>
        <v>0</v>
      </c>
      <c r="BV46" s="473">
        <f t="shared" si="5"/>
        <v>0</v>
      </c>
      <c r="BW46" s="474">
        <f t="shared" si="5"/>
        <v>0</v>
      </c>
      <c r="BX46" s="470">
        <f t="shared" si="5"/>
        <v>0</v>
      </c>
      <c r="BY46" s="471">
        <f t="shared" si="5"/>
        <v>0</v>
      </c>
      <c r="BZ46" s="469">
        <f t="shared" si="5"/>
        <v>0</v>
      </c>
      <c r="CA46" s="475">
        <f t="shared" si="5"/>
        <v>0</v>
      </c>
      <c r="CB46" s="469">
        <f t="shared" si="5"/>
        <v>0</v>
      </c>
      <c r="CC46" s="469">
        <f t="shared" si="5"/>
        <v>0</v>
      </c>
      <c r="CD46" s="470">
        <f t="shared" si="5"/>
        <v>0</v>
      </c>
      <c r="CE46" s="471">
        <f t="shared" si="5"/>
        <v>0</v>
      </c>
      <c r="CF46" s="469">
        <f t="shared" si="5"/>
        <v>0</v>
      </c>
      <c r="CG46" s="476">
        <f t="shared" si="5"/>
        <v>0</v>
      </c>
      <c r="CH46" s="469">
        <f t="shared" si="5"/>
        <v>0</v>
      </c>
      <c r="CI46" s="470">
        <f t="shared" si="5"/>
        <v>0</v>
      </c>
      <c r="CJ46" s="473">
        <f t="shared" si="5"/>
        <v>0</v>
      </c>
      <c r="CK46" s="477">
        <f t="shared" si="5"/>
        <v>0</v>
      </c>
      <c r="CL46" s="478">
        <f t="shared" si="5"/>
        <v>0</v>
      </c>
      <c r="CM46" s="479">
        <f t="shared" si="5"/>
        <v>0</v>
      </c>
      <c r="CN46" s="479">
        <f t="shared" si="5"/>
        <v>0</v>
      </c>
      <c r="CO46" s="477">
        <f>SUM(BS46:BV46,BY46:CA46,CD46,CG46,CJ46,CM46:CN46)</f>
        <v>0</v>
      </c>
      <c r="CP46" s="477">
        <f>SUM(BR46,CO46)</f>
        <v>0</v>
      </c>
    </row>
    <row r="47" spans="1:94" ht="15" x14ac:dyDescent="0.25">
      <c r="A47" s="25"/>
      <c r="B47" s="25"/>
      <c r="C47" s="25"/>
      <c r="D47" s="25"/>
      <c r="E47" s="25"/>
      <c r="F47" s="25"/>
      <c r="H47" s="25"/>
      <c r="K47" s="25"/>
      <c r="L47" s="25"/>
      <c r="M47" s="25"/>
      <c r="O47" s="25"/>
      <c r="P47" s="25"/>
      <c r="Q47" s="25"/>
      <c r="R47" s="25"/>
      <c r="T47" s="149" t="s">
        <v>409</v>
      </c>
      <c r="U47" s="150" t="s">
        <v>526</v>
      </c>
      <c r="V47" s="151">
        <v>2</v>
      </c>
      <c r="W47" s="146"/>
      <c r="X47" s="146"/>
      <c r="Y47" s="146"/>
      <c r="Z47" s="145"/>
      <c r="AA47" s="152"/>
      <c r="AB47" s="145"/>
      <c r="AC47" s="147">
        <f t="shared" si="3"/>
        <v>0</v>
      </c>
      <c r="AE47" s="416" t="s">
        <v>409</v>
      </c>
      <c r="AF47" s="174" t="s">
        <v>560</v>
      </c>
      <c r="AG47" s="417">
        <v>2</v>
      </c>
      <c r="AH47" s="182"/>
      <c r="AI47" s="201"/>
      <c r="AJ47" s="175"/>
      <c r="AK47" s="176"/>
      <c r="AL47" s="176"/>
      <c r="AM47" s="177"/>
      <c r="AN47" s="419"/>
      <c r="AO47" s="177"/>
      <c r="AP47" s="178"/>
      <c r="AQ47" s="175"/>
      <c r="AR47" s="176"/>
      <c r="AS47" s="420"/>
      <c r="AT47" s="177"/>
      <c r="AU47" s="177"/>
      <c r="AV47" s="177"/>
      <c r="AW47" s="179"/>
      <c r="AX47" s="180"/>
      <c r="AY47" s="421"/>
      <c r="AZ47" s="175"/>
      <c r="BA47" s="178"/>
      <c r="BB47" s="421"/>
      <c r="BC47" s="176"/>
      <c r="BD47" s="178"/>
      <c r="BE47" s="175"/>
      <c r="BF47" s="176"/>
      <c r="BG47" s="181">
        <f>SUM(AJ47:AN47,AQ47:AS47,AV47,AY47,BB47,BE47:BF47)</f>
        <v>0</v>
      </c>
      <c r="BI47" s="482" t="s">
        <v>601</v>
      </c>
      <c r="BJ47" s="483" t="s">
        <v>474</v>
      </c>
      <c r="BK47" s="484">
        <v>2</v>
      </c>
      <c r="BL47" s="469">
        <f>BL49+BL51+BL53+BL55+BL57+BL59+BL61+BL63</f>
        <v>0</v>
      </c>
      <c r="BM47" s="469">
        <f t="shared" si="4"/>
        <v>0</v>
      </c>
      <c r="BN47" s="469">
        <f t="shared" si="4"/>
        <v>0</v>
      </c>
      <c r="BO47" s="469">
        <f>BO49+BO51+BO53+BO55+BO57+BO59+BO61+BO63</f>
        <v>0</v>
      </c>
      <c r="BP47" s="469">
        <f>BP49+BP51+BP53+BP55+BP57+BP59+BP61+BP63</f>
        <v>0</v>
      </c>
      <c r="BQ47" s="469">
        <f t="shared" si="4"/>
        <v>0</v>
      </c>
      <c r="BR47" s="470">
        <f t="shared" si="4"/>
        <v>0</v>
      </c>
      <c r="BS47" s="471">
        <f t="shared" si="4"/>
        <v>0</v>
      </c>
      <c r="BT47" s="471">
        <f>BT49+BT51+BT53+BT55+BT57+BT59+BT61+BT63</f>
        <v>0</v>
      </c>
      <c r="BU47" s="472">
        <f t="shared" si="5"/>
        <v>0</v>
      </c>
      <c r="BV47" s="473">
        <f t="shared" si="5"/>
        <v>0</v>
      </c>
      <c r="BW47" s="474">
        <f t="shared" si="5"/>
        <v>0</v>
      </c>
      <c r="BX47" s="470">
        <f t="shared" si="5"/>
        <v>0</v>
      </c>
      <c r="BY47" s="471">
        <f t="shared" si="5"/>
        <v>0</v>
      </c>
      <c r="BZ47" s="469">
        <f t="shared" si="5"/>
        <v>0</v>
      </c>
      <c r="CA47" s="475">
        <f t="shared" si="5"/>
        <v>0</v>
      </c>
      <c r="CB47" s="469">
        <f t="shared" si="5"/>
        <v>0</v>
      </c>
      <c r="CC47" s="469">
        <f t="shared" si="5"/>
        <v>0</v>
      </c>
      <c r="CD47" s="470">
        <f t="shared" si="5"/>
        <v>0</v>
      </c>
      <c r="CE47" s="471">
        <f t="shared" si="5"/>
        <v>0</v>
      </c>
      <c r="CF47" s="469">
        <f t="shared" si="5"/>
        <v>0</v>
      </c>
      <c r="CG47" s="476">
        <f t="shared" si="5"/>
        <v>0</v>
      </c>
      <c r="CH47" s="469">
        <f t="shared" si="5"/>
        <v>0</v>
      </c>
      <c r="CI47" s="470">
        <f t="shared" si="5"/>
        <v>0</v>
      </c>
      <c r="CJ47" s="473">
        <f t="shared" si="5"/>
        <v>0</v>
      </c>
      <c r="CK47" s="477">
        <f t="shared" si="5"/>
        <v>0</v>
      </c>
      <c r="CL47" s="478">
        <f t="shared" si="5"/>
        <v>0</v>
      </c>
      <c r="CM47" s="479">
        <f t="shared" si="5"/>
        <v>0</v>
      </c>
      <c r="CN47" s="479">
        <f t="shared" si="5"/>
        <v>0</v>
      </c>
      <c r="CO47" s="477">
        <f t="shared" ref="CO47:CO79" si="6">SUM(BS47:BV47,BY47:CA47,CD47,CG47,CJ47,CM47:CN47)</f>
        <v>0</v>
      </c>
      <c r="CP47" s="477">
        <f t="shared" ref="CP47:CP79" si="7">SUM(BR47,CO47)</f>
        <v>0</v>
      </c>
    </row>
    <row r="48" spans="1:94" ht="15" x14ac:dyDescent="0.25">
      <c r="A48" s="25"/>
      <c r="B48" s="25"/>
      <c r="C48" s="25"/>
      <c r="D48" s="25"/>
      <c r="E48" s="25"/>
      <c r="F48" s="25"/>
      <c r="H48" s="25"/>
      <c r="I48" s="25"/>
      <c r="K48" s="25"/>
      <c r="L48" s="25"/>
      <c r="M48" s="25"/>
      <c r="O48" s="25"/>
      <c r="P48" s="25"/>
      <c r="Q48" s="25"/>
      <c r="R48" s="25"/>
      <c r="T48" s="149" t="s">
        <v>409</v>
      </c>
      <c r="U48" s="153" t="s">
        <v>274</v>
      </c>
      <c r="V48" s="154">
        <v>3</v>
      </c>
      <c r="W48" s="146"/>
      <c r="X48" s="146"/>
      <c r="Y48" s="145"/>
      <c r="Z48" s="146"/>
      <c r="AA48" s="146"/>
      <c r="AB48" s="146"/>
      <c r="AC48" s="147">
        <f t="shared" si="3"/>
        <v>0</v>
      </c>
      <c r="AE48" s="416" t="s">
        <v>409</v>
      </c>
      <c r="AF48" s="174" t="s">
        <v>561</v>
      </c>
      <c r="AG48" s="417">
        <v>3</v>
      </c>
      <c r="AH48" s="182"/>
      <c r="AI48" s="201"/>
      <c r="AJ48" s="175"/>
      <c r="AK48" s="176"/>
      <c r="AL48" s="176"/>
      <c r="AM48" s="177"/>
      <c r="AN48" s="422"/>
      <c r="AO48" s="177"/>
      <c r="AP48" s="178"/>
      <c r="AQ48" s="175"/>
      <c r="AR48" s="176"/>
      <c r="AS48" s="420"/>
      <c r="AT48" s="177"/>
      <c r="AU48" s="177"/>
      <c r="AV48" s="177"/>
      <c r="AW48" s="179"/>
      <c r="AX48" s="180"/>
      <c r="AY48" s="421"/>
      <c r="AZ48" s="175"/>
      <c r="BA48" s="178"/>
      <c r="BB48" s="421"/>
      <c r="BC48" s="176"/>
      <c r="BD48" s="178"/>
      <c r="BE48" s="175"/>
      <c r="BF48" s="176"/>
      <c r="BG48" s="181">
        <f>SUM(AJ48:AN48,AQ48:AS48,AV48,AY48,BB48,BE48:BF48)</f>
        <v>0</v>
      </c>
      <c r="BI48" s="485" t="s">
        <v>475</v>
      </c>
      <c r="BJ48" s="486" t="s">
        <v>473</v>
      </c>
      <c r="BK48" s="487">
        <v>3</v>
      </c>
      <c r="BL48" s="488"/>
      <c r="BM48" s="488"/>
      <c r="BN48" s="488"/>
      <c r="BO48" s="489"/>
      <c r="BP48" s="488"/>
      <c r="BQ48" s="488"/>
      <c r="BR48" s="478">
        <f>SUM(BL48:BO48,BQ48)</f>
        <v>0</v>
      </c>
      <c r="BS48" s="490"/>
      <c r="BT48" s="490"/>
      <c r="BU48" s="488"/>
      <c r="BV48" s="491"/>
      <c r="BW48" s="490"/>
      <c r="BX48" s="492"/>
      <c r="BY48" s="490"/>
      <c r="BZ48" s="490"/>
      <c r="CA48" s="493"/>
      <c r="CB48" s="488"/>
      <c r="CC48" s="488"/>
      <c r="CD48" s="494"/>
      <c r="CE48" s="490"/>
      <c r="CF48" s="489"/>
      <c r="CG48" s="495"/>
      <c r="CH48" s="488"/>
      <c r="CI48" s="492"/>
      <c r="CJ48" s="491"/>
      <c r="CK48" s="496"/>
      <c r="CL48" s="492"/>
      <c r="CM48" s="497"/>
      <c r="CN48" s="497"/>
      <c r="CO48" s="477">
        <f t="shared" si="6"/>
        <v>0</v>
      </c>
      <c r="CP48" s="477">
        <f t="shared" si="7"/>
        <v>0</v>
      </c>
    </row>
    <row r="49" spans="1:94" ht="15" x14ac:dyDescent="0.25">
      <c r="A49" s="25"/>
      <c r="B49" s="25"/>
      <c r="C49" s="25"/>
      <c r="D49" s="25"/>
      <c r="E49" s="25"/>
      <c r="F49" s="25"/>
      <c r="H49" s="25"/>
      <c r="I49" s="25"/>
      <c r="K49" s="25"/>
      <c r="L49" s="25"/>
      <c r="M49" s="25"/>
      <c r="O49" s="25"/>
      <c r="P49" s="25"/>
      <c r="Q49" s="25"/>
      <c r="R49" s="25"/>
      <c r="T49" s="149" t="s">
        <v>409</v>
      </c>
      <c r="U49" s="153" t="s">
        <v>529</v>
      </c>
      <c r="V49" s="154">
        <v>4</v>
      </c>
      <c r="W49" s="146"/>
      <c r="X49" s="146"/>
      <c r="Y49" s="145"/>
      <c r="Z49" s="146"/>
      <c r="AA49" s="146"/>
      <c r="AB49" s="146"/>
      <c r="AC49" s="147">
        <f t="shared" si="3"/>
        <v>0</v>
      </c>
      <c r="AE49" s="416" t="s">
        <v>410</v>
      </c>
      <c r="AF49" s="174" t="s">
        <v>562</v>
      </c>
      <c r="AG49" s="417">
        <v>4</v>
      </c>
      <c r="AH49" s="182"/>
      <c r="AI49" s="201"/>
      <c r="AJ49" s="175"/>
      <c r="AK49" s="176"/>
      <c r="AL49" s="176"/>
      <c r="AM49" s="177"/>
      <c r="AN49" s="422"/>
      <c r="AO49" s="177"/>
      <c r="AP49" s="178"/>
      <c r="AQ49" s="175"/>
      <c r="AR49" s="176"/>
      <c r="AS49" s="420"/>
      <c r="AT49" s="177"/>
      <c r="AU49" s="177"/>
      <c r="AV49" s="177"/>
      <c r="AW49" s="179"/>
      <c r="AX49" s="180"/>
      <c r="AY49" s="421"/>
      <c r="AZ49" s="175"/>
      <c r="BA49" s="178"/>
      <c r="BB49" s="421"/>
      <c r="BC49" s="176"/>
      <c r="BD49" s="178"/>
      <c r="BE49" s="175"/>
      <c r="BF49" s="176"/>
      <c r="BG49" s="181">
        <f>SUM(AJ49:AN49,AQ49:AS49,AV49,AY49,BB49,BE49:BF49)</f>
        <v>0</v>
      </c>
      <c r="BI49" s="498" t="s">
        <v>602</v>
      </c>
      <c r="BJ49" s="499" t="s">
        <v>300</v>
      </c>
      <c r="BK49" s="500">
        <v>4</v>
      </c>
      <c r="BL49" s="488"/>
      <c r="BM49" s="488"/>
      <c r="BN49" s="488"/>
      <c r="BO49" s="489"/>
      <c r="BP49" s="488"/>
      <c r="BQ49" s="488"/>
      <c r="BR49" s="478">
        <f t="shared" ref="BR49:BR67" si="8">SUM(BL49:BO49,BQ49)</f>
        <v>0</v>
      </c>
      <c r="BS49" s="490"/>
      <c r="BT49" s="490"/>
      <c r="BU49" s="488"/>
      <c r="BV49" s="491"/>
      <c r="BW49" s="490"/>
      <c r="BX49" s="492"/>
      <c r="BY49" s="490"/>
      <c r="BZ49" s="490"/>
      <c r="CA49" s="493"/>
      <c r="CB49" s="488"/>
      <c r="CC49" s="488"/>
      <c r="CD49" s="494"/>
      <c r="CE49" s="490"/>
      <c r="CF49" s="489"/>
      <c r="CG49" s="495"/>
      <c r="CH49" s="488"/>
      <c r="CI49" s="492"/>
      <c r="CJ49" s="491"/>
      <c r="CK49" s="496"/>
      <c r="CL49" s="492"/>
      <c r="CM49" s="497"/>
      <c r="CN49" s="497"/>
      <c r="CO49" s="477">
        <f t="shared" si="6"/>
        <v>0</v>
      </c>
      <c r="CP49" s="477">
        <f t="shared" si="7"/>
        <v>0</v>
      </c>
    </row>
    <row r="50" spans="1:94" ht="13.5" x14ac:dyDescent="0.2">
      <c r="T50" s="149" t="s">
        <v>409</v>
      </c>
      <c r="U50" s="153" t="s">
        <v>530</v>
      </c>
      <c r="V50" s="154">
        <v>5</v>
      </c>
      <c r="W50" s="145"/>
      <c r="X50" s="145"/>
      <c r="Y50" s="145"/>
      <c r="Z50" s="145"/>
      <c r="AA50" s="146"/>
      <c r="AB50" s="145"/>
      <c r="AC50" s="147">
        <f t="shared" si="3"/>
        <v>0</v>
      </c>
      <c r="AE50" s="416" t="s">
        <v>409</v>
      </c>
      <c r="AF50" s="183" t="s">
        <v>563</v>
      </c>
      <c r="AG50" s="423">
        <v>5</v>
      </c>
      <c r="AH50" s="182"/>
      <c r="AI50" s="201"/>
      <c r="AJ50" s="182"/>
      <c r="AK50" s="176"/>
      <c r="AL50" s="176"/>
      <c r="AM50" s="177"/>
      <c r="AN50" s="422"/>
      <c r="AO50" s="177"/>
      <c r="AP50" s="178"/>
      <c r="AQ50" s="175"/>
      <c r="AR50" s="176"/>
      <c r="AS50" s="420"/>
      <c r="AT50" s="177"/>
      <c r="AU50" s="177"/>
      <c r="AV50" s="177"/>
      <c r="AW50" s="179"/>
      <c r="AX50" s="180"/>
      <c r="AY50" s="421"/>
      <c r="AZ50" s="175"/>
      <c r="BA50" s="178"/>
      <c r="BB50" s="421"/>
      <c r="BC50" s="176"/>
      <c r="BD50" s="178"/>
      <c r="BE50" s="175"/>
      <c r="BF50" s="176"/>
      <c r="BG50" s="181">
        <f>SUM(AK50:AN50,AQ50:AS50,AV50,AY50,BB50,BE50:BF50)</f>
        <v>0</v>
      </c>
      <c r="BI50" s="485" t="s">
        <v>276</v>
      </c>
      <c r="BJ50" s="486" t="s">
        <v>473</v>
      </c>
      <c r="BK50" s="487">
        <v>5</v>
      </c>
      <c r="BL50" s="488"/>
      <c r="BM50" s="488"/>
      <c r="BN50" s="488"/>
      <c r="BO50" s="489"/>
      <c r="BP50" s="488"/>
      <c r="BQ50" s="488"/>
      <c r="BR50" s="478">
        <f t="shared" si="8"/>
        <v>0</v>
      </c>
      <c r="BS50" s="490"/>
      <c r="BT50" s="490"/>
      <c r="BU50" s="488"/>
      <c r="BV50" s="491"/>
      <c r="BW50" s="490"/>
      <c r="BX50" s="492"/>
      <c r="BY50" s="490"/>
      <c r="BZ50" s="490"/>
      <c r="CA50" s="493"/>
      <c r="CB50" s="488"/>
      <c r="CC50" s="488"/>
      <c r="CD50" s="494"/>
      <c r="CE50" s="490"/>
      <c r="CF50" s="489"/>
      <c r="CG50" s="495"/>
      <c r="CH50" s="488"/>
      <c r="CI50" s="492"/>
      <c r="CJ50" s="491"/>
      <c r="CK50" s="496"/>
      <c r="CL50" s="492"/>
      <c r="CM50" s="497"/>
      <c r="CN50" s="497"/>
      <c r="CO50" s="477">
        <f t="shared" si="6"/>
        <v>0</v>
      </c>
      <c r="CP50" s="477">
        <f t="shared" si="7"/>
        <v>0</v>
      </c>
    </row>
    <row r="51" spans="1:94" ht="13.5" x14ac:dyDescent="0.2">
      <c r="T51" s="149" t="s">
        <v>410</v>
      </c>
      <c r="U51" s="153" t="s">
        <v>531</v>
      </c>
      <c r="V51" s="154">
        <v>6</v>
      </c>
      <c r="W51" s="145"/>
      <c r="X51" s="145"/>
      <c r="Y51" s="145"/>
      <c r="Z51" s="145"/>
      <c r="AA51" s="146"/>
      <c r="AB51" s="145"/>
      <c r="AC51" s="147">
        <f t="shared" si="3"/>
        <v>0</v>
      </c>
      <c r="AE51" s="416" t="s">
        <v>410</v>
      </c>
      <c r="AF51" s="183" t="s">
        <v>564</v>
      </c>
      <c r="AG51" s="423">
        <v>6</v>
      </c>
      <c r="AH51" s="182"/>
      <c r="AI51" s="201"/>
      <c r="AJ51" s="182"/>
      <c r="AK51" s="176"/>
      <c r="AL51" s="176"/>
      <c r="AM51" s="177"/>
      <c r="AN51" s="422"/>
      <c r="AO51" s="177"/>
      <c r="AP51" s="178"/>
      <c r="AQ51" s="175"/>
      <c r="AR51" s="176"/>
      <c r="AS51" s="420"/>
      <c r="AT51" s="177"/>
      <c r="AU51" s="177"/>
      <c r="AV51" s="177"/>
      <c r="AW51" s="179"/>
      <c r="AX51" s="180"/>
      <c r="AY51" s="421"/>
      <c r="AZ51" s="175"/>
      <c r="BA51" s="178"/>
      <c r="BB51" s="421"/>
      <c r="BC51" s="176"/>
      <c r="BD51" s="178"/>
      <c r="BE51" s="175"/>
      <c r="BF51" s="176"/>
      <c r="BG51" s="181">
        <f>SUM(AK51:AN51,AQ51:AS51,AV51,AY51,BB51,BE51:BF51)</f>
        <v>0</v>
      </c>
      <c r="BI51" s="501" t="s">
        <v>277</v>
      </c>
      <c r="BJ51" s="499" t="s">
        <v>301</v>
      </c>
      <c r="BK51" s="500">
        <v>6</v>
      </c>
      <c r="BL51" s="488"/>
      <c r="BM51" s="488"/>
      <c r="BN51" s="488"/>
      <c r="BO51" s="489"/>
      <c r="BP51" s="488"/>
      <c r="BQ51" s="488"/>
      <c r="BR51" s="478">
        <f t="shared" si="8"/>
        <v>0</v>
      </c>
      <c r="BS51" s="490"/>
      <c r="BT51" s="490"/>
      <c r="BU51" s="488"/>
      <c r="BV51" s="491"/>
      <c r="BW51" s="490"/>
      <c r="BX51" s="492"/>
      <c r="BY51" s="490"/>
      <c r="BZ51" s="490"/>
      <c r="CA51" s="493"/>
      <c r="CB51" s="488"/>
      <c r="CC51" s="488"/>
      <c r="CD51" s="494"/>
      <c r="CE51" s="490"/>
      <c r="CF51" s="489"/>
      <c r="CG51" s="495"/>
      <c r="CH51" s="488"/>
      <c r="CI51" s="492"/>
      <c r="CJ51" s="491"/>
      <c r="CK51" s="496"/>
      <c r="CL51" s="492"/>
      <c r="CM51" s="497"/>
      <c r="CN51" s="497"/>
      <c r="CO51" s="477">
        <f t="shared" si="6"/>
        <v>0</v>
      </c>
      <c r="CP51" s="477">
        <f t="shared" si="7"/>
        <v>0</v>
      </c>
    </row>
    <row r="52" spans="1:94" ht="13.5" x14ac:dyDescent="0.2">
      <c r="T52" s="149" t="s">
        <v>410</v>
      </c>
      <c r="U52" s="386" t="s">
        <v>532</v>
      </c>
      <c r="V52" s="151">
        <v>7</v>
      </c>
      <c r="W52" s="145"/>
      <c r="X52" s="145"/>
      <c r="Y52" s="145"/>
      <c r="Z52" s="145"/>
      <c r="AA52" s="152"/>
      <c r="AB52" s="145"/>
      <c r="AC52" s="147">
        <f t="shared" si="3"/>
        <v>0</v>
      </c>
      <c r="AE52" s="416" t="s">
        <v>410</v>
      </c>
      <c r="AF52" s="174" t="s">
        <v>565</v>
      </c>
      <c r="AG52" s="417">
        <v>7</v>
      </c>
      <c r="AH52" s="182"/>
      <c r="AI52" s="201"/>
      <c r="AJ52" s="175"/>
      <c r="AK52" s="176"/>
      <c r="AL52" s="176"/>
      <c r="AM52" s="177"/>
      <c r="AN52" s="419"/>
      <c r="AO52" s="177"/>
      <c r="AP52" s="178"/>
      <c r="AQ52" s="175"/>
      <c r="AR52" s="176"/>
      <c r="AS52" s="420"/>
      <c r="AT52" s="177"/>
      <c r="AU52" s="177"/>
      <c r="AV52" s="177"/>
      <c r="AW52" s="179"/>
      <c r="AX52" s="180"/>
      <c r="AY52" s="421"/>
      <c r="AZ52" s="175"/>
      <c r="BA52" s="178"/>
      <c r="BB52" s="421"/>
      <c r="BC52" s="176"/>
      <c r="BD52" s="178"/>
      <c r="BE52" s="175"/>
      <c r="BF52" s="176"/>
      <c r="BG52" s="181">
        <f>SUM(AJ52:AN52,AQ52:AS52,AV52,AY52,BB52,BE52:BF52)</f>
        <v>0</v>
      </c>
      <c r="BI52" s="485" t="s">
        <v>278</v>
      </c>
      <c r="BJ52" s="486" t="s">
        <v>473</v>
      </c>
      <c r="BK52" s="487">
        <v>7</v>
      </c>
      <c r="BL52" s="488"/>
      <c r="BM52" s="488"/>
      <c r="BN52" s="488"/>
      <c r="BO52" s="489"/>
      <c r="BP52" s="488"/>
      <c r="BQ52" s="488"/>
      <c r="BR52" s="478">
        <f t="shared" si="8"/>
        <v>0</v>
      </c>
      <c r="BS52" s="490"/>
      <c r="BT52" s="490"/>
      <c r="BU52" s="502"/>
      <c r="BV52" s="491"/>
      <c r="BW52" s="503"/>
      <c r="BX52" s="492"/>
      <c r="BY52" s="490"/>
      <c r="BZ52" s="490"/>
      <c r="CA52" s="493"/>
      <c r="CB52" s="488"/>
      <c r="CC52" s="488"/>
      <c r="CD52" s="494"/>
      <c r="CE52" s="490"/>
      <c r="CF52" s="489"/>
      <c r="CG52" s="495"/>
      <c r="CH52" s="488"/>
      <c r="CI52" s="492"/>
      <c r="CJ52" s="491"/>
      <c r="CK52" s="496"/>
      <c r="CL52" s="492"/>
      <c r="CM52" s="497"/>
      <c r="CN52" s="497"/>
      <c r="CO52" s="477">
        <f t="shared" si="6"/>
        <v>0</v>
      </c>
      <c r="CP52" s="477">
        <f t="shared" si="7"/>
        <v>0</v>
      </c>
    </row>
    <row r="53" spans="1:94" ht="13.5" x14ac:dyDescent="0.2">
      <c r="T53" s="149" t="s">
        <v>410</v>
      </c>
      <c r="U53" s="153" t="s">
        <v>533</v>
      </c>
      <c r="V53" s="151">
        <v>8</v>
      </c>
      <c r="W53" s="145"/>
      <c r="X53" s="145"/>
      <c r="Y53" s="145"/>
      <c r="Z53" s="145"/>
      <c r="AA53" s="152"/>
      <c r="AB53" s="145"/>
      <c r="AC53" s="147">
        <f t="shared" si="3"/>
        <v>0</v>
      </c>
      <c r="AE53" s="416" t="s">
        <v>409</v>
      </c>
      <c r="AF53" s="183" t="s">
        <v>566</v>
      </c>
      <c r="AG53" s="423">
        <v>8</v>
      </c>
      <c r="AH53" s="175"/>
      <c r="AI53" s="418"/>
      <c r="AJ53" s="175"/>
      <c r="AK53" s="176"/>
      <c r="AL53" s="176"/>
      <c r="AM53" s="177"/>
      <c r="AN53" s="419"/>
      <c r="AO53" s="177"/>
      <c r="AP53" s="178"/>
      <c r="AQ53" s="175"/>
      <c r="AR53" s="176"/>
      <c r="AS53" s="420"/>
      <c r="AT53" s="177"/>
      <c r="AU53" s="177"/>
      <c r="AV53" s="177"/>
      <c r="AW53" s="179"/>
      <c r="AX53" s="180"/>
      <c r="AY53" s="421"/>
      <c r="AZ53" s="175"/>
      <c r="BA53" s="178"/>
      <c r="BB53" s="421"/>
      <c r="BC53" s="176"/>
      <c r="BD53" s="178"/>
      <c r="BE53" s="175"/>
      <c r="BF53" s="176"/>
      <c r="BG53" s="181">
        <f>SUM(AH53:AN53,AQ53:AS53,AV53,AY53,BB53,BE53:BF53)</f>
        <v>0</v>
      </c>
      <c r="BI53" s="501" t="s">
        <v>279</v>
      </c>
      <c r="BJ53" s="486" t="s">
        <v>474</v>
      </c>
      <c r="BK53" s="500">
        <v>8</v>
      </c>
      <c r="BL53" s="488"/>
      <c r="BM53" s="488"/>
      <c r="BN53" s="488"/>
      <c r="BO53" s="489"/>
      <c r="BP53" s="488"/>
      <c r="BQ53" s="488"/>
      <c r="BR53" s="478">
        <f t="shared" si="8"/>
        <v>0</v>
      </c>
      <c r="BS53" s="490"/>
      <c r="BT53" s="490"/>
      <c r="BU53" s="502"/>
      <c r="BV53" s="491"/>
      <c r="BW53" s="503"/>
      <c r="BX53" s="492"/>
      <c r="BY53" s="490"/>
      <c r="BZ53" s="490"/>
      <c r="CA53" s="493"/>
      <c r="CB53" s="488"/>
      <c r="CC53" s="488"/>
      <c r="CD53" s="494"/>
      <c r="CE53" s="490"/>
      <c r="CF53" s="489"/>
      <c r="CG53" s="495"/>
      <c r="CH53" s="488"/>
      <c r="CI53" s="492"/>
      <c r="CJ53" s="491"/>
      <c r="CK53" s="496"/>
      <c r="CL53" s="492"/>
      <c r="CM53" s="497"/>
      <c r="CN53" s="497"/>
      <c r="CO53" s="477">
        <f t="shared" si="6"/>
        <v>0</v>
      </c>
      <c r="CP53" s="477">
        <f t="shared" si="7"/>
        <v>0</v>
      </c>
    </row>
    <row r="54" spans="1:94" ht="13.5" x14ac:dyDescent="0.2">
      <c r="T54" s="149" t="s">
        <v>426</v>
      </c>
      <c r="U54" s="155" t="s">
        <v>527</v>
      </c>
      <c r="V54" s="156">
        <v>9</v>
      </c>
      <c r="W54" s="147">
        <f t="shared" ref="W54:AB54" si="9">W46+W47+W48+W49+W50-W51-W52-W53</f>
        <v>0</v>
      </c>
      <c r="X54" s="147">
        <f t="shared" si="9"/>
        <v>0</v>
      </c>
      <c r="Y54" s="147">
        <f t="shared" si="9"/>
        <v>0</v>
      </c>
      <c r="Z54" s="147">
        <f t="shared" si="9"/>
        <v>0</v>
      </c>
      <c r="AA54" s="157">
        <f t="shared" si="9"/>
        <v>0</v>
      </c>
      <c r="AB54" s="147">
        <f t="shared" si="9"/>
        <v>0</v>
      </c>
      <c r="AC54" s="147">
        <f t="shared" si="3"/>
        <v>0</v>
      </c>
      <c r="AE54" s="416" t="s">
        <v>410</v>
      </c>
      <c r="AF54" s="183" t="s">
        <v>567</v>
      </c>
      <c r="AG54" s="423">
        <v>9</v>
      </c>
      <c r="AH54" s="182"/>
      <c r="AI54" s="201"/>
      <c r="AJ54" s="175"/>
      <c r="AK54" s="176"/>
      <c r="AL54" s="176"/>
      <c r="AM54" s="177"/>
      <c r="AN54" s="419"/>
      <c r="AO54" s="177"/>
      <c r="AP54" s="178"/>
      <c r="AQ54" s="175"/>
      <c r="AR54" s="176"/>
      <c r="AS54" s="420"/>
      <c r="AT54" s="177"/>
      <c r="AU54" s="177"/>
      <c r="AV54" s="177"/>
      <c r="AW54" s="179"/>
      <c r="AX54" s="180"/>
      <c r="AY54" s="421"/>
      <c r="AZ54" s="175"/>
      <c r="BA54" s="178"/>
      <c r="BB54" s="421"/>
      <c r="BC54" s="176"/>
      <c r="BD54" s="178"/>
      <c r="BE54" s="175"/>
      <c r="BF54" s="176"/>
      <c r="BG54" s="181">
        <f>SUM(AJ54:AN54,AQ54:AS54,AV54,AY54,BB54,BE54:BF54)</f>
        <v>0</v>
      </c>
      <c r="BI54" s="485" t="s">
        <v>603</v>
      </c>
      <c r="BJ54" s="486" t="s">
        <v>473</v>
      </c>
      <c r="BK54" s="487">
        <v>9</v>
      </c>
      <c r="BL54" s="488"/>
      <c r="BM54" s="488"/>
      <c r="BN54" s="488"/>
      <c r="BO54" s="489"/>
      <c r="BP54" s="488"/>
      <c r="BQ54" s="488"/>
      <c r="BR54" s="478">
        <f t="shared" si="8"/>
        <v>0</v>
      </c>
      <c r="BS54" s="490"/>
      <c r="BT54" s="490"/>
      <c r="BU54" s="502"/>
      <c r="BV54" s="491"/>
      <c r="BW54" s="503"/>
      <c r="BX54" s="492"/>
      <c r="BY54" s="490"/>
      <c r="BZ54" s="490"/>
      <c r="CA54" s="493"/>
      <c r="CB54" s="488"/>
      <c r="CC54" s="488"/>
      <c r="CD54" s="494"/>
      <c r="CE54" s="490"/>
      <c r="CF54" s="489"/>
      <c r="CG54" s="495"/>
      <c r="CH54" s="488"/>
      <c r="CI54" s="492"/>
      <c r="CJ54" s="491"/>
      <c r="CK54" s="496"/>
      <c r="CL54" s="492"/>
      <c r="CM54" s="497"/>
      <c r="CN54" s="497"/>
      <c r="CO54" s="477">
        <f t="shared" si="6"/>
        <v>0</v>
      </c>
      <c r="CP54" s="477">
        <f t="shared" si="7"/>
        <v>0</v>
      </c>
    </row>
    <row r="55" spans="1:94" ht="13.5" x14ac:dyDescent="0.2">
      <c r="T55" s="149" t="s">
        <v>410</v>
      </c>
      <c r="U55" s="155" t="s">
        <v>272</v>
      </c>
      <c r="V55" s="156">
        <v>10</v>
      </c>
      <c r="W55" s="147">
        <f t="shared" ref="W55:AB55" si="10">W54-W56</f>
        <v>0</v>
      </c>
      <c r="X55" s="147">
        <f t="shared" si="10"/>
        <v>0</v>
      </c>
      <c r="Y55" s="147">
        <f t="shared" si="10"/>
        <v>0</v>
      </c>
      <c r="Z55" s="147">
        <f t="shared" si="10"/>
        <v>0</v>
      </c>
      <c r="AA55" s="157">
        <f t="shared" si="10"/>
        <v>0</v>
      </c>
      <c r="AB55" s="147">
        <f t="shared" si="10"/>
        <v>0</v>
      </c>
      <c r="AC55" s="147">
        <f t="shared" si="3"/>
        <v>0</v>
      </c>
      <c r="AE55" s="416" t="s">
        <v>410</v>
      </c>
      <c r="AF55" s="183" t="s">
        <v>533</v>
      </c>
      <c r="AG55" s="423">
        <v>10</v>
      </c>
      <c r="AH55" s="182"/>
      <c r="AI55" s="201"/>
      <c r="AJ55" s="182"/>
      <c r="AK55" s="176"/>
      <c r="AL55" s="176"/>
      <c r="AM55" s="177"/>
      <c r="AN55" s="419"/>
      <c r="AO55" s="177"/>
      <c r="AP55" s="178"/>
      <c r="AQ55" s="175"/>
      <c r="AR55" s="176"/>
      <c r="AS55" s="420"/>
      <c r="AT55" s="177"/>
      <c r="AU55" s="177"/>
      <c r="AV55" s="177"/>
      <c r="AW55" s="179"/>
      <c r="AX55" s="180"/>
      <c r="AY55" s="421"/>
      <c r="AZ55" s="175"/>
      <c r="BA55" s="178"/>
      <c r="BB55" s="421"/>
      <c r="BC55" s="176"/>
      <c r="BD55" s="178"/>
      <c r="BE55" s="175"/>
      <c r="BF55" s="176"/>
      <c r="BG55" s="181">
        <f>SUM(AK55:AN55,AQ55:AS55,AV55,AY55,BB55,BE55:BF55)</f>
        <v>0</v>
      </c>
      <c r="BI55" s="501" t="s">
        <v>604</v>
      </c>
      <c r="BJ55" s="486" t="s">
        <v>474</v>
      </c>
      <c r="BK55" s="500">
        <v>10</v>
      </c>
      <c r="BL55" s="488"/>
      <c r="BM55" s="488"/>
      <c r="BN55" s="488"/>
      <c r="BO55" s="489"/>
      <c r="BP55" s="488"/>
      <c r="BQ55" s="488"/>
      <c r="BR55" s="478">
        <f t="shared" si="8"/>
        <v>0</v>
      </c>
      <c r="BS55" s="490"/>
      <c r="BT55" s="490"/>
      <c r="BU55" s="502"/>
      <c r="BV55" s="491"/>
      <c r="BW55" s="503"/>
      <c r="BX55" s="492"/>
      <c r="BY55" s="490"/>
      <c r="BZ55" s="490"/>
      <c r="CA55" s="493"/>
      <c r="CB55" s="488"/>
      <c r="CC55" s="488"/>
      <c r="CD55" s="494"/>
      <c r="CE55" s="490"/>
      <c r="CF55" s="489"/>
      <c r="CG55" s="495"/>
      <c r="CH55" s="488"/>
      <c r="CI55" s="492"/>
      <c r="CJ55" s="491"/>
      <c r="CK55" s="496"/>
      <c r="CL55" s="492"/>
      <c r="CM55" s="497"/>
      <c r="CN55" s="497"/>
      <c r="CO55" s="477">
        <f t="shared" si="6"/>
        <v>0</v>
      </c>
      <c r="CP55" s="477">
        <f t="shared" si="7"/>
        <v>0</v>
      </c>
    </row>
    <row r="56" spans="1:94" x14ac:dyDescent="0.2">
      <c r="T56" s="158" t="s">
        <v>426</v>
      </c>
      <c r="U56" s="387" t="s">
        <v>528</v>
      </c>
      <c r="V56" s="159">
        <v>11</v>
      </c>
      <c r="W56" s="160"/>
      <c r="X56" s="160"/>
      <c r="Y56" s="160"/>
      <c r="Z56" s="160"/>
      <c r="AA56" s="160"/>
      <c r="AB56" s="160"/>
      <c r="AC56" s="161">
        <f t="shared" si="3"/>
        <v>0</v>
      </c>
      <c r="AE56" s="416" t="s">
        <v>426</v>
      </c>
      <c r="AF56" s="184" t="s">
        <v>568</v>
      </c>
      <c r="AG56" s="424">
        <v>11</v>
      </c>
      <c r="AH56" s="185">
        <f>AH46+AH53</f>
        <v>0</v>
      </c>
      <c r="AI56" s="190">
        <f>AI46+AI53</f>
        <v>0</v>
      </c>
      <c r="AJ56" s="185">
        <f>AJ46+AJ47+AJ48-AJ49-AJ52+AJ53-AJ54</f>
        <v>0</v>
      </c>
      <c r="AK56" s="181">
        <f t="shared" ref="AK56:BD56" si="11">AK46+AK47+AK48-AK49+AK50-AK51-AK52+AK53-AK54-AK55</f>
        <v>0</v>
      </c>
      <c r="AL56" s="181">
        <f t="shared" si="11"/>
        <v>0</v>
      </c>
      <c r="AM56" s="186">
        <f t="shared" si="11"/>
        <v>0</v>
      </c>
      <c r="AN56" s="188">
        <f t="shared" si="11"/>
        <v>0</v>
      </c>
      <c r="AO56" s="186">
        <f t="shared" si="11"/>
        <v>0</v>
      </c>
      <c r="AP56" s="187">
        <f t="shared" si="11"/>
        <v>0</v>
      </c>
      <c r="AQ56" s="185">
        <f t="shared" si="11"/>
        <v>0</v>
      </c>
      <c r="AR56" s="181">
        <f t="shared" si="11"/>
        <v>0</v>
      </c>
      <c r="AS56" s="181">
        <f t="shared" si="11"/>
        <v>0</v>
      </c>
      <c r="AT56" s="181">
        <f>AT46+AT47+AT48-AT49+AT50-AT51-AT52+AT53-AT54-AT55</f>
        <v>0</v>
      </c>
      <c r="AU56" s="181">
        <f>AU46+AU47+AU48-AU49+AU50-AU51-AU52+AU53-AU54-AU55</f>
        <v>0</v>
      </c>
      <c r="AV56" s="186">
        <f t="shared" si="11"/>
        <v>0</v>
      </c>
      <c r="AW56" s="188">
        <f>AW46+AW47+AW48-AW49+AW50-AW51-AW52+AW53-AW54-AW55</f>
        <v>0</v>
      </c>
      <c r="AX56" s="189">
        <f>AX46+AX47+AX48-AX49+AX50-AX51-AX52+AX53-AX54-AX55</f>
        <v>0</v>
      </c>
      <c r="AY56" s="189">
        <f>AY46+AY47+AY48-AY49+AY50-AY51-AY52+AY53-AY54-AY55</f>
        <v>0</v>
      </c>
      <c r="AZ56" s="185">
        <f>AZ46+AZ47+AZ48-AZ49+AZ50-AZ51-AZ52+AZ53-AZ54-AZ55</f>
        <v>0</v>
      </c>
      <c r="BA56" s="190">
        <f t="shared" si="11"/>
        <v>0</v>
      </c>
      <c r="BB56" s="185">
        <f t="shared" si="11"/>
        <v>0</v>
      </c>
      <c r="BC56" s="181">
        <f t="shared" si="11"/>
        <v>0</v>
      </c>
      <c r="BD56" s="190">
        <f t="shared" si="11"/>
        <v>0</v>
      </c>
      <c r="BE56" s="185">
        <f>BE46+BE47+BE48-BE49+BE50-BE51-BE52+BE53-BE54-BE55</f>
        <v>0</v>
      </c>
      <c r="BF56" s="181">
        <f>BF46+BF47+BF48-BF49+BF50-BF51-BF52+BF53-BF54-BF55</f>
        <v>0</v>
      </c>
      <c r="BG56" s="181">
        <f>SUM(AH56:AN56,AQ56:AS56,AV56,AY56,BB56,BE56:BF56)</f>
        <v>0</v>
      </c>
      <c r="BI56" s="485" t="s">
        <v>280</v>
      </c>
      <c r="BJ56" s="486" t="s">
        <v>473</v>
      </c>
      <c r="BK56" s="487">
        <v>11</v>
      </c>
      <c r="BL56" s="488"/>
      <c r="BM56" s="488"/>
      <c r="BN56" s="488"/>
      <c r="BO56" s="489"/>
      <c r="BP56" s="488"/>
      <c r="BQ56" s="488"/>
      <c r="BR56" s="478">
        <f t="shared" si="8"/>
        <v>0</v>
      </c>
      <c r="BS56" s="490"/>
      <c r="BT56" s="490"/>
      <c r="BU56" s="502"/>
      <c r="BV56" s="491"/>
      <c r="BW56" s="503"/>
      <c r="BX56" s="492"/>
      <c r="BY56" s="490"/>
      <c r="BZ56" s="490"/>
      <c r="CA56" s="493"/>
      <c r="CB56" s="488"/>
      <c r="CC56" s="488"/>
      <c r="CD56" s="494"/>
      <c r="CE56" s="490"/>
      <c r="CF56" s="489"/>
      <c r="CG56" s="495"/>
      <c r="CH56" s="488"/>
      <c r="CI56" s="492"/>
      <c r="CJ56" s="491"/>
      <c r="CK56" s="496"/>
      <c r="CL56" s="492"/>
      <c r="CM56" s="497"/>
      <c r="CN56" s="497"/>
      <c r="CO56" s="477">
        <f t="shared" si="6"/>
        <v>0</v>
      </c>
      <c r="CP56" s="477">
        <f t="shared" si="7"/>
        <v>0</v>
      </c>
    </row>
    <row r="57" spans="1:94" x14ac:dyDescent="0.2">
      <c r="T57" s="136"/>
      <c r="U57" s="162" t="s">
        <v>534</v>
      </c>
      <c r="V57" s="144">
        <v>12</v>
      </c>
      <c r="W57" s="145"/>
      <c r="X57" s="145"/>
      <c r="Y57" s="145"/>
      <c r="Z57" s="145"/>
      <c r="AA57" s="152"/>
      <c r="AB57" s="145"/>
      <c r="AC57" s="147">
        <f t="shared" si="3"/>
        <v>0</v>
      </c>
      <c r="AE57" s="416" t="s">
        <v>410</v>
      </c>
      <c r="AF57" s="184" t="s">
        <v>272</v>
      </c>
      <c r="AG57" s="424">
        <v>12</v>
      </c>
      <c r="AH57" s="185">
        <f>AH56-AH58</f>
        <v>0</v>
      </c>
      <c r="AI57" s="190">
        <f t="shared" ref="AI57:BD57" si="12">AI56-AI58</f>
        <v>0</v>
      </c>
      <c r="AJ57" s="185">
        <f t="shared" si="12"/>
        <v>0</v>
      </c>
      <c r="AK57" s="181">
        <f t="shared" si="12"/>
        <v>0</v>
      </c>
      <c r="AL57" s="181">
        <f t="shared" si="12"/>
        <v>0</v>
      </c>
      <c r="AM57" s="186">
        <f t="shared" si="12"/>
        <v>0</v>
      </c>
      <c r="AN57" s="188">
        <f t="shared" si="12"/>
        <v>0</v>
      </c>
      <c r="AO57" s="186">
        <f t="shared" si="12"/>
        <v>0</v>
      </c>
      <c r="AP57" s="187">
        <f t="shared" si="12"/>
        <v>0</v>
      </c>
      <c r="AQ57" s="185">
        <f t="shared" si="12"/>
        <v>0</v>
      </c>
      <c r="AR57" s="181">
        <f t="shared" si="12"/>
        <v>0</v>
      </c>
      <c r="AS57" s="181">
        <f t="shared" si="12"/>
        <v>0</v>
      </c>
      <c r="AT57" s="181">
        <f>AT56-AT58</f>
        <v>0</v>
      </c>
      <c r="AU57" s="181">
        <f>AU56-AU58</f>
        <v>0</v>
      </c>
      <c r="AV57" s="186">
        <f t="shared" si="12"/>
        <v>0</v>
      </c>
      <c r="AW57" s="188">
        <f>AW56-AW58</f>
        <v>0</v>
      </c>
      <c r="AX57" s="189">
        <f>AX56-AX58</f>
        <v>0</v>
      </c>
      <c r="AY57" s="189">
        <f>AY56-AY58</f>
        <v>0</v>
      </c>
      <c r="AZ57" s="185">
        <f>AZ56-AZ58</f>
        <v>0</v>
      </c>
      <c r="BA57" s="190">
        <f t="shared" si="12"/>
        <v>0</v>
      </c>
      <c r="BB57" s="185">
        <f t="shared" si="12"/>
        <v>0</v>
      </c>
      <c r="BC57" s="181">
        <f t="shared" si="12"/>
        <v>0</v>
      </c>
      <c r="BD57" s="190">
        <f t="shared" si="12"/>
        <v>0</v>
      </c>
      <c r="BE57" s="185">
        <f>BE56-BE58</f>
        <v>0</v>
      </c>
      <c r="BF57" s="181">
        <f>BF56-BF58</f>
        <v>0</v>
      </c>
      <c r="BG57" s="181">
        <f>SUM(AH57:AN57,AQ57:AS57,AV57,AY57,BB57,BE57:BF57)</f>
        <v>0</v>
      </c>
      <c r="BI57" s="501" t="s">
        <v>281</v>
      </c>
      <c r="BJ57" s="486" t="s">
        <v>474</v>
      </c>
      <c r="BK57" s="500">
        <v>12</v>
      </c>
      <c r="BL57" s="488"/>
      <c r="BM57" s="488"/>
      <c r="BN57" s="488"/>
      <c r="BO57" s="489"/>
      <c r="BP57" s="488"/>
      <c r="BQ57" s="488"/>
      <c r="BR57" s="478">
        <f t="shared" si="8"/>
        <v>0</v>
      </c>
      <c r="BS57" s="490"/>
      <c r="BT57" s="490"/>
      <c r="BU57" s="502"/>
      <c r="BV57" s="491"/>
      <c r="BW57" s="503"/>
      <c r="BX57" s="492"/>
      <c r="BY57" s="490"/>
      <c r="BZ57" s="490"/>
      <c r="CA57" s="493"/>
      <c r="CB57" s="488"/>
      <c r="CC57" s="488"/>
      <c r="CD57" s="494"/>
      <c r="CE57" s="490"/>
      <c r="CF57" s="489"/>
      <c r="CG57" s="495"/>
      <c r="CH57" s="488"/>
      <c r="CI57" s="492"/>
      <c r="CJ57" s="491"/>
      <c r="CK57" s="496"/>
      <c r="CL57" s="492"/>
      <c r="CM57" s="497"/>
      <c r="CN57" s="497"/>
      <c r="CO57" s="477">
        <f t="shared" si="6"/>
        <v>0</v>
      </c>
      <c r="CP57" s="477">
        <f t="shared" si="7"/>
        <v>0</v>
      </c>
    </row>
    <row r="58" spans="1:94" x14ac:dyDescent="0.2">
      <c r="AE58" s="425" t="s">
        <v>426</v>
      </c>
      <c r="AF58" s="426" t="s">
        <v>569</v>
      </c>
      <c r="AG58" s="417">
        <v>13</v>
      </c>
      <c r="AH58" s="191"/>
      <c r="AI58" s="427"/>
      <c r="AJ58" s="191"/>
      <c r="AK58" s="192"/>
      <c r="AL58" s="192"/>
      <c r="AM58" s="193"/>
      <c r="AN58" s="428"/>
      <c r="AO58" s="193"/>
      <c r="AP58" s="194"/>
      <c r="AQ58" s="191"/>
      <c r="AR58" s="192"/>
      <c r="AS58" s="429"/>
      <c r="AT58" s="193"/>
      <c r="AU58" s="193"/>
      <c r="AV58" s="193"/>
      <c r="AW58" s="195"/>
      <c r="AX58" s="196"/>
      <c r="AY58" s="430"/>
      <c r="AZ58" s="191"/>
      <c r="BA58" s="194"/>
      <c r="BB58" s="430"/>
      <c r="BC58" s="192"/>
      <c r="BD58" s="194"/>
      <c r="BE58" s="191"/>
      <c r="BF58" s="192"/>
      <c r="BG58" s="197">
        <f>SUM(AH58:AN58,AQ58:AS58,AV58,AY58,BB58,BE58:BF58)</f>
        <v>0</v>
      </c>
      <c r="BI58" s="504" t="s">
        <v>282</v>
      </c>
      <c r="BJ58" s="486" t="s">
        <v>473</v>
      </c>
      <c r="BK58" s="487">
        <v>13</v>
      </c>
      <c r="BL58" s="488"/>
      <c r="BM58" s="488"/>
      <c r="BN58" s="488"/>
      <c r="BO58" s="489"/>
      <c r="BP58" s="488"/>
      <c r="BQ58" s="488"/>
      <c r="BR58" s="478">
        <f t="shared" si="8"/>
        <v>0</v>
      </c>
      <c r="BS58" s="490"/>
      <c r="BT58" s="490"/>
      <c r="BU58" s="502"/>
      <c r="BV58" s="491"/>
      <c r="BW58" s="503"/>
      <c r="BX58" s="492"/>
      <c r="BY58" s="490"/>
      <c r="BZ58" s="490"/>
      <c r="CA58" s="493"/>
      <c r="CB58" s="488"/>
      <c r="CC58" s="488"/>
      <c r="CD58" s="494"/>
      <c r="CE58" s="490"/>
      <c r="CF58" s="489"/>
      <c r="CG58" s="495"/>
      <c r="CH58" s="488"/>
      <c r="CI58" s="492"/>
      <c r="CJ58" s="491"/>
      <c r="CK58" s="496"/>
      <c r="CL58" s="492"/>
      <c r="CM58" s="497"/>
      <c r="CN58" s="497"/>
      <c r="CO58" s="477">
        <f t="shared" si="6"/>
        <v>0</v>
      </c>
      <c r="CP58" s="477">
        <f t="shared" si="7"/>
        <v>0</v>
      </c>
    </row>
    <row r="59" spans="1:94" ht="13.5" x14ac:dyDescent="0.2">
      <c r="AE59" s="432"/>
      <c r="AF59" s="199" t="s">
        <v>570</v>
      </c>
      <c r="AG59" s="417">
        <v>14</v>
      </c>
      <c r="AH59" s="182"/>
      <c r="AI59" s="201"/>
      <c r="AJ59" s="182"/>
      <c r="AK59" s="146"/>
      <c r="AL59" s="146"/>
      <c r="AM59" s="200"/>
      <c r="AN59" s="202"/>
      <c r="AO59" s="200"/>
      <c r="AP59" s="201"/>
      <c r="AQ59" s="175"/>
      <c r="AR59" s="175"/>
      <c r="AS59" s="421"/>
      <c r="AT59" s="175"/>
      <c r="AU59" s="433"/>
      <c r="AV59" s="200"/>
      <c r="AW59" s="202"/>
      <c r="AX59" s="146"/>
      <c r="AY59" s="182"/>
      <c r="AZ59" s="182"/>
      <c r="BA59" s="201"/>
      <c r="BB59" s="182"/>
      <c r="BC59" s="146"/>
      <c r="BD59" s="201"/>
      <c r="BE59" s="182"/>
      <c r="BF59" s="146"/>
      <c r="BG59" s="181">
        <f>SUM(AQ59:AS59)</f>
        <v>0</v>
      </c>
      <c r="BI59" s="501" t="s">
        <v>283</v>
      </c>
      <c r="BJ59" s="486" t="s">
        <v>474</v>
      </c>
      <c r="BK59" s="500">
        <v>14</v>
      </c>
      <c r="BL59" s="488"/>
      <c r="BM59" s="488"/>
      <c r="BN59" s="488"/>
      <c r="BO59" s="489"/>
      <c r="BP59" s="488"/>
      <c r="BQ59" s="488"/>
      <c r="BR59" s="478">
        <f t="shared" si="8"/>
        <v>0</v>
      </c>
      <c r="BS59" s="490"/>
      <c r="BT59" s="490"/>
      <c r="BU59" s="502"/>
      <c r="BV59" s="491"/>
      <c r="BW59" s="503"/>
      <c r="BX59" s="492"/>
      <c r="BY59" s="490"/>
      <c r="BZ59" s="490"/>
      <c r="CA59" s="493"/>
      <c r="CB59" s="488"/>
      <c r="CC59" s="488"/>
      <c r="CD59" s="494"/>
      <c r="CE59" s="490"/>
      <c r="CF59" s="489"/>
      <c r="CG59" s="495"/>
      <c r="CH59" s="488"/>
      <c r="CI59" s="492"/>
      <c r="CJ59" s="491"/>
      <c r="CK59" s="496"/>
      <c r="CL59" s="492"/>
      <c r="CM59" s="497"/>
      <c r="CN59" s="497"/>
      <c r="CO59" s="477">
        <f t="shared" si="6"/>
        <v>0</v>
      </c>
      <c r="CP59" s="477">
        <f t="shared" si="7"/>
        <v>0</v>
      </c>
    </row>
    <row r="60" spans="1:94" x14ac:dyDescent="0.2">
      <c r="AE60" s="434"/>
      <c r="AF60" s="203" t="s">
        <v>571</v>
      </c>
      <c r="AG60" s="417">
        <v>15</v>
      </c>
      <c r="AH60" s="175"/>
      <c r="AI60" s="418"/>
      <c r="AJ60" s="175"/>
      <c r="AK60" s="176"/>
      <c r="AL60" s="176"/>
      <c r="AM60" s="177"/>
      <c r="AN60" s="435"/>
      <c r="AO60" s="177"/>
      <c r="AP60" s="178"/>
      <c r="AQ60" s="175"/>
      <c r="AR60" s="176"/>
      <c r="AS60" s="420"/>
      <c r="AT60" s="177"/>
      <c r="AU60" s="177"/>
      <c r="AV60" s="177"/>
      <c r="AW60" s="179"/>
      <c r="AX60" s="180"/>
      <c r="AY60" s="421"/>
      <c r="AZ60" s="175"/>
      <c r="BA60" s="178"/>
      <c r="BB60" s="421"/>
      <c r="BC60" s="176"/>
      <c r="BD60" s="178"/>
      <c r="BE60" s="175"/>
      <c r="BF60" s="176"/>
      <c r="BG60" s="181">
        <f>SUM(AH60:AN60,AQ60:AS60,AV60,AY60,BB60,BE60:BF60)</f>
        <v>0</v>
      </c>
      <c r="BI60" s="485" t="s">
        <v>284</v>
      </c>
      <c r="BJ60" s="486" t="s">
        <v>473</v>
      </c>
      <c r="BK60" s="487">
        <v>15</v>
      </c>
      <c r="BL60" s="488"/>
      <c r="BM60" s="488"/>
      <c r="BN60" s="488"/>
      <c r="BO60" s="489"/>
      <c r="BP60" s="488"/>
      <c r="BQ60" s="488"/>
      <c r="BR60" s="478">
        <f t="shared" si="8"/>
        <v>0</v>
      </c>
      <c r="BS60" s="490"/>
      <c r="BT60" s="490"/>
      <c r="BU60" s="502"/>
      <c r="BV60" s="491"/>
      <c r="BW60" s="503"/>
      <c r="BX60" s="492"/>
      <c r="BY60" s="490"/>
      <c r="BZ60" s="490"/>
      <c r="CA60" s="493"/>
      <c r="CB60" s="488"/>
      <c r="CC60" s="488"/>
      <c r="CD60" s="494"/>
      <c r="CE60" s="490"/>
      <c r="CF60" s="489"/>
      <c r="CG60" s="495"/>
      <c r="CH60" s="488"/>
      <c r="CI60" s="492"/>
      <c r="CJ60" s="491"/>
      <c r="CK60" s="496"/>
      <c r="CL60" s="492"/>
      <c r="CM60" s="497"/>
      <c r="CN60" s="497"/>
      <c r="CO60" s="477">
        <f>SUM(BS60:BV60,BY60:CA60,CD60,CG60,CJ60,CM60:CN60)</f>
        <v>0</v>
      </c>
      <c r="CP60" s="477">
        <f t="shared" si="7"/>
        <v>0</v>
      </c>
    </row>
    <row r="61" spans="1:94" x14ac:dyDescent="0.2">
      <c r="AE61" s="434"/>
      <c r="AF61" s="203" t="s">
        <v>572</v>
      </c>
      <c r="AG61" s="417">
        <v>16</v>
      </c>
      <c r="AH61" s="182"/>
      <c r="AI61" s="201"/>
      <c r="AJ61" s="182"/>
      <c r="AK61" s="146"/>
      <c r="AL61" s="176"/>
      <c r="AM61" s="200"/>
      <c r="AN61" s="202"/>
      <c r="AO61" s="200"/>
      <c r="AP61" s="201"/>
      <c r="AQ61" s="182"/>
      <c r="AR61" s="146"/>
      <c r="AS61" s="146"/>
      <c r="AT61" s="200"/>
      <c r="AU61" s="200"/>
      <c r="AV61" s="200"/>
      <c r="AW61" s="202"/>
      <c r="AX61" s="146"/>
      <c r="AY61" s="182"/>
      <c r="AZ61" s="182"/>
      <c r="BA61" s="201"/>
      <c r="BB61" s="182"/>
      <c r="BC61" s="146"/>
      <c r="BD61" s="201"/>
      <c r="BE61" s="182"/>
      <c r="BF61" s="146"/>
      <c r="BG61" s="181">
        <f>AL61</f>
        <v>0</v>
      </c>
      <c r="BI61" s="501" t="s">
        <v>285</v>
      </c>
      <c r="BJ61" s="486" t="s">
        <v>474</v>
      </c>
      <c r="BK61" s="500">
        <v>16</v>
      </c>
      <c r="BL61" s="488"/>
      <c r="BM61" s="488"/>
      <c r="BN61" s="488"/>
      <c r="BO61" s="489"/>
      <c r="BP61" s="488"/>
      <c r="BQ61" s="488"/>
      <c r="BR61" s="478">
        <f t="shared" si="8"/>
        <v>0</v>
      </c>
      <c r="BS61" s="490"/>
      <c r="BT61" s="490"/>
      <c r="BU61" s="502"/>
      <c r="BV61" s="491"/>
      <c r="BW61" s="503"/>
      <c r="BX61" s="492"/>
      <c r="BY61" s="490"/>
      <c r="BZ61" s="490"/>
      <c r="CA61" s="493"/>
      <c r="CB61" s="488"/>
      <c r="CC61" s="488"/>
      <c r="CD61" s="494"/>
      <c r="CE61" s="490"/>
      <c r="CF61" s="489"/>
      <c r="CG61" s="495"/>
      <c r="CH61" s="488"/>
      <c r="CI61" s="492"/>
      <c r="CJ61" s="491"/>
      <c r="CK61" s="496"/>
      <c r="CL61" s="492"/>
      <c r="CM61" s="497"/>
      <c r="CN61" s="497"/>
      <c r="CO61" s="477">
        <f t="shared" si="6"/>
        <v>0</v>
      </c>
      <c r="CP61" s="477">
        <f t="shared" si="7"/>
        <v>0</v>
      </c>
    </row>
    <row r="62" spans="1:94" x14ac:dyDescent="0.2">
      <c r="AE62" s="434"/>
      <c r="AF62" s="203" t="s">
        <v>573</v>
      </c>
      <c r="AG62" s="417">
        <v>17</v>
      </c>
      <c r="AH62" s="182"/>
      <c r="AI62" s="201"/>
      <c r="AJ62" s="182"/>
      <c r="AK62" s="146"/>
      <c r="AL62" s="200"/>
      <c r="AM62" s="200"/>
      <c r="AN62" s="202"/>
      <c r="AO62" s="200"/>
      <c r="AP62" s="201"/>
      <c r="AQ62" s="182"/>
      <c r="AR62" s="146"/>
      <c r="AS62" s="146"/>
      <c r="AT62" s="200"/>
      <c r="AU62" s="200"/>
      <c r="AV62" s="200"/>
      <c r="AW62" s="202"/>
      <c r="AX62" s="176"/>
      <c r="AY62" s="420"/>
      <c r="AZ62" s="176"/>
      <c r="BA62" s="176"/>
      <c r="BB62" s="182"/>
      <c r="BC62" s="146"/>
      <c r="BD62" s="201"/>
      <c r="BE62" s="182"/>
      <c r="BF62" s="146"/>
      <c r="BG62" s="181">
        <f>AY62</f>
        <v>0</v>
      </c>
      <c r="BI62" s="485" t="s">
        <v>286</v>
      </c>
      <c r="BJ62" s="486" t="s">
        <v>473</v>
      </c>
      <c r="BK62" s="487">
        <v>17</v>
      </c>
      <c r="BL62" s="488"/>
      <c r="BM62" s="488"/>
      <c r="BN62" s="488"/>
      <c r="BO62" s="489"/>
      <c r="BP62" s="488"/>
      <c r="BQ62" s="488"/>
      <c r="BR62" s="478">
        <f t="shared" si="8"/>
        <v>0</v>
      </c>
      <c r="BS62" s="490"/>
      <c r="BT62" s="490"/>
      <c r="BU62" s="502"/>
      <c r="BV62" s="491"/>
      <c r="BW62" s="503"/>
      <c r="BX62" s="492"/>
      <c r="BY62" s="490"/>
      <c r="BZ62" s="490"/>
      <c r="CA62" s="493"/>
      <c r="CB62" s="488"/>
      <c r="CC62" s="488"/>
      <c r="CD62" s="494"/>
      <c r="CE62" s="490"/>
      <c r="CF62" s="489"/>
      <c r="CG62" s="495"/>
      <c r="CH62" s="488"/>
      <c r="CI62" s="492"/>
      <c r="CJ62" s="491"/>
      <c r="CK62" s="496"/>
      <c r="CL62" s="492"/>
      <c r="CM62" s="497"/>
      <c r="CN62" s="497"/>
      <c r="CO62" s="477">
        <f t="shared" si="6"/>
        <v>0</v>
      </c>
      <c r="CP62" s="477">
        <f t="shared" si="7"/>
        <v>0</v>
      </c>
    </row>
    <row r="63" spans="1:94" ht="13.5" x14ac:dyDescent="0.2">
      <c r="AE63" s="436"/>
      <c r="AF63" s="437" t="s">
        <v>574</v>
      </c>
      <c r="AG63" s="417">
        <v>18</v>
      </c>
      <c r="AH63" s="175"/>
      <c r="AI63" s="418"/>
      <c r="AJ63" s="175"/>
      <c r="AK63" s="176"/>
      <c r="AL63" s="176"/>
      <c r="AM63" s="177"/>
      <c r="AN63" s="435"/>
      <c r="AO63" s="177"/>
      <c r="AP63" s="178"/>
      <c r="AQ63" s="175"/>
      <c r="AR63" s="176"/>
      <c r="AS63" s="420"/>
      <c r="AT63" s="177"/>
      <c r="AU63" s="177"/>
      <c r="AV63" s="177"/>
      <c r="AW63" s="179"/>
      <c r="AX63" s="180"/>
      <c r="AY63" s="421"/>
      <c r="AZ63" s="175"/>
      <c r="BA63" s="178"/>
      <c r="BB63" s="421"/>
      <c r="BC63" s="176"/>
      <c r="BD63" s="178"/>
      <c r="BE63" s="175"/>
      <c r="BF63" s="176"/>
      <c r="BG63" s="181">
        <f>SUM(AH63:AN63,AQ63:AS63,AV63,AY63,BB63,BE63:BF63)</f>
        <v>0</v>
      </c>
      <c r="BI63" s="501" t="s">
        <v>287</v>
      </c>
      <c r="BJ63" s="486" t="s">
        <v>474</v>
      </c>
      <c r="BK63" s="500">
        <v>18</v>
      </c>
      <c r="BL63" s="488"/>
      <c r="BM63" s="488"/>
      <c r="BN63" s="488"/>
      <c r="BO63" s="489"/>
      <c r="BP63" s="488"/>
      <c r="BQ63" s="488"/>
      <c r="BR63" s="478">
        <f t="shared" si="8"/>
        <v>0</v>
      </c>
      <c r="BS63" s="490"/>
      <c r="BT63" s="490"/>
      <c r="BU63" s="502"/>
      <c r="BV63" s="491"/>
      <c r="BW63" s="503"/>
      <c r="BX63" s="492"/>
      <c r="BY63" s="490"/>
      <c r="BZ63" s="490"/>
      <c r="CA63" s="493"/>
      <c r="CB63" s="488"/>
      <c r="CC63" s="488"/>
      <c r="CD63" s="494"/>
      <c r="CE63" s="490"/>
      <c r="CF63" s="489"/>
      <c r="CG63" s="495"/>
      <c r="CH63" s="488"/>
      <c r="CI63" s="492"/>
      <c r="CJ63" s="491"/>
      <c r="CK63" s="496"/>
      <c r="CL63" s="492"/>
      <c r="CM63" s="497"/>
      <c r="CN63" s="497"/>
      <c r="CO63" s="477">
        <f t="shared" si="6"/>
        <v>0</v>
      </c>
      <c r="CP63" s="477">
        <f t="shared" si="7"/>
        <v>0</v>
      </c>
    </row>
    <row r="64" spans="1:94" ht="13.5" x14ac:dyDescent="0.2">
      <c r="AE64" s="436"/>
      <c r="AF64" s="437" t="s">
        <v>575</v>
      </c>
      <c r="AG64" s="423">
        <v>19</v>
      </c>
      <c r="AH64" s="182"/>
      <c r="AI64" s="201"/>
      <c r="AJ64" s="175"/>
      <c r="AK64" s="176"/>
      <c r="AL64" s="176"/>
      <c r="AM64" s="177"/>
      <c r="AN64" s="435"/>
      <c r="AO64" s="177"/>
      <c r="AP64" s="178"/>
      <c r="AQ64" s="175"/>
      <c r="AR64" s="176"/>
      <c r="AS64" s="420"/>
      <c r="AT64" s="177"/>
      <c r="AU64" s="177"/>
      <c r="AV64" s="177"/>
      <c r="AW64" s="179"/>
      <c r="AX64" s="180"/>
      <c r="AY64" s="421"/>
      <c r="AZ64" s="175"/>
      <c r="BA64" s="178"/>
      <c r="BB64" s="421"/>
      <c r="BC64" s="176"/>
      <c r="BD64" s="178"/>
      <c r="BE64" s="175"/>
      <c r="BF64" s="176"/>
      <c r="BG64" s="181">
        <f>SUM(AJ64:AN64,AQ64:AS64,AV64,AY64,BB64,BE64:BF64)</f>
        <v>0</v>
      </c>
      <c r="BI64" s="485" t="s">
        <v>605</v>
      </c>
      <c r="BJ64" s="486" t="s">
        <v>473</v>
      </c>
      <c r="BK64" s="487">
        <v>19</v>
      </c>
      <c r="BL64" s="488"/>
      <c r="BM64" s="488"/>
      <c r="BN64" s="488"/>
      <c r="BO64" s="489"/>
      <c r="BP64" s="488"/>
      <c r="BQ64" s="488"/>
      <c r="BR64" s="478">
        <f t="shared" si="8"/>
        <v>0</v>
      </c>
      <c r="BS64" s="490"/>
      <c r="BT64" s="490"/>
      <c r="BU64" s="502"/>
      <c r="BV64" s="491"/>
      <c r="BW64" s="503"/>
      <c r="BX64" s="492"/>
      <c r="BY64" s="490"/>
      <c r="BZ64" s="490"/>
      <c r="CA64" s="493"/>
      <c r="CB64" s="488"/>
      <c r="CC64" s="488"/>
      <c r="CD64" s="494"/>
      <c r="CE64" s="490"/>
      <c r="CF64" s="489"/>
      <c r="CG64" s="495"/>
      <c r="CH64" s="488"/>
      <c r="CI64" s="492"/>
      <c r="CJ64" s="491"/>
      <c r="CK64" s="496"/>
      <c r="CL64" s="492"/>
      <c r="CM64" s="497"/>
      <c r="CN64" s="497"/>
      <c r="CO64" s="477">
        <f t="shared" si="6"/>
        <v>0</v>
      </c>
      <c r="CP64" s="477">
        <f t="shared" si="7"/>
        <v>0</v>
      </c>
    </row>
    <row r="65" spans="31:94" x14ac:dyDescent="0.2">
      <c r="AE65" s="436"/>
      <c r="AF65" s="437" t="s">
        <v>576</v>
      </c>
      <c r="AG65" s="417">
        <v>20</v>
      </c>
      <c r="AH65" s="182"/>
      <c r="AI65" s="201"/>
      <c r="AJ65" s="182"/>
      <c r="AK65" s="146"/>
      <c r="AL65" s="146"/>
      <c r="AM65" s="200"/>
      <c r="AN65" s="202"/>
      <c r="AO65" s="200"/>
      <c r="AP65" s="201"/>
      <c r="AQ65" s="182"/>
      <c r="AR65" s="146"/>
      <c r="AS65" s="146"/>
      <c r="AT65" s="200"/>
      <c r="AU65" s="200"/>
      <c r="AV65" s="200"/>
      <c r="AW65" s="202"/>
      <c r="AX65" s="146"/>
      <c r="AY65" s="182"/>
      <c r="AZ65" s="182"/>
      <c r="BA65" s="201"/>
      <c r="BB65" s="182"/>
      <c r="BC65" s="146"/>
      <c r="BD65" s="201"/>
      <c r="BE65" s="182"/>
      <c r="BF65" s="146"/>
      <c r="BG65" s="176">
        <f>BG58-BG64</f>
        <v>0</v>
      </c>
      <c r="BI65" s="501" t="s">
        <v>606</v>
      </c>
      <c r="BJ65" s="499" t="s">
        <v>302</v>
      </c>
      <c r="BK65" s="500">
        <v>20</v>
      </c>
      <c r="BL65" s="488"/>
      <c r="BM65" s="488"/>
      <c r="BN65" s="488"/>
      <c r="BO65" s="489"/>
      <c r="BP65" s="488"/>
      <c r="BQ65" s="488"/>
      <c r="BR65" s="478">
        <f t="shared" si="8"/>
        <v>0</v>
      </c>
      <c r="BS65" s="490"/>
      <c r="BT65" s="490"/>
      <c r="BU65" s="502"/>
      <c r="BV65" s="491"/>
      <c r="BW65" s="503"/>
      <c r="BX65" s="492"/>
      <c r="BY65" s="490"/>
      <c r="BZ65" s="490"/>
      <c r="CA65" s="493"/>
      <c r="CB65" s="488"/>
      <c r="CC65" s="488"/>
      <c r="CD65" s="494"/>
      <c r="CE65" s="490"/>
      <c r="CF65" s="489"/>
      <c r="CG65" s="495"/>
      <c r="CH65" s="488"/>
      <c r="CI65" s="492"/>
      <c r="CJ65" s="491"/>
      <c r="CK65" s="496"/>
      <c r="CL65" s="492"/>
      <c r="CM65" s="497"/>
      <c r="CN65" s="497"/>
      <c r="CO65" s="477">
        <f>SUM(BS65:BV65,BY65:CA65,CD65,CG65,CJ65,CM65:CN65)</f>
        <v>0</v>
      </c>
      <c r="CP65" s="477">
        <f t="shared" si="7"/>
        <v>0</v>
      </c>
    </row>
    <row r="66" spans="31:94" x14ac:dyDescent="0.2">
      <c r="BI66" s="485" t="s">
        <v>288</v>
      </c>
      <c r="BJ66" s="486" t="s">
        <v>473</v>
      </c>
      <c r="BK66" s="487">
        <v>21</v>
      </c>
      <c r="BL66" s="488"/>
      <c r="BM66" s="488"/>
      <c r="BN66" s="488"/>
      <c r="BO66" s="489"/>
      <c r="BP66" s="488"/>
      <c r="BQ66" s="488"/>
      <c r="BR66" s="478">
        <f t="shared" si="8"/>
        <v>0</v>
      </c>
      <c r="BS66" s="490"/>
      <c r="BT66" s="490"/>
      <c r="BU66" s="502"/>
      <c r="BV66" s="491"/>
      <c r="BW66" s="503"/>
      <c r="BX66" s="492"/>
      <c r="BY66" s="490"/>
      <c r="BZ66" s="490"/>
      <c r="CA66" s="493"/>
      <c r="CB66" s="488"/>
      <c r="CC66" s="488"/>
      <c r="CD66" s="494"/>
      <c r="CE66" s="490"/>
      <c r="CF66" s="489"/>
      <c r="CG66" s="495"/>
      <c r="CH66" s="488"/>
      <c r="CI66" s="492"/>
      <c r="CJ66" s="491"/>
      <c r="CK66" s="496"/>
      <c r="CL66" s="492"/>
      <c r="CM66" s="497"/>
      <c r="CN66" s="497"/>
      <c r="CO66" s="477">
        <f>SUM(BS66:BV66,BY66:CA66,CD66,CG66,CJ66,CM66:CN66)</f>
        <v>0</v>
      </c>
      <c r="CP66" s="477">
        <f t="shared" si="7"/>
        <v>0</v>
      </c>
    </row>
    <row r="67" spans="31:94" x14ac:dyDescent="0.2">
      <c r="BI67" s="501" t="s">
        <v>289</v>
      </c>
      <c r="BJ67" s="499" t="s">
        <v>303</v>
      </c>
      <c r="BK67" s="500">
        <v>22</v>
      </c>
      <c r="BL67" s="488"/>
      <c r="BM67" s="488"/>
      <c r="BN67" s="488"/>
      <c r="BO67" s="489"/>
      <c r="BP67" s="488"/>
      <c r="BQ67" s="488"/>
      <c r="BR67" s="478">
        <f t="shared" si="8"/>
        <v>0</v>
      </c>
      <c r="BS67" s="490"/>
      <c r="BT67" s="490"/>
      <c r="BU67" s="502"/>
      <c r="BV67" s="491"/>
      <c r="BW67" s="503"/>
      <c r="BX67" s="492"/>
      <c r="BY67" s="490"/>
      <c r="BZ67" s="490"/>
      <c r="CA67" s="493"/>
      <c r="CB67" s="488"/>
      <c r="CC67" s="488"/>
      <c r="CD67" s="494"/>
      <c r="CE67" s="490"/>
      <c r="CF67" s="489"/>
      <c r="CG67" s="495"/>
      <c r="CH67" s="488"/>
      <c r="CI67" s="492"/>
      <c r="CJ67" s="491"/>
      <c r="CK67" s="496"/>
      <c r="CL67" s="492"/>
      <c r="CM67" s="497"/>
      <c r="CN67" s="497"/>
      <c r="CO67" s="477">
        <f t="shared" si="6"/>
        <v>0</v>
      </c>
      <c r="CP67" s="477">
        <f t="shared" si="7"/>
        <v>0</v>
      </c>
    </row>
    <row r="68" spans="31:94" x14ac:dyDescent="0.2">
      <c r="BI68" s="466" t="s">
        <v>290</v>
      </c>
      <c r="BJ68" s="483" t="s">
        <v>473</v>
      </c>
      <c r="BK68" s="484">
        <v>23</v>
      </c>
      <c r="BL68" s="477">
        <f t="shared" ref="BL68:BS69" si="13">BL46-BL48-BL50+BL64+BL66</f>
        <v>0</v>
      </c>
      <c r="BM68" s="477">
        <f t="shared" si="13"/>
        <v>0</v>
      </c>
      <c r="BN68" s="477">
        <f t="shared" si="13"/>
        <v>0</v>
      </c>
      <c r="BO68" s="505">
        <f>BO46-BO48-BO50+BO64+BO66</f>
        <v>0</v>
      </c>
      <c r="BP68" s="477">
        <f>BP46-BP48-BP50+BP64+BP66</f>
        <v>0</v>
      </c>
      <c r="BQ68" s="477">
        <f t="shared" si="13"/>
        <v>0</v>
      </c>
      <c r="BR68" s="478">
        <f t="shared" si="13"/>
        <v>0</v>
      </c>
      <c r="BS68" s="505">
        <f t="shared" si="13"/>
        <v>0</v>
      </c>
      <c r="BT68" s="505">
        <f>BT46-BT48-BT50+BT64+BT66</f>
        <v>0</v>
      </c>
      <c r="BU68" s="472">
        <f t="shared" ref="BU68:CN69" si="14">BU46-BU48-BU50+BU64+BU66</f>
        <v>0</v>
      </c>
      <c r="BV68" s="473">
        <f t="shared" si="14"/>
        <v>0</v>
      </c>
      <c r="BW68" s="474">
        <f t="shared" si="14"/>
        <v>0</v>
      </c>
      <c r="BX68" s="470">
        <f t="shared" si="14"/>
        <v>0</v>
      </c>
      <c r="BY68" s="471">
        <f t="shared" si="14"/>
        <v>0</v>
      </c>
      <c r="BZ68" s="471">
        <f t="shared" si="14"/>
        <v>0</v>
      </c>
      <c r="CA68" s="475">
        <f t="shared" si="14"/>
        <v>0</v>
      </c>
      <c r="CB68" s="469">
        <f t="shared" si="14"/>
        <v>0</v>
      </c>
      <c r="CC68" s="469">
        <f t="shared" si="14"/>
        <v>0</v>
      </c>
      <c r="CD68" s="470">
        <f t="shared" si="14"/>
        <v>0</v>
      </c>
      <c r="CE68" s="471">
        <f t="shared" si="14"/>
        <v>0</v>
      </c>
      <c r="CF68" s="469">
        <f t="shared" si="14"/>
        <v>0</v>
      </c>
      <c r="CG68" s="476">
        <f t="shared" si="14"/>
        <v>0</v>
      </c>
      <c r="CH68" s="469">
        <f t="shared" si="14"/>
        <v>0</v>
      </c>
      <c r="CI68" s="470">
        <f t="shared" si="14"/>
        <v>0</v>
      </c>
      <c r="CJ68" s="473">
        <f t="shared" si="14"/>
        <v>0</v>
      </c>
      <c r="CK68" s="469">
        <f t="shared" si="14"/>
        <v>0</v>
      </c>
      <c r="CL68" s="478">
        <f t="shared" si="14"/>
        <v>0</v>
      </c>
      <c r="CM68" s="479">
        <f t="shared" si="14"/>
        <v>0</v>
      </c>
      <c r="CN68" s="479">
        <f t="shared" si="14"/>
        <v>0</v>
      </c>
      <c r="CO68" s="477">
        <f t="shared" si="6"/>
        <v>0</v>
      </c>
      <c r="CP68" s="477">
        <f t="shared" si="7"/>
        <v>0</v>
      </c>
    </row>
    <row r="69" spans="31:94" ht="13.5" thickBot="1" x14ac:dyDescent="0.25">
      <c r="BI69" s="506" t="s">
        <v>291</v>
      </c>
      <c r="BJ69" s="507" t="s">
        <v>474</v>
      </c>
      <c r="BK69" s="508">
        <v>24</v>
      </c>
      <c r="BL69" s="509">
        <f>BL47-BL49-BL51+BL65+BL67</f>
        <v>0</v>
      </c>
      <c r="BM69" s="509">
        <f t="shared" si="13"/>
        <v>0</v>
      </c>
      <c r="BN69" s="509">
        <f t="shared" si="13"/>
        <v>0</v>
      </c>
      <c r="BO69" s="510">
        <f>BO47-BO49-BO51+BO65+BO67</f>
        <v>0</v>
      </c>
      <c r="BP69" s="509">
        <f>BP47-BP49-BP51+BP65+BP67</f>
        <v>0</v>
      </c>
      <c r="BQ69" s="509">
        <f t="shared" si="13"/>
        <v>0</v>
      </c>
      <c r="BR69" s="511">
        <f t="shared" si="13"/>
        <v>0</v>
      </c>
      <c r="BS69" s="510">
        <f t="shared" si="13"/>
        <v>0</v>
      </c>
      <c r="BT69" s="509">
        <f>BT47-BT49-BT51+BT65+BT67</f>
        <v>0</v>
      </c>
      <c r="BU69" s="512">
        <f t="shared" si="14"/>
        <v>0</v>
      </c>
      <c r="BV69" s="513">
        <f t="shared" si="14"/>
        <v>0</v>
      </c>
      <c r="BW69" s="514">
        <f t="shared" si="14"/>
        <v>0</v>
      </c>
      <c r="BX69" s="515">
        <f t="shared" si="14"/>
        <v>0</v>
      </c>
      <c r="BY69" s="516">
        <f t="shared" si="14"/>
        <v>0</v>
      </c>
      <c r="BZ69" s="516">
        <f t="shared" si="14"/>
        <v>0</v>
      </c>
      <c r="CA69" s="517">
        <f t="shared" si="14"/>
        <v>0</v>
      </c>
      <c r="CB69" s="518">
        <f t="shared" si="14"/>
        <v>0</v>
      </c>
      <c r="CC69" s="518">
        <f t="shared" si="14"/>
        <v>0</v>
      </c>
      <c r="CD69" s="515">
        <f t="shared" si="14"/>
        <v>0</v>
      </c>
      <c r="CE69" s="516">
        <f t="shared" si="14"/>
        <v>0</v>
      </c>
      <c r="CF69" s="518">
        <f t="shared" si="14"/>
        <v>0</v>
      </c>
      <c r="CG69" s="519">
        <f t="shared" si="14"/>
        <v>0</v>
      </c>
      <c r="CH69" s="518">
        <f t="shared" si="14"/>
        <v>0</v>
      </c>
      <c r="CI69" s="515">
        <f t="shared" si="14"/>
        <v>0</v>
      </c>
      <c r="CJ69" s="513">
        <f t="shared" si="14"/>
        <v>0</v>
      </c>
      <c r="CK69" s="518">
        <f t="shared" si="14"/>
        <v>0</v>
      </c>
      <c r="CL69" s="511">
        <f t="shared" si="14"/>
        <v>0</v>
      </c>
      <c r="CM69" s="520">
        <f t="shared" si="14"/>
        <v>0</v>
      </c>
      <c r="CN69" s="509">
        <f t="shared" si="14"/>
        <v>0</v>
      </c>
      <c r="CO69" s="509">
        <f t="shared" si="6"/>
        <v>0</v>
      </c>
      <c r="CP69" s="509">
        <f t="shared" si="7"/>
        <v>0</v>
      </c>
    </row>
    <row r="70" spans="31:94" x14ac:dyDescent="0.2">
      <c r="BI70" s="521" t="s">
        <v>292</v>
      </c>
      <c r="BJ70" s="522" t="s">
        <v>473</v>
      </c>
      <c r="BK70" s="523">
        <v>25</v>
      </c>
      <c r="BL70" s="524"/>
      <c r="BM70" s="524"/>
      <c r="BN70" s="524"/>
      <c r="BO70" s="489"/>
      <c r="BP70" s="524"/>
      <c r="BQ70" s="524"/>
      <c r="BR70" s="525">
        <f>SUM(BL70:BO70,BQ70)</f>
        <v>0</v>
      </c>
      <c r="BS70" s="526"/>
      <c r="BT70" s="526"/>
      <c r="BU70" s="527"/>
      <c r="BV70" s="528"/>
      <c r="BW70" s="529"/>
      <c r="BX70" s="530"/>
      <c r="BY70" s="526"/>
      <c r="BZ70" s="526"/>
      <c r="CA70" s="531"/>
      <c r="CB70" s="524"/>
      <c r="CC70" s="524"/>
      <c r="CD70" s="532"/>
      <c r="CE70" s="526"/>
      <c r="CF70" s="533"/>
      <c r="CG70" s="534"/>
      <c r="CH70" s="524"/>
      <c r="CI70" s="530"/>
      <c r="CJ70" s="528"/>
      <c r="CK70" s="535"/>
      <c r="CL70" s="530"/>
      <c r="CM70" s="536"/>
      <c r="CN70" s="536"/>
      <c r="CO70" s="537">
        <f t="shared" si="6"/>
        <v>0</v>
      </c>
      <c r="CP70" s="537">
        <f t="shared" si="7"/>
        <v>0</v>
      </c>
    </row>
    <row r="71" spans="31:94" x14ac:dyDescent="0.2">
      <c r="BI71" s="538" t="s">
        <v>293</v>
      </c>
      <c r="BJ71" s="486" t="s">
        <v>474</v>
      </c>
      <c r="BK71" s="487">
        <v>26</v>
      </c>
      <c r="BL71" s="488"/>
      <c r="BM71" s="488"/>
      <c r="BN71" s="488"/>
      <c r="BO71" s="489"/>
      <c r="BP71" s="488"/>
      <c r="BQ71" s="488"/>
      <c r="BR71" s="478">
        <f t="shared" ref="BR71:BR79" si="15">SUM(BL71:BO71,BQ71)</f>
        <v>0</v>
      </c>
      <c r="BS71" s="490"/>
      <c r="BT71" s="490"/>
      <c r="BU71" s="502"/>
      <c r="BV71" s="491"/>
      <c r="BW71" s="503"/>
      <c r="BX71" s="492"/>
      <c r="BY71" s="490"/>
      <c r="BZ71" s="490"/>
      <c r="CA71" s="493"/>
      <c r="CB71" s="488"/>
      <c r="CC71" s="488"/>
      <c r="CD71" s="494"/>
      <c r="CE71" s="490"/>
      <c r="CF71" s="489"/>
      <c r="CG71" s="495"/>
      <c r="CH71" s="488"/>
      <c r="CI71" s="492"/>
      <c r="CJ71" s="491"/>
      <c r="CK71" s="496"/>
      <c r="CL71" s="492"/>
      <c r="CM71" s="497"/>
      <c r="CN71" s="497"/>
      <c r="CO71" s="477">
        <f t="shared" si="6"/>
        <v>0</v>
      </c>
      <c r="CP71" s="477">
        <f t="shared" si="7"/>
        <v>0</v>
      </c>
    </row>
    <row r="72" spans="31:94" x14ac:dyDescent="0.2">
      <c r="BI72" s="539" t="s">
        <v>294</v>
      </c>
      <c r="BJ72" s="486" t="s">
        <v>473</v>
      </c>
      <c r="BK72" s="487">
        <v>27</v>
      </c>
      <c r="BL72" s="488"/>
      <c r="BM72" s="488"/>
      <c r="BN72" s="488"/>
      <c r="BO72" s="489"/>
      <c r="BP72" s="488"/>
      <c r="BQ72" s="488"/>
      <c r="BR72" s="478">
        <f t="shared" si="15"/>
        <v>0</v>
      </c>
      <c r="BS72" s="490"/>
      <c r="BT72" s="490"/>
      <c r="BU72" s="502"/>
      <c r="BV72" s="491"/>
      <c r="BW72" s="503"/>
      <c r="BX72" s="492"/>
      <c r="BY72" s="490"/>
      <c r="BZ72" s="490"/>
      <c r="CA72" s="493"/>
      <c r="CB72" s="488"/>
      <c r="CC72" s="488"/>
      <c r="CD72" s="494"/>
      <c r="CE72" s="490"/>
      <c r="CF72" s="489"/>
      <c r="CG72" s="495"/>
      <c r="CH72" s="488"/>
      <c r="CI72" s="492"/>
      <c r="CJ72" s="491"/>
      <c r="CK72" s="496"/>
      <c r="CL72" s="492"/>
      <c r="CM72" s="497"/>
      <c r="CN72" s="497"/>
      <c r="CO72" s="477">
        <f t="shared" si="6"/>
        <v>0</v>
      </c>
      <c r="CP72" s="477">
        <f t="shared" si="7"/>
        <v>0</v>
      </c>
    </row>
    <row r="73" spans="31:94" x14ac:dyDescent="0.2">
      <c r="BI73" s="538" t="s">
        <v>295</v>
      </c>
      <c r="BJ73" s="486" t="s">
        <v>474</v>
      </c>
      <c r="BK73" s="487">
        <v>28</v>
      </c>
      <c r="BL73" s="488"/>
      <c r="BM73" s="488"/>
      <c r="BN73" s="488"/>
      <c r="BO73" s="489"/>
      <c r="BP73" s="488"/>
      <c r="BQ73" s="488"/>
      <c r="BR73" s="478">
        <f t="shared" si="15"/>
        <v>0</v>
      </c>
      <c r="BS73" s="490"/>
      <c r="BT73" s="490"/>
      <c r="BU73" s="502"/>
      <c r="BV73" s="491"/>
      <c r="BW73" s="503"/>
      <c r="BX73" s="492"/>
      <c r="BY73" s="490"/>
      <c r="BZ73" s="490"/>
      <c r="CA73" s="493"/>
      <c r="CB73" s="488"/>
      <c r="CC73" s="488"/>
      <c r="CD73" s="494"/>
      <c r="CE73" s="490"/>
      <c r="CF73" s="489"/>
      <c r="CG73" s="495"/>
      <c r="CH73" s="488"/>
      <c r="CI73" s="492"/>
      <c r="CJ73" s="491"/>
      <c r="CK73" s="496"/>
      <c r="CL73" s="492"/>
      <c r="CM73" s="497"/>
      <c r="CN73" s="497"/>
      <c r="CO73" s="477">
        <f t="shared" si="6"/>
        <v>0</v>
      </c>
      <c r="CP73" s="477">
        <f t="shared" si="7"/>
        <v>0</v>
      </c>
    </row>
    <row r="74" spans="31:94" x14ac:dyDescent="0.2">
      <c r="BI74" s="539" t="s">
        <v>296</v>
      </c>
      <c r="BJ74" s="486" t="s">
        <v>473</v>
      </c>
      <c r="BK74" s="487">
        <v>29</v>
      </c>
      <c r="BL74" s="488"/>
      <c r="BM74" s="488"/>
      <c r="BN74" s="488"/>
      <c r="BO74" s="489"/>
      <c r="BP74" s="488"/>
      <c r="BQ74" s="488"/>
      <c r="BR74" s="478">
        <f t="shared" si="15"/>
        <v>0</v>
      </c>
      <c r="BS74" s="490"/>
      <c r="BT74" s="490"/>
      <c r="BU74" s="502"/>
      <c r="BV74" s="491"/>
      <c r="BW74" s="503"/>
      <c r="BX74" s="492"/>
      <c r="BY74" s="490"/>
      <c r="BZ74" s="490"/>
      <c r="CA74" s="493"/>
      <c r="CB74" s="488"/>
      <c r="CC74" s="488"/>
      <c r="CD74" s="494"/>
      <c r="CE74" s="490"/>
      <c r="CF74" s="489"/>
      <c r="CG74" s="495"/>
      <c r="CH74" s="488"/>
      <c r="CI74" s="492"/>
      <c r="CJ74" s="491"/>
      <c r="CK74" s="496"/>
      <c r="CL74" s="492"/>
      <c r="CM74" s="497"/>
      <c r="CN74" s="497"/>
      <c r="CO74" s="477">
        <f t="shared" si="6"/>
        <v>0</v>
      </c>
      <c r="CP74" s="477">
        <f t="shared" si="7"/>
        <v>0</v>
      </c>
    </row>
    <row r="75" spans="31:94" x14ac:dyDescent="0.2">
      <c r="BI75" s="538" t="s">
        <v>594</v>
      </c>
      <c r="BJ75" s="486" t="s">
        <v>474</v>
      </c>
      <c r="BK75" s="487">
        <v>30</v>
      </c>
      <c r="BL75" s="488"/>
      <c r="BM75" s="488"/>
      <c r="BN75" s="488"/>
      <c r="BO75" s="489"/>
      <c r="BP75" s="488"/>
      <c r="BQ75" s="488"/>
      <c r="BR75" s="478">
        <f t="shared" si="15"/>
        <v>0</v>
      </c>
      <c r="BS75" s="490"/>
      <c r="BT75" s="490"/>
      <c r="BU75" s="502"/>
      <c r="BV75" s="491"/>
      <c r="BW75" s="503"/>
      <c r="BX75" s="492"/>
      <c r="BY75" s="490"/>
      <c r="BZ75" s="490"/>
      <c r="CA75" s="493"/>
      <c r="CB75" s="488"/>
      <c r="CC75" s="488"/>
      <c r="CD75" s="494"/>
      <c r="CE75" s="490"/>
      <c r="CF75" s="489"/>
      <c r="CG75" s="495"/>
      <c r="CH75" s="488"/>
      <c r="CI75" s="492"/>
      <c r="CJ75" s="491"/>
      <c r="CK75" s="496"/>
      <c r="CL75" s="492"/>
      <c r="CM75" s="497"/>
      <c r="CN75" s="497"/>
      <c r="CO75" s="477">
        <f t="shared" si="6"/>
        <v>0</v>
      </c>
      <c r="CP75" s="477">
        <f t="shared" si="7"/>
        <v>0</v>
      </c>
    </row>
    <row r="76" spans="31:94" x14ac:dyDescent="0.2">
      <c r="BI76" s="539" t="s">
        <v>297</v>
      </c>
      <c r="BJ76" s="486" t="s">
        <v>473</v>
      </c>
      <c r="BK76" s="487">
        <v>31</v>
      </c>
      <c r="BL76" s="488"/>
      <c r="BM76" s="488"/>
      <c r="BN76" s="488"/>
      <c r="BO76" s="489"/>
      <c r="BP76" s="488"/>
      <c r="BQ76" s="488"/>
      <c r="BR76" s="478">
        <f t="shared" si="15"/>
        <v>0</v>
      </c>
      <c r="BS76" s="490"/>
      <c r="BT76" s="490"/>
      <c r="BU76" s="502"/>
      <c r="BV76" s="491"/>
      <c r="BW76" s="503"/>
      <c r="BX76" s="492"/>
      <c r="BY76" s="490"/>
      <c r="BZ76" s="490"/>
      <c r="CA76" s="493"/>
      <c r="CB76" s="488"/>
      <c r="CC76" s="488"/>
      <c r="CD76" s="494"/>
      <c r="CE76" s="490"/>
      <c r="CF76" s="489"/>
      <c r="CG76" s="495"/>
      <c r="CH76" s="488"/>
      <c r="CI76" s="492"/>
      <c r="CJ76" s="491"/>
      <c r="CK76" s="496"/>
      <c r="CL76" s="492"/>
      <c r="CM76" s="497"/>
      <c r="CN76" s="497"/>
      <c r="CO76" s="477">
        <f t="shared" si="6"/>
        <v>0</v>
      </c>
      <c r="CP76" s="477">
        <f t="shared" si="7"/>
        <v>0</v>
      </c>
    </row>
    <row r="77" spans="31:94" x14ac:dyDescent="0.2">
      <c r="BI77" s="538" t="s">
        <v>594</v>
      </c>
      <c r="BJ77" s="486" t="s">
        <v>474</v>
      </c>
      <c r="BK77" s="487">
        <v>32</v>
      </c>
      <c r="BL77" s="488"/>
      <c r="BM77" s="488"/>
      <c r="BN77" s="488"/>
      <c r="BO77" s="489"/>
      <c r="BP77" s="488"/>
      <c r="BQ77" s="488"/>
      <c r="BR77" s="478">
        <f t="shared" si="15"/>
        <v>0</v>
      </c>
      <c r="BS77" s="490"/>
      <c r="BT77" s="490"/>
      <c r="BU77" s="502"/>
      <c r="BV77" s="491"/>
      <c r="BW77" s="503"/>
      <c r="BX77" s="492"/>
      <c r="BY77" s="490"/>
      <c r="BZ77" s="490"/>
      <c r="CA77" s="493"/>
      <c r="CB77" s="488"/>
      <c r="CC77" s="488"/>
      <c r="CD77" s="494"/>
      <c r="CE77" s="490"/>
      <c r="CF77" s="489"/>
      <c r="CG77" s="495"/>
      <c r="CH77" s="488"/>
      <c r="CI77" s="492"/>
      <c r="CJ77" s="491"/>
      <c r="CK77" s="496"/>
      <c r="CL77" s="492"/>
      <c r="CM77" s="497"/>
      <c r="CN77" s="497"/>
      <c r="CO77" s="477">
        <f t="shared" si="6"/>
        <v>0</v>
      </c>
      <c r="CP77" s="477">
        <f t="shared" si="7"/>
        <v>0</v>
      </c>
    </row>
    <row r="78" spans="31:94" x14ac:dyDescent="0.2">
      <c r="BI78" s="539" t="s">
        <v>298</v>
      </c>
      <c r="BJ78" s="486" t="s">
        <v>473</v>
      </c>
      <c r="BK78" s="487">
        <v>33</v>
      </c>
      <c r="BL78" s="488"/>
      <c r="BM78" s="488"/>
      <c r="BN78" s="488"/>
      <c r="BO78" s="489"/>
      <c r="BP78" s="488"/>
      <c r="BQ78" s="488"/>
      <c r="BR78" s="478">
        <f t="shared" si="15"/>
        <v>0</v>
      </c>
      <c r="BS78" s="490"/>
      <c r="BT78" s="490"/>
      <c r="BU78" s="502"/>
      <c r="BV78" s="491"/>
      <c r="BW78" s="503"/>
      <c r="BX78" s="492"/>
      <c r="BY78" s="490"/>
      <c r="BZ78" s="490"/>
      <c r="CA78" s="493"/>
      <c r="CB78" s="488"/>
      <c r="CC78" s="488"/>
      <c r="CD78" s="494"/>
      <c r="CE78" s="490"/>
      <c r="CF78" s="489"/>
      <c r="CG78" s="495"/>
      <c r="CH78" s="488"/>
      <c r="CI78" s="492"/>
      <c r="CJ78" s="491"/>
      <c r="CK78" s="496"/>
      <c r="CL78" s="492"/>
      <c r="CM78" s="497"/>
      <c r="CN78" s="497"/>
      <c r="CO78" s="477">
        <f t="shared" si="6"/>
        <v>0</v>
      </c>
      <c r="CP78" s="477">
        <f t="shared" si="7"/>
        <v>0</v>
      </c>
    </row>
    <row r="79" spans="31:94" x14ac:dyDescent="0.2">
      <c r="BI79" s="538" t="s">
        <v>594</v>
      </c>
      <c r="BJ79" s="486" t="s">
        <v>474</v>
      </c>
      <c r="BK79" s="487">
        <v>34</v>
      </c>
      <c r="BL79" s="488"/>
      <c r="BM79" s="488"/>
      <c r="BN79" s="488"/>
      <c r="BO79" s="489"/>
      <c r="BP79" s="488"/>
      <c r="BQ79" s="488"/>
      <c r="BR79" s="478">
        <f t="shared" si="15"/>
        <v>0</v>
      </c>
      <c r="BS79" s="490"/>
      <c r="BT79" s="490"/>
      <c r="BU79" s="502"/>
      <c r="BV79" s="491"/>
      <c r="BW79" s="503"/>
      <c r="BX79" s="492"/>
      <c r="BY79" s="490"/>
      <c r="BZ79" s="490"/>
      <c r="CA79" s="493"/>
      <c r="CB79" s="488"/>
      <c r="CC79" s="488"/>
      <c r="CD79" s="494"/>
      <c r="CE79" s="490"/>
      <c r="CF79" s="489"/>
      <c r="CG79" s="495"/>
      <c r="CH79" s="488"/>
      <c r="CI79" s="492"/>
      <c r="CJ79" s="491"/>
      <c r="CK79" s="496"/>
      <c r="CL79" s="492"/>
      <c r="CM79" s="497"/>
      <c r="CN79" s="497"/>
      <c r="CO79" s="477">
        <f t="shared" si="6"/>
        <v>0</v>
      </c>
      <c r="CP79" s="477">
        <f t="shared" si="7"/>
        <v>0</v>
      </c>
    </row>
  </sheetData>
  <sheetProtection algorithmName="SHA-512" hashValue="hboLeSzNb/WksqKA9GhcQtvEibXE4443ro/OPrhKZg766s+2QocqvdDoNFkrSR2krwhdu+AJOnxmqz7a/X8BQQ==" saltValue="iUbnzPC/PbO4KnRvkNkJ0Q==" spinCount="100000" sheet="1" objects="1" scenarios="1"/>
  <mergeCells count="53">
    <mergeCell ref="G9:G10"/>
    <mergeCell ref="D9:D10"/>
    <mergeCell ref="E9:E10"/>
    <mergeCell ref="F9:F10"/>
    <mergeCell ref="D28:D29"/>
    <mergeCell ref="E28:E29"/>
    <mergeCell ref="F28:F29"/>
    <mergeCell ref="G28:G29"/>
    <mergeCell ref="T43:V45"/>
    <mergeCell ref="AH43:AH44"/>
    <mergeCell ref="AI43:AI44"/>
    <mergeCell ref="AJ43:AJ44"/>
    <mergeCell ref="W43:W44"/>
    <mergeCell ref="X43:X44"/>
    <mergeCell ref="Y43:Y44"/>
    <mergeCell ref="Z43:Z44"/>
    <mergeCell ref="AN43:AN44"/>
    <mergeCell ref="AQ43:AQ44"/>
    <mergeCell ref="AR43:AR44"/>
    <mergeCell ref="AB43:AB44"/>
    <mergeCell ref="AC43:AC44"/>
    <mergeCell ref="BV43:BV44"/>
    <mergeCell ref="BG43:BG44"/>
    <mergeCell ref="AE43:AG45"/>
    <mergeCell ref="BL43:BL44"/>
    <mergeCell ref="BM43:BM44"/>
    <mergeCell ref="BN43:BN44"/>
    <mergeCell ref="BO43:BO44"/>
    <mergeCell ref="AS43:AS44"/>
    <mergeCell ref="AV43:AV44"/>
    <mergeCell ref="AY43:AY44"/>
    <mergeCell ref="BB43:BB44"/>
    <mergeCell ref="BE43:BE44"/>
    <mergeCell ref="BF43:BF44"/>
    <mergeCell ref="AK43:AK44"/>
    <mergeCell ref="AL43:AL44"/>
    <mergeCell ref="AM43:AM44"/>
    <mergeCell ref="CM43:CM44"/>
    <mergeCell ref="CN43:CN44"/>
    <mergeCell ref="CO43:CO44"/>
    <mergeCell ref="CP43:CP44"/>
    <mergeCell ref="BI43:BK45"/>
    <mergeCell ref="BY43:BY44"/>
    <mergeCell ref="BZ43:BZ44"/>
    <mergeCell ref="CA43:CA44"/>
    <mergeCell ref="CD43:CD44"/>
    <mergeCell ref="CG43:CG44"/>
    <mergeCell ref="CJ43:CJ44"/>
    <mergeCell ref="BQ43:BQ44"/>
    <mergeCell ref="BR43:BR44"/>
    <mergeCell ref="BS43:BS44"/>
    <mergeCell ref="BT43:BT44"/>
    <mergeCell ref="BU43:BU44"/>
  </mergeCells>
  <phoneticPr fontId="6" type="noConversion"/>
  <conditionalFormatting sqref="G14:G15 G17:G18 G20 G12 G33:G34 G36:G37 G39 G31">
    <cfRule type="cellIs" dxfId="206" priority="140" stopIfTrue="1" operator="notEqual">
      <formula>D12+E12+F12</formula>
    </cfRule>
  </conditionalFormatting>
  <conditionalFormatting sqref="G13 G32">
    <cfRule type="cellIs" dxfId="205" priority="141" stopIfTrue="1" operator="notEqual">
      <formula>F13</formula>
    </cfRule>
  </conditionalFormatting>
  <conditionalFormatting sqref="R12:R15 R17:R18 R20 R31:R34 R36:R37 R39">
    <cfRule type="cellIs" dxfId="204" priority="142" stopIfTrue="1" operator="notEqual">
      <formula>J12+K12+L12+M12+O12+P12+Q12</formula>
    </cfRule>
  </conditionalFormatting>
  <conditionalFormatting sqref="N20 N12:N15 N39 N31:N34">
    <cfRule type="cellIs" dxfId="203" priority="143" stopIfTrue="1" operator="greaterThan">
      <formula>M12</formula>
    </cfRule>
  </conditionalFormatting>
  <conditionalFormatting sqref="R16 R21 R35 R40">
    <cfRule type="cellIs" dxfId="202" priority="144" stopIfTrue="1" operator="notEqual">
      <formula>J16+K16+L16+M16+O16+P16+Q16</formula>
    </cfRule>
    <cfRule type="cellIs" dxfId="201" priority="145" stopIfTrue="1" operator="lessThan">
      <formula>0</formula>
    </cfRule>
  </conditionalFormatting>
  <conditionalFormatting sqref="G21 G40">
    <cfRule type="cellIs" dxfId="200" priority="146" stopIfTrue="1" operator="notEqual">
      <formula>D21+E21+F21</formula>
    </cfRule>
    <cfRule type="cellIs" dxfId="199" priority="147" stopIfTrue="1" operator="lessThan">
      <formula>0</formula>
    </cfRule>
  </conditionalFormatting>
  <conditionalFormatting sqref="N16 N35">
    <cfRule type="cellIs" dxfId="198" priority="148" stopIfTrue="1" operator="greaterThan">
      <formula>M16</formula>
    </cfRule>
    <cfRule type="cellIs" dxfId="197" priority="149" stopIfTrue="1" operator="lessThan">
      <formula>0</formula>
    </cfRule>
  </conditionalFormatting>
  <conditionalFormatting sqref="G16 G35">
    <cfRule type="cellIs" dxfId="196" priority="150" stopIfTrue="1" operator="notEqual">
      <formula>D16+E16+F16</formula>
    </cfRule>
    <cfRule type="cellIs" dxfId="195" priority="151" stopIfTrue="1" operator="lessThan">
      <formula>$R$16</formula>
    </cfRule>
    <cfRule type="cellIs" dxfId="194" priority="152" stopIfTrue="1" operator="lessThan">
      <formula>0</formula>
    </cfRule>
  </conditionalFormatting>
  <conditionalFormatting sqref="D19:E19 D38:E38">
    <cfRule type="cellIs" dxfId="193" priority="153" stopIfTrue="1" operator="notEqual">
      <formula>D12+D14-D15-D17-D18-D20</formula>
    </cfRule>
    <cfRule type="expression" dxfId="192" priority="154" stopIfTrue="1">
      <formula>ABS(D19)&gt;0.1*D20</formula>
    </cfRule>
  </conditionalFormatting>
  <conditionalFormatting sqref="F19:G19 F38:G38">
    <cfRule type="cellIs" dxfId="191" priority="155" stopIfTrue="1" operator="notEqual">
      <formula>F12+F13+F14-F15+F16-F17-F18-F20</formula>
    </cfRule>
    <cfRule type="expression" dxfId="190" priority="156" stopIfTrue="1">
      <formula>ABS(F19)&gt;0.1*F20</formula>
    </cfRule>
  </conditionalFormatting>
  <conditionalFormatting sqref="J19:R19 J38:R38">
    <cfRule type="cellIs" dxfId="189" priority="157" stopIfTrue="1" operator="notEqual">
      <formula>J12+J13+J14-J15-J16+J17-J18-J20</formula>
    </cfRule>
    <cfRule type="expression" dxfId="188" priority="158" stopIfTrue="1">
      <formula>ABS(J19)&gt;0.1*J20</formula>
    </cfRule>
  </conditionalFormatting>
  <conditionalFormatting sqref="AA47">
    <cfRule type="cellIs" dxfId="187" priority="162" stopIfTrue="1" operator="greaterThan">
      <formula>Z47</formula>
    </cfRule>
  </conditionalFormatting>
  <conditionalFormatting sqref="BA46:BA52 BA54 BA58 BA60:BA61 BA63:BA64 CI70:CI79 CI48:CI67">
    <cfRule type="expression" dxfId="186" priority="168" stopIfTrue="1">
      <formula>AND(AX46+AZ46=0,BA46&lt;&gt;0)</formula>
    </cfRule>
    <cfRule type="cellIs" dxfId="185" priority="169" stopIfTrue="1" operator="lessThan">
      <formula>AX46+AZ46</formula>
    </cfRule>
    <cfRule type="cellIs" dxfId="184" priority="170" stopIfTrue="1" operator="greaterThan">
      <formula>AX46+AZ46</formula>
    </cfRule>
  </conditionalFormatting>
  <conditionalFormatting sqref="BA53">
    <cfRule type="expression" dxfId="183" priority="171" stopIfTrue="1">
      <formula>AND(AX53+AZ53=0,BA53&lt;&gt;0)</formula>
    </cfRule>
  </conditionalFormatting>
  <conditionalFormatting sqref="BA55">
    <cfRule type="expression" dxfId="182" priority="172" stopIfTrue="1">
      <formula>AND(AX53+AZ53=0,BA53&lt;&gt;0)</formula>
    </cfRule>
  </conditionalFormatting>
  <conditionalFormatting sqref="BD46:BD52 BD54 BD58 BD60:BD61 BD63:BD64 CL70:CL79 CL48:CL67">
    <cfRule type="expression" dxfId="181" priority="173" stopIfTrue="1">
      <formula>AND(BB46+BC46=0,BD46&lt;&gt;0)</formula>
    </cfRule>
    <cfRule type="cellIs" dxfId="180" priority="174" stopIfTrue="1" operator="lessThan">
      <formula>BB46+BC46</formula>
    </cfRule>
    <cfRule type="cellIs" dxfId="179" priority="175" stopIfTrue="1" operator="greaterThan">
      <formula>BB46+BC46</formula>
    </cfRule>
  </conditionalFormatting>
  <conditionalFormatting sqref="BD53">
    <cfRule type="expression" dxfId="178" priority="176" stopIfTrue="1">
      <formula>AND(BB53+BC53=0,$V$14&lt;&gt;0)</formula>
    </cfRule>
  </conditionalFormatting>
  <conditionalFormatting sqref="BD55">
    <cfRule type="expression" dxfId="177" priority="177" stopIfTrue="1">
      <formula>AND(BB55+BC55=0,BD55&lt;&gt;0)</formula>
    </cfRule>
  </conditionalFormatting>
  <conditionalFormatting sqref="CG70:CG79 BP70:BP79 CG48:CG67 BP48:BP67">
    <cfRule type="cellIs" dxfId="176" priority="178" stopIfTrue="1" operator="lessThan">
      <formula>0</formula>
    </cfRule>
    <cfRule type="cellIs" dxfId="175" priority="179" stopIfTrue="1" operator="greaterThan">
      <formula>BO48</formula>
    </cfRule>
  </conditionalFormatting>
  <conditionalFormatting sqref="BR46:BR79">
    <cfRule type="cellIs" dxfId="174" priority="188" stopIfTrue="1" operator="lessThan">
      <formula>0</formula>
    </cfRule>
    <cfRule type="cellIs" dxfId="173" priority="189" stopIfTrue="1" operator="notEqual">
      <formula>SUM(BL46:BO46,BQ46)</formula>
    </cfRule>
  </conditionalFormatting>
  <conditionalFormatting sqref="CA70:CF79 BS70:BX79 BL70:BO79 BQ70:BQ79 CH70:CH79 CJ70:CK79 CM70:CN79 BS48:BX67 CM48:CN67 CA48:CF67 BL48:BO67 BQ48:BQ67 CH48:CH67 CJ48:CK67 AH46:BG52 AH54:BG54 AH56:BG56 AH58:BG65">
    <cfRule type="cellIs" dxfId="172" priority="190" stopIfTrue="1" operator="lessThan">
      <formula>0</formula>
    </cfRule>
  </conditionalFormatting>
  <conditionalFormatting sqref="W47:X49 Y46:Y47 Z48:AB49 AA46 AA50:AA51 AH47:AI52 AJ50:AJ51 AH54:AI54 AH55:AJ55 AH61:AK62 AH59:BF59 AH64:AI64 AH65:BF65 AM61:BF62 AH62:AO62">
    <cfRule type="cellIs" dxfId="171" priority="191" stopIfTrue="1" operator="notEqual">
      <formula>0</formula>
    </cfRule>
  </conditionalFormatting>
  <conditionalFormatting sqref="AS46">
    <cfRule type="cellIs" dxfId="170" priority="192" stopIfTrue="1" operator="lessThan">
      <formula>0</formula>
    </cfRule>
    <cfRule type="cellIs" dxfId="169" priority="193" stopIfTrue="1" operator="greaterThan">
      <formula>$J$7</formula>
    </cfRule>
  </conditionalFormatting>
  <conditionalFormatting sqref="AS47 AO46">
    <cfRule type="cellIs" dxfId="168" priority="194" stopIfTrue="1" operator="lessThan">
      <formula>0</formula>
    </cfRule>
    <cfRule type="cellIs" dxfId="167" priority="195" stopIfTrue="1" operator="greaterThan">
      <formula>$J$8</formula>
    </cfRule>
  </conditionalFormatting>
  <conditionalFormatting sqref="AS48 AO47">
    <cfRule type="cellIs" dxfId="166" priority="196" stopIfTrue="1" operator="lessThan">
      <formula>0</formula>
    </cfRule>
    <cfRule type="cellIs" dxfId="165" priority="197" stopIfTrue="1" operator="greaterThan">
      <formula>$J$9</formula>
    </cfRule>
  </conditionalFormatting>
  <conditionalFormatting sqref="AS49 AO48">
    <cfRule type="cellIs" dxfId="164" priority="198" stopIfTrue="1" operator="lessThan">
      <formula>0</formula>
    </cfRule>
    <cfRule type="cellIs" dxfId="163" priority="199" stopIfTrue="1" operator="greaterThan">
      <formula>$J$10</formula>
    </cfRule>
  </conditionalFormatting>
  <conditionalFormatting sqref="AS50 AO49">
    <cfRule type="cellIs" dxfId="162" priority="200" stopIfTrue="1" operator="lessThan">
      <formula>0</formula>
    </cfRule>
    <cfRule type="cellIs" dxfId="161" priority="201" stopIfTrue="1" operator="greaterThan">
      <formula>$J$11</formula>
    </cfRule>
  </conditionalFormatting>
  <conditionalFormatting sqref="AS51 AO50">
    <cfRule type="cellIs" dxfId="160" priority="202" stopIfTrue="1" operator="lessThan">
      <formula>0</formula>
    </cfRule>
    <cfRule type="cellIs" dxfId="159" priority="203" stopIfTrue="1" operator="greaterThan">
      <formula>$J$12</formula>
    </cfRule>
  </conditionalFormatting>
  <conditionalFormatting sqref="AS52 AO51">
    <cfRule type="cellIs" dxfId="158" priority="204" stopIfTrue="1" operator="lessThan">
      <formula>0</formula>
    </cfRule>
    <cfRule type="cellIs" dxfId="157" priority="205" stopIfTrue="1" operator="greaterThan">
      <formula>$J$13</formula>
    </cfRule>
  </conditionalFormatting>
  <conditionalFormatting sqref="AS54">
    <cfRule type="cellIs" dxfId="156" priority="206" stopIfTrue="1" operator="lessThan">
      <formula>0</formula>
    </cfRule>
    <cfRule type="cellIs" dxfId="155" priority="207" stopIfTrue="1" operator="greaterThan">
      <formula>$J$15</formula>
    </cfRule>
  </conditionalFormatting>
  <conditionalFormatting sqref="AS58">
    <cfRule type="cellIs" dxfId="154" priority="208" stopIfTrue="1" operator="lessThan">
      <formula>0</formula>
    </cfRule>
    <cfRule type="cellIs" dxfId="153" priority="209" stopIfTrue="1" operator="greaterThan">
      <formula>$J$19</formula>
    </cfRule>
  </conditionalFormatting>
  <conditionalFormatting sqref="AS60:AS61">
    <cfRule type="cellIs" dxfId="152" priority="210" stopIfTrue="1" operator="lessThan">
      <formula>0</formula>
    </cfRule>
    <cfRule type="cellIs" dxfId="151" priority="211" stopIfTrue="1" operator="greaterThan">
      <formula>$J$21</formula>
    </cfRule>
  </conditionalFormatting>
  <conditionalFormatting sqref="AS63">
    <cfRule type="cellIs" dxfId="150" priority="212" stopIfTrue="1" operator="lessThan">
      <formula>0</formula>
    </cfRule>
    <cfRule type="cellIs" dxfId="149" priority="213" stopIfTrue="1" operator="greaterThan">
      <formula>$J$23</formula>
    </cfRule>
  </conditionalFormatting>
  <conditionalFormatting sqref="AS64">
    <cfRule type="cellIs" dxfId="148" priority="214" stopIfTrue="1" operator="lessThan">
      <formula>0</formula>
    </cfRule>
    <cfRule type="cellIs" dxfId="147" priority="215" stopIfTrue="1" operator="greaterThan">
      <formula>$J$24</formula>
    </cfRule>
  </conditionalFormatting>
  <conditionalFormatting sqref="AY46">
    <cfRule type="cellIs" dxfId="146" priority="216" stopIfTrue="1" operator="lessThan">
      <formula>0</formula>
    </cfRule>
    <cfRule type="cellIs" dxfId="145" priority="217" stopIfTrue="1" operator="greaterThan">
      <formula>$P$7</formula>
    </cfRule>
  </conditionalFormatting>
  <conditionalFormatting sqref="AY47 AU46">
    <cfRule type="cellIs" dxfId="144" priority="218" stopIfTrue="1" operator="lessThan">
      <formula>0</formula>
    </cfRule>
    <cfRule type="cellIs" dxfId="143" priority="219" stopIfTrue="1" operator="greaterThan">
      <formula>$P$8</formula>
    </cfRule>
  </conditionalFormatting>
  <conditionalFormatting sqref="AY48 AU47">
    <cfRule type="cellIs" dxfId="142" priority="220" stopIfTrue="1" operator="lessThan">
      <formula>0</formula>
    </cfRule>
    <cfRule type="cellIs" dxfId="141" priority="221" stopIfTrue="1" operator="greaterThan">
      <formula>$P$9</formula>
    </cfRule>
  </conditionalFormatting>
  <conditionalFormatting sqref="AY49 AU48">
    <cfRule type="cellIs" dxfId="140" priority="222" stopIfTrue="1" operator="lessThan">
      <formula>0</formula>
    </cfRule>
    <cfRule type="cellIs" dxfId="139" priority="223" stopIfTrue="1" operator="greaterThan">
      <formula>$P$10</formula>
    </cfRule>
  </conditionalFormatting>
  <conditionalFormatting sqref="AY50 AU49">
    <cfRule type="cellIs" dxfId="138" priority="224" stopIfTrue="1" operator="lessThan">
      <formula>0</formula>
    </cfRule>
    <cfRule type="cellIs" dxfId="137" priority="225" stopIfTrue="1" operator="greaterThan">
      <formula>$P$11</formula>
    </cfRule>
  </conditionalFormatting>
  <conditionalFormatting sqref="AY51 AU50">
    <cfRule type="cellIs" dxfId="136" priority="226" stopIfTrue="1" operator="lessThan">
      <formula>0</formula>
    </cfRule>
    <cfRule type="cellIs" dxfId="135" priority="227" stopIfTrue="1" operator="greaterThan">
      <formula>$P$12</formula>
    </cfRule>
  </conditionalFormatting>
  <conditionalFormatting sqref="AY52 AU51">
    <cfRule type="cellIs" dxfId="134" priority="228" stopIfTrue="1" operator="lessThan">
      <formula>0</formula>
    </cfRule>
    <cfRule type="cellIs" dxfId="133" priority="229" stopIfTrue="1" operator="greaterThan">
      <formula>$P$13</formula>
    </cfRule>
  </conditionalFormatting>
  <conditionalFormatting sqref="AY54">
    <cfRule type="cellIs" dxfId="132" priority="230" stopIfTrue="1" operator="lessThan">
      <formula>0</formula>
    </cfRule>
    <cfRule type="cellIs" dxfId="131" priority="231" stopIfTrue="1" operator="greaterThan">
      <formula>$P$15</formula>
    </cfRule>
  </conditionalFormatting>
  <conditionalFormatting sqref="AY58">
    <cfRule type="cellIs" dxfId="130" priority="232" stopIfTrue="1" operator="lessThan">
      <formula>0</formula>
    </cfRule>
    <cfRule type="cellIs" dxfId="129" priority="233" stopIfTrue="1" operator="greaterThan">
      <formula>$P$19</formula>
    </cfRule>
  </conditionalFormatting>
  <conditionalFormatting sqref="AY60:AY61">
    <cfRule type="cellIs" dxfId="128" priority="234" stopIfTrue="1" operator="lessThan">
      <formula>0</formula>
    </cfRule>
    <cfRule type="cellIs" dxfId="127" priority="235" stopIfTrue="1" operator="greaterThan">
      <formula>$P$21</formula>
    </cfRule>
  </conditionalFormatting>
  <conditionalFormatting sqref="AY63">
    <cfRule type="cellIs" dxfId="126" priority="236" stopIfTrue="1" operator="lessThan">
      <formula>0</formula>
    </cfRule>
    <cfRule type="cellIs" dxfId="125" priority="237" stopIfTrue="1" operator="greaterThan">
      <formula>$P$23</formula>
    </cfRule>
  </conditionalFormatting>
  <conditionalFormatting sqref="AY64">
    <cfRule type="cellIs" dxfId="124" priority="238" stopIfTrue="1" operator="lessThan">
      <formula>0</formula>
    </cfRule>
    <cfRule type="cellIs" dxfId="123" priority="239" stopIfTrue="1" operator="greaterThan">
      <formula>$P$24</formula>
    </cfRule>
  </conditionalFormatting>
  <conditionalFormatting sqref="AH57:AI57">
    <cfRule type="cellIs" dxfId="122" priority="240" stopIfTrue="1" operator="notEqual">
      <formula>0</formula>
    </cfRule>
  </conditionalFormatting>
  <conditionalFormatting sqref="J21:Q21 K16:M16 O16:Q16 D21:F21 F16 J40:Q40 K35:M35 O35:Q35 D40:F40 F35">
    <cfRule type="cellIs" dxfId="121" priority="243" stopIfTrue="1" operator="lessThan">
      <formula>0</formula>
    </cfRule>
  </conditionalFormatting>
  <conditionalFormatting sqref="J16 J35">
    <cfRule type="cellIs" dxfId="120" priority="244" stopIfTrue="1" operator="lessThan">
      <formula>0</formula>
    </cfRule>
  </conditionalFormatting>
  <conditionalFormatting sqref="D13 D32">
    <cfRule type="cellIs" dxfId="119" priority="245" stopIfTrue="1" operator="notEqual">
      <formula>0</formula>
    </cfRule>
  </conditionalFormatting>
  <conditionalFormatting sqref="E13 D16 E32 D35">
    <cfRule type="cellIs" dxfId="118" priority="246" stopIfTrue="1" operator="notEqual">
      <formula>0</formula>
    </cfRule>
  </conditionalFormatting>
  <conditionalFormatting sqref="E16 E35">
    <cfRule type="cellIs" dxfId="117" priority="247" stopIfTrue="1" operator="notEqual">
      <formula>0</formula>
    </cfRule>
  </conditionalFormatting>
  <conditionalFormatting sqref="AA57">
    <cfRule type="cellIs" dxfId="116" priority="248" stopIfTrue="1" operator="greaterThan">
      <formula>$G$24</formula>
    </cfRule>
  </conditionalFormatting>
  <conditionalFormatting sqref="AA56">
    <cfRule type="cellIs" dxfId="115" priority="249" stopIfTrue="1" operator="greaterThan">
      <formula>$G$23</formula>
    </cfRule>
  </conditionalFormatting>
  <conditionalFormatting sqref="AA52">
    <cfRule type="cellIs" dxfId="114" priority="250" stopIfTrue="1" operator="greaterThan">
      <formula>$G$19</formula>
    </cfRule>
  </conditionalFormatting>
  <conditionalFormatting sqref="W56:Z56 AB56 AB50:AB52 W50:Z52 Y48:Y49 W46:X46 Z46:Z47 AB46:AB47">
    <cfRule type="cellIs" dxfId="113" priority="251" stopIfTrue="1" operator="lessThan">
      <formula>0</formula>
    </cfRule>
  </conditionalFormatting>
  <conditionalFormatting sqref="G16">
    <cfRule type="cellIs" dxfId="112" priority="139" stopIfTrue="1" operator="notEqual">
      <formula>D16+E16+F16</formula>
    </cfRule>
  </conditionalFormatting>
  <conditionalFormatting sqref="AW46:AW52 AW54 AW58 AW60 AW63:AW64">
    <cfRule type="expression" dxfId="111" priority="135" stopIfTrue="1">
      <formula>AND(AT46+AV46=0,AW46&lt;&gt;0)</formula>
    </cfRule>
    <cfRule type="cellIs" dxfId="110" priority="136" stopIfTrue="1" operator="lessThan">
      <formula>AT46+AV46</formula>
    </cfRule>
    <cfRule type="cellIs" dxfId="109" priority="137" stopIfTrue="1" operator="greaterThan">
      <formula>AT46+AV46</formula>
    </cfRule>
  </conditionalFormatting>
  <conditionalFormatting sqref="AW53">
    <cfRule type="expression" dxfId="108" priority="134" stopIfTrue="1">
      <formula>AND(AT53+AV53=0,AW53&lt;&gt;0)</formula>
    </cfRule>
  </conditionalFormatting>
  <conditionalFormatting sqref="AW55">
    <cfRule type="expression" dxfId="107" priority="133" stopIfTrue="1">
      <formula>AND(AT53+AV53=0,AW53&lt;&gt;0)</formula>
    </cfRule>
  </conditionalFormatting>
  <conditionalFormatting sqref="AZ46:AZ52 AZ54 AZ58 AZ60 AZ63:AZ64">
    <cfRule type="expression" dxfId="106" priority="130" stopIfTrue="1">
      <formula>AND(AX46+AY46=0,AZ46&lt;&gt;0)</formula>
    </cfRule>
    <cfRule type="cellIs" dxfId="105" priority="131" stopIfTrue="1" operator="lessThan">
      <formula>AX46+AY46</formula>
    </cfRule>
    <cfRule type="cellIs" dxfId="104" priority="132" stopIfTrue="1" operator="greaterThan">
      <formula>AX46+AY46</formula>
    </cfRule>
  </conditionalFormatting>
  <conditionalFormatting sqref="AZ53">
    <cfRule type="expression" dxfId="103" priority="129" stopIfTrue="1">
      <formula>AND(AX53+AY53=0,$V$15&lt;&gt;0)</formula>
    </cfRule>
  </conditionalFormatting>
  <conditionalFormatting sqref="AZ55">
    <cfRule type="expression" dxfId="102" priority="128" stopIfTrue="1">
      <formula>AND(AX55+AY55=0,AZ55&lt;&gt;0)</formula>
    </cfRule>
  </conditionalFormatting>
  <conditionalFormatting sqref="AO52">
    <cfRule type="cellIs" dxfId="101" priority="112" stopIfTrue="1" operator="lessThan">
      <formula>0</formula>
    </cfRule>
    <cfRule type="cellIs" dxfId="100" priority="113" stopIfTrue="1" operator="greaterThan">
      <formula>$J$14</formula>
    </cfRule>
  </conditionalFormatting>
  <conditionalFormatting sqref="AO54">
    <cfRule type="cellIs" dxfId="99" priority="110" stopIfTrue="1" operator="lessThan">
      <formula>0</formula>
    </cfRule>
    <cfRule type="cellIs" dxfId="98" priority="111" stopIfTrue="1" operator="greaterThan">
      <formula>$J$16</formula>
    </cfRule>
  </conditionalFormatting>
  <conditionalFormatting sqref="AO58">
    <cfRule type="cellIs" dxfId="97" priority="108" stopIfTrue="1" operator="lessThan">
      <formula>0</formula>
    </cfRule>
    <cfRule type="cellIs" dxfId="96" priority="109" stopIfTrue="1" operator="greaterThan">
      <formula>$J$20</formula>
    </cfRule>
  </conditionalFormatting>
  <conditionalFormatting sqref="AO60">
    <cfRule type="cellIs" dxfId="95" priority="106" stopIfTrue="1" operator="lessThan">
      <formula>0</formula>
    </cfRule>
    <cfRule type="cellIs" dxfId="94" priority="107" stopIfTrue="1" operator="greaterThan">
      <formula>$J$22</formula>
    </cfRule>
  </conditionalFormatting>
  <conditionalFormatting sqref="AO63">
    <cfRule type="cellIs" dxfId="93" priority="104" stopIfTrue="1" operator="lessThan">
      <formula>0</formula>
    </cfRule>
    <cfRule type="cellIs" dxfId="92" priority="105" stopIfTrue="1" operator="greaterThan">
      <formula>$J$25</formula>
    </cfRule>
  </conditionalFormatting>
  <conditionalFormatting sqref="AO64">
    <cfRule type="cellIs" dxfId="91" priority="102" stopIfTrue="1" operator="lessThan">
      <formula>0</formula>
    </cfRule>
    <cfRule type="cellIs" dxfId="90" priority="103" stopIfTrue="1" operator="greaterThan">
      <formula>$J$26</formula>
    </cfRule>
  </conditionalFormatting>
  <conditionalFormatting sqref="AU52">
    <cfRule type="cellIs" dxfId="89" priority="88" stopIfTrue="1" operator="lessThan">
      <formula>0</formula>
    </cfRule>
    <cfRule type="cellIs" dxfId="88" priority="89" stopIfTrue="1" operator="greaterThan">
      <formula>$P$14</formula>
    </cfRule>
  </conditionalFormatting>
  <conditionalFormatting sqref="AU54">
    <cfRule type="cellIs" dxfId="87" priority="86" stopIfTrue="1" operator="lessThan">
      <formula>0</formula>
    </cfRule>
    <cfRule type="cellIs" dxfId="86" priority="87" stopIfTrue="1" operator="greaterThan">
      <formula>$P$16</formula>
    </cfRule>
  </conditionalFormatting>
  <conditionalFormatting sqref="AU58">
    <cfRule type="cellIs" dxfId="85" priority="84" stopIfTrue="1" operator="lessThan">
      <formula>0</formula>
    </cfRule>
    <cfRule type="cellIs" dxfId="84" priority="85" stopIfTrue="1" operator="greaterThan">
      <formula>$P$20</formula>
    </cfRule>
  </conditionalFormatting>
  <conditionalFormatting sqref="AU60">
    <cfRule type="cellIs" dxfId="83" priority="82" stopIfTrue="1" operator="lessThan">
      <formula>0</formula>
    </cfRule>
    <cfRule type="cellIs" dxfId="82" priority="83" stopIfTrue="1" operator="greaterThan">
      <formula>$P$22</formula>
    </cfRule>
  </conditionalFormatting>
  <conditionalFormatting sqref="AU63">
    <cfRule type="cellIs" dxfId="81" priority="80" stopIfTrue="1" operator="lessThan">
      <formula>0</formula>
    </cfRule>
    <cfRule type="cellIs" dxfId="80" priority="81" stopIfTrue="1" operator="greaterThan">
      <formula>$P$25</formula>
    </cfRule>
  </conditionalFormatting>
  <conditionalFormatting sqref="AU64">
    <cfRule type="cellIs" dxfId="79" priority="78" stopIfTrue="1" operator="lessThan">
      <formula>0</formula>
    </cfRule>
    <cfRule type="cellIs" dxfId="78" priority="79" stopIfTrue="1" operator="greaterThan">
      <formula>$P$26</formula>
    </cfRule>
  </conditionalFormatting>
  <conditionalFormatting sqref="BG65">
    <cfRule type="cellIs" dxfId="77" priority="76" stopIfTrue="1" operator="notEqual">
      <formula>$AC$20-$AC$26</formula>
    </cfRule>
  </conditionalFormatting>
  <conditionalFormatting sqref="BG46 BG53 BG56:BG58 BG60 BG63">
    <cfRule type="cellIs" dxfId="76" priority="75" stopIfTrue="1" operator="notEqual">
      <formula>SUM(AH46:AN46,AQ46:AS46,AV46,AY46,BB46,BE46:BF46)</formula>
    </cfRule>
  </conditionalFormatting>
  <conditionalFormatting sqref="AY46:AY58 AY60 AY62:AY64">
    <cfRule type="expression" dxfId="75" priority="73" stopIfTrue="1">
      <formula>OR(AND(OR(AW46&lt;&gt;0,AX46&lt;&gt;0),AY46&lt;&gt;AW46+AX46),AND(OR(AZ46&lt;&gt;0,BA46&lt;&gt;0),AY46&lt;&gt;AZ46+BA46))</formula>
    </cfRule>
    <cfRule type="expression" dxfId="74" priority="74" stopIfTrue="1">
      <formula>OR(AND(AW46+AX46=0,AY46&lt;&gt;0),AND(AZ46+BA46=0,AY46&lt;&gt;0))</formula>
    </cfRule>
  </conditionalFormatting>
  <conditionalFormatting sqref="BB46:BB58 BB60 BB63:BB64">
    <cfRule type="expression" dxfId="73" priority="71" stopIfTrue="1">
      <formula>AND(BC46+BD46=0,BB46&lt;&gt;0)</formula>
    </cfRule>
    <cfRule type="cellIs" dxfId="72" priority="72" stopIfTrue="1" operator="notEqual">
      <formula>BC46+BD46</formula>
    </cfRule>
  </conditionalFormatting>
  <conditionalFormatting sqref="AS46:AS60 AS63:AS64">
    <cfRule type="expression" dxfId="71" priority="69" stopIfTrue="1">
      <formula>AND(AT46+AU46=0,AS46&lt;&gt;0)</formula>
    </cfRule>
    <cfRule type="cellIs" dxfId="70" priority="70" stopIfTrue="1" operator="notEqual">
      <formula>AT46+AU46</formula>
    </cfRule>
  </conditionalFormatting>
  <conditionalFormatting sqref="AN46:AN58 AN60 AN63:AN64">
    <cfRule type="expression" dxfId="69" priority="67" stopIfTrue="1">
      <formula>AND(AO46+AP46=0,AN46&lt;&gt;0)</formula>
    </cfRule>
    <cfRule type="cellIs" dxfId="68" priority="68" stopIfTrue="1" operator="notEqual">
      <formula>AO46+AP46</formula>
    </cfRule>
  </conditionalFormatting>
  <conditionalFormatting sqref="AK56:BF56">
    <cfRule type="cellIs" dxfId="67" priority="66" stopIfTrue="1" operator="notEqual">
      <formula>SUM(AK46:AK48,AK50,AK53)-SUM(AK49,AK51:AK52,AK54:AK55)</formula>
    </cfRule>
  </conditionalFormatting>
  <conditionalFormatting sqref="AH57:BF57">
    <cfRule type="cellIs" dxfId="66" priority="65" stopIfTrue="1" operator="notEqual">
      <formula>AH56-AH58</formula>
    </cfRule>
  </conditionalFormatting>
  <conditionalFormatting sqref="AH56:AI56">
    <cfRule type="cellIs" dxfId="65" priority="64" stopIfTrue="1" operator="notEqual">
      <formula>AH46+AH53</formula>
    </cfRule>
  </conditionalFormatting>
  <conditionalFormatting sqref="AJ56">
    <cfRule type="cellIs" dxfId="64" priority="63" stopIfTrue="1" operator="notEqual">
      <formula>SUM(AJ46:AJ48,AJ53)-SUM(AJ49,AJ52,AJ54)</formula>
    </cfRule>
  </conditionalFormatting>
  <conditionalFormatting sqref="BG47:BG49 BG52 BG54 BG64">
    <cfRule type="cellIs" dxfId="63" priority="62" stopIfTrue="1" operator="notEqual">
      <formula>SUM(AJ47:AN47,AQ47:AS47,AV47,AY47,BB47,BE47:BF47)</formula>
    </cfRule>
  </conditionalFormatting>
  <conditionalFormatting sqref="BG50:BG51 BG55">
    <cfRule type="cellIs" dxfId="62" priority="61" stopIfTrue="1" operator="notEqual">
      <formula>SUM(AJ50:AN50,AQ50:AS50,AV50,AY50,BB50,BE50:BF50)</formula>
    </cfRule>
  </conditionalFormatting>
  <conditionalFormatting sqref="BG59">
    <cfRule type="cellIs" dxfId="61" priority="60" stopIfTrue="1" operator="notEqual">
      <formula>SUM(AQ59:AS59)</formula>
    </cfRule>
  </conditionalFormatting>
  <conditionalFormatting sqref="BG61">
    <cfRule type="cellIs" dxfId="60" priority="59" stopIfTrue="1" operator="notEqual">
      <formula>AL61</formula>
    </cfRule>
  </conditionalFormatting>
  <conditionalFormatting sqref="BG62">
    <cfRule type="cellIs" dxfId="59" priority="58" stopIfTrue="1" operator="notEqual">
      <formula>AY62</formula>
    </cfRule>
  </conditionalFormatting>
  <conditionalFormatting sqref="BY70:BZ79 BY48:BZ67">
    <cfRule type="cellIs" dxfId="58" priority="252" stopIfTrue="1" operator="lessThan">
      <formula>0</formula>
    </cfRule>
    <cfRule type="cellIs" dxfId="57" priority="253" stopIfTrue="1" operator="greaterThan">
      <formula>BW48</formula>
    </cfRule>
  </conditionalFormatting>
  <conditionalFormatting sqref="BW48:BW67 BW70:BW79 CC48:CC67 CC70:CC79 BP48:BP67 BP70:BP79">
    <cfRule type="cellIs" dxfId="56" priority="56" stopIfTrue="1" operator="lessThan">
      <formula>0</formula>
    </cfRule>
    <cfRule type="cellIs" dxfId="55" priority="57" stopIfTrue="1" operator="greaterThan">
      <formula>BO48</formula>
    </cfRule>
  </conditionalFormatting>
  <conditionalFormatting sqref="CE48:CE67 CE70:CE79">
    <cfRule type="expression" dxfId="54" priority="53" stopIfTrue="1">
      <formula>AND(CB48+CD48=0,CE48&lt;&gt;0)</formula>
    </cfRule>
    <cfRule type="cellIs" dxfId="53" priority="54" stopIfTrue="1" operator="lessThan">
      <formula>CB48+CD48</formula>
    </cfRule>
    <cfRule type="cellIs" dxfId="52" priority="55" stopIfTrue="1" operator="greaterThan">
      <formula>CB48+CD48</formula>
    </cfRule>
  </conditionalFormatting>
  <conditionalFormatting sqref="CH48:CH67 CH70:CH79">
    <cfRule type="expression" dxfId="51" priority="50" stopIfTrue="1">
      <formula>AND(CF48+CG48=0,CH48&lt;&gt;0)</formula>
    </cfRule>
    <cfRule type="cellIs" dxfId="50" priority="51" stopIfTrue="1" operator="lessThan">
      <formula>CF48+CG48</formula>
    </cfRule>
    <cfRule type="cellIs" dxfId="49" priority="52" stopIfTrue="1" operator="greaterThan">
      <formula>CF48+CG48</formula>
    </cfRule>
  </conditionalFormatting>
  <conditionalFormatting sqref="BR46:BR79">
    <cfRule type="cellIs" dxfId="48" priority="48" stopIfTrue="1" operator="lessThan">
      <formula>0</formula>
    </cfRule>
    <cfRule type="cellIs" dxfId="47" priority="49" stopIfTrue="1" operator="notEqual">
      <formula>SUM(BL46:BO46,BQ46)</formula>
    </cfRule>
  </conditionalFormatting>
  <conditionalFormatting sqref="BS48:BV67 CI48:CJ67 BX48:CB67 BX70:CB79 BS70:BV79 BL70:BO79 BL48:BO67 BQ70:BQ79 BQ48:BQ67 CD48:CD67 CD70:CD79 CF48:CG67 CF70:CG79 CI70:CJ79">
    <cfRule type="cellIs" dxfId="46" priority="47" stopIfTrue="1" operator="lessThan">
      <formula>0</formula>
    </cfRule>
  </conditionalFormatting>
  <conditionalFormatting sqref="BL46:CP79">
    <cfRule type="cellIs" dxfId="45" priority="46" stopIfTrue="1" operator="lessThan">
      <formula>0</formula>
    </cfRule>
  </conditionalFormatting>
  <conditionalFormatting sqref="BR46:BR79">
    <cfRule type="cellIs" dxfId="44" priority="45" stopIfTrue="1" operator="notEqual">
      <formula>SUM(BL46:BO46,BQ46)</formula>
    </cfRule>
  </conditionalFormatting>
  <conditionalFormatting sqref="BV46:BV79">
    <cfRule type="expression" dxfId="43" priority="43" stopIfTrue="1">
      <formula>AND(BW46+BX46=0,BV46&lt;&gt;0)</formula>
    </cfRule>
    <cfRule type="cellIs" dxfId="42" priority="44" stopIfTrue="1" operator="notEqual">
      <formula>BW46+BX46</formula>
    </cfRule>
  </conditionalFormatting>
  <conditionalFormatting sqref="CA46:CA79">
    <cfRule type="expression" dxfId="41" priority="41" stopIfTrue="1">
      <formula>AND(CB46+CC46=0,CA46&lt;&gt;0)</formula>
    </cfRule>
    <cfRule type="cellIs" dxfId="40" priority="42" stopIfTrue="1" operator="notEqual">
      <formula>CB46+CC46</formula>
    </cfRule>
  </conditionalFormatting>
  <conditionalFormatting sqref="CG46:CG79">
    <cfRule type="expression" dxfId="39" priority="39" stopIfTrue="1">
      <formula>OR(AND(OR(CE46&lt;&gt;0,CF46&lt;&gt;0),CG46&lt;&gt;CE46+CF46),AND(OR(CH46&lt;&gt;0,CI46&lt;&gt;0),CG46&lt;&gt;CH46+CI46))</formula>
    </cfRule>
    <cfRule type="expression" dxfId="38" priority="40" stopIfTrue="1">
      <formula>OR(AND(CE46+CF46=0,CG46&lt;&gt;0),AND(CH46+CI46=0,CG46&lt;&gt;0))</formula>
    </cfRule>
  </conditionalFormatting>
  <conditionalFormatting sqref="CJ46:CJ79">
    <cfRule type="expression" dxfId="37" priority="37" stopIfTrue="1">
      <formula>AND(CK46+CL46=0,CJ46&lt;&gt;0)</formula>
    </cfRule>
    <cfRule type="cellIs" dxfId="36" priority="38" stopIfTrue="1" operator="notEqual">
      <formula>CK46+CL46</formula>
    </cfRule>
  </conditionalFormatting>
  <conditionalFormatting sqref="CO46:CO79">
    <cfRule type="cellIs" dxfId="35" priority="36" stopIfTrue="1" operator="notEqual">
      <formula>SUM(BS46:BV46,BY46:CA46,CD46,CG46,CJ46,CM46:CN46)</formula>
    </cfRule>
  </conditionalFormatting>
  <conditionalFormatting sqref="CP46:CP79">
    <cfRule type="cellIs" dxfId="34" priority="35" stopIfTrue="1" operator="notEqual">
      <formula>BR46+CO46</formula>
    </cfRule>
  </conditionalFormatting>
  <conditionalFormatting sqref="BL46:CP47">
    <cfRule type="cellIs" dxfId="33" priority="34" stopIfTrue="1" operator="notEqual">
      <formula>SUM(BL48,BL50,BL52,BL54,BL56,BL58,BL60,BL62)</formula>
    </cfRule>
  </conditionalFormatting>
  <conditionalFormatting sqref="BL68:CP69">
    <cfRule type="cellIs" dxfId="32" priority="33" stopIfTrue="1" operator="notEqual">
      <formula>SUM(BL46,BL64,BL66)-SUM(BL48,BL50)</formula>
    </cfRule>
  </conditionalFormatting>
  <conditionalFormatting sqref="BL64:CP65">
    <cfRule type="cellIs" dxfId="31" priority="32" stopIfTrue="1" operator="notEqual">
      <formula>SUM(BL74,BL76,BL78)</formula>
    </cfRule>
  </conditionalFormatting>
  <conditionalFormatting sqref="BP46:BP79">
    <cfRule type="cellIs" dxfId="30" priority="31" stopIfTrue="1" operator="greaterThan">
      <formula>BO46</formula>
    </cfRule>
  </conditionalFormatting>
  <conditionalFormatting sqref="BR46:BR79">
    <cfRule type="cellIs" dxfId="29" priority="30" stopIfTrue="1" operator="notEqual">
      <formula>SUM(BL46:BO46,BQ46)</formula>
    </cfRule>
  </conditionalFormatting>
  <conditionalFormatting sqref="BV46:BV79">
    <cfRule type="expression" dxfId="28" priority="28" stopIfTrue="1">
      <formula>AND(BW46+BX46=0,BV46&lt;&gt;0)</formula>
    </cfRule>
    <cfRule type="cellIs" dxfId="27" priority="29" stopIfTrue="1" operator="notEqual">
      <formula>BW46+BX46</formula>
    </cfRule>
  </conditionalFormatting>
  <conditionalFormatting sqref="CA46:CA79">
    <cfRule type="expression" dxfId="26" priority="26" stopIfTrue="1">
      <formula>AND(CB46+CC46=0,CA46&lt;&gt;0)</formula>
    </cfRule>
    <cfRule type="cellIs" dxfId="25" priority="27" stopIfTrue="1" operator="notEqual">
      <formula>CB46+CC46</formula>
    </cfRule>
  </conditionalFormatting>
  <conditionalFormatting sqref="CG46:CG79">
    <cfRule type="expression" dxfId="24" priority="24" stopIfTrue="1">
      <formula>OR(AND(OR(CE46&lt;&gt;0,CF46&lt;&gt;0),CG46&lt;&gt;CE46+CF46),AND(OR(CH46&lt;&gt;0,CI46&lt;&gt;0),CG46&lt;&gt;CH46+CI46))</formula>
    </cfRule>
    <cfRule type="expression" dxfId="23" priority="25" stopIfTrue="1">
      <formula>OR(AND(CE46+CF46=0,CG46&lt;&gt;0),AND(CH46+CI46=0,CG46&lt;&gt;0))</formula>
    </cfRule>
  </conditionalFormatting>
  <conditionalFormatting sqref="CJ46:CJ79">
    <cfRule type="expression" dxfId="22" priority="22" stopIfTrue="1">
      <formula>AND(CK46+CL46=0,CJ46&lt;&gt;0)</formula>
    </cfRule>
    <cfRule type="cellIs" dxfId="21" priority="23" stopIfTrue="1" operator="notEqual">
      <formula>CK46+CL46</formula>
    </cfRule>
  </conditionalFormatting>
  <conditionalFormatting sqref="CO46:CO79">
    <cfRule type="cellIs" dxfId="20" priority="21" stopIfTrue="1" operator="notEqual">
      <formula>SUM(BS46:BV46,BY46:CA46,CD46,CG46,CJ46,CM46:CN46)</formula>
    </cfRule>
  </conditionalFormatting>
  <conditionalFormatting sqref="CP46:CP79">
    <cfRule type="cellIs" dxfId="19" priority="20" stopIfTrue="1" operator="notEqual">
      <formula>BR46+CO46</formula>
    </cfRule>
  </conditionalFormatting>
  <conditionalFormatting sqref="BL46:CP47">
    <cfRule type="cellIs" dxfId="18" priority="19" stopIfTrue="1" operator="notEqual">
      <formula>SUM(BL48,BL50,BL52,BL54,BL56,BL58,BL60,BL62)</formula>
    </cfRule>
  </conditionalFormatting>
  <conditionalFormatting sqref="BL68:CP69">
    <cfRule type="cellIs" dxfId="17" priority="18" stopIfTrue="1" operator="notEqual">
      <formula>SUM(BL46,BL64,BL66)-SUM(BL48,BL50)</formula>
    </cfRule>
  </conditionalFormatting>
  <conditionalFormatting sqref="BL64:CP65">
    <cfRule type="cellIs" dxfId="16" priority="17" stopIfTrue="1" operator="notEqual">
      <formula>SUM(BL74,BL76,BL78)</formula>
    </cfRule>
  </conditionalFormatting>
  <conditionalFormatting sqref="BP46:BP79">
    <cfRule type="cellIs" dxfId="15" priority="16" stopIfTrue="1" operator="greaterThan">
      <formula>BO46</formula>
    </cfRule>
  </conditionalFormatting>
  <conditionalFormatting sqref="BR46:BR79">
    <cfRule type="cellIs" dxfId="14" priority="15" stopIfTrue="1" operator="notEqual">
      <formula>SUM(BL46:BO46,BQ46)</formula>
    </cfRule>
  </conditionalFormatting>
  <conditionalFormatting sqref="BV46:BV79">
    <cfRule type="expression" dxfId="13" priority="13" stopIfTrue="1">
      <formula>AND(BW46+BX46=0,BV46&lt;&gt;0)</formula>
    </cfRule>
    <cfRule type="cellIs" dxfId="12" priority="14" stopIfTrue="1" operator="notEqual">
      <formula>BW46+BX46</formula>
    </cfRule>
  </conditionalFormatting>
  <conditionalFormatting sqref="CA46:CA79">
    <cfRule type="expression" dxfId="11" priority="11" stopIfTrue="1">
      <formula>AND(CB46+CC46=0,CA46&lt;&gt;0)</formula>
    </cfRule>
    <cfRule type="cellIs" dxfId="10" priority="12" stopIfTrue="1" operator="notEqual">
      <formula>CB46+CC46</formula>
    </cfRule>
  </conditionalFormatting>
  <conditionalFormatting sqref="CG46:CG79">
    <cfRule type="expression" dxfId="9" priority="9" stopIfTrue="1">
      <formula>OR(AND(OR(CE46&lt;&gt;0,CF46&lt;&gt;0),CG46&lt;&gt;CE46+CF46),AND(OR(CH46&lt;&gt;0,CI46&lt;&gt;0),CG46&lt;&gt;CH46+CI46))</formula>
    </cfRule>
    <cfRule type="expression" dxfId="8" priority="10" stopIfTrue="1">
      <formula>OR(AND(CE46+CF46=0,CG46&lt;&gt;0),AND(CH46+CI46=0,CG46&lt;&gt;0))</formula>
    </cfRule>
  </conditionalFormatting>
  <conditionalFormatting sqref="CJ46:CJ79">
    <cfRule type="expression" dxfId="7" priority="7" stopIfTrue="1">
      <formula>AND(CK46+CL46=0,CJ46&lt;&gt;0)</formula>
    </cfRule>
    <cfRule type="cellIs" dxfId="6" priority="8" stopIfTrue="1" operator="notEqual">
      <formula>CK46+CL46</formula>
    </cfRule>
  </conditionalFormatting>
  <conditionalFormatting sqref="CO46:CO79">
    <cfRule type="cellIs" dxfId="5" priority="6" stopIfTrue="1" operator="notEqual">
      <formula>SUM(BS46:BV46,BY46:CA46,CD46,CG46,CJ46,CM46:CN46)</formula>
    </cfRule>
  </conditionalFormatting>
  <conditionalFormatting sqref="CP46:CP79">
    <cfRule type="cellIs" dxfId="4" priority="5" stopIfTrue="1" operator="notEqual">
      <formula>BR46+CO46</formula>
    </cfRule>
  </conditionalFormatting>
  <conditionalFormatting sqref="BL46:CP47">
    <cfRule type="cellIs" dxfId="3" priority="4" stopIfTrue="1" operator="notEqual">
      <formula>SUM(BL48,BL50,BL52,BL54,BL56,BL58,BL60,BL62)</formula>
    </cfRule>
  </conditionalFormatting>
  <conditionalFormatting sqref="BL68:CP69">
    <cfRule type="cellIs" dxfId="2" priority="3" stopIfTrue="1" operator="notEqual">
      <formula>SUM(BL46,BL64,BL66)-SUM(BL48,BL50)</formula>
    </cfRule>
  </conditionalFormatting>
  <conditionalFormatting sqref="BL64:CP65">
    <cfRule type="cellIs" dxfId="1" priority="2" stopIfTrue="1" operator="notEqual">
      <formula>SUM(BL74,BL76,BL78)</formula>
    </cfRule>
  </conditionalFormatting>
  <conditionalFormatting sqref="BP46:BP79">
    <cfRule type="cellIs" dxfId="0" priority="1" stopIfTrue="1" operator="greaterThan">
      <formula>BO46</formula>
    </cfRule>
  </conditionalFormatting>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2">
    <tabColor indexed="13"/>
    <pageSetUpPr fitToPage="1"/>
  </sheetPr>
  <dimension ref="A1:BV135"/>
  <sheetViews>
    <sheetView showGridLines="0" tabSelected="1" zoomScaleNormal="100" workbookViewId="0">
      <selection activeCell="A5" sqref="A5"/>
    </sheetView>
  </sheetViews>
  <sheetFormatPr defaultRowHeight="12.75" x14ac:dyDescent="0.2"/>
  <cols>
    <col min="1" max="2" width="1.7109375" style="4" customWidth="1"/>
    <col min="3" max="3" width="19.5703125" style="4" customWidth="1"/>
    <col min="4" max="7" width="10.5703125" style="4" customWidth="1"/>
    <col min="8" max="8" width="2.28515625" style="4" customWidth="1"/>
    <col min="9" max="9" width="20.85546875" style="4" customWidth="1"/>
    <col min="10" max="12" width="9.140625" style="4"/>
    <col min="13" max="15" width="10.28515625" style="4" customWidth="1"/>
    <col min="16" max="16" width="9.140625" style="4"/>
    <col min="17" max="17" width="10.28515625" style="4" customWidth="1"/>
    <col min="18" max="18" width="15.140625" style="4" customWidth="1"/>
    <col min="19" max="19" width="1.42578125" style="4" customWidth="1"/>
    <col min="20" max="20" width="26.140625" style="4" bestFit="1" customWidth="1"/>
    <col min="21" max="22" width="9.140625" style="4"/>
    <col min="23" max="23" width="12.5703125" style="4" hidden="1" customWidth="1"/>
    <col min="24" max="24" width="13.42578125" style="4" hidden="1" customWidth="1"/>
    <col min="25" max="34" width="9.140625" style="4"/>
    <col min="35" max="35" width="21.7109375" style="4" hidden="1" customWidth="1"/>
    <col min="36" max="38" width="9.140625" style="4"/>
    <col min="39" max="39" width="2.140625" style="4" hidden="1" customWidth="1"/>
    <col min="40" max="40" width="20.140625" style="4" hidden="1" customWidth="1"/>
    <col min="41" max="41" width="10.28515625" style="4" hidden="1" customWidth="1"/>
    <col min="42" max="42" width="5.5703125" style="4" hidden="1" customWidth="1"/>
    <col min="43" max="43" width="6.5703125" style="4" hidden="1" customWidth="1"/>
    <col min="44" max="44" width="10.5703125" style="4" hidden="1" customWidth="1"/>
    <col min="45" max="45" width="2.140625" style="4" hidden="1" customWidth="1"/>
    <col min="46" max="46" width="21.140625" style="4" hidden="1" customWidth="1"/>
    <col min="47" max="47" width="5.28515625" style="4" hidden="1" customWidth="1"/>
    <col min="48" max="48" width="8.7109375" style="4" hidden="1" customWidth="1"/>
    <col min="49" max="49" width="9.140625" style="4" hidden="1" customWidth="1"/>
    <col min="50" max="50" width="9.5703125" style="4" hidden="1" customWidth="1"/>
    <col min="51" max="51" width="9.42578125" style="4" hidden="1" customWidth="1"/>
    <col min="52" max="52" width="10.42578125" style="4" hidden="1" customWidth="1"/>
    <col min="53" max="54" width="8.7109375" style="4" hidden="1" customWidth="1"/>
    <col min="55" max="55" width="16.7109375" style="4" hidden="1" customWidth="1"/>
    <col min="56" max="57" width="9.140625" style="4" hidden="1" customWidth="1"/>
    <col min="58" max="58" width="2.140625" style="4" hidden="1" customWidth="1"/>
    <col min="59" max="59" width="20.140625" style="4" hidden="1" customWidth="1"/>
    <col min="60" max="60" width="10.28515625" style="4" hidden="1" customWidth="1"/>
    <col min="61" max="61" width="5.5703125" style="4" hidden="1" customWidth="1"/>
    <col min="62" max="62" width="6.5703125" style="4" hidden="1" customWidth="1"/>
    <col min="63" max="63" width="10.28515625" style="4" hidden="1" customWidth="1"/>
    <col min="64" max="64" width="2.140625" style="4" hidden="1" customWidth="1"/>
    <col min="65" max="65" width="21.140625" style="4" hidden="1" customWidth="1"/>
    <col min="66" max="66" width="5.28515625" style="4" hidden="1" customWidth="1"/>
    <col min="67" max="67" width="8.7109375" style="4" hidden="1" customWidth="1"/>
    <col min="68" max="68" width="9.140625" style="4" hidden="1" customWidth="1"/>
    <col min="69" max="69" width="9.5703125" style="4" hidden="1" customWidth="1"/>
    <col min="70" max="70" width="9.42578125" style="4" hidden="1" customWidth="1"/>
    <col min="71" max="71" width="10.42578125" style="4" hidden="1" customWidth="1"/>
    <col min="72" max="73" width="8.7109375" style="4" hidden="1" customWidth="1"/>
    <col min="74" max="74" width="14.42578125" style="4" hidden="1" customWidth="1"/>
    <col min="75" max="16384" width="9.140625" style="4"/>
  </cols>
  <sheetData>
    <row r="1" spans="1:74" x14ac:dyDescent="0.2">
      <c r="A1" s="23">
        <v>2010.3</v>
      </c>
      <c r="B1" s="23"/>
      <c r="E1" s="231"/>
    </row>
    <row r="2" spans="1:74" ht="23.25" x14ac:dyDescent="0.35">
      <c r="C2" s="739" t="s">
        <v>609</v>
      </c>
      <c r="H2"/>
    </row>
    <row r="3" spans="1:74" x14ac:dyDescent="0.2">
      <c r="C3" s="546" t="s">
        <v>610</v>
      </c>
      <c r="H3"/>
    </row>
    <row r="4" spans="1:74" x14ac:dyDescent="0.2">
      <c r="H4"/>
    </row>
    <row r="5" spans="1:74" ht="15.75" x14ac:dyDescent="0.25">
      <c r="C5" s="96" t="s">
        <v>388</v>
      </c>
      <c r="D5" s="818" t="s">
        <v>170</v>
      </c>
      <c r="E5" s="819"/>
      <c r="F5" s="819"/>
      <c r="I5" s="24"/>
      <c r="L5" s="24"/>
      <c r="M5" s="24"/>
      <c r="N5" s="24"/>
      <c r="O5" s="24"/>
      <c r="P5" s="24"/>
      <c r="Q5" s="24"/>
      <c r="R5" s="25"/>
    </row>
    <row r="6" spans="1:74" ht="5.25" customHeight="1" x14ac:dyDescent="0.2">
      <c r="C6" s="97"/>
    </row>
    <row r="7" spans="1:74" ht="15.75" x14ac:dyDescent="0.25">
      <c r="C7" s="96" t="s">
        <v>389</v>
      </c>
      <c r="D7" s="818" t="s">
        <v>211</v>
      </c>
      <c r="E7" s="818"/>
      <c r="F7" s="92">
        <v>2026</v>
      </c>
      <c r="G7" s="24"/>
      <c r="H7" s="217" t="str">
        <f>IF(DataFromMOS=TRUE,"Data is calculated from MOS tables","Data is filled out in Maxi-JODI format")</f>
        <v>Data is calculated from MOS tables</v>
      </c>
      <c r="I7" s="218"/>
      <c r="J7" s="218"/>
      <c r="K7" s="219"/>
      <c r="O7"/>
      <c r="P7" s="93"/>
      <c r="Q7" s="94"/>
      <c r="R7" s="95" t="str">
        <f>IF(CountryUser="United States (Barrels)","Unit: Thousand barrels","Unit: Thousand metric tons")</f>
        <v>Unit: Thousand metric tons</v>
      </c>
    </row>
    <row r="8" spans="1:74" ht="15.75" thickBot="1" x14ac:dyDescent="0.3">
      <c r="C8" s="26"/>
      <c r="D8" s="26"/>
      <c r="E8" s="26"/>
      <c r="F8" s="26"/>
      <c r="G8" s="26"/>
      <c r="H8" s="26"/>
      <c r="I8" s="26"/>
      <c r="J8" s="26"/>
      <c r="K8" s="26"/>
      <c r="L8" s="26"/>
      <c r="M8" s="26"/>
      <c r="N8" s="26"/>
      <c r="O8" s="26"/>
      <c r="P8" s="26"/>
      <c r="Q8" s="26"/>
      <c r="R8" s="25"/>
    </row>
    <row r="9" spans="1:74" ht="15.75" thickBot="1" x14ac:dyDescent="0.3">
      <c r="B9" s="622"/>
      <c r="C9" s="623"/>
      <c r="D9" s="624"/>
      <c r="E9" s="625"/>
      <c r="F9" s="625"/>
      <c r="G9" s="626"/>
      <c r="H9" s="627"/>
      <c r="I9" s="628"/>
      <c r="J9" s="687" t="s">
        <v>392</v>
      </c>
      <c r="K9" s="629"/>
      <c r="L9" s="629"/>
      <c r="M9" s="629"/>
      <c r="N9" s="629"/>
      <c r="O9" s="630"/>
      <c r="P9" s="631"/>
      <c r="Q9" s="631"/>
      <c r="R9" s="632"/>
      <c r="AM9" s="264"/>
      <c r="AN9" s="265"/>
      <c r="AO9" s="285"/>
      <c r="AP9" s="286"/>
      <c r="AQ9" s="286"/>
      <c r="AR9" s="287"/>
      <c r="AS9" s="294"/>
      <c r="AT9" s="295"/>
      <c r="AU9" s="296" t="s">
        <v>392</v>
      </c>
      <c r="AV9" s="297"/>
      <c r="AW9" s="297"/>
      <c r="AX9" s="297"/>
      <c r="AY9" s="297"/>
      <c r="AZ9" s="298"/>
      <c r="BA9" s="299"/>
      <c r="BB9" s="299"/>
      <c r="BC9" s="300"/>
      <c r="BF9" s="318"/>
      <c r="BG9" s="319"/>
      <c r="BH9" s="320"/>
      <c r="BI9" s="321"/>
      <c r="BJ9" s="321"/>
      <c r="BK9" s="322"/>
      <c r="BL9" s="323"/>
      <c r="BM9" s="324"/>
      <c r="BN9" s="325" t="s">
        <v>392</v>
      </c>
      <c r="BO9" s="326"/>
      <c r="BP9" s="326"/>
      <c r="BQ9" s="326"/>
      <c r="BR9" s="326"/>
      <c r="BS9" s="327"/>
      <c r="BT9" s="328"/>
      <c r="BU9" s="328"/>
      <c r="BV9" s="329"/>
    </row>
    <row r="10" spans="1:74" ht="53.25" thickBot="1" x14ac:dyDescent="0.3">
      <c r="B10" s="633"/>
      <c r="C10" s="634"/>
      <c r="D10" s="661" t="s">
        <v>518</v>
      </c>
      <c r="E10" s="662" t="s">
        <v>391</v>
      </c>
      <c r="F10" s="662" t="s">
        <v>429</v>
      </c>
      <c r="G10" s="663" t="s">
        <v>715</v>
      </c>
      <c r="H10" s="664"/>
      <c r="I10" s="665"/>
      <c r="J10" s="666" t="s">
        <v>393</v>
      </c>
      <c r="K10" s="667" t="s">
        <v>394</v>
      </c>
      <c r="L10" s="667" t="s">
        <v>395</v>
      </c>
      <c r="M10" s="667" t="s">
        <v>615</v>
      </c>
      <c r="N10" s="635" t="s">
        <v>616</v>
      </c>
      <c r="O10" s="668" t="s">
        <v>617</v>
      </c>
      <c r="P10" s="668" t="s">
        <v>618</v>
      </c>
      <c r="Q10" s="669" t="s">
        <v>619</v>
      </c>
      <c r="R10" s="670" t="s">
        <v>716</v>
      </c>
      <c r="T10" s="672" t="s">
        <v>499</v>
      </c>
      <c r="AM10" s="266"/>
      <c r="AN10" s="267"/>
      <c r="AO10" s="288" t="s">
        <v>390</v>
      </c>
      <c r="AP10" s="289" t="s">
        <v>391</v>
      </c>
      <c r="AQ10" s="289" t="s">
        <v>429</v>
      </c>
      <c r="AR10" s="290" t="s">
        <v>428</v>
      </c>
      <c r="AS10" s="301"/>
      <c r="AT10" s="302"/>
      <c r="AU10" s="303" t="s">
        <v>393</v>
      </c>
      <c r="AV10" s="304" t="s">
        <v>394</v>
      </c>
      <c r="AW10" s="304" t="s">
        <v>395</v>
      </c>
      <c r="AX10" s="304" t="s">
        <v>407</v>
      </c>
      <c r="AY10" s="305" t="s">
        <v>408</v>
      </c>
      <c r="AZ10" s="306" t="s">
        <v>401</v>
      </c>
      <c r="BA10" s="306" t="s">
        <v>396</v>
      </c>
      <c r="BB10" s="307" t="s">
        <v>431</v>
      </c>
      <c r="BC10" s="308" t="s">
        <v>111</v>
      </c>
      <c r="BF10" s="330"/>
      <c r="BG10" s="331"/>
      <c r="BH10" s="332" t="s">
        <v>390</v>
      </c>
      <c r="BI10" s="333" t="s">
        <v>391</v>
      </c>
      <c r="BJ10" s="333" t="s">
        <v>429</v>
      </c>
      <c r="BK10" s="334" t="s">
        <v>428</v>
      </c>
      <c r="BL10" s="335"/>
      <c r="BM10" s="336"/>
      <c r="BN10" s="337" t="s">
        <v>393</v>
      </c>
      <c r="BO10" s="338" t="s">
        <v>394</v>
      </c>
      <c r="BP10" s="338" t="s">
        <v>395</v>
      </c>
      <c r="BQ10" s="338" t="s">
        <v>407</v>
      </c>
      <c r="BR10" s="339" t="s">
        <v>408</v>
      </c>
      <c r="BS10" s="340" t="s">
        <v>401</v>
      </c>
      <c r="BT10" s="340" t="s">
        <v>396</v>
      </c>
      <c r="BU10" s="341" t="s">
        <v>431</v>
      </c>
      <c r="BV10" s="342" t="s">
        <v>111</v>
      </c>
    </row>
    <row r="11" spans="1:74" ht="13.5" thickBot="1" x14ac:dyDescent="0.25">
      <c r="B11" s="636"/>
      <c r="C11" s="637"/>
      <c r="D11" s="638" t="s">
        <v>413</v>
      </c>
      <c r="E11" s="639" t="s">
        <v>414</v>
      </c>
      <c r="F11" s="639" t="s">
        <v>415</v>
      </c>
      <c r="G11" s="640" t="s">
        <v>416</v>
      </c>
      <c r="H11" s="641"/>
      <c r="I11" s="642"/>
      <c r="J11" s="643" t="s">
        <v>417</v>
      </c>
      <c r="K11" s="644" t="s">
        <v>418</v>
      </c>
      <c r="L11" s="644" t="s">
        <v>419</v>
      </c>
      <c r="M11" s="644" t="s">
        <v>420</v>
      </c>
      <c r="N11" s="645" t="s">
        <v>421</v>
      </c>
      <c r="O11" s="644" t="s">
        <v>422</v>
      </c>
      <c r="P11" s="644" t="s">
        <v>423</v>
      </c>
      <c r="Q11" s="646" t="s">
        <v>424</v>
      </c>
      <c r="R11" s="647" t="s">
        <v>425</v>
      </c>
      <c r="S11" s="49"/>
      <c r="T11" s="671" t="s">
        <v>253</v>
      </c>
      <c r="U11" s="49"/>
      <c r="V11" s="49"/>
      <c r="W11" s="49"/>
      <c r="X11" s="49"/>
      <c r="Y11" s="49"/>
      <c r="Z11" s="49"/>
      <c r="AA11" s="49"/>
      <c r="AB11" s="49"/>
      <c r="AC11" s="49"/>
      <c r="AD11" s="49"/>
      <c r="AE11" s="49"/>
      <c r="AF11" s="49"/>
      <c r="AG11" s="49"/>
      <c r="AH11" s="49"/>
      <c r="AI11" s="49"/>
      <c r="AJ11" s="49"/>
      <c r="AM11" s="268"/>
      <c r="AN11" s="269"/>
      <c r="AO11" s="291" t="s">
        <v>413</v>
      </c>
      <c r="AP11" s="292" t="s">
        <v>414</v>
      </c>
      <c r="AQ11" s="292" t="s">
        <v>415</v>
      </c>
      <c r="AR11" s="293" t="s">
        <v>416</v>
      </c>
      <c r="AS11" s="309"/>
      <c r="AT11" s="310"/>
      <c r="AU11" s="311" t="s">
        <v>417</v>
      </c>
      <c r="AV11" s="312" t="s">
        <v>418</v>
      </c>
      <c r="AW11" s="312" t="s">
        <v>419</v>
      </c>
      <c r="AX11" s="312" t="s">
        <v>420</v>
      </c>
      <c r="AY11" s="313" t="s">
        <v>421</v>
      </c>
      <c r="AZ11" s="312" t="s">
        <v>422</v>
      </c>
      <c r="BA11" s="312" t="s">
        <v>423</v>
      </c>
      <c r="BB11" s="314" t="s">
        <v>424</v>
      </c>
      <c r="BC11" s="315" t="s">
        <v>425</v>
      </c>
      <c r="BF11" s="343"/>
      <c r="BG11" s="344"/>
      <c r="BH11" s="345" t="s">
        <v>413</v>
      </c>
      <c r="BI11" s="346" t="s">
        <v>414</v>
      </c>
      <c r="BJ11" s="346" t="s">
        <v>415</v>
      </c>
      <c r="BK11" s="347" t="s">
        <v>416</v>
      </c>
      <c r="BL11" s="348"/>
      <c r="BM11" s="349"/>
      <c r="BN11" s="350" t="s">
        <v>417</v>
      </c>
      <c r="BO11" s="351" t="s">
        <v>418</v>
      </c>
      <c r="BP11" s="351" t="s">
        <v>419</v>
      </c>
      <c r="BQ11" s="351" t="s">
        <v>420</v>
      </c>
      <c r="BR11" s="352" t="s">
        <v>421</v>
      </c>
      <c r="BS11" s="351" t="s">
        <v>422</v>
      </c>
      <c r="BT11" s="351" t="s">
        <v>423</v>
      </c>
      <c r="BU11" s="353" t="s">
        <v>424</v>
      </c>
      <c r="BV11" s="354" t="s">
        <v>425</v>
      </c>
    </row>
    <row r="12" spans="1:74" ht="15" x14ac:dyDescent="0.2">
      <c r="B12" s="648" t="s">
        <v>409</v>
      </c>
      <c r="C12" s="673" t="s">
        <v>397</v>
      </c>
      <c r="D12" s="699">
        <f>ROUND(MOS_Table_1!$D$14,0)</f>
        <v>35</v>
      </c>
      <c r="E12" s="700">
        <f>ROUND(MOS_Table_1!$E$14,0)</f>
        <v>7</v>
      </c>
      <c r="F12" s="700">
        <f>ROUND(MOS_Table_1!$G$14+MOS_Table_1!$I$14,0)</f>
        <v>4</v>
      </c>
      <c r="G12" s="701">
        <f>ROUND(MOS_Table_1!$J$14,0)</f>
        <v>46</v>
      </c>
      <c r="H12" s="649" t="s">
        <v>409</v>
      </c>
      <c r="I12" s="681" t="s">
        <v>439</v>
      </c>
      <c r="J12" s="717">
        <f>ROUND(MOS_Table_2!$H$9,0)</f>
        <v>93</v>
      </c>
      <c r="K12" s="718">
        <f>ROUND(MOS_Table_2!$I$9,0)</f>
        <v>983</v>
      </c>
      <c r="L12" s="718">
        <f>ROUND(MOS_Table_2!$J$9+MOS_Table_2!$M$9+MOS_Table_2!$N$9,0)</f>
        <v>348</v>
      </c>
      <c r="M12" s="718">
        <f>ROUND(MOS_Table_2!$O$9+MOS_Table_2!$R$9,0)</f>
        <v>878</v>
      </c>
      <c r="N12" s="719">
        <f>ROUND(MOS_Table_2!$O$9,0)</f>
        <v>759</v>
      </c>
      <c r="O12" s="718">
        <f>ROUND(MOS_Table_2!$U$9,0)</f>
        <v>1538</v>
      </c>
      <c r="P12" s="720">
        <f>ROUND(MOS_Table_2!$X$9,0)</f>
        <v>779</v>
      </c>
      <c r="Q12" s="720">
        <f>ROUND(MOS_Table_2!$F$9+MOS_Table_2!$G$9+MOS_Table_2!$AA$9+MOS_Table_2!$AB$9,0)</f>
        <v>583</v>
      </c>
      <c r="R12" s="721">
        <f>ROUND(MOS_Table_2!$AC$9,0)</f>
        <v>5202</v>
      </c>
      <c r="S12" s="49"/>
      <c r="T12" s="736" t="str">
        <f>IF(R12&lt;&gt;J12+K12+L12+M12+O12+P12+Q12,"Total is not sum of the elements","")</f>
        <v/>
      </c>
      <c r="U12" s="49"/>
      <c r="V12" s="49"/>
      <c r="W12" s="384" t="s">
        <v>104</v>
      </c>
      <c r="X12" s="385" t="s">
        <v>91</v>
      </c>
      <c r="Y12" s="49"/>
      <c r="Z12" s="49"/>
      <c r="AA12" s="49"/>
      <c r="AB12" s="49"/>
      <c r="AC12" s="49"/>
      <c r="AD12" s="49"/>
      <c r="AE12" s="49"/>
      <c r="AF12" s="49"/>
      <c r="AG12" s="49"/>
      <c r="AH12" s="49"/>
      <c r="AI12" s="381" t="s">
        <v>483</v>
      </c>
      <c r="AJ12" s="49"/>
      <c r="AM12" s="270" t="s">
        <v>409</v>
      </c>
      <c r="AN12" s="271" t="s">
        <v>397</v>
      </c>
      <c r="AO12" s="98">
        <f>ROUND(MOS_Table_1!$D$14,0)</f>
        <v>35</v>
      </c>
      <c r="AP12" s="99">
        <f>ROUND(MOS_Table_1!$E$14,0)</f>
        <v>7</v>
      </c>
      <c r="AQ12" s="99">
        <f>ROUND(MOS_Table_1!$G$14+MOS_Table_1!$I$14,0)</f>
        <v>4</v>
      </c>
      <c r="AR12" s="100">
        <f>ROUND(MOS_Table_1!$J$14,0)</f>
        <v>46</v>
      </c>
      <c r="AS12" s="270" t="s">
        <v>409</v>
      </c>
      <c r="AT12" s="271" t="s">
        <v>398</v>
      </c>
      <c r="AU12" s="110">
        <f>ROUND(MOS_Table_2!$H$9,0)</f>
        <v>93</v>
      </c>
      <c r="AV12" s="116">
        <f>ROUND(MOS_Table_2!$I$9,0)</f>
        <v>983</v>
      </c>
      <c r="AW12" s="116">
        <f>ROUND(MOS_Table_2!$J$9+MOS_Table_2!$M$9+MOS_Table_2!$N$9,0)</f>
        <v>348</v>
      </c>
      <c r="AX12" s="116">
        <f>ROUND(MOS_Table_2!$O$9+MOS_Table_2!$R$9,0)</f>
        <v>878</v>
      </c>
      <c r="AY12" s="99">
        <f>ROUND(MOS_Table_2!$O$9,0)</f>
        <v>759</v>
      </c>
      <c r="AZ12" s="116">
        <f>ROUND(MOS_Table_2!$U$9,0)</f>
        <v>1538</v>
      </c>
      <c r="BA12" s="117">
        <f>ROUND(MOS_Table_2!$X$9,0)</f>
        <v>779</v>
      </c>
      <c r="BB12" s="116">
        <f>ROUND(MOS_Table_2!$F$9+MOS_Table_2!$G$9+MOS_Table_2!$AA$9+MOS_Table_2!$AB$9,0)</f>
        <v>583</v>
      </c>
      <c r="BC12" s="118">
        <f>ROUND(MOS_Table_2!$AC$9,0)</f>
        <v>5202</v>
      </c>
      <c r="BF12" s="355" t="s">
        <v>409</v>
      </c>
      <c r="BG12" s="356" t="s">
        <v>397</v>
      </c>
      <c r="BH12" s="98">
        <f t="shared" ref="BH12:BH21" si="0">IF(DataFromMOS=FALSE,0,IF(D12&lt;&gt;AO12,1,0))</f>
        <v>0</v>
      </c>
      <c r="BI12" s="99">
        <f t="shared" ref="BI12:BI21" si="1">IF(DataFromMOS=FALSE,0,IF(E12&lt;&gt;AP12,1,0))</f>
        <v>0</v>
      </c>
      <c r="BJ12" s="99">
        <f t="shared" ref="BJ12:BJ21" si="2">IF(DataFromMOS=FALSE,0,IF(F12&lt;&gt;AQ12,1,0))</f>
        <v>0</v>
      </c>
      <c r="BK12" s="100">
        <f t="shared" ref="BK12:BK21" si="3">IF(DataFromMOS=FALSE,0,IF(G12&lt;&gt;AR12,1,0))</f>
        <v>0</v>
      </c>
      <c r="BL12" s="355" t="s">
        <v>409</v>
      </c>
      <c r="BM12" s="356" t="s">
        <v>398</v>
      </c>
      <c r="BN12" s="110">
        <f t="shared" ref="BN12:BN21" si="4">IF(DataFromMOS=FALSE,0,IF(J12&lt;&gt;AU12,1,0))</f>
        <v>0</v>
      </c>
      <c r="BO12" s="116">
        <f t="shared" ref="BO12:BO21" si="5">IF(DataFromMOS=FALSE,0,IF(K12&lt;&gt;AV12,1,0))</f>
        <v>0</v>
      </c>
      <c r="BP12" s="116">
        <f t="shared" ref="BP12:BP21" si="6">IF(DataFromMOS=FALSE,0,IF(L12&lt;&gt;AW12,1,0))</f>
        <v>0</v>
      </c>
      <c r="BQ12" s="116">
        <f t="shared" ref="BQ12:BQ21" si="7">IF(DataFromMOS=FALSE,0,IF(M12&lt;&gt;AX12,1,0))</f>
        <v>0</v>
      </c>
      <c r="BR12" s="99">
        <f t="shared" ref="BR12:BR21" si="8">IF(DataFromMOS=FALSE,0,IF(N12&lt;&gt;AY12,1,0))</f>
        <v>0</v>
      </c>
      <c r="BS12" s="116">
        <f t="shared" ref="BS12:BS21" si="9">IF(DataFromMOS=FALSE,0,IF(O12&lt;&gt;AZ12,1,0))</f>
        <v>0</v>
      </c>
      <c r="BT12" s="117">
        <f t="shared" ref="BT12:BT21" si="10">IF(DataFromMOS=FALSE,0,IF(P12&lt;&gt;BA12,1,0))</f>
        <v>0</v>
      </c>
      <c r="BU12" s="116">
        <f t="shared" ref="BU12:BU21" si="11">IF(DataFromMOS=FALSE,0,IF(Q12&lt;&gt;BB12,1,0))</f>
        <v>0</v>
      </c>
      <c r="BV12" s="118">
        <f t="shared" ref="BV12:BV21" si="12">IF(DataFromMOS=FALSE,0,IF(R12&lt;&gt;BC12,1,0))</f>
        <v>0</v>
      </c>
    </row>
    <row r="13" spans="1:74" ht="15" x14ac:dyDescent="0.2">
      <c r="B13" s="650" t="s">
        <v>409</v>
      </c>
      <c r="C13" s="674" t="s">
        <v>620</v>
      </c>
      <c r="D13" s="702"/>
      <c r="E13" s="703"/>
      <c r="F13" s="704">
        <f>ROUND(MOS_Table_1!$G$15+MOS_Table_1!$I$15,0)</f>
        <v>160</v>
      </c>
      <c r="G13" s="705">
        <f>ROUND(MOS_Table_1!$J$15,0)</f>
        <v>160</v>
      </c>
      <c r="H13" s="651" t="s">
        <v>409</v>
      </c>
      <c r="I13" s="682" t="s">
        <v>430</v>
      </c>
      <c r="J13" s="722">
        <f>ROUND(MOS_Table_2!$H$8+MOS_Table_2!$H$10,0)</f>
        <v>0</v>
      </c>
      <c r="K13" s="723">
        <f>ROUND(MOS_Table_2!$I$8+MOS_Table_2!$I$10,0)</f>
        <v>16</v>
      </c>
      <c r="L13" s="723">
        <f>ROUND(MOS_Table_2!$J$8+MOS_Table_2!$J$10+MOS_Table_2!$M$8+MOS_Table_2!$M$10+MOS_Table_2!$N$8+MOS_Table_2!$N$10,0)</f>
        <v>104</v>
      </c>
      <c r="M13" s="723">
        <f>ROUND(MOS_Table_2!$O$8+MOS_Table_2!$O$10+MOS_Table_2!$R$8+MOS_Table_2!$R$10,0)</f>
        <v>0</v>
      </c>
      <c r="N13" s="724">
        <f>ROUND(MOS_Table_2!$O$8+MOS_Table_2!$O$10,0)</f>
        <v>0</v>
      </c>
      <c r="O13" s="723">
        <f>ROUND(MOS_Table_2!$U$8+MOS_Table_2!$U$10,0)</f>
        <v>123</v>
      </c>
      <c r="P13" s="723">
        <f>ROUND(MOS_Table_2!$X$8+MOS_Table_2!$X$10,0)</f>
        <v>0</v>
      </c>
      <c r="Q13" s="723">
        <f>ROUND(MOS_Table_2!$D$8+MOS_Table_2!$E$8+MOS_Table_2!$F$8+MOS_Table_2!$G$8+MOS_Table_2!$AA$8+MOS_Table_2!$AB$8+MOS_Table_2!$F$10+MOS_Table_2!$G$10+MOS_Table_2!$AA$10+MOS_Table_2!$AB$10,0)</f>
        <v>245</v>
      </c>
      <c r="R13" s="725">
        <f>ROUND(MOS_Table_2!$AC$8+MOS_Table_2!$AC$10,0)</f>
        <v>488</v>
      </c>
      <c r="S13" s="49"/>
      <c r="T13" s="737" t="str">
        <f>IF(R13&lt;&gt;J13+K13+L13+M13+O13+P13+Q13,"Total is not sum of the elements","")</f>
        <v/>
      </c>
      <c r="U13" s="49"/>
      <c r="V13" s="49"/>
      <c r="W13" s="384" t="s">
        <v>105</v>
      </c>
      <c r="X13" s="385" t="s">
        <v>103</v>
      </c>
      <c r="Y13" s="49"/>
      <c r="Z13" s="49"/>
      <c r="AA13" s="49"/>
      <c r="AB13" s="49"/>
      <c r="AC13" s="49"/>
      <c r="AD13" s="49"/>
      <c r="AE13" s="49"/>
      <c r="AF13" s="49"/>
      <c r="AG13" s="49"/>
      <c r="AH13" s="49"/>
      <c r="AI13" s="381" t="s">
        <v>484</v>
      </c>
      <c r="AJ13" s="49"/>
      <c r="AM13" s="272" t="s">
        <v>409</v>
      </c>
      <c r="AN13" s="273" t="s">
        <v>403</v>
      </c>
      <c r="AO13" s="229"/>
      <c r="AP13" s="230"/>
      <c r="AQ13" s="103">
        <f>ROUND(MOS_Table_1!$G$15+MOS_Table_1!$I$15,0)</f>
        <v>160</v>
      </c>
      <c r="AR13" s="104">
        <f>ROUND(MOS_Table_1!$J$15,0)</f>
        <v>160</v>
      </c>
      <c r="AS13" s="316" t="s">
        <v>409</v>
      </c>
      <c r="AT13" s="317" t="s">
        <v>430</v>
      </c>
      <c r="AU13" s="105">
        <f>ROUND(MOS_Table_2!$H$8+MOS_Table_2!$H$10,0)</f>
        <v>0</v>
      </c>
      <c r="AV13" s="119">
        <f>ROUND(MOS_Table_2!$I$8+MOS_Table_2!$I$10,0)</f>
        <v>16</v>
      </c>
      <c r="AW13" s="119">
        <f>ROUND(MOS_Table_2!$J$8+MOS_Table_2!$J$10+MOS_Table_2!$M$8+MOS_Table_2!$M$10+MOS_Table_2!$N$8+MOS_Table_2!$N$10,0)</f>
        <v>104</v>
      </c>
      <c r="AX13" s="119">
        <f>ROUND(MOS_Table_2!$O$8+MOS_Table_2!$O$10+MOS_Table_2!$R$8+MOS_Table_2!$R$10,0)</f>
        <v>0</v>
      </c>
      <c r="AY13" s="106">
        <f>ROUND(MOS_Table_2!$O$8+MOS_Table_2!$O$10,0)</f>
        <v>0</v>
      </c>
      <c r="AZ13" s="119">
        <f>ROUND(MOS_Table_2!$U$8+MOS_Table_2!$U$10,0)</f>
        <v>123</v>
      </c>
      <c r="BA13" s="119">
        <f>ROUND(MOS_Table_2!$X$8+MOS_Table_2!$X$10,0)</f>
        <v>0</v>
      </c>
      <c r="BB13" s="119">
        <f>ROUND(MOS_Table_2!$D$8+MOS_Table_2!$E$8+MOS_Table_2!$F$8+MOS_Table_2!$G$8+MOS_Table_2!$AA$8+MOS_Table_2!$AB$8+MOS_Table_2!$F$10+MOS_Table_2!$G$10+MOS_Table_2!$AA$10+MOS_Table_2!$AB$10,0)</f>
        <v>245</v>
      </c>
      <c r="BC13" s="104">
        <f>ROUND(MOS_Table_2!$AC$8+MOS_Table_2!$AC$10,0)</f>
        <v>488</v>
      </c>
      <c r="BF13" s="357" t="s">
        <v>409</v>
      </c>
      <c r="BG13" s="358" t="s">
        <v>403</v>
      </c>
      <c r="BH13" s="229">
        <f t="shared" si="0"/>
        <v>0</v>
      </c>
      <c r="BI13" s="230">
        <f t="shared" si="1"/>
        <v>0</v>
      </c>
      <c r="BJ13" s="103">
        <f t="shared" si="2"/>
        <v>0</v>
      </c>
      <c r="BK13" s="104">
        <f t="shared" si="3"/>
        <v>0</v>
      </c>
      <c r="BL13" s="370" t="s">
        <v>409</v>
      </c>
      <c r="BM13" s="371" t="s">
        <v>430</v>
      </c>
      <c r="BN13" s="105">
        <f t="shared" si="4"/>
        <v>0</v>
      </c>
      <c r="BO13" s="119">
        <f t="shared" si="5"/>
        <v>0</v>
      </c>
      <c r="BP13" s="119">
        <f t="shared" si="6"/>
        <v>0</v>
      </c>
      <c r="BQ13" s="119">
        <f t="shared" si="7"/>
        <v>0</v>
      </c>
      <c r="BR13" s="106">
        <f t="shared" si="8"/>
        <v>0</v>
      </c>
      <c r="BS13" s="119">
        <f t="shared" si="9"/>
        <v>0</v>
      </c>
      <c r="BT13" s="119">
        <f t="shared" si="10"/>
        <v>0</v>
      </c>
      <c r="BU13" s="119">
        <f t="shared" si="11"/>
        <v>0</v>
      </c>
      <c r="BV13" s="104">
        <f t="shared" si="12"/>
        <v>0</v>
      </c>
    </row>
    <row r="14" spans="1:74" ht="15" x14ac:dyDescent="0.2">
      <c r="B14" s="652" t="s">
        <v>409</v>
      </c>
      <c r="C14" s="675" t="s">
        <v>404</v>
      </c>
      <c r="D14" s="706">
        <f>ROUND(MOS_Table_1!$D$18,0)</f>
        <v>5038</v>
      </c>
      <c r="E14" s="707">
        <f>ROUND(MOS_Table_1!$E$18,0)</f>
        <v>848</v>
      </c>
      <c r="F14" s="707">
        <f>ROUND(MOS_Table_1!$F$18+MOS_Table_1!$G$18+MOS_Table_1!$I$18,0)</f>
        <v>83</v>
      </c>
      <c r="G14" s="705">
        <f>ROUND(MOS_Table_1!$J$18,0)</f>
        <v>5969</v>
      </c>
      <c r="H14" s="653" t="s">
        <v>409</v>
      </c>
      <c r="I14" s="683" t="s">
        <v>404</v>
      </c>
      <c r="J14" s="726">
        <f>ROUND(MOS_Table_2!$H$12,0)</f>
        <v>253</v>
      </c>
      <c r="K14" s="727">
        <f>ROUND(MOS_Table_2!$I$12,0)</f>
        <v>1359</v>
      </c>
      <c r="L14" s="727">
        <f>ROUND(MOS_Table_2!$J$12+MOS_Table_2!$M$12+MOS_Table_2!$N$12,0)</f>
        <v>665</v>
      </c>
      <c r="M14" s="727">
        <f>ROUND(MOS_Table_2!$O$12+MOS_Table_2!$R$12,0)</f>
        <v>275</v>
      </c>
      <c r="N14" s="724">
        <f>ROUND(MOS_Table_2!$O$12,0)</f>
        <v>182</v>
      </c>
      <c r="O14" s="727">
        <f>ROUND(MOS_Table_2!$U$12,0)</f>
        <v>1103</v>
      </c>
      <c r="P14" s="727">
        <f>ROUND(MOS_Table_2!$X$12,0)</f>
        <v>1800</v>
      </c>
      <c r="Q14" s="727">
        <f>ROUND(MOS_Table_2!$G$12+MOS_Table_2!$AA$12+MOS_Table_2!$AB$12,0)</f>
        <v>748</v>
      </c>
      <c r="R14" s="725">
        <f>ROUND(MOS_Table_2!$AC$12,0)</f>
        <v>6203</v>
      </c>
      <c r="S14" s="49"/>
      <c r="T14" s="737" t="str">
        <f>IF(R14&lt;&gt;J14+K14+L14+M14+O14+P14+Q14,"Total is not sum of the elements","")</f>
        <v/>
      </c>
      <c r="U14" s="49"/>
      <c r="V14" s="49"/>
      <c r="W14" s="384" t="s">
        <v>92</v>
      </c>
      <c r="X14" s="385" t="s">
        <v>92</v>
      </c>
      <c r="Y14" s="49"/>
      <c r="Z14" s="49"/>
      <c r="AA14" s="49"/>
      <c r="AB14" s="49"/>
      <c r="AC14" s="49"/>
      <c r="AD14" s="49"/>
      <c r="AE14" s="49"/>
      <c r="AF14" s="49"/>
      <c r="AG14" s="49"/>
      <c r="AH14" s="49"/>
      <c r="AI14" s="381" t="s">
        <v>485</v>
      </c>
      <c r="AJ14" s="49"/>
      <c r="AM14" s="274" t="s">
        <v>409</v>
      </c>
      <c r="AN14" s="275" t="s">
        <v>404</v>
      </c>
      <c r="AO14" s="105">
        <f>ROUND(MOS_Table_1!$D$18,0)</f>
        <v>5038</v>
      </c>
      <c r="AP14" s="106">
        <f>ROUND(MOS_Table_1!$E$18,0)</f>
        <v>848</v>
      </c>
      <c r="AQ14" s="106">
        <f>ROUND(MOS_Table_1!$F$18+MOS_Table_1!$G$18+MOS_Table_1!$I$18,0)</f>
        <v>83</v>
      </c>
      <c r="AR14" s="104">
        <f>ROUND(MOS_Table_1!$J$18,0)</f>
        <v>5969</v>
      </c>
      <c r="AS14" s="272" t="s">
        <v>409</v>
      </c>
      <c r="AT14" s="273" t="s">
        <v>404</v>
      </c>
      <c r="AU14" s="107">
        <f>ROUND(MOS_Table_2!$H$12,0)</f>
        <v>253</v>
      </c>
      <c r="AV14" s="120">
        <f>ROUND(MOS_Table_2!$I$12,0)</f>
        <v>1359</v>
      </c>
      <c r="AW14" s="120">
        <f>ROUND(MOS_Table_2!$J$12+MOS_Table_2!$M$12+MOS_Table_2!$N$12,0)</f>
        <v>665</v>
      </c>
      <c r="AX14" s="120">
        <f>ROUND(MOS_Table_2!$O$12+MOS_Table_2!$R$12,0)</f>
        <v>275</v>
      </c>
      <c r="AY14" s="106">
        <f>ROUND(MOS_Table_2!$O$12,0)</f>
        <v>182</v>
      </c>
      <c r="AZ14" s="120">
        <f>ROUND(MOS_Table_2!$U$12,0)</f>
        <v>1103</v>
      </c>
      <c r="BA14" s="120">
        <f>ROUND(MOS_Table_2!$X$12,0)</f>
        <v>1800</v>
      </c>
      <c r="BB14" s="120">
        <f>ROUND(MOS_Table_2!$G$12+MOS_Table_2!$AA$12+MOS_Table_2!$AB$12,0)</f>
        <v>748</v>
      </c>
      <c r="BC14" s="104">
        <f>ROUND(MOS_Table_2!$AC$12,0)</f>
        <v>6203</v>
      </c>
      <c r="BF14" s="359" t="s">
        <v>409</v>
      </c>
      <c r="BG14" s="360" t="s">
        <v>404</v>
      </c>
      <c r="BH14" s="105">
        <f t="shared" si="0"/>
        <v>0</v>
      </c>
      <c r="BI14" s="106">
        <f t="shared" si="1"/>
        <v>0</v>
      </c>
      <c r="BJ14" s="106">
        <f t="shared" si="2"/>
        <v>0</v>
      </c>
      <c r="BK14" s="104">
        <f t="shared" si="3"/>
        <v>0</v>
      </c>
      <c r="BL14" s="357" t="s">
        <v>409</v>
      </c>
      <c r="BM14" s="358" t="s">
        <v>404</v>
      </c>
      <c r="BN14" s="107">
        <f t="shared" si="4"/>
        <v>0</v>
      </c>
      <c r="BO14" s="120">
        <f t="shared" si="5"/>
        <v>0</v>
      </c>
      <c r="BP14" s="120">
        <f t="shared" si="6"/>
        <v>0</v>
      </c>
      <c r="BQ14" s="120">
        <f t="shared" si="7"/>
        <v>0</v>
      </c>
      <c r="BR14" s="106">
        <f t="shared" si="8"/>
        <v>0</v>
      </c>
      <c r="BS14" s="120">
        <f t="shared" si="9"/>
        <v>0</v>
      </c>
      <c r="BT14" s="120">
        <f t="shared" si="10"/>
        <v>0</v>
      </c>
      <c r="BU14" s="120">
        <f t="shared" si="11"/>
        <v>0</v>
      </c>
      <c r="BV14" s="104">
        <f t="shared" si="12"/>
        <v>0</v>
      </c>
    </row>
    <row r="15" spans="1:74" ht="15" x14ac:dyDescent="0.2">
      <c r="B15" s="652" t="s">
        <v>410</v>
      </c>
      <c r="C15" s="675" t="s">
        <v>405</v>
      </c>
      <c r="D15" s="706">
        <f>ROUND(MOS_Table_1!$D$19,0)</f>
        <v>0</v>
      </c>
      <c r="E15" s="707">
        <f>ROUND(MOS_Table_1!$E$19,0)</f>
        <v>8</v>
      </c>
      <c r="F15" s="707">
        <f>ROUND(MOS_Table_1!$F$19+MOS_Table_1!$G$19+MOS_Table_1!$I$19,0)</f>
        <v>42</v>
      </c>
      <c r="G15" s="705">
        <f>ROUND(MOS_Table_1!$J$19,0)</f>
        <v>50</v>
      </c>
      <c r="H15" s="654" t="s">
        <v>410</v>
      </c>
      <c r="I15" s="684" t="s">
        <v>405</v>
      </c>
      <c r="J15" s="726">
        <f>ROUND(MOS_Table_2!$H$13,0)</f>
        <v>125</v>
      </c>
      <c r="K15" s="723">
        <f>ROUND(MOS_Table_2!$I$13,0)</f>
        <v>1392</v>
      </c>
      <c r="L15" s="723">
        <f>ROUND(MOS_Table_2!$J$13+MOS_Table_2!$M$13+MOS_Table_2!$N$13,0)</f>
        <v>1792</v>
      </c>
      <c r="M15" s="723">
        <f>ROUND(MOS_Table_2!$O$13+MOS_Table_2!$R$13,0)</f>
        <v>909</v>
      </c>
      <c r="N15" s="724">
        <f>ROUND(MOS_Table_2!$O$13,0)</f>
        <v>791</v>
      </c>
      <c r="O15" s="723">
        <f>ROUND(MOS_Table_2!$U$13,0)</f>
        <v>2359</v>
      </c>
      <c r="P15" s="723">
        <f>ROUND(MOS_Table_2!$X$13,0)</f>
        <v>2032</v>
      </c>
      <c r="Q15" s="723">
        <f>ROUND(MOS_Table_2!$G$13+MOS_Table_2!$AA$13+MOS_Table_2!$AB$13,0)</f>
        <v>934</v>
      </c>
      <c r="R15" s="725">
        <f>ROUND(MOS_Table_2!$AC$13,0)</f>
        <v>9543</v>
      </c>
      <c r="S15" s="49"/>
      <c r="T15" s="737" t="str">
        <f>IF(R15&lt;&gt;J15+K15+L15+M15+O15+P15+Q15,"Total is not sum of the elements","")</f>
        <v/>
      </c>
      <c r="U15" s="49"/>
      <c r="V15" s="49"/>
      <c r="W15" s="384" t="s">
        <v>93</v>
      </c>
      <c r="X15" s="385" t="s">
        <v>93</v>
      </c>
      <c r="Y15" s="49"/>
      <c r="Z15" s="49"/>
      <c r="AA15" s="49"/>
      <c r="AB15" s="49"/>
      <c r="AC15" s="49"/>
      <c r="AD15" s="49"/>
      <c r="AE15" s="49"/>
      <c r="AF15" s="49"/>
      <c r="AG15" s="49"/>
      <c r="AH15" s="49"/>
      <c r="AI15" s="381" t="s">
        <v>486</v>
      </c>
      <c r="AJ15" s="49"/>
      <c r="AM15" s="274" t="s">
        <v>410</v>
      </c>
      <c r="AN15" s="275" t="s">
        <v>405</v>
      </c>
      <c r="AO15" s="105">
        <f>ROUND(MOS_Table_1!$D$19,0)</f>
        <v>0</v>
      </c>
      <c r="AP15" s="106">
        <f>ROUND(MOS_Table_1!$E$19,0)</f>
        <v>8</v>
      </c>
      <c r="AQ15" s="106">
        <f>ROUND(MOS_Table_1!$F$19+MOS_Table_1!$G$19+MOS_Table_1!$I$19,0)</f>
        <v>42</v>
      </c>
      <c r="AR15" s="104">
        <f>ROUND(MOS_Table_1!$J$19,0)</f>
        <v>50</v>
      </c>
      <c r="AS15" s="274" t="s">
        <v>410</v>
      </c>
      <c r="AT15" s="275" t="s">
        <v>405</v>
      </c>
      <c r="AU15" s="107">
        <f>ROUND(MOS_Table_2!$H$13,0)</f>
        <v>125</v>
      </c>
      <c r="AV15" s="119">
        <f>ROUND(MOS_Table_2!$I$13,0)</f>
        <v>1392</v>
      </c>
      <c r="AW15" s="119">
        <f>ROUND(MOS_Table_2!$J$13+MOS_Table_2!$M$13+MOS_Table_2!$N$13,0)</f>
        <v>1792</v>
      </c>
      <c r="AX15" s="119">
        <f>ROUND(MOS_Table_2!$O$13+MOS_Table_2!$R$13,0)</f>
        <v>909</v>
      </c>
      <c r="AY15" s="106">
        <f>ROUND(MOS_Table_2!$O$13,0)</f>
        <v>791</v>
      </c>
      <c r="AZ15" s="119">
        <f>ROUND(MOS_Table_2!$U$13,0)</f>
        <v>2359</v>
      </c>
      <c r="BA15" s="119">
        <f>ROUND(MOS_Table_2!$X$13,0)</f>
        <v>2032</v>
      </c>
      <c r="BB15" s="119">
        <f>ROUND(MOS_Table_2!$G$13+MOS_Table_2!$AA$13+MOS_Table_2!$AB$13,0)</f>
        <v>934</v>
      </c>
      <c r="BC15" s="104">
        <f>ROUND(MOS_Table_2!$AC$13,0)</f>
        <v>9543</v>
      </c>
      <c r="BF15" s="359" t="s">
        <v>410</v>
      </c>
      <c r="BG15" s="360" t="s">
        <v>405</v>
      </c>
      <c r="BH15" s="105">
        <f t="shared" si="0"/>
        <v>0</v>
      </c>
      <c r="BI15" s="106">
        <f t="shared" si="1"/>
        <v>0</v>
      </c>
      <c r="BJ15" s="106">
        <f t="shared" si="2"/>
        <v>0</v>
      </c>
      <c r="BK15" s="104">
        <f t="shared" si="3"/>
        <v>0</v>
      </c>
      <c r="BL15" s="359" t="s">
        <v>410</v>
      </c>
      <c r="BM15" s="360" t="s">
        <v>405</v>
      </c>
      <c r="BN15" s="107">
        <f t="shared" si="4"/>
        <v>0</v>
      </c>
      <c r="BO15" s="119">
        <f t="shared" si="5"/>
        <v>0</v>
      </c>
      <c r="BP15" s="119">
        <f>IF(DataFromMOS=FALSE,0,IF(L15&lt;&gt;AW15,1,0))</f>
        <v>0</v>
      </c>
      <c r="BQ15" s="119">
        <f t="shared" si="7"/>
        <v>0</v>
      </c>
      <c r="BR15" s="106">
        <f t="shared" si="8"/>
        <v>0</v>
      </c>
      <c r="BS15" s="119">
        <f t="shared" si="9"/>
        <v>0</v>
      </c>
      <c r="BT15" s="119">
        <f t="shared" si="10"/>
        <v>0</v>
      </c>
      <c r="BU15" s="119">
        <f t="shared" si="11"/>
        <v>0</v>
      </c>
      <c r="BV15" s="104">
        <f t="shared" si="12"/>
        <v>0</v>
      </c>
    </row>
    <row r="16" spans="1:74" ht="25.5" x14ac:dyDescent="0.2">
      <c r="B16" s="652" t="s">
        <v>409</v>
      </c>
      <c r="C16" s="676" t="s">
        <v>621</v>
      </c>
      <c r="D16" s="702"/>
      <c r="E16" s="703"/>
      <c r="F16" s="704">
        <f>ROUND(MOS_Table_1!$F$17+MOS_Table_1!$F$16,0)</f>
        <v>327</v>
      </c>
      <c r="G16" s="705">
        <f>ROUND(MOS_Table_1!$J$16+MOS_Table_1!$J$17,0)</f>
        <v>327</v>
      </c>
      <c r="H16" s="653" t="s">
        <v>410</v>
      </c>
      <c r="I16" s="683" t="s">
        <v>625</v>
      </c>
      <c r="J16" s="726">
        <f>ROUND(MOS_Table_2!$H$16,0)</f>
        <v>0</v>
      </c>
      <c r="K16" s="727">
        <f>ROUND(MOS_Table_2!$I$16,0)</f>
        <v>0</v>
      </c>
      <c r="L16" s="727">
        <f>ROUND(MOS_Table_2!$J$16+MOS_Table_2!$M$16+MOS_Table_2!$N$16,0)</f>
        <v>0</v>
      </c>
      <c r="M16" s="727">
        <f>ROUND(MOS_Table_2!$O$16+MOS_Table_2!$R$16,0)</f>
        <v>3</v>
      </c>
      <c r="N16" s="724">
        <f>ROUND(MOS_Table_2!$O$16,0)</f>
        <v>0</v>
      </c>
      <c r="O16" s="727">
        <f>ROUND(MOS_Table_2!$U$16,0)</f>
        <v>0</v>
      </c>
      <c r="P16" s="727">
        <f>ROUND(MOS_Table_2!$X$16,0)</f>
        <v>161</v>
      </c>
      <c r="Q16" s="727">
        <f>ROUND(MOS_Table_2!$F$16+MOS_Table_2!$G$16+MOS_Table_2!$AA$16+MOS_Table_2!$AB$16,0)</f>
        <v>38</v>
      </c>
      <c r="R16" s="725">
        <f>ROUND(MOS_Table_2!$AC$16,0)</f>
        <v>202</v>
      </c>
      <c r="S16" s="49"/>
      <c r="T16" s="737" t="str">
        <f>IF(R16&lt;&gt;J16+K16+L16+M16+O16+P16+Q16,"Total is not sum of the elements","")</f>
        <v/>
      </c>
      <c r="U16" s="49"/>
      <c r="V16" s="49"/>
      <c r="W16" s="384" t="s">
        <v>106</v>
      </c>
      <c r="X16" s="385" t="s">
        <v>94</v>
      </c>
      <c r="Y16" s="49"/>
      <c r="Z16" s="49"/>
      <c r="AA16" s="49"/>
      <c r="AB16" s="49"/>
      <c r="AC16" s="49"/>
      <c r="AD16" s="49"/>
      <c r="AE16" s="49"/>
      <c r="AF16" s="49"/>
      <c r="AG16" s="49"/>
      <c r="AH16" s="49"/>
      <c r="AI16" s="381" t="s">
        <v>487</v>
      </c>
      <c r="AJ16" s="49"/>
      <c r="AM16" s="274" t="s">
        <v>409</v>
      </c>
      <c r="AN16" s="276" t="s">
        <v>254</v>
      </c>
      <c r="AO16" s="229"/>
      <c r="AP16" s="230"/>
      <c r="AQ16" s="103">
        <f>ROUND(MOS_Table_1!$F$17+MOS_Table_1!$F$16,0)</f>
        <v>327</v>
      </c>
      <c r="AR16" s="104">
        <f>ROUND(MOS_Table_1!$J$16+MOS_Table_1!$J$17,0)</f>
        <v>327</v>
      </c>
      <c r="AS16" s="272" t="s">
        <v>410</v>
      </c>
      <c r="AT16" s="273" t="s">
        <v>427</v>
      </c>
      <c r="AU16" s="107">
        <f>ROUND(MOS_Table_2!$H$16,0)</f>
        <v>0</v>
      </c>
      <c r="AV16" s="120">
        <f>ROUND(MOS_Table_2!$I$16,0)</f>
        <v>0</v>
      </c>
      <c r="AW16" s="120">
        <f>ROUND(MOS_Table_2!$J$16+MOS_Table_2!$M$16+MOS_Table_2!$N$16,0)</f>
        <v>0</v>
      </c>
      <c r="AX16" s="120">
        <f>ROUND(MOS_Table_2!$O$16+MOS_Table_2!$R$16,0)</f>
        <v>3</v>
      </c>
      <c r="AY16" s="106">
        <f>ROUND(MOS_Table_2!$O$16,0)</f>
        <v>0</v>
      </c>
      <c r="AZ16" s="120">
        <f>ROUND(MOS_Table_2!$U$16,0)</f>
        <v>0</v>
      </c>
      <c r="BA16" s="120">
        <f>ROUND(MOS_Table_2!$X$16,0)</f>
        <v>161</v>
      </c>
      <c r="BB16" s="120">
        <f>ROUND(MOS_Table_2!$F$16+MOS_Table_2!$G$16+MOS_Table_2!$AA$16+MOS_Table_2!$AB$16,0)</f>
        <v>38</v>
      </c>
      <c r="BC16" s="104">
        <f>ROUND(MOS_Table_2!$AC$16,0)</f>
        <v>202</v>
      </c>
      <c r="BF16" s="359" t="s">
        <v>409</v>
      </c>
      <c r="BG16" s="361" t="s">
        <v>254</v>
      </c>
      <c r="BH16" s="229">
        <f t="shared" si="0"/>
        <v>0</v>
      </c>
      <c r="BI16" s="230">
        <f t="shared" si="1"/>
        <v>0</v>
      </c>
      <c r="BJ16" s="103">
        <f t="shared" si="2"/>
        <v>0</v>
      </c>
      <c r="BK16" s="104">
        <f t="shared" si="3"/>
        <v>0</v>
      </c>
      <c r="BL16" s="357" t="s">
        <v>410</v>
      </c>
      <c r="BM16" s="358" t="s">
        <v>427</v>
      </c>
      <c r="BN16" s="107">
        <f t="shared" si="4"/>
        <v>0</v>
      </c>
      <c r="BO16" s="120">
        <f t="shared" si="5"/>
        <v>0</v>
      </c>
      <c r="BP16" s="120">
        <f t="shared" si="6"/>
        <v>0</v>
      </c>
      <c r="BQ16" s="120">
        <f t="shared" si="7"/>
        <v>0</v>
      </c>
      <c r="BR16" s="106">
        <f t="shared" si="8"/>
        <v>0</v>
      </c>
      <c r="BS16" s="120">
        <f t="shared" si="9"/>
        <v>0</v>
      </c>
      <c r="BT16" s="120">
        <f t="shared" si="10"/>
        <v>0</v>
      </c>
      <c r="BU16" s="120">
        <f t="shared" si="11"/>
        <v>0</v>
      </c>
      <c r="BV16" s="104">
        <f t="shared" si="12"/>
        <v>0</v>
      </c>
    </row>
    <row r="17" spans="1:74" ht="15" x14ac:dyDescent="0.2">
      <c r="B17" s="655" t="s">
        <v>410</v>
      </c>
      <c r="C17" s="677" t="s">
        <v>622</v>
      </c>
      <c r="D17" s="706">
        <f>ROUND(MOS_Table_1!$D$20,0)</f>
        <v>68</v>
      </c>
      <c r="E17" s="707">
        <f>ROUND(MOS_Table_1!$E$20,0)</f>
        <v>65</v>
      </c>
      <c r="F17" s="707">
        <f>ROUND(MOS_Table_1!$F$20+MOS_Table_1!$G$20+MOS_Table_1!$I$20,0)</f>
        <v>350</v>
      </c>
      <c r="G17" s="705">
        <f>ROUND(MOS_Table_1!$J$20,0)</f>
        <v>483</v>
      </c>
      <c r="H17" s="653" t="s">
        <v>409</v>
      </c>
      <c r="I17" s="683" t="s">
        <v>435</v>
      </c>
      <c r="J17" s="726">
        <f>ROUND(MOS_Table_2!$H$15,0)</f>
        <v>-13</v>
      </c>
      <c r="K17" s="727">
        <f>ROUND(MOS_Table_2!$I$15,0)</f>
        <v>-693</v>
      </c>
      <c r="L17" s="727">
        <f>ROUND(MOS_Table_2!$J$15+MOS_Table_2!$M$15+MOS_Table_2!$N$15,0)</f>
        <v>903</v>
      </c>
      <c r="M17" s="727">
        <f>ROUND(MOS_Table_2!$O$15+MOS_Table_2!$R$15,0)</f>
        <v>-1</v>
      </c>
      <c r="N17" s="724">
        <f>ROUND(MOS_Table_2!$O$15,0)</f>
        <v>95</v>
      </c>
      <c r="O17" s="727">
        <f>ROUND(MOS_Table_2!$U$15,0)</f>
        <v>-130</v>
      </c>
      <c r="P17" s="727">
        <f>ROUND(MOS_Table_2!$X$15,0)</f>
        <v>109</v>
      </c>
      <c r="Q17" s="723">
        <f>ROUND(MOS_Table_2!$D$15+MOS_Table_2!$E$15+MOS_Table_2!$F$15+MOS_Table_2!$G$15+MOS_Table_2!$AA$15+MOS_Table_2!$AB$15,0)</f>
        <v>-189</v>
      </c>
      <c r="R17" s="725">
        <f>ROUND(MOS_Table_2!$AC$15,0)</f>
        <v>-14</v>
      </c>
      <c r="S17" s="49"/>
      <c r="T17" s="737" t="str">
        <f>IF(R17&lt;&gt;0,"Total should be zero",IF(R17&lt;&gt;J17+K17+L17+M17+O17+P17+Q17,"Total is not sum of the elements",""))</f>
        <v>Total should be zero</v>
      </c>
      <c r="U17" s="49"/>
      <c r="V17" s="49"/>
      <c r="W17" s="384" t="s">
        <v>107</v>
      </c>
      <c r="X17" s="385" t="s">
        <v>95</v>
      </c>
      <c r="Y17" s="49"/>
      <c r="Z17" s="49"/>
      <c r="AA17" s="49"/>
      <c r="AB17" s="49"/>
      <c r="AC17" s="49"/>
      <c r="AD17" s="49"/>
      <c r="AE17" s="49"/>
      <c r="AF17" s="49"/>
      <c r="AG17" s="49"/>
      <c r="AH17" s="49"/>
      <c r="AI17" s="381" t="s">
        <v>488</v>
      </c>
      <c r="AJ17" s="49"/>
      <c r="AM17" s="277" t="s">
        <v>410</v>
      </c>
      <c r="AN17" s="278" t="s">
        <v>399</v>
      </c>
      <c r="AO17" s="105">
        <f>ROUND(MOS_Table_1!$D$20,0)</f>
        <v>68</v>
      </c>
      <c r="AP17" s="106">
        <f>ROUND(MOS_Table_1!$E$20,0)</f>
        <v>65</v>
      </c>
      <c r="AQ17" s="106">
        <f>ROUND(MOS_Table_1!$F$20+MOS_Table_1!$G$20+MOS_Table_1!$I$20,0)</f>
        <v>350</v>
      </c>
      <c r="AR17" s="104">
        <f>ROUND(MOS_Table_1!$J$20,0)</f>
        <v>483</v>
      </c>
      <c r="AS17" s="272" t="s">
        <v>409</v>
      </c>
      <c r="AT17" s="273" t="s">
        <v>434</v>
      </c>
      <c r="AU17" s="107">
        <f>ROUND(MOS_Table_2!$H$15,0)</f>
        <v>-13</v>
      </c>
      <c r="AV17" s="120">
        <f>ROUND(MOS_Table_2!$I$15,0)</f>
        <v>-693</v>
      </c>
      <c r="AW17" s="120">
        <f>ROUND(MOS_Table_2!$J$15+MOS_Table_2!$M$15+MOS_Table_2!$N$15,0)</f>
        <v>903</v>
      </c>
      <c r="AX17" s="120">
        <f>ROUND(MOS_Table_2!$O$15+MOS_Table_2!$R$15,0)</f>
        <v>-1</v>
      </c>
      <c r="AY17" s="106">
        <f>ROUND(MOS_Table_2!$O$15,0)</f>
        <v>95</v>
      </c>
      <c r="AZ17" s="120">
        <f>ROUND(MOS_Table_2!$U$15,0)</f>
        <v>-130</v>
      </c>
      <c r="BA17" s="120">
        <f>ROUND(MOS_Table_2!$X$15,0)</f>
        <v>109</v>
      </c>
      <c r="BB17" s="120">
        <f>ROUND(MOS_Table_2!$D$15+MOS_Table_2!$E$15+MOS_Table_2!$F$15+MOS_Table_2!$G$15+MOS_Table_2!$AA$15+MOS_Table_2!$AB$15,0)</f>
        <v>-189</v>
      </c>
      <c r="BC17" s="104">
        <f>ROUND(MOS_Table_2!$AC$15,0)</f>
        <v>-14</v>
      </c>
      <c r="BF17" s="362" t="s">
        <v>410</v>
      </c>
      <c r="BG17" s="363" t="s">
        <v>399</v>
      </c>
      <c r="BH17" s="105">
        <f t="shared" si="0"/>
        <v>0</v>
      </c>
      <c r="BI17" s="106">
        <f t="shared" si="1"/>
        <v>0</v>
      </c>
      <c r="BJ17" s="106">
        <f t="shared" si="2"/>
        <v>0</v>
      </c>
      <c r="BK17" s="104">
        <f t="shared" si="3"/>
        <v>0</v>
      </c>
      <c r="BL17" s="357" t="s">
        <v>409</v>
      </c>
      <c r="BM17" s="358" t="s">
        <v>434</v>
      </c>
      <c r="BN17" s="107">
        <f t="shared" si="4"/>
        <v>0</v>
      </c>
      <c r="BO17" s="120">
        <f t="shared" si="5"/>
        <v>0</v>
      </c>
      <c r="BP17" s="120">
        <f t="shared" si="6"/>
        <v>0</v>
      </c>
      <c r="BQ17" s="120">
        <f t="shared" si="7"/>
        <v>0</v>
      </c>
      <c r="BR17" s="106">
        <f t="shared" si="8"/>
        <v>0</v>
      </c>
      <c r="BS17" s="120">
        <f t="shared" si="9"/>
        <v>0</v>
      </c>
      <c r="BT17" s="120">
        <f t="shared" si="10"/>
        <v>0</v>
      </c>
      <c r="BU17" s="120">
        <f t="shared" si="11"/>
        <v>0</v>
      </c>
      <c r="BV17" s="104">
        <f t="shared" si="12"/>
        <v>0</v>
      </c>
    </row>
    <row r="18" spans="1:74" ht="15.75" thickBot="1" x14ac:dyDescent="0.25">
      <c r="B18" s="656" t="s">
        <v>410</v>
      </c>
      <c r="C18" s="678" t="s">
        <v>623</v>
      </c>
      <c r="D18" s="708">
        <f>ROUND(MOS_Table_1!$D$21,0)</f>
        <v>381</v>
      </c>
      <c r="E18" s="704">
        <f>ROUND(MOS_Table_1!$E$21,0)</f>
        <v>195</v>
      </c>
      <c r="F18" s="704">
        <f>ROUND(MOS_Table_1!$F$21+MOS_Table_1!$G$21+MOS_Table_1!$I$21,0)</f>
        <v>-21</v>
      </c>
      <c r="G18" s="705">
        <f>ROUND(MOS_Table_1!$J$21,0)</f>
        <v>555</v>
      </c>
      <c r="H18" s="654" t="s">
        <v>410</v>
      </c>
      <c r="I18" s="684" t="s">
        <v>623</v>
      </c>
      <c r="J18" s="722">
        <f>ROUND(MOS_Table_2!$H$17,0)</f>
        <v>13</v>
      </c>
      <c r="K18" s="723">
        <f>ROUND(MOS_Table_2!$I$17,0)</f>
        <v>-181</v>
      </c>
      <c r="L18" s="723">
        <f>ROUND(MOS_Table_2!$J$17+MOS_Table_2!$M$17+MOS_Table_2!$N$17,0)</f>
        <v>-109</v>
      </c>
      <c r="M18" s="723">
        <f>ROUND(MOS_Table_2!$O$17+MOS_Table_2!$R$17,0)</f>
        <v>-73</v>
      </c>
      <c r="N18" s="728">
        <f>ROUND(MOS_Table_2!$O$17,0)</f>
        <v>-63</v>
      </c>
      <c r="O18" s="723">
        <f>ROUND(MOS_Table_2!$U$17,0)</f>
        <v>-332</v>
      </c>
      <c r="P18" s="723">
        <f>ROUND(MOS_Table_2!$X$17,0)</f>
        <v>-249</v>
      </c>
      <c r="Q18" s="723">
        <f>ROUND(MOS_Table_2!$F$17+MOS_Table_2!$G$17+MOS_Table_2!$AA$17+MOS_Table_2!$AB$17,0)</f>
        <v>-3</v>
      </c>
      <c r="R18" s="729">
        <f>ROUND(MOS_Table_2!$AC$17,0)</f>
        <v>-934</v>
      </c>
      <c r="S18" s="49"/>
      <c r="T18" s="737" t="str">
        <f>IF(R18&lt;&gt;J18+K18+L18+M18+O18+P18+Q18,"Total is not sum of the elements","")</f>
        <v/>
      </c>
      <c r="U18" s="49"/>
      <c r="V18" s="49"/>
      <c r="W18" s="384" t="s">
        <v>97</v>
      </c>
      <c r="X18" s="385" t="s">
        <v>97</v>
      </c>
      <c r="Y18" s="49"/>
      <c r="Z18" s="49"/>
      <c r="AA18" s="49"/>
      <c r="AB18" s="49"/>
      <c r="AC18" s="49"/>
      <c r="AD18" s="49"/>
      <c r="AE18" s="49"/>
      <c r="AF18" s="49"/>
      <c r="AG18" s="49"/>
      <c r="AH18" s="49"/>
      <c r="AI18" s="381" t="s">
        <v>489</v>
      </c>
      <c r="AJ18" s="49"/>
      <c r="AM18" s="279" t="s">
        <v>410</v>
      </c>
      <c r="AN18" s="280" t="s">
        <v>411</v>
      </c>
      <c r="AO18" s="107">
        <f>ROUND(MOS_Table_1!$D$21,0)</f>
        <v>381</v>
      </c>
      <c r="AP18" s="103">
        <f>ROUND(MOS_Table_1!$E$21,0)</f>
        <v>195</v>
      </c>
      <c r="AQ18" s="103">
        <f>ROUND(MOS_Table_1!$F$21+MOS_Table_1!$G$21+MOS_Table_1!$I$21,0)</f>
        <v>-21</v>
      </c>
      <c r="AR18" s="104">
        <f>ROUND(MOS_Table_1!$J$21,0)</f>
        <v>555</v>
      </c>
      <c r="AS18" s="274" t="s">
        <v>410</v>
      </c>
      <c r="AT18" s="275" t="s">
        <v>411</v>
      </c>
      <c r="AU18" s="105">
        <f>ROUND(MOS_Table_2!$H$17,0)</f>
        <v>13</v>
      </c>
      <c r="AV18" s="119">
        <f>ROUND(MOS_Table_2!$I$17,0)</f>
        <v>-181</v>
      </c>
      <c r="AW18" s="119">
        <f>ROUND(MOS_Table_2!$J$17+MOS_Table_2!$M$17+MOS_Table_2!$N$17,0)</f>
        <v>-109</v>
      </c>
      <c r="AX18" s="119">
        <f>ROUND(MOS_Table_2!$O$17+MOS_Table_2!$R$17,0)</f>
        <v>-73</v>
      </c>
      <c r="AY18" s="121">
        <f>ROUND(MOS_Table_2!$O$17,0)</f>
        <v>-63</v>
      </c>
      <c r="AZ18" s="119">
        <f>ROUND(MOS_Table_2!$U$17,0)</f>
        <v>-332</v>
      </c>
      <c r="BA18" s="119">
        <f>ROUND(MOS_Table_2!$X$17,0)</f>
        <v>-249</v>
      </c>
      <c r="BB18" s="119">
        <f>ROUND(MOS_Table_2!$F$17+MOS_Table_2!$G$17+MOS_Table_2!$AA$17+MOS_Table_2!$AB$17,0)</f>
        <v>-3</v>
      </c>
      <c r="BC18" s="122">
        <f>ROUND(MOS_Table_2!$AC$17,0)</f>
        <v>-934</v>
      </c>
      <c r="BF18" s="364" t="s">
        <v>410</v>
      </c>
      <c r="BG18" s="365" t="s">
        <v>411</v>
      </c>
      <c r="BH18" s="107">
        <f t="shared" si="0"/>
        <v>0</v>
      </c>
      <c r="BI18" s="103">
        <f t="shared" si="1"/>
        <v>0</v>
      </c>
      <c r="BJ18" s="103">
        <f t="shared" si="2"/>
        <v>0</v>
      </c>
      <c r="BK18" s="104">
        <f t="shared" si="3"/>
        <v>0</v>
      </c>
      <c r="BL18" s="359" t="s">
        <v>410</v>
      </c>
      <c r="BM18" s="360" t="s">
        <v>411</v>
      </c>
      <c r="BN18" s="105">
        <f t="shared" si="4"/>
        <v>0</v>
      </c>
      <c r="BO18" s="119">
        <f t="shared" si="5"/>
        <v>0</v>
      </c>
      <c r="BP18" s="119">
        <f t="shared" si="6"/>
        <v>0</v>
      </c>
      <c r="BQ18" s="119">
        <f t="shared" si="7"/>
        <v>0</v>
      </c>
      <c r="BR18" s="121">
        <f t="shared" si="8"/>
        <v>0</v>
      </c>
      <c r="BS18" s="119">
        <f t="shared" si="9"/>
        <v>0</v>
      </c>
      <c r="BT18" s="119">
        <f t="shared" si="10"/>
        <v>0</v>
      </c>
      <c r="BU18" s="119">
        <f t="shared" si="11"/>
        <v>0</v>
      </c>
      <c r="BV18" s="122">
        <f t="shared" si="12"/>
        <v>0</v>
      </c>
    </row>
    <row r="19" spans="1:74" ht="15.75" thickBot="1" x14ac:dyDescent="0.25">
      <c r="B19" s="648" t="s">
        <v>410</v>
      </c>
      <c r="C19" s="679" t="s">
        <v>272</v>
      </c>
      <c r="D19" s="709">
        <f>ROUND(MOS_Table_1!$D$23,0)</f>
        <v>138</v>
      </c>
      <c r="E19" s="709">
        <f>ROUND(MOS_Table_1!$E$23,0)</f>
        <v>1</v>
      </c>
      <c r="F19" s="709">
        <f>ROUND(MOS_Table_1!$F$23+MOS_Table_1!$G$23+MOS_Table_1!$I$23,0)</f>
        <v>0</v>
      </c>
      <c r="G19" s="710">
        <f>ROUND(MOS_Table_1!$J$23,0)</f>
        <v>139</v>
      </c>
      <c r="H19" s="649" t="s">
        <v>410</v>
      </c>
      <c r="I19" s="685" t="s">
        <v>272</v>
      </c>
      <c r="J19" s="730">
        <f>ROUND(MOS_Table_2!$H$19,0)</f>
        <v>0</v>
      </c>
      <c r="K19" s="730">
        <f>ROUND(MOS_Table_2!$I$19,0)</f>
        <v>-48</v>
      </c>
      <c r="L19" s="730">
        <f>ROUND(MOS_Table_2!$J$19+MOS_Table_2!$M$19+MOS_Table_2!$N$19,0)</f>
        <v>3</v>
      </c>
      <c r="M19" s="730">
        <f>ROUND(MOS_Table_2!$O$19+MOS_Table_2!$R$19,0)</f>
        <v>-1</v>
      </c>
      <c r="N19" s="730">
        <f>ROUND(MOS_Table_2!$O$19,0)</f>
        <v>0</v>
      </c>
      <c r="O19" s="730">
        <f>ROUND(MOS_Table_2!$U$19,0)</f>
        <v>1</v>
      </c>
      <c r="P19" s="730">
        <f>ROUND(MOS_Table_2!$X$19,0)</f>
        <v>32</v>
      </c>
      <c r="Q19" s="730">
        <f>ROUND(MOS_Table_2!$D$19+MOS_Table_2!$E$19+MOS_Table_2!$F$19+MOS_Table_2!$G$19+MOS_Table_2!$AA$19+MOS_Table_2!$AB$19,0)</f>
        <v>-6</v>
      </c>
      <c r="R19" s="731">
        <f>ROUND(MOS_Table_2!$AC$19,0)</f>
        <v>-19</v>
      </c>
      <c r="S19" s="49"/>
      <c r="T19" s="737" t="str">
        <f>IF(R19&lt;&gt;J19+K19+L19+M19+O19+P19+Q19,"Total is not sum of the elements","")</f>
        <v/>
      </c>
      <c r="U19" s="49"/>
      <c r="V19" s="49"/>
      <c r="W19" s="384" t="s">
        <v>96</v>
      </c>
      <c r="X19" s="385" t="s">
        <v>96</v>
      </c>
      <c r="Y19" s="49"/>
      <c r="Z19" s="49"/>
      <c r="AA19" s="49"/>
      <c r="AB19" s="49"/>
      <c r="AC19" s="49"/>
      <c r="AD19" s="49"/>
      <c r="AE19" s="49"/>
      <c r="AF19" s="49"/>
      <c r="AG19" s="49"/>
      <c r="AH19" s="49"/>
      <c r="AI19" s="381" t="s">
        <v>490</v>
      </c>
      <c r="AJ19" s="49"/>
      <c r="AM19" s="270" t="s">
        <v>410</v>
      </c>
      <c r="AN19" s="281" t="s">
        <v>402</v>
      </c>
      <c r="AO19" s="108">
        <f>ROUND(MOS_Table_1!$D$23,0)</f>
        <v>138</v>
      </c>
      <c r="AP19" s="108">
        <f>ROUND(MOS_Table_1!$E$23,0)</f>
        <v>1</v>
      </c>
      <c r="AQ19" s="108">
        <f>ROUND(MOS_Table_1!$F$23+MOS_Table_1!$G$23+MOS_Table_1!$I$23,0)</f>
        <v>0</v>
      </c>
      <c r="AR19" s="109">
        <f>ROUND(MOS_Table_1!$J$23,0)</f>
        <v>139</v>
      </c>
      <c r="AS19" s="270" t="s">
        <v>410</v>
      </c>
      <c r="AT19" s="281" t="s">
        <v>402</v>
      </c>
      <c r="AU19" s="108">
        <f>ROUND(MOS_Table_2!$H$19,0)</f>
        <v>0</v>
      </c>
      <c r="AV19" s="108">
        <f>ROUND(MOS_Table_2!$I$19,0)</f>
        <v>-48</v>
      </c>
      <c r="AW19" s="108">
        <f>ROUND(MOS_Table_2!$J$19+MOS_Table_2!$M$19+MOS_Table_2!$N$19,0)</f>
        <v>3</v>
      </c>
      <c r="AX19" s="108">
        <f>ROUND(MOS_Table_2!$O$19+MOS_Table_2!$R$19,0)</f>
        <v>-1</v>
      </c>
      <c r="AY19" s="108">
        <f>ROUND(MOS_Table_2!$O$19,0)</f>
        <v>0</v>
      </c>
      <c r="AZ19" s="108">
        <f>ROUND(MOS_Table_2!$U$19,0)</f>
        <v>1</v>
      </c>
      <c r="BA19" s="108">
        <f>ROUND(MOS_Table_2!$X$19,0)</f>
        <v>32</v>
      </c>
      <c r="BB19" s="375">
        <f>ROUND(MOS_Table_2!$D$19+MOS_Table_2!$E$19+MOS_Table_2!$F$19+MOS_Table_2!$G$19+MOS_Table_2!$AA$19+MOS_Table_2!$AB$19,0)</f>
        <v>-6</v>
      </c>
      <c r="BC19" s="123">
        <f>ROUND(MOS_Table_2!$AC$19,0)</f>
        <v>-19</v>
      </c>
      <c r="BF19" s="355" t="s">
        <v>410</v>
      </c>
      <c r="BG19" s="366" t="s">
        <v>402</v>
      </c>
      <c r="BH19" s="108">
        <f t="shared" si="0"/>
        <v>0</v>
      </c>
      <c r="BI19" s="108">
        <f t="shared" si="1"/>
        <v>0</v>
      </c>
      <c r="BJ19" s="108">
        <f t="shared" si="2"/>
        <v>0</v>
      </c>
      <c r="BK19" s="109">
        <f t="shared" si="3"/>
        <v>0</v>
      </c>
      <c r="BL19" s="355" t="s">
        <v>410</v>
      </c>
      <c r="BM19" s="366" t="s">
        <v>402</v>
      </c>
      <c r="BN19" s="108">
        <f t="shared" si="4"/>
        <v>0</v>
      </c>
      <c r="BO19" s="108">
        <f t="shared" si="5"/>
        <v>0</v>
      </c>
      <c r="BP19" s="108">
        <f t="shared" si="6"/>
        <v>0</v>
      </c>
      <c r="BQ19" s="108">
        <f t="shared" si="7"/>
        <v>0</v>
      </c>
      <c r="BR19" s="108">
        <f t="shared" si="8"/>
        <v>0</v>
      </c>
      <c r="BS19" s="108">
        <f t="shared" si="9"/>
        <v>0</v>
      </c>
      <c r="BT19" s="108">
        <f t="shared" si="10"/>
        <v>0</v>
      </c>
      <c r="BU19" s="108">
        <f t="shared" si="11"/>
        <v>0</v>
      </c>
      <c r="BV19" s="123">
        <f t="shared" si="12"/>
        <v>0</v>
      </c>
    </row>
    <row r="20" spans="1:74" ht="15" x14ac:dyDescent="0.2">
      <c r="B20" s="657" t="s">
        <v>426</v>
      </c>
      <c r="C20" s="679" t="s">
        <v>624</v>
      </c>
      <c r="D20" s="711">
        <f>ROUND(MOS_Table_1!$D$24,0)</f>
        <v>4486</v>
      </c>
      <c r="E20" s="712">
        <f>ROUND(MOS_Table_1!$E$24,0)</f>
        <v>586</v>
      </c>
      <c r="F20" s="712">
        <f>ROUND(MOS_Table_1!$F$24+MOS_Table_1!$G$24+MOS_Table_1!$I$24,0)</f>
        <v>203</v>
      </c>
      <c r="G20" s="713">
        <f>ROUND(MOS_Table_1!$J$24,0)</f>
        <v>5275</v>
      </c>
      <c r="H20" s="658" t="s">
        <v>426</v>
      </c>
      <c r="I20" s="685" t="s">
        <v>400</v>
      </c>
      <c r="J20" s="717">
        <f>ROUND(MOS_Table_2!$H$11+MOS_Table_2!$H$14+MOS_Table_2!$H$20,0)</f>
        <v>195</v>
      </c>
      <c r="K20" s="718">
        <f>ROUND(MOS_Table_2!$I$11+MOS_Table_2!$I$14+MOS_Table_2!$I$20,0)</f>
        <v>502</v>
      </c>
      <c r="L20" s="718">
        <f>ROUND(MOS_Table_2!$J$11+MOS_Table_2!$J$14+MOS_Table_2!$J$20+MOS_Table_2!$M$11+MOS_Table_2!$M$14+MOS_Table_2!$M$20+MOS_Table_2!$N$11+MOS_Table_2!$N$14+MOS_Table_2!$N$20,0)</f>
        <v>334</v>
      </c>
      <c r="M20" s="718">
        <f>ROUND(MOS_Table_2!$O$11+MOS_Table_2!$O$14+MOS_Table_2!$O$20+MOS_Table_2!$R$11+MOS_Table_2!$R$14+MOS_Table_2!$R$20,0)</f>
        <v>314</v>
      </c>
      <c r="N20" s="719">
        <f>ROUND(MOS_Table_2!$O$11+MOS_Table_2!$O$14+MOS_Table_2!$O$20,0)</f>
        <v>308</v>
      </c>
      <c r="O20" s="718">
        <f>ROUND(MOS_Table_2!$U$11+MOS_Table_2!$U$14+MOS_Table_2!$U$20,0)</f>
        <v>606</v>
      </c>
      <c r="P20" s="718">
        <f>ROUND(MOS_Table_2!$X$11+MOS_Table_2!$X$14+MOS_Table_2!$X$20,0)</f>
        <v>712</v>
      </c>
      <c r="Q20" s="718">
        <f>ROUND(MOS_Table_2!$D$20+MOS_Table_2!$E$20+MOS_Table_2!$F$11+MOS_Table_2!$F$14+MOS_Table_2!$F$20+MOS_Table_2!$G$11+MOS_Table_2!$G$14+MOS_Table_2!$G$20+MOS_Table_2!$AA$11+MOS_Table_2!$AA$14+MOS_Table_2!$AA$20+MOS_Table_2!$AB$11+MOS_Table_2!$AB$14+MOS_Table_2!$AB$20,0)</f>
        <v>424</v>
      </c>
      <c r="R20" s="721">
        <f>ROUND(MOS_Table_2!$AC$11+MOS_Table_2!$AC$14+MOS_Table_2!$AC$20,0)</f>
        <v>3087</v>
      </c>
      <c r="S20" s="49"/>
      <c r="T20" s="737" t="str">
        <f>IF(R20&lt;&gt;J20+K20+L20+M20+O20+P20+Q20,"Total is not sum of the elements","")</f>
        <v/>
      </c>
      <c r="U20" s="49"/>
      <c r="V20" s="49"/>
      <c r="W20" s="384" t="s">
        <v>108</v>
      </c>
      <c r="X20" s="385" t="s">
        <v>81</v>
      </c>
      <c r="Y20" s="49"/>
      <c r="Z20" s="49"/>
      <c r="AA20" s="49"/>
      <c r="AB20" s="49"/>
      <c r="AC20" s="49"/>
      <c r="AD20" s="49"/>
      <c r="AE20" s="49"/>
      <c r="AF20" s="49"/>
      <c r="AG20" s="49"/>
      <c r="AH20" s="49"/>
      <c r="AI20" s="381" t="s">
        <v>491</v>
      </c>
      <c r="AJ20" s="49"/>
      <c r="AM20" s="282" t="s">
        <v>426</v>
      </c>
      <c r="AN20" s="281" t="s">
        <v>406</v>
      </c>
      <c r="AO20" s="110">
        <f>ROUND(MOS_Table_1!$D$24,0)</f>
        <v>4486</v>
      </c>
      <c r="AP20" s="111">
        <f>ROUND(MOS_Table_1!$E$24,0)</f>
        <v>586</v>
      </c>
      <c r="AQ20" s="111">
        <f>ROUND(MOS_Table_1!$F$24+MOS_Table_1!$G$24+MOS_Table_1!$I$24,0)</f>
        <v>203</v>
      </c>
      <c r="AR20" s="112">
        <f>ROUND(MOS_Table_1!$J$24,0)</f>
        <v>5275</v>
      </c>
      <c r="AS20" s="282" t="s">
        <v>426</v>
      </c>
      <c r="AT20" s="281" t="s">
        <v>400</v>
      </c>
      <c r="AU20" s="110">
        <f>ROUND(MOS_Table_2!$H$11+MOS_Table_2!$H$14+MOS_Table_2!$H$20,0)</f>
        <v>195</v>
      </c>
      <c r="AV20" s="116">
        <f>ROUND(MOS_Table_2!$I$11+MOS_Table_2!$I$14+MOS_Table_2!$I$20,0)</f>
        <v>502</v>
      </c>
      <c r="AW20" s="116">
        <f>ROUND(MOS_Table_2!$J$11+MOS_Table_2!$J$14+MOS_Table_2!$J$20+MOS_Table_2!$M$11+MOS_Table_2!$M$14+MOS_Table_2!$M$20+MOS_Table_2!$N$11+MOS_Table_2!$N$14+MOS_Table_2!$N$20,0)</f>
        <v>334</v>
      </c>
      <c r="AX20" s="116">
        <f>ROUND(MOS_Table_2!$O$11+MOS_Table_2!$O$14+MOS_Table_2!$O$20+MOS_Table_2!$R$11+MOS_Table_2!$R$14+MOS_Table_2!$R$20,0)</f>
        <v>314</v>
      </c>
      <c r="AY20" s="99">
        <f>ROUND(MOS_Table_2!$O$11+MOS_Table_2!$O$14+MOS_Table_2!$O$20,0)</f>
        <v>308</v>
      </c>
      <c r="AZ20" s="116">
        <f>ROUND(MOS_Table_2!$U$11+MOS_Table_2!$U$14+MOS_Table_2!$U$20,0)</f>
        <v>606</v>
      </c>
      <c r="BA20" s="116">
        <f>ROUND(MOS_Table_2!$X$11+MOS_Table_2!$X$14+MOS_Table_2!$X$20,0)</f>
        <v>712</v>
      </c>
      <c r="BB20" s="116">
        <f>ROUND(MOS_Table_2!$D$20+MOS_Table_2!$E$20+MOS_Table_2!$F$11+MOS_Table_2!$F$14+MOS_Table_2!$F$20+MOS_Table_2!$G$11+MOS_Table_2!$G$14+MOS_Table_2!$G$20+MOS_Table_2!$AA$11+MOS_Table_2!$AA$14+MOS_Table_2!$AA$20+MOS_Table_2!$AB$11+MOS_Table_2!$AB$14+MOS_Table_2!$AB$20,0)</f>
        <v>424</v>
      </c>
      <c r="BC20" s="118">
        <f>ROUND(MOS_Table_2!$AC$11+MOS_Table_2!$AC$14+MOS_Table_2!$AC$20,0)</f>
        <v>3087</v>
      </c>
      <c r="BF20" s="367" t="s">
        <v>426</v>
      </c>
      <c r="BG20" s="366" t="s">
        <v>406</v>
      </c>
      <c r="BH20" s="110">
        <f t="shared" si="0"/>
        <v>0</v>
      </c>
      <c r="BI20" s="111">
        <f t="shared" si="1"/>
        <v>0</v>
      </c>
      <c r="BJ20" s="111">
        <f t="shared" si="2"/>
        <v>0</v>
      </c>
      <c r="BK20" s="112">
        <f t="shared" si="3"/>
        <v>0</v>
      </c>
      <c r="BL20" s="367" t="s">
        <v>426</v>
      </c>
      <c r="BM20" s="366" t="s">
        <v>400</v>
      </c>
      <c r="BN20" s="110">
        <f t="shared" si="4"/>
        <v>0</v>
      </c>
      <c r="BO20" s="116">
        <f t="shared" si="5"/>
        <v>0</v>
      </c>
      <c r="BP20" s="116">
        <f t="shared" si="6"/>
        <v>0</v>
      </c>
      <c r="BQ20" s="116">
        <f t="shared" si="7"/>
        <v>0</v>
      </c>
      <c r="BR20" s="99">
        <f t="shared" si="8"/>
        <v>0</v>
      </c>
      <c r="BS20" s="116">
        <f t="shared" si="9"/>
        <v>0</v>
      </c>
      <c r="BT20" s="116">
        <f t="shared" si="10"/>
        <v>0</v>
      </c>
      <c r="BU20" s="116">
        <f t="shared" si="11"/>
        <v>0</v>
      </c>
      <c r="BV20" s="118">
        <f t="shared" si="12"/>
        <v>0</v>
      </c>
    </row>
    <row r="21" spans="1:74" ht="15.75" thickBot="1" x14ac:dyDescent="0.25">
      <c r="B21" s="659"/>
      <c r="C21" s="680" t="s">
        <v>412</v>
      </c>
      <c r="D21" s="714">
        <f>ROUND(MOS_Table_5!$D$9,0)</f>
        <v>4291</v>
      </c>
      <c r="E21" s="715">
        <f>ROUND(MOS_Table_5!$E$9,0)</f>
        <v>533</v>
      </c>
      <c r="F21" s="715">
        <f>ROUND(MOS_Table_5!$F$9+MOS_Table_5!$G$9+MOS_Table_5!$I$9,0)</f>
        <v>1419</v>
      </c>
      <c r="G21" s="716">
        <f>ROUND(MOS_Table_5!$J$9,0)</f>
        <v>6243</v>
      </c>
      <c r="H21" s="660"/>
      <c r="I21" s="686" t="s">
        <v>412</v>
      </c>
      <c r="J21" s="732">
        <f>ROUND(MOS_Table_5!$L$9,0)</f>
        <v>73</v>
      </c>
      <c r="K21" s="733">
        <f>ROUND(MOS_Table_5!$M$9,0)</f>
        <v>1621</v>
      </c>
      <c r="L21" s="733">
        <f>ROUND(MOS_Table_5!$N$9+MOS_Table_5!$Q$9+MOS_Table_5!$R$9,0)</f>
        <v>964</v>
      </c>
      <c r="M21" s="733">
        <f>ROUND(MOS_Table_5!$S$9+MOS_Table_5!$V$9,0)</f>
        <v>608</v>
      </c>
      <c r="N21" s="734">
        <f>ROUND(MOS_Table_5!$S$9,0)</f>
        <v>553</v>
      </c>
      <c r="O21" s="733">
        <f>ROUND(MOS_Table_5!$Y$9,0)</f>
        <v>2920</v>
      </c>
      <c r="P21" s="733">
        <f>ROUND(MOS_Table_5!$AB$9,0)</f>
        <v>2177</v>
      </c>
      <c r="Q21" s="733">
        <f>ROUND(MOS_Table_5!$K$9+MOS_Table_5!$AE$9+MOS_Table_5!$AF$9,0)</f>
        <v>710</v>
      </c>
      <c r="R21" s="735">
        <f>ROUND(MOS_Table_5!$AG$9,0)</f>
        <v>9073</v>
      </c>
      <c r="S21" s="49"/>
      <c r="T21" s="738" t="str">
        <f>IF(R21&lt;&gt;J21+K21+L21+M21+O21+P21+Q21,"Total is not sum of the elements","")</f>
        <v/>
      </c>
      <c r="U21" s="49"/>
      <c r="V21" s="49"/>
      <c r="W21" s="384" t="s">
        <v>109</v>
      </c>
      <c r="X21" s="385" t="s">
        <v>109</v>
      </c>
      <c r="Y21" s="49"/>
      <c r="Z21" s="49"/>
      <c r="AA21" s="49"/>
      <c r="AB21" s="49"/>
      <c r="AC21" s="49"/>
      <c r="AD21" s="49"/>
      <c r="AE21" s="49"/>
      <c r="AF21" s="49"/>
      <c r="AG21" s="49"/>
      <c r="AH21" s="49"/>
      <c r="AI21" s="381" t="s">
        <v>492</v>
      </c>
      <c r="AJ21" s="49"/>
      <c r="AM21" s="283"/>
      <c r="AN21" s="284" t="s">
        <v>412</v>
      </c>
      <c r="AO21" s="113">
        <f>ROUND(MOS_Table_5!$D$9,0)</f>
        <v>4291</v>
      </c>
      <c r="AP21" s="114">
        <f>ROUND(MOS_Table_5!$E$9,0)</f>
        <v>533</v>
      </c>
      <c r="AQ21" s="114">
        <f>ROUND(MOS_Table_5!$F$9+MOS_Table_5!$G$9+MOS_Table_5!$I$9,0)</f>
        <v>1419</v>
      </c>
      <c r="AR21" s="115">
        <f>ROUND(MOS_Table_5!$J$9,0)</f>
        <v>6243</v>
      </c>
      <c r="AS21" s="283"/>
      <c r="AT21" s="284" t="s">
        <v>412</v>
      </c>
      <c r="AU21" s="113">
        <f>ROUND(MOS_Table_5!$L$9,0)</f>
        <v>73</v>
      </c>
      <c r="AV21" s="114">
        <f>ROUND(MOS_Table_5!$M$9,0)</f>
        <v>1621</v>
      </c>
      <c r="AW21" s="114">
        <f>ROUND(MOS_Table_5!$N$9+MOS_Table_5!$Q$9+MOS_Table_5!$R$9,0)</f>
        <v>964</v>
      </c>
      <c r="AX21" s="114">
        <f>ROUND(MOS_Table_5!$S$9+MOS_Table_5!$V$9,0)</f>
        <v>608</v>
      </c>
      <c r="AY21" s="124">
        <f>ROUND(MOS_Table_5!$S$9,0)</f>
        <v>553</v>
      </c>
      <c r="AZ21" s="114">
        <f>ROUND(MOS_Table_5!$Y$9,0)</f>
        <v>2920</v>
      </c>
      <c r="BA21" s="114">
        <f>ROUND(MOS_Table_5!$AB$9,0)</f>
        <v>2177</v>
      </c>
      <c r="BB21" s="114">
        <f>ROUND(MOS_Table_5!$K$9+MOS_Table_5!$AE$9+MOS_Table_5!$AF$9,0)</f>
        <v>710</v>
      </c>
      <c r="BC21" s="125">
        <f>ROUND(MOS_Table_5!$AG$9,0)</f>
        <v>9073</v>
      </c>
      <c r="BF21" s="368"/>
      <c r="BG21" s="369" t="s">
        <v>412</v>
      </c>
      <c r="BH21" s="113">
        <f t="shared" si="0"/>
        <v>0</v>
      </c>
      <c r="BI21" s="114">
        <f t="shared" si="1"/>
        <v>0</v>
      </c>
      <c r="BJ21" s="114">
        <f t="shared" si="2"/>
        <v>0</v>
      </c>
      <c r="BK21" s="115">
        <f t="shared" si="3"/>
        <v>0</v>
      </c>
      <c r="BL21" s="368"/>
      <c r="BM21" s="369" t="s">
        <v>412</v>
      </c>
      <c r="BN21" s="113">
        <f t="shared" si="4"/>
        <v>0</v>
      </c>
      <c r="BO21" s="114">
        <f t="shared" si="5"/>
        <v>0</v>
      </c>
      <c r="BP21" s="114">
        <f t="shared" si="6"/>
        <v>0</v>
      </c>
      <c r="BQ21" s="114">
        <f t="shared" si="7"/>
        <v>0</v>
      </c>
      <c r="BR21" s="124">
        <f t="shared" si="8"/>
        <v>0</v>
      </c>
      <c r="BS21" s="114">
        <f t="shared" si="9"/>
        <v>0</v>
      </c>
      <c r="BT21" s="114">
        <f t="shared" si="10"/>
        <v>0</v>
      </c>
      <c r="BU21" s="114">
        <f t="shared" si="11"/>
        <v>0</v>
      </c>
      <c r="BV21" s="125">
        <f t="shared" si="12"/>
        <v>0</v>
      </c>
    </row>
    <row r="22" spans="1:74" ht="15" x14ac:dyDescent="0.25">
      <c r="A22" s="25"/>
      <c r="B22" s="25"/>
      <c r="C22" s="25"/>
      <c r="D22" s="25"/>
      <c r="E22" s="25"/>
      <c r="F22" s="25"/>
      <c r="H22" s="25"/>
      <c r="I22" s="25"/>
      <c r="K22" s="25"/>
      <c r="L22" s="25"/>
      <c r="M22" s="25"/>
      <c r="O22" s="25"/>
      <c r="P22" s="25"/>
      <c r="Q22" s="25"/>
      <c r="R22" s="25"/>
      <c r="S22" s="49"/>
      <c r="T22" s="49"/>
      <c r="U22" s="49"/>
      <c r="V22" s="49"/>
      <c r="W22" s="49"/>
      <c r="X22" s="49"/>
      <c r="Y22" s="49"/>
      <c r="Z22" s="49"/>
      <c r="AA22" s="49"/>
      <c r="AB22" s="49"/>
      <c r="AC22" s="49"/>
      <c r="AD22" s="49"/>
      <c r="AE22" s="49"/>
      <c r="AF22" s="49"/>
      <c r="AG22" s="49"/>
      <c r="AH22" s="49"/>
      <c r="AI22" s="49"/>
      <c r="AJ22" s="49"/>
    </row>
    <row r="23" spans="1:74" s="126" customFormat="1" ht="15" x14ac:dyDescent="0.25">
      <c r="A23" s="25"/>
      <c r="B23" s="688" t="s">
        <v>432</v>
      </c>
      <c r="C23" s="81"/>
      <c r="E23" s="25"/>
      <c r="F23" s="25"/>
      <c r="G23" s="25"/>
      <c r="L23" s="696" t="s">
        <v>436</v>
      </c>
      <c r="N23" s="25"/>
      <c r="O23" s="25"/>
      <c r="P23" s="25"/>
      <c r="Q23" s="25"/>
      <c r="R23" s="25"/>
      <c r="T23" s="25"/>
      <c r="W23" s="21" t="s">
        <v>251</v>
      </c>
      <c r="X23" s="21" t="s">
        <v>251</v>
      </c>
      <c r="AI23" s="21" t="s">
        <v>493</v>
      </c>
      <c r="BG23" s="373" t="s">
        <v>480</v>
      </c>
      <c r="BH23" s="372">
        <f>IF(DataFromMOS=FALSE,0,SUM(BH12:BK21)+SUM(BN12:BV21))</f>
        <v>0</v>
      </c>
    </row>
    <row r="24" spans="1:74" s="126" customFormat="1" ht="15" x14ac:dyDescent="0.25">
      <c r="A24" s="25"/>
      <c r="B24" s="81"/>
      <c r="C24" s="690" t="s">
        <v>433</v>
      </c>
      <c r="D24" s="691"/>
      <c r="E24" s="689" t="str">
        <f>IF(OR(G12&lt;&gt;SUM(D12:F12),G13&lt;&gt;SUM(F13),G14&lt;&gt;SUM(D14:F14),G15&lt;&gt;SUM(D15:F15),G16&lt;&gt;SUM(D16:F16),G17&lt;&gt;SUM(D17:F17),G18&lt;&gt;SUM(D18:F18),G19&lt;&gt;SUM(D19:F19),G20&lt;&gt;SUM(D20:F20),G21&lt;&gt;SUM(D21:F21)),"Total not equal to the sum of the elements","OK")</f>
        <v>OK</v>
      </c>
      <c r="F24" s="25"/>
      <c r="G24" s="25"/>
      <c r="H24" s="25"/>
      <c r="K24" s="127"/>
      <c r="L24" s="697" t="s">
        <v>630</v>
      </c>
      <c r="M24" s="691"/>
      <c r="N24" s="691"/>
      <c r="O24" s="689" t="str">
        <f>IF(OR(R12&lt;&gt;J12+K12+L12+M12+O12+P12+Q12,R13&lt;&gt;J13+K13+L13+M13+O13+P13+Q13,R14&lt;&gt;J14+K14+L14+M14+O14+P14+Q14,R15&lt;&gt;J15+K15+L15+M15+O15+P15+Q15,R16&lt;&gt;J16+K16+L16+M16+O16+P16+Q16,R17&lt;&gt;J17+K17+L17+M17+O17+P17+Q17,R18&lt;&gt;J18+K18+L18+M18+O18+P18+Q18,R20&lt;&gt;J20+K20+L20+M20+O20+P20+Q20,R19&lt;&gt;J19+K19+L19+M19+O19+P19+Q19,R21&lt;&gt;J21+K21+L21+M21+O21+P21+Q21),"Total Products column is not the sum of the elements","OK")</f>
        <v>OK</v>
      </c>
      <c r="P24" s="25"/>
      <c r="Q24" s="25"/>
      <c r="R24" s="25"/>
      <c r="S24" s="25"/>
      <c r="T24" s="25"/>
      <c r="U24" s="25"/>
      <c r="V24" s="25"/>
      <c r="W24" s="25"/>
      <c r="Y24" s="25"/>
      <c r="Z24" s="25"/>
      <c r="AA24" s="25"/>
      <c r="AB24" s="25"/>
      <c r="AC24" s="25"/>
      <c r="AD24" s="25"/>
      <c r="AE24" s="25"/>
      <c r="AF24" s="25"/>
      <c r="AG24" s="25"/>
      <c r="AH24" s="25"/>
      <c r="AI24" s="25"/>
      <c r="AJ24" s="25"/>
    </row>
    <row r="25" spans="1:74" s="126" customFormat="1" ht="15" x14ac:dyDescent="0.25">
      <c r="A25" s="25"/>
      <c r="B25" s="81"/>
      <c r="C25" s="690" t="s">
        <v>272</v>
      </c>
      <c r="D25" s="691"/>
      <c r="E25" s="689" t="str">
        <f>IF(OR(D19&lt;&gt;(D12+D14-D15-D17-D18-D20),E19&lt;&gt;(E12+E14-E15-E17-E18-E20),F19&lt;&gt;(F12+F13+F14-F15+F16-F17-F18-F20),G19&lt;&gt;(G12+G13+G14-G15+G16-G17-G18-G20)),"Statistical Difference not calculated correctly","OK")</f>
        <v>OK</v>
      </c>
      <c r="F25" s="25"/>
      <c r="G25" s="25"/>
      <c r="H25" s="25"/>
      <c r="K25" s="127"/>
      <c r="L25" s="697" t="s">
        <v>272</v>
      </c>
      <c r="M25" s="691"/>
      <c r="N25" s="691"/>
      <c r="O25" s="689" t="str">
        <f>IF(OR(J19&lt;&gt;(J12+J13+J14-J15-J16+J17-J18-J20),K19&lt;&gt;(K12+K13+K14-K15-K16+K17-K18-K20),L19&lt;&gt;(L12+L13+L14-L15-L16+L17-L18-L20),M19&lt;&gt;(M12+M13+M14-M15-M16+M17-M18-M20),N19&lt;&gt;(N12+N13+N14-N15-N16+N17-N18-N20),O19&lt;&gt;(O12+O13+O14-O15-O16+O17-O18-O20),P19&lt;&gt;(P12+P13+P14-P15-P16+P17-P18-P20),Q19&lt;&gt;(Q12+Q13+Q14-Q15-Q16+Q17-Q18-Q20),R19&lt;&gt;(R12+R13+R14-R15-R16+R17-R18-R20)),"Statistical Difference not calculated correctly","OK")</f>
        <v>OK</v>
      </c>
      <c r="P25" s="25"/>
      <c r="Q25" s="25"/>
      <c r="R25" s="25"/>
      <c r="S25" s="25"/>
      <c r="T25" s="25"/>
      <c r="U25" s="25"/>
      <c r="V25" s="25"/>
      <c r="W25" s="25"/>
      <c r="Y25" s="25"/>
      <c r="Z25" s="25"/>
      <c r="AA25" s="25"/>
      <c r="AB25" s="25"/>
      <c r="AC25" s="25"/>
      <c r="AD25" s="25"/>
      <c r="AE25" s="25"/>
      <c r="AF25" s="25"/>
      <c r="AG25" s="25"/>
      <c r="AH25" s="25"/>
      <c r="AI25" s="25"/>
      <c r="AJ25" s="25"/>
      <c r="BH25"/>
    </row>
    <row r="26" spans="1:74" s="126" customFormat="1" ht="15" x14ac:dyDescent="0.25">
      <c r="A26" s="25"/>
      <c r="B26" s="81"/>
      <c r="C26" s="690" t="s">
        <v>626</v>
      </c>
      <c r="D26" s="692"/>
      <c r="E26" s="693" t="str">
        <f>IF(OR(ABS(D19)&gt;0.1*D20,ABS(E19)&gt;0.1*E20,ABS(F19)&gt;0.1*F20,ABS(G19)&gt;0.1*G20),"Statistical Difference above 10% of Refinery Intake, please investigate","OK")</f>
        <v>OK</v>
      </c>
      <c r="F26" s="25"/>
      <c r="G26" s="25"/>
      <c r="H26" s="25"/>
      <c r="K26" s="127"/>
      <c r="L26" s="697" t="s">
        <v>631</v>
      </c>
      <c r="M26" s="691"/>
      <c r="N26" s="691"/>
      <c r="O26" s="689" t="str">
        <f>IF(OR(ABS(J19)&gt;0.1*J20,ABS(K19)&gt;0.1*K20,ABS(L19)&gt;0.1*L20,ABS(M19)&gt;0.1*M20,ABS(N19)&gt;0.1*N20,ABS(O19)&gt;0.1*O20,ABS(P19)&gt;0.1*P20,ABS(Q19)&gt;0.1*Q20,ABS(R19)&gt;0.1*R20),"Statistical Difference above 10% of Demand, please investigate","OK")</f>
        <v>OK</v>
      </c>
      <c r="P26" s="25"/>
      <c r="Q26" s="25"/>
      <c r="R26" s="25"/>
      <c r="S26" s="25"/>
      <c r="T26" s="25"/>
      <c r="U26" s="25"/>
      <c r="V26" s="25"/>
      <c r="W26" s="25"/>
      <c r="Y26" s="25"/>
      <c r="Z26" s="25"/>
      <c r="AA26" s="25"/>
      <c r="AB26" s="25"/>
      <c r="AC26" s="25"/>
      <c r="AD26" s="25"/>
      <c r="AE26" s="25"/>
      <c r="AF26" s="25"/>
      <c r="AG26" s="25"/>
      <c r="AH26" s="25"/>
      <c r="AI26" s="25"/>
      <c r="AJ26" s="25"/>
    </row>
    <row r="27" spans="1:74" s="126" customFormat="1" ht="15" x14ac:dyDescent="0.25">
      <c r="A27" s="25"/>
      <c r="B27" s="81"/>
      <c r="C27" s="690" t="s">
        <v>625</v>
      </c>
      <c r="D27" s="691"/>
      <c r="E27" s="689" t="str">
        <f>IF(G16&lt;R16,"'Products Transferred/Backflows' for Total should be larger than 'Products Transferred' for Total Products","OK")</f>
        <v>OK</v>
      </c>
      <c r="F27" s="128"/>
      <c r="G27" s="128"/>
      <c r="H27" s="25"/>
      <c r="K27" s="127"/>
      <c r="L27" s="697" t="s">
        <v>632</v>
      </c>
      <c r="M27" s="693"/>
      <c r="N27" s="692"/>
      <c r="O27" s="693" t="str">
        <f>IF(OR(J16&lt;0,K16&lt;0,L16&lt;0,M16&lt;0,N16&lt;0,O16&lt;0,P16&lt;0,Q16&lt;0,R16&lt;0),"Products Transferred should be positive","OK")</f>
        <v>OK</v>
      </c>
      <c r="P27" s="25"/>
      <c r="Q27" s="25"/>
      <c r="R27" s="25"/>
      <c r="S27" s="25"/>
      <c r="T27" s="25"/>
      <c r="U27" s="25"/>
      <c r="V27" s="25"/>
      <c r="W27" s="25"/>
      <c r="Y27" s="25"/>
      <c r="Z27" s="25"/>
      <c r="AA27" s="25"/>
      <c r="AB27" s="25"/>
      <c r="AC27" s="25"/>
      <c r="AD27" s="25"/>
      <c r="AE27" s="25"/>
      <c r="AF27" s="25"/>
      <c r="AG27" s="25"/>
      <c r="AH27" s="25"/>
      <c r="AI27" s="25"/>
      <c r="AJ27" s="25"/>
    </row>
    <row r="28" spans="1:74" s="126" customFormat="1" ht="15" x14ac:dyDescent="0.25">
      <c r="A28" s="25"/>
      <c r="B28" s="81"/>
      <c r="C28" s="690" t="s">
        <v>627</v>
      </c>
      <c r="D28" s="692"/>
      <c r="E28" s="693" t="str">
        <f>IF(OR(F16&lt;0,G16&lt;0),"Products transferred/backflows should be positive","OK")</f>
        <v>OK</v>
      </c>
      <c r="F28" s="25"/>
      <c r="G28" s="25"/>
      <c r="H28" s="25"/>
      <c r="K28" s="127"/>
      <c r="L28" s="697" t="s">
        <v>435</v>
      </c>
      <c r="M28" s="691"/>
      <c r="N28" s="691"/>
      <c r="O28" s="689" t="str">
        <f>IF(R17&lt;&gt;0,"Total Products Interproduct Transfers should be zero","OK")</f>
        <v>Total Products Interproduct Transfers should be zero</v>
      </c>
      <c r="P28" s="25"/>
      <c r="Q28" s="25"/>
      <c r="R28" s="25"/>
      <c r="S28" s="25"/>
      <c r="T28" s="25"/>
      <c r="U28" s="25"/>
      <c r="V28" s="25"/>
      <c r="W28" s="25"/>
      <c r="Y28" s="25"/>
      <c r="Z28" s="25"/>
      <c r="AA28" s="25"/>
      <c r="AB28" s="25"/>
      <c r="AC28" s="25"/>
      <c r="AD28" s="25"/>
      <c r="AE28" s="25"/>
      <c r="AF28" s="25"/>
      <c r="AG28" s="25"/>
      <c r="AH28" s="25"/>
      <c r="AI28" s="25"/>
      <c r="AJ28" s="25"/>
    </row>
    <row r="29" spans="1:74" s="126" customFormat="1" ht="15" x14ac:dyDescent="0.25">
      <c r="A29" s="25"/>
      <c r="B29" s="81"/>
      <c r="C29" s="690" t="s">
        <v>0</v>
      </c>
      <c r="D29" s="691"/>
      <c r="E29" s="689" t="str">
        <f>IF(OR(D13&lt;&gt;0,E13&lt;&gt;0,D16&lt;&gt;0,E16&lt;&gt;0),"No data should be reported in blocked out cells","OK")</f>
        <v>OK</v>
      </c>
      <c r="F29" s="25"/>
      <c r="G29" s="25"/>
      <c r="H29" s="25"/>
      <c r="K29" s="127"/>
      <c r="L29" s="697" t="s">
        <v>633</v>
      </c>
      <c r="M29" s="691"/>
      <c r="N29" s="691"/>
      <c r="O29" s="698" t="str">
        <f>IF(OR(N12&gt;M12,N13&gt;M13,N14&gt;M14,N15&gt;M15,N16&gt;M16,N20&gt;M20,N21&gt;M21),"Jet Kerosene should be smaller than Total Kerosene","OK")</f>
        <v>OK</v>
      </c>
      <c r="P29" s="25"/>
      <c r="Q29" s="25"/>
      <c r="R29" s="25"/>
      <c r="S29" s="25"/>
      <c r="T29" s="25"/>
      <c r="U29" s="25"/>
      <c r="V29" s="25"/>
      <c r="W29" s="25"/>
      <c r="Y29" s="25"/>
      <c r="Z29" s="25"/>
      <c r="AA29" s="25"/>
      <c r="AB29" s="25"/>
      <c r="AC29" s="25"/>
      <c r="AD29" s="25"/>
      <c r="AE29" s="25"/>
      <c r="AF29" s="25"/>
      <c r="AG29" s="25"/>
      <c r="AH29" s="25"/>
      <c r="AI29" s="25"/>
      <c r="AJ29" s="25"/>
    </row>
    <row r="30" spans="1:74" s="126" customFormat="1" ht="15" x14ac:dyDescent="0.25">
      <c r="A30" s="25"/>
      <c r="B30" s="81"/>
      <c r="C30" s="690" t="s">
        <v>628</v>
      </c>
      <c r="D30" s="691"/>
      <c r="E30" s="689" t="str">
        <f>IF(OR(D21&lt;0,E21&lt;0,F21&lt;0,G21&lt;0),"Negative stock value","OK")</f>
        <v>OK</v>
      </c>
      <c r="F30" s="25"/>
      <c r="G30" s="25"/>
      <c r="H30" s="25"/>
      <c r="I30" s="25"/>
      <c r="K30" s="81"/>
      <c r="L30" s="697" t="s">
        <v>628</v>
      </c>
      <c r="M30" s="691"/>
      <c r="N30" s="691"/>
      <c r="O30" s="689" t="str">
        <f>IF(OR(J21&lt;0,K21&lt;0,L21&lt;0,M21&lt;0,N21&lt;0,O21&lt;0,P21&lt;0,Q21&lt;0,R21&lt;0),"Negative stock value","OK")</f>
        <v>OK</v>
      </c>
      <c r="P30" s="25"/>
      <c r="Q30" s="25"/>
      <c r="R30" s="25"/>
      <c r="S30" s="25"/>
      <c r="T30" s="25"/>
      <c r="U30" s="25"/>
      <c r="V30" s="25"/>
      <c r="W30" s="25"/>
      <c r="Y30" s="25"/>
      <c r="Z30" s="25"/>
      <c r="AA30" s="25"/>
      <c r="AB30" s="25"/>
      <c r="AC30" s="25"/>
      <c r="AD30" s="25"/>
      <c r="AE30" s="25"/>
      <c r="AF30" s="25"/>
      <c r="AG30" s="25"/>
      <c r="AH30" s="25"/>
      <c r="AI30" s="25"/>
      <c r="AJ30" s="25"/>
    </row>
    <row r="31" spans="1:74" s="126" customFormat="1" x14ac:dyDescent="0.2">
      <c r="B31" s="127"/>
      <c r="C31" s="690" t="s">
        <v>629</v>
      </c>
      <c r="D31" s="694">
        <f>G20-R12</f>
        <v>73</v>
      </c>
      <c r="E31" s="695" t="str">
        <f>IF(D31&lt;0,"Reported figures imply a refinery gain. Losses should not be negative","OK")</f>
        <v>OK</v>
      </c>
    </row>
    <row r="32" spans="1:74" x14ac:dyDescent="0.2">
      <c r="C32" s="690" t="s">
        <v>481</v>
      </c>
      <c r="D32" s="693"/>
      <c r="E32" s="695" t="str">
        <f>IF(NbInconsist=0,"OK",IF(NbInconsist=1,"There is an inconsistency with MOS in this file : see orange cell","There are "&amp;NbInconsist&amp;" inconsistencies with MOS in this file : see orange cells"))</f>
        <v>OK</v>
      </c>
    </row>
    <row r="33" spans="3:35" x14ac:dyDescent="0.2">
      <c r="E33" s="77"/>
    </row>
    <row r="34" spans="3:35" x14ac:dyDescent="0.2">
      <c r="E34" s="77"/>
    </row>
    <row r="35" spans="3:35" ht="15.75" x14ac:dyDescent="0.25">
      <c r="E35" s="77"/>
      <c r="W35" s="21" t="s">
        <v>252</v>
      </c>
      <c r="X35" s="383" t="s">
        <v>497</v>
      </c>
    </row>
    <row r="36" spans="3:35" ht="15.75" hidden="1" x14ac:dyDescent="0.25">
      <c r="C36" s="382" t="s">
        <v>496</v>
      </c>
      <c r="D36" s="78" t="s">
        <v>90</v>
      </c>
      <c r="E36" s="78" t="s">
        <v>391</v>
      </c>
      <c r="F36" s="78" t="s">
        <v>98</v>
      </c>
      <c r="G36" s="78" t="s">
        <v>99</v>
      </c>
      <c r="H36" s="19" t="s">
        <v>250</v>
      </c>
      <c r="I36" s="20"/>
      <c r="J36" s="79" t="s">
        <v>393</v>
      </c>
      <c r="K36" s="80" t="s">
        <v>84</v>
      </c>
      <c r="L36" s="79" t="s">
        <v>33</v>
      </c>
      <c r="M36" s="79" t="s">
        <v>87</v>
      </c>
      <c r="N36" s="79" t="s">
        <v>100</v>
      </c>
      <c r="O36" s="79" t="s">
        <v>88</v>
      </c>
      <c r="P36" s="79" t="s">
        <v>89</v>
      </c>
      <c r="Q36" s="79" t="s">
        <v>101</v>
      </c>
      <c r="R36" s="79" t="s">
        <v>102</v>
      </c>
      <c r="W36" s="1" t="s">
        <v>110</v>
      </c>
      <c r="X36" s="383" t="s">
        <v>498</v>
      </c>
      <c r="AI36"/>
    </row>
    <row r="37" spans="3:35" x14ac:dyDescent="0.2">
      <c r="E37" s="77"/>
      <c r="W37" s="22"/>
    </row>
    <row r="38" spans="3:35" x14ac:dyDescent="0.2">
      <c r="E38" s="77"/>
      <c r="W38" s="22"/>
    </row>
    <row r="39" spans="3:35" x14ac:dyDescent="0.2">
      <c r="E39" s="77"/>
      <c r="W39" s="22"/>
    </row>
    <row r="40" spans="3:35" x14ac:dyDescent="0.2">
      <c r="E40" s="77"/>
      <c r="W40" s="22"/>
    </row>
    <row r="41" spans="3:35" x14ac:dyDescent="0.2">
      <c r="E41" s="77"/>
      <c r="W41" s="22"/>
    </row>
    <row r="42" spans="3:35" x14ac:dyDescent="0.2">
      <c r="E42" s="77"/>
      <c r="W42" s="22"/>
    </row>
    <row r="43" spans="3:35" x14ac:dyDescent="0.2">
      <c r="E43" s="77"/>
      <c r="W43" s="22"/>
    </row>
    <row r="44" spans="3:35" x14ac:dyDescent="0.2">
      <c r="E44" s="77"/>
      <c r="W44" s="22"/>
    </row>
    <row r="45" spans="3:35" x14ac:dyDescent="0.2">
      <c r="E45" s="77"/>
      <c r="W45" s="22"/>
    </row>
    <row r="46" spans="3:35" x14ac:dyDescent="0.2">
      <c r="E46" s="77"/>
      <c r="W46" s="22"/>
    </row>
    <row r="47" spans="3:35" x14ac:dyDescent="0.2">
      <c r="E47" s="77"/>
      <c r="W47" s="22"/>
    </row>
    <row r="48" spans="3:35" x14ac:dyDescent="0.2">
      <c r="E48" s="77"/>
      <c r="W48" s="22"/>
    </row>
    <row r="49" spans="5:23" x14ac:dyDescent="0.2">
      <c r="E49" s="77"/>
      <c r="W49" s="22"/>
    </row>
    <row r="50" spans="5:23" x14ac:dyDescent="0.2">
      <c r="E50" s="77"/>
      <c r="W50" s="22"/>
    </row>
    <row r="51" spans="5:23" x14ac:dyDescent="0.2">
      <c r="E51" s="77"/>
      <c r="W51" s="22"/>
    </row>
    <row r="52" spans="5:23" x14ac:dyDescent="0.2">
      <c r="E52" s="77"/>
      <c r="W52" s="22"/>
    </row>
    <row r="53" spans="5:23" x14ac:dyDescent="0.2">
      <c r="E53" s="77"/>
      <c r="W53" s="22"/>
    </row>
    <row r="54" spans="5:23" x14ac:dyDescent="0.2">
      <c r="E54" s="77"/>
      <c r="W54" s="22"/>
    </row>
    <row r="55" spans="5:23" x14ac:dyDescent="0.2">
      <c r="E55" s="77"/>
      <c r="W55" s="22"/>
    </row>
    <row r="56" spans="5:23" x14ac:dyDescent="0.2">
      <c r="E56" s="77"/>
      <c r="W56" s="22"/>
    </row>
    <row r="57" spans="5:23" x14ac:dyDescent="0.2">
      <c r="E57" s="77"/>
      <c r="W57" s="22"/>
    </row>
    <row r="58" spans="5:23" x14ac:dyDescent="0.2">
      <c r="E58" s="77"/>
      <c r="W58" s="22"/>
    </row>
    <row r="59" spans="5:23" x14ac:dyDescent="0.2">
      <c r="E59" s="77"/>
      <c r="W59" s="22"/>
    </row>
    <row r="60" spans="5:23" x14ac:dyDescent="0.2">
      <c r="E60" s="77"/>
      <c r="W60" s="22"/>
    </row>
    <row r="61" spans="5:23" x14ac:dyDescent="0.2">
      <c r="E61" s="77"/>
      <c r="W61" s="22"/>
    </row>
    <row r="62" spans="5:23" x14ac:dyDescent="0.2">
      <c r="E62" s="77"/>
      <c r="W62" s="22"/>
    </row>
    <row r="63" spans="5:23" x14ac:dyDescent="0.2">
      <c r="E63" s="77"/>
      <c r="W63" s="22"/>
    </row>
    <row r="64" spans="5:23" x14ac:dyDescent="0.2">
      <c r="E64" s="77"/>
      <c r="W64" s="22"/>
    </row>
    <row r="65" spans="5:23" x14ac:dyDescent="0.2">
      <c r="E65" s="77"/>
      <c r="W65" s="22"/>
    </row>
    <row r="66" spans="5:23" x14ac:dyDescent="0.2">
      <c r="E66" s="77"/>
      <c r="W66" s="22"/>
    </row>
    <row r="67" spans="5:23" x14ac:dyDescent="0.2">
      <c r="E67" s="77"/>
      <c r="W67" s="22"/>
    </row>
    <row r="68" spans="5:23" x14ac:dyDescent="0.2">
      <c r="E68" s="77"/>
      <c r="W68" s="22"/>
    </row>
    <row r="69" spans="5:23" x14ac:dyDescent="0.2">
      <c r="E69" s="77"/>
      <c r="W69" s="22"/>
    </row>
    <row r="70" spans="5:23" x14ac:dyDescent="0.2">
      <c r="E70" s="77"/>
      <c r="W70" s="22"/>
    </row>
    <row r="71" spans="5:23" x14ac:dyDescent="0.2">
      <c r="E71" s="77"/>
      <c r="W71" s="22"/>
    </row>
    <row r="72" spans="5:23" x14ac:dyDescent="0.2">
      <c r="E72" s="77"/>
      <c r="W72" s="22"/>
    </row>
    <row r="73" spans="5:23" x14ac:dyDescent="0.2">
      <c r="E73" s="77"/>
      <c r="W73" s="22"/>
    </row>
    <row r="74" spans="5:23" x14ac:dyDescent="0.2">
      <c r="E74" s="77"/>
      <c r="W74" s="22"/>
    </row>
    <row r="75" spans="5:23" x14ac:dyDescent="0.2">
      <c r="E75" s="77"/>
      <c r="W75" s="22"/>
    </row>
    <row r="76" spans="5:23" x14ac:dyDescent="0.2">
      <c r="E76" s="77"/>
      <c r="W76" s="22"/>
    </row>
    <row r="77" spans="5:23" x14ac:dyDescent="0.2">
      <c r="E77" s="77"/>
      <c r="W77" s="22"/>
    </row>
    <row r="78" spans="5:23" x14ac:dyDescent="0.2">
      <c r="E78" s="77"/>
      <c r="W78" s="22"/>
    </row>
    <row r="79" spans="5:23" x14ac:dyDescent="0.2">
      <c r="E79" s="77"/>
      <c r="W79" s="22"/>
    </row>
    <row r="80" spans="5:23" x14ac:dyDescent="0.2">
      <c r="E80" s="77"/>
      <c r="W80" s="22"/>
    </row>
    <row r="81" spans="5:23" x14ac:dyDescent="0.2">
      <c r="E81" s="77"/>
      <c r="W81" s="22"/>
    </row>
    <row r="82" spans="5:23" x14ac:dyDescent="0.2">
      <c r="E82" s="77"/>
      <c r="W82" s="22"/>
    </row>
    <row r="83" spans="5:23" x14ac:dyDescent="0.2">
      <c r="E83" s="77"/>
      <c r="W83" s="22"/>
    </row>
    <row r="84" spans="5:23" x14ac:dyDescent="0.2">
      <c r="E84" s="77"/>
      <c r="W84" s="22"/>
    </row>
    <row r="85" spans="5:23" x14ac:dyDescent="0.2">
      <c r="E85" s="77"/>
      <c r="W85" s="22"/>
    </row>
    <row r="86" spans="5:23" x14ac:dyDescent="0.2">
      <c r="E86" s="77"/>
      <c r="W86" s="22"/>
    </row>
    <row r="87" spans="5:23" x14ac:dyDescent="0.2">
      <c r="E87" s="77"/>
      <c r="W87" s="22"/>
    </row>
    <row r="88" spans="5:23" x14ac:dyDescent="0.2">
      <c r="E88" s="77"/>
      <c r="W88" s="22"/>
    </row>
    <row r="89" spans="5:23" x14ac:dyDescent="0.2">
      <c r="E89" s="77"/>
      <c r="W89" s="22"/>
    </row>
    <row r="90" spans="5:23" x14ac:dyDescent="0.2">
      <c r="E90" s="77"/>
      <c r="W90" s="22"/>
    </row>
    <row r="91" spans="5:23" x14ac:dyDescent="0.2">
      <c r="E91" s="77"/>
      <c r="W91" s="22"/>
    </row>
    <row r="92" spans="5:23" x14ac:dyDescent="0.2">
      <c r="E92" s="77"/>
      <c r="W92" s="22"/>
    </row>
    <row r="93" spans="5:23" x14ac:dyDescent="0.2">
      <c r="E93" s="77"/>
      <c r="W93" s="22"/>
    </row>
    <row r="94" spans="5:23" x14ac:dyDescent="0.2">
      <c r="E94" s="77"/>
      <c r="W94" s="22"/>
    </row>
    <row r="95" spans="5:23" x14ac:dyDescent="0.2">
      <c r="E95" s="77"/>
      <c r="W95" s="22"/>
    </row>
    <row r="96" spans="5:23" x14ac:dyDescent="0.2">
      <c r="E96" s="77"/>
      <c r="W96" s="22"/>
    </row>
    <row r="97" spans="5:23" x14ac:dyDescent="0.2">
      <c r="E97" s="77"/>
      <c r="W97" s="22"/>
    </row>
    <row r="98" spans="5:23" x14ac:dyDescent="0.2">
      <c r="E98" s="77"/>
      <c r="W98" s="22"/>
    </row>
    <row r="99" spans="5:23" x14ac:dyDescent="0.2">
      <c r="E99" s="77"/>
      <c r="W99" s="22"/>
    </row>
    <row r="100" spans="5:23" x14ac:dyDescent="0.2">
      <c r="E100" s="77"/>
      <c r="W100" s="22"/>
    </row>
    <row r="101" spans="5:23" x14ac:dyDescent="0.2">
      <c r="E101" s="77"/>
      <c r="W101" s="22"/>
    </row>
    <row r="102" spans="5:23" x14ac:dyDescent="0.2">
      <c r="E102" s="77"/>
      <c r="W102" s="22"/>
    </row>
    <row r="103" spans="5:23" x14ac:dyDescent="0.2">
      <c r="E103" s="77"/>
      <c r="W103" s="22"/>
    </row>
    <row r="104" spans="5:23" x14ac:dyDescent="0.2">
      <c r="E104" s="77"/>
      <c r="W104" s="22"/>
    </row>
    <row r="105" spans="5:23" x14ac:dyDescent="0.2">
      <c r="E105" s="77"/>
      <c r="W105" s="22"/>
    </row>
    <row r="106" spans="5:23" x14ac:dyDescent="0.2">
      <c r="E106" s="77"/>
      <c r="W106" s="22"/>
    </row>
    <row r="107" spans="5:23" x14ac:dyDescent="0.2">
      <c r="E107" s="77"/>
      <c r="W107" s="22"/>
    </row>
    <row r="108" spans="5:23" x14ac:dyDescent="0.2">
      <c r="E108" s="77"/>
      <c r="W108" s="22"/>
    </row>
    <row r="109" spans="5:23" x14ac:dyDescent="0.2">
      <c r="E109" s="77"/>
      <c r="W109" s="22"/>
    </row>
    <row r="110" spans="5:23" x14ac:dyDescent="0.2">
      <c r="E110" s="77"/>
      <c r="W110" s="22"/>
    </row>
    <row r="111" spans="5:23" x14ac:dyDescent="0.2">
      <c r="E111" s="77"/>
      <c r="W111" s="22"/>
    </row>
    <row r="112" spans="5:23" x14ac:dyDescent="0.2">
      <c r="E112" s="77"/>
      <c r="W112" s="22"/>
    </row>
    <row r="113" spans="5:23" x14ac:dyDescent="0.2">
      <c r="E113" s="77"/>
      <c r="W113" s="22"/>
    </row>
    <row r="114" spans="5:23" x14ac:dyDescent="0.2">
      <c r="E114" s="77"/>
      <c r="W114" s="22"/>
    </row>
    <row r="115" spans="5:23" x14ac:dyDescent="0.2">
      <c r="E115" s="77"/>
      <c r="W115" s="22"/>
    </row>
    <row r="116" spans="5:23" x14ac:dyDescent="0.2">
      <c r="E116" s="77"/>
      <c r="W116" s="22"/>
    </row>
    <row r="117" spans="5:23" x14ac:dyDescent="0.2">
      <c r="E117" s="77"/>
      <c r="W117" s="22"/>
    </row>
    <row r="118" spans="5:23" x14ac:dyDescent="0.2">
      <c r="E118" s="77"/>
      <c r="W118" s="22"/>
    </row>
    <row r="119" spans="5:23" x14ac:dyDescent="0.2">
      <c r="E119" s="77"/>
      <c r="W119" s="22"/>
    </row>
    <row r="120" spans="5:23" x14ac:dyDescent="0.2">
      <c r="E120" s="77"/>
      <c r="W120" s="22"/>
    </row>
    <row r="121" spans="5:23" x14ac:dyDescent="0.2">
      <c r="E121" s="77"/>
      <c r="W121" s="22"/>
    </row>
    <row r="122" spans="5:23" x14ac:dyDescent="0.2">
      <c r="E122" s="77"/>
      <c r="W122" s="22"/>
    </row>
    <row r="123" spans="5:23" x14ac:dyDescent="0.2">
      <c r="E123" s="77"/>
      <c r="W123" s="22"/>
    </row>
    <row r="124" spans="5:23" x14ac:dyDescent="0.2">
      <c r="E124" s="77"/>
      <c r="W124" s="22"/>
    </row>
    <row r="125" spans="5:23" x14ac:dyDescent="0.2">
      <c r="E125" s="77"/>
      <c r="W125" s="22"/>
    </row>
    <row r="126" spans="5:23" x14ac:dyDescent="0.2">
      <c r="E126" s="77"/>
      <c r="W126" s="22"/>
    </row>
    <row r="127" spans="5:23" x14ac:dyDescent="0.2">
      <c r="E127" s="77"/>
      <c r="W127" s="22"/>
    </row>
    <row r="128" spans="5:23" x14ac:dyDescent="0.2">
      <c r="E128" s="77"/>
      <c r="W128" s="22"/>
    </row>
    <row r="129" spans="3:35" x14ac:dyDescent="0.2">
      <c r="E129" s="77"/>
      <c r="W129" s="22"/>
      <c r="AI129" s="21" t="s">
        <v>494</v>
      </c>
    </row>
    <row r="130" spans="3:35" ht="15" hidden="1" x14ac:dyDescent="0.25">
      <c r="C130" s="129"/>
      <c r="D130" s="378" t="s">
        <v>90</v>
      </c>
      <c r="E130" s="378" t="s">
        <v>391</v>
      </c>
      <c r="F130" s="378" t="s">
        <v>98</v>
      </c>
      <c r="G130" s="378" t="s">
        <v>99</v>
      </c>
      <c r="H130" s="376" t="s">
        <v>495</v>
      </c>
      <c r="I130" s="377"/>
      <c r="J130" s="378" t="s">
        <v>393</v>
      </c>
      <c r="K130" s="379" t="s">
        <v>84</v>
      </c>
      <c r="L130" s="378" t="s">
        <v>33</v>
      </c>
      <c r="M130" s="378" t="s">
        <v>87</v>
      </c>
      <c r="N130" s="378" t="s">
        <v>100</v>
      </c>
      <c r="O130" s="378" t="s">
        <v>88</v>
      </c>
      <c r="P130" s="378" t="s">
        <v>89</v>
      </c>
      <c r="Q130" s="378" t="s">
        <v>101</v>
      </c>
      <c r="R130" s="378" t="s">
        <v>102</v>
      </c>
      <c r="W130"/>
      <c r="AI130" s="380" t="s">
        <v>110</v>
      </c>
    </row>
    <row r="131" spans="3:35" x14ac:dyDescent="0.2">
      <c r="E131" s="77"/>
    </row>
    <row r="132" spans="3:35" x14ac:dyDescent="0.2">
      <c r="E132" s="77"/>
    </row>
    <row r="133" spans="3:35" x14ac:dyDescent="0.2">
      <c r="E133" s="77"/>
    </row>
    <row r="134" spans="3:35" x14ac:dyDescent="0.2">
      <c r="E134" s="77"/>
    </row>
    <row r="135" spans="3:35" x14ac:dyDescent="0.2">
      <c r="E135" s="77"/>
    </row>
  </sheetData>
  <sheetProtection algorithmName="SHA-512" hashValue="pq1EfPxycMF85+77oPKsSA3BwC26i4YKJkoOpd0jdJ/uah9vmecu62zjV7uEKDYFA8THBxWBpQbUoBs1FXKhwA==" saltValue="jJA2M3OHAksHr3t/AhQR4w==" spinCount="100000" sheet="1" objects="1" scenarios="1"/>
  <mergeCells count="2">
    <mergeCell ref="D7:E7"/>
    <mergeCell ref="D5:F5"/>
  </mergeCells>
  <phoneticPr fontId="6" type="noConversion"/>
  <conditionalFormatting sqref="G12 G17:G18 G20 G14:G15">
    <cfRule type="cellIs" dxfId="340" priority="66" stopIfTrue="1" operator="notEqual">
      <formula>D12+E12+F12</formula>
    </cfRule>
  </conditionalFormatting>
  <conditionalFormatting sqref="G13">
    <cfRule type="cellIs" dxfId="339" priority="67" stopIfTrue="1" operator="notEqual">
      <formula>F13</formula>
    </cfRule>
  </conditionalFormatting>
  <conditionalFormatting sqref="R12:R15 R17:R18 R20">
    <cfRule type="cellIs" dxfId="338" priority="68" stopIfTrue="1" operator="notEqual">
      <formula>J12+K12+L12+M12+O12+P12+Q12</formula>
    </cfRule>
  </conditionalFormatting>
  <conditionalFormatting sqref="N20 N12:N15">
    <cfRule type="cellIs" dxfId="337" priority="69" stopIfTrue="1" operator="greaterThan">
      <formula>M12</formula>
    </cfRule>
  </conditionalFormatting>
  <conditionalFormatting sqref="R16 R21">
    <cfRule type="cellIs" dxfId="336" priority="70" stopIfTrue="1" operator="notEqual">
      <formula>J16+K16+L16+M16+O16+P16+Q16</formula>
    </cfRule>
    <cfRule type="cellIs" dxfId="335" priority="71" stopIfTrue="1" operator="lessThan">
      <formula>0</formula>
    </cfRule>
  </conditionalFormatting>
  <conditionalFormatting sqref="G21">
    <cfRule type="cellIs" dxfId="334" priority="72" stopIfTrue="1" operator="notEqual">
      <formula>D21+E21+F21</formula>
    </cfRule>
    <cfRule type="cellIs" dxfId="333" priority="73" stopIfTrue="1" operator="lessThan">
      <formula>0</formula>
    </cfRule>
  </conditionalFormatting>
  <conditionalFormatting sqref="N16">
    <cfRule type="cellIs" dxfId="332" priority="74" stopIfTrue="1" operator="greaterThan">
      <formula>M16</formula>
    </cfRule>
    <cfRule type="cellIs" dxfId="331" priority="75" stopIfTrue="1" operator="lessThan">
      <formula>0</formula>
    </cfRule>
  </conditionalFormatting>
  <conditionalFormatting sqref="G16">
    <cfRule type="cellIs" dxfId="330" priority="76" stopIfTrue="1" operator="notEqual">
      <formula>D16+E16+F16</formula>
    </cfRule>
    <cfRule type="cellIs" dxfId="329" priority="77" stopIfTrue="1" operator="lessThan">
      <formula>$R$16</formula>
    </cfRule>
    <cfRule type="cellIs" dxfId="328" priority="78" stopIfTrue="1" operator="lessThan">
      <formula>0</formula>
    </cfRule>
  </conditionalFormatting>
  <conditionalFormatting sqref="D19:E19">
    <cfRule type="cellIs" dxfId="327" priority="79" stopIfTrue="1" operator="notEqual">
      <formula>D12+D14-D15-D17-D18-D20</formula>
    </cfRule>
    <cfRule type="expression" dxfId="326" priority="80" stopIfTrue="1">
      <formula>ABS(D19)&gt;0.1*D20</formula>
    </cfRule>
  </conditionalFormatting>
  <conditionalFormatting sqref="F19:G19">
    <cfRule type="cellIs" dxfId="325" priority="81" stopIfTrue="1" operator="notEqual">
      <formula>F12+F13+F14-F15+F16-F17-F18-F20</formula>
    </cfRule>
    <cfRule type="expression" dxfId="324" priority="82" stopIfTrue="1">
      <formula>ABS(F19)&gt;0.1*F20</formula>
    </cfRule>
  </conditionalFormatting>
  <conditionalFormatting sqref="J19:R19">
    <cfRule type="cellIs" dxfId="323" priority="83" stopIfTrue="1" operator="notEqual">
      <formula>J12+J13+J14-J15-J16+J17-J18-J20</formula>
    </cfRule>
    <cfRule type="expression" dxfId="322" priority="84" stopIfTrue="1">
      <formula>ABS(J19)&gt;0.1*J20</formula>
    </cfRule>
  </conditionalFormatting>
  <conditionalFormatting sqref="AU21:BB21 AV16:AX16 AZ16:BB16 AO21:AQ21 AQ16 BN21:BU21 BO16:BQ16 BS16:BU16 BH21:BJ21 BJ16 J21:Q21 K16:M16 O16:Q16 D21:F21 F16">
    <cfRule type="cellIs" dxfId="321" priority="85" stopIfTrue="1" operator="lessThan">
      <formula>0</formula>
    </cfRule>
  </conditionalFormatting>
  <conditionalFormatting sqref="AU16 BN16 J16">
    <cfRule type="cellIs" dxfId="320" priority="86" stopIfTrue="1" operator="lessThan">
      <formula>0</formula>
    </cfRule>
  </conditionalFormatting>
  <conditionalFormatting sqref="AO13 BH13 D13">
    <cfRule type="cellIs" dxfId="319" priority="87" stopIfTrue="1" operator="notEqual">
      <formula>0</formula>
    </cfRule>
  </conditionalFormatting>
  <conditionalFormatting sqref="AP13 AO16 BI13 BH16 E13 D16">
    <cfRule type="cellIs" dxfId="318" priority="88" stopIfTrue="1" operator="notEqual">
      <formula>0</formula>
    </cfRule>
  </conditionalFormatting>
  <conditionalFormatting sqref="AP16 BI16 E16">
    <cfRule type="cellIs" dxfId="317" priority="89" stopIfTrue="1" operator="notEqual">
      <formula>0</formula>
    </cfRule>
  </conditionalFormatting>
  <conditionalFormatting sqref="AR12 AR17:AR18 AR20 AR14:AR15">
    <cfRule type="cellIs" dxfId="316" priority="65" stopIfTrue="1" operator="notEqual">
      <formula>AO12+AP12+AQ12</formula>
    </cfRule>
  </conditionalFormatting>
  <conditionalFormatting sqref="AR13">
    <cfRule type="cellIs" dxfId="315" priority="64" stopIfTrue="1" operator="notEqual">
      <formula>AQ13</formula>
    </cfRule>
  </conditionalFormatting>
  <conditionalFormatting sqref="BC12:BC15 BC17:BC18 BC20">
    <cfRule type="cellIs" dxfId="314" priority="63" stopIfTrue="1" operator="notEqual">
      <formula>AU12+AV12+AW12+AX12+AZ12+BA12+BB12</formula>
    </cfRule>
  </conditionalFormatting>
  <conditionalFormatting sqref="AY20 AY12:AY15">
    <cfRule type="cellIs" dxfId="313" priority="62" stopIfTrue="1" operator="greaterThan">
      <formula>AX12</formula>
    </cfRule>
  </conditionalFormatting>
  <conditionalFormatting sqref="BC16 BC21">
    <cfRule type="cellIs" dxfId="312" priority="60" stopIfTrue="1" operator="notEqual">
      <formula>AU16+AV16+AW16+AX16+AZ16+BA16+BB16</formula>
    </cfRule>
    <cfRule type="cellIs" dxfId="311" priority="61" stopIfTrue="1" operator="lessThan">
      <formula>0</formula>
    </cfRule>
  </conditionalFormatting>
  <conditionalFormatting sqref="AR21">
    <cfRule type="cellIs" dxfId="310" priority="58" stopIfTrue="1" operator="notEqual">
      <formula>AO21+AP21+AQ21</formula>
    </cfRule>
    <cfRule type="cellIs" dxfId="309" priority="59" stopIfTrue="1" operator="lessThan">
      <formula>0</formula>
    </cfRule>
  </conditionalFormatting>
  <conditionalFormatting sqref="AY16">
    <cfRule type="cellIs" dxfId="308" priority="56" stopIfTrue="1" operator="greaterThan">
      <formula>AX16</formula>
    </cfRule>
    <cfRule type="cellIs" dxfId="307" priority="57" stopIfTrue="1" operator="lessThan">
      <formula>0</formula>
    </cfRule>
  </conditionalFormatting>
  <conditionalFormatting sqref="AR16">
    <cfRule type="cellIs" dxfId="306" priority="53" stopIfTrue="1" operator="notEqual">
      <formula>AO16+AP16+AQ16</formula>
    </cfRule>
    <cfRule type="cellIs" dxfId="305" priority="54" stopIfTrue="1" operator="lessThan">
      <formula>$R$16</formula>
    </cfRule>
    <cfRule type="cellIs" dxfId="304" priority="55" stopIfTrue="1" operator="lessThan">
      <formula>0</formula>
    </cfRule>
  </conditionalFormatting>
  <conditionalFormatting sqref="AO19:AP19">
    <cfRule type="cellIs" dxfId="303" priority="51" stopIfTrue="1" operator="notEqual">
      <formula>AO12+AO14-AO15-AO17-AO18-AO20</formula>
    </cfRule>
    <cfRule type="expression" dxfId="302" priority="52" stopIfTrue="1">
      <formula>ABS(AO19)&gt;0.1*AO20</formula>
    </cfRule>
  </conditionalFormatting>
  <conditionalFormatting sqref="AQ19:AR19">
    <cfRule type="cellIs" dxfId="301" priority="49" stopIfTrue="1" operator="notEqual">
      <formula>AQ12+AQ13+AQ14-AQ15+AQ16-AQ17-AQ18-AQ20</formula>
    </cfRule>
    <cfRule type="expression" dxfId="300" priority="50" stopIfTrue="1">
      <formula>ABS(AQ19)&gt;0.1*AQ20</formula>
    </cfRule>
  </conditionalFormatting>
  <conditionalFormatting sqref="AU19:BC19">
    <cfRule type="cellIs" dxfId="299" priority="47" stopIfTrue="1" operator="notEqual">
      <formula>AU12+AU13+AU14-AU15-AU16+AU17-AU18-AU20</formula>
    </cfRule>
    <cfRule type="expression" dxfId="298" priority="48" stopIfTrue="1">
      <formula>ABS(AU19)&gt;0.1*AU20</formula>
    </cfRule>
  </conditionalFormatting>
  <conditionalFormatting sqref="BK12 BK17:BK18 BK20 BK14:BK15">
    <cfRule type="cellIs" dxfId="297" priority="41" stopIfTrue="1" operator="notEqual">
      <formula>BH12+BI12+BJ12</formula>
    </cfRule>
  </conditionalFormatting>
  <conditionalFormatting sqref="BK13">
    <cfRule type="cellIs" dxfId="296" priority="40" stopIfTrue="1" operator="notEqual">
      <formula>BJ13</formula>
    </cfRule>
  </conditionalFormatting>
  <conditionalFormatting sqref="BV12:BV15 BV17:BV18 BV20">
    <cfRule type="cellIs" dxfId="295" priority="39" stopIfTrue="1" operator="notEqual">
      <formula>BN12+BO12+BP12+BQ12+BS12+BT12+BU12</formula>
    </cfRule>
  </conditionalFormatting>
  <conditionalFormatting sqref="BR20 BR12:BR15">
    <cfRule type="cellIs" dxfId="294" priority="38" stopIfTrue="1" operator="greaterThan">
      <formula>BQ12</formula>
    </cfRule>
  </conditionalFormatting>
  <conditionalFormatting sqref="BV16 BV21">
    <cfRule type="cellIs" dxfId="293" priority="36" stopIfTrue="1" operator="notEqual">
      <formula>BN16+BO16+BP16+BQ16+BS16+BT16+BU16</formula>
    </cfRule>
    <cfRule type="cellIs" dxfId="292" priority="37" stopIfTrue="1" operator="lessThan">
      <formula>0</formula>
    </cfRule>
  </conditionalFormatting>
  <conditionalFormatting sqref="BK21">
    <cfRule type="cellIs" dxfId="291" priority="34" stopIfTrue="1" operator="notEqual">
      <formula>BH21+BI21+BJ21</formula>
    </cfRule>
    <cfRule type="cellIs" dxfId="290" priority="35" stopIfTrue="1" operator="lessThan">
      <formula>0</formula>
    </cfRule>
  </conditionalFormatting>
  <conditionalFormatting sqref="BR16">
    <cfRule type="cellIs" dxfId="289" priority="32" stopIfTrue="1" operator="greaterThan">
      <formula>BQ16</formula>
    </cfRule>
    <cfRule type="cellIs" dxfId="288" priority="33" stopIfTrue="1" operator="lessThan">
      <formula>0</formula>
    </cfRule>
  </conditionalFormatting>
  <conditionalFormatting sqref="BK16">
    <cfRule type="cellIs" dxfId="287" priority="29" stopIfTrue="1" operator="notEqual">
      <formula>BH16+BI16+BJ16</formula>
    </cfRule>
    <cfRule type="cellIs" dxfId="286" priority="30" stopIfTrue="1" operator="lessThan">
      <formula>$R$16</formula>
    </cfRule>
    <cfRule type="cellIs" dxfId="285" priority="31" stopIfTrue="1" operator="lessThan">
      <formula>0</formula>
    </cfRule>
  </conditionalFormatting>
  <conditionalFormatting sqref="BH19:BI19">
    <cfRule type="cellIs" dxfId="284" priority="27" stopIfTrue="1" operator="notEqual">
      <formula>BH12+BH14-BH15-BH17-BH18-BH20</formula>
    </cfRule>
    <cfRule type="expression" dxfId="283" priority="28" stopIfTrue="1">
      <formula>ABS(BH19)&gt;0.1*BH20</formula>
    </cfRule>
  </conditionalFormatting>
  <conditionalFormatting sqref="BJ19:BK19">
    <cfRule type="cellIs" dxfId="282" priority="25" stopIfTrue="1" operator="notEqual">
      <formula>BJ12+BJ13+BJ14-BJ15+BJ16-BJ17-BJ18-BJ20</formula>
    </cfRule>
    <cfRule type="expression" dxfId="281" priority="26" stopIfTrue="1">
      <formula>ABS(BJ19)&gt;0.1*BJ20</formula>
    </cfRule>
  </conditionalFormatting>
  <conditionalFormatting sqref="BN19:BV19">
    <cfRule type="cellIs" dxfId="280" priority="23" stopIfTrue="1" operator="notEqual">
      <formula>BN12+BN13+BN14-BN15-BN16+BN17-BN18-BN20</formula>
    </cfRule>
    <cfRule type="expression" dxfId="279" priority="24" stopIfTrue="1">
      <formula>ABS(BN19)&gt;0.1*BN20</formula>
    </cfRule>
  </conditionalFormatting>
  <conditionalFormatting sqref="D12:G21">
    <cfRule type="expression" dxfId="278" priority="17" stopIfTrue="1">
      <formula>IF(DataFromMOS=FALSE,FALSE,IF(D12&lt;&gt;AO12,TRUE,FALSE))</formula>
    </cfRule>
  </conditionalFormatting>
  <conditionalFormatting sqref="J12:R21">
    <cfRule type="expression" dxfId="277" priority="16" stopIfTrue="1">
      <formula>IF(DataFromMOS=FALSE,FALSE,IF(J12&lt;&gt;AU12,TRUE,FALSE))</formula>
    </cfRule>
  </conditionalFormatting>
  <conditionalFormatting sqref="G12 G14:G15 G17:G18 G20">
    <cfRule type="cellIs" dxfId="276" priority="15" stopIfTrue="1" operator="notEqual">
      <formula>D12+E12+F12</formula>
    </cfRule>
  </conditionalFormatting>
  <conditionalFormatting sqref="G13">
    <cfRule type="cellIs" dxfId="275" priority="14" stopIfTrue="1" operator="notEqual">
      <formula>F13</formula>
    </cfRule>
  </conditionalFormatting>
  <conditionalFormatting sqref="G21">
    <cfRule type="cellIs" dxfId="274" priority="12" stopIfTrue="1" operator="notEqual">
      <formula>D21+E21+F21</formula>
    </cfRule>
    <cfRule type="cellIs" dxfId="273" priority="13" stopIfTrue="1" operator="lessThan">
      <formula>0</formula>
    </cfRule>
  </conditionalFormatting>
  <conditionalFormatting sqref="G16">
    <cfRule type="cellIs" dxfId="272" priority="9" stopIfTrue="1" operator="notEqual">
      <formula>D16+E16+F16</formula>
    </cfRule>
    <cfRule type="cellIs" dxfId="271" priority="10" stopIfTrue="1" operator="lessThan">
      <formula>$R$16</formula>
    </cfRule>
    <cfRule type="cellIs" dxfId="270" priority="11" stopIfTrue="1" operator="lessThan">
      <formula>0</formula>
    </cfRule>
  </conditionalFormatting>
  <conditionalFormatting sqref="D19:E19">
    <cfRule type="cellIs" dxfId="269" priority="7" stopIfTrue="1" operator="notEqual">
      <formula>D12+D14-D15-D17-D18-D20</formula>
    </cfRule>
    <cfRule type="expression" dxfId="268" priority="8" stopIfTrue="1">
      <formula>ABS(D19)&gt;0.1*D20</formula>
    </cfRule>
  </conditionalFormatting>
  <conditionalFormatting sqref="F19:G19">
    <cfRule type="cellIs" dxfId="267" priority="5" stopIfTrue="1" operator="notEqual">
      <formula>F12+F13+F14-F15+F16-F17-F18-F20</formula>
    </cfRule>
    <cfRule type="expression" dxfId="266" priority="6" stopIfTrue="1">
      <formula>ABS(F19)&gt;0.1*F20</formula>
    </cfRule>
  </conditionalFormatting>
  <conditionalFormatting sqref="D21:F21 F16">
    <cfRule type="cellIs" dxfId="265" priority="4" stopIfTrue="1" operator="lessThan">
      <formula>0</formula>
    </cfRule>
  </conditionalFormatting>
  <conditionalFormatting sqref="D13">
    <cfRule type="cellIs" dxfId="264" priority="3" stopIfTrue="1" operator="notEqual">
      <formula>0</formula>
    </cfRule>
  </conditionalFormatting>
  <conditionalFormatting sqref="E13 D16">
    <cfRule type="cellIs" dxfId="263" priority="2" stopIfTrue="1" operator="notEqual">
      <formula>0</formula>
    </cfRule>
  </conditionalFormatting>
  <conditionalFormatting sqref="E16">
    <cfRule type="cellIs" dxfId="262" priority="1" stopIfTrue="1" operator="notEqual">
      <formula>0</formula>
    </cfRule>
  </conditionalFormatting>
  <dataValidations count="3">
    <dataValidation type="whole" allowBlank="1" showInputMessage="1" showErrorMessage="1" errorTitle="Error on the year" error="Please type in a year greater than 1990" sqref="F7" xr:uid="{00000000-0002-0000-0100-000000000000}">
      <formula1>1990</formula1>
      <formula2>2100</formula2>
    </dataValidation>
    <dataValidation type="list" allowBlank="1" showInputMessage="1" showErrorMessage="1" errorTitle="Error" error="Please select a country in the list" sqref="D5" xr:uid="{00000000-0002-0000-0100-000001000000}">
      <formula1>CountryList</formula1>
    </dataValidation>
    <dataValidation type="list" allowBlank="1" showInputMessage="1" showErrorMessage="1" errorTitle="Error" error="Please select a month in the list" sqref="D7:E7" xr:uid="{00000000-0002-0000-0100-000002000000}">
      <formula1>MonthList</formula1>
    </dataValidation>
  </dataValidations>
  <pageMargins left="0.74803149606299213" right="0.74803149606299213" top="0.98425196850393704" bottom="0.98425196850393704" header="0.51181102362204722" footer="0.51181102362204722"/>
  <pageSetup paperSize="9" scale="63" orientation="landscape" r:id="rId1"/>
  <headerFooter alignWithMargins="0"/>
  <ignoredErrors>
    <ignoredError sqref="T17" formula="1"/>
    <ignoredError sqref="J11:R11 D11:G11"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3">
    <tabColor indexed="43"/>
    <pageSetUpPr fitToPage="1"/>
  </sheetPr>
  <dimension ref="A1:AS130"/>
  <sheetViews>
    <sheetView workbookViewId="0">
      <selection activeCell="D14" sqref="D14"/>
    </sheetView>
  </sheetViews>
  <sheetFormatPr defaultRowHeight="12.75" x14ac:dyDescent="0.2"/>
  <cols>
    <col min="1" max="1" width="2" style="445" customWidth="1"/>
    <col min="2" max="2" width="32.7109375" style="445" customWidth="1"/>
    <col min="3" max="3" width="3.28515625" style="445" bestFit="1" customWidth="1"/>
    <col min="4" max="4" width="14.5703125" style="445" bestFit="1" customWidth="1"/>
    <col min="5" max="6" width="13.7109375" style="445" customWidth="1"/>
    <col min="7" max="7" width="13.85546875" style="445" customWidth="1"/>
    <col min="8" max="8" width="12.7109375" style="445" customWidth="1"/>
    <col min="9" max="10" width="13.7109375" style="445" customWidth="1"/>
    <col min="11" max="11" width="1.42578125" style="445" customWidth="1"/>
    <col min="12" max="12" width="38.42578125" style="445" customWidth="1"/>
    <col min="13" max="34" width="9.140625" style="445"/>
    <col min="35" max="35" width="11.5703125" style="445" hidden="1" customWidth="1"/>
    <col min="36" max="44" width="9.140625" style="445"/>
    <col min="45" max="45" width="12.5703125" style="445" customWidth="1"/>
    <col min="46" max="16384" width="9.140625" style="445"/>
  </cols>
  <sheetData>
    <row r="1" spans="1:45" ht="13.5" thickBot="1" x14ac:dyDescent="0.25">
      <c r="A1" s="388" t="s">
        <v>479</v>
      </c>
      <c r="E1" s="389"/>
      <c r="J1" s="574"/>
      <c r="M1" s="389"/>
      <c r="N1" s="389"/>
      <c r="O1" s="389"/>
      <c r="P1" s="389"/>
      <c r="Q1" s="389"/>
      <c r="R1" s="389"/>
      <c r="S1" s="389"/>
      <c r="T1" s="389"/>
      <c r="U1" s="389"/>
      <c r="V1" s="389"/>
      <c r="W1" s="389"/>
      <c r="X1" s="389"/>
      <c r="Y1" s="389"/>
      <c r="Z1" s="389"/>
      <c r="AA1" s="389"/>
      <c r="AB1" s="389"/>
      <c r="AC1" s="389"/>
      <c r="AD1" s="389"/>
      <c r="AE1" s="389"/>
      <c r="AF1" s="389"/>
      <c r="AG1" s="389"/>
      <c r="AH1" s="389"/>
      <c r="AI1" s="445" t="s">
        <v>255</v>
      </c>
    </row>
    <row r="2" spans="1:45" ht="15" x14ac:dyDescent="0.2">
      <c r="A2" s="389">
        <v>2010</v>
      </c>
      <c r="B2" s="131" t="s">
        <v>256</v>
      </c>
      <c r="C2" s="131"/>
      <c r="D2" s="818" t="str">
        <f>CountryUser</f>
        <v>Netherlands</v>
      </c>
      <c r="E2" s="824"/>
      <c r="H2" s="564"/>
      <c r="I2" s="565"/>
      <c r="J2" s="566"/>
      <c r="L2" s="389"/>
      <c r="M2" s="389" t="s">
        <v>257</v>
      </c>
    </row>
    <row r="3" spans="1:45" ht="15" x14ac:dyDescent="0.2">
      <c r="B3" s="131" t="s">
        <v>258</v>
      </c>
      <c r="C3" s="131"/>
      <c r="D3" s="561" t="str">
        <f>FirstMonth &amp; " " &amp; QuestYear</f>
        <v>April 2026</v>
      </c>
      <c r="E3" s="597"/>
      <c r="H3" s="567" t="s">
        <v>259</v>
      </c>
      <c r="I3" s="568"/>
      <c r="J3" s="569"/>
    </row>
    <row r="4" spans="1:45" ht="13.5" thickBot="1" x14ac:dyDescent="0.25">
      <c r="B4" s="562" t="s">
        <v>260</v>
      </c>
      <c r="C4" s="562"/>
      <c r="D4" s="598"/>
      <c r="H4" s="570" t="s">
        <v>261</v>
      </c>
      <c r="I4" s="568"/>
      <c r="J4" s="569"/>
    </row>
    <row r="5" spans="1:45" ht="13.5" thickBot="1" x14ac:dyDescent="0.25">
      <c r="B5" s="131" t="s">
        <v>262</v>
      </c>
      <c r="C5" s="131"/>
      <c r="D5" s="600"/>
      <c r="H5" s="570" t="s">
        <v>273</v>
      </c>
      <c r="I5" s="568"/>
      <c r="J5" s="569"/>
    </row>
    <row r="6" spans="1:45" ht="13.5" thickBot="1" x14ac:dyDescent="0.25">
      <c r="B6" s="131" t="s">
        <v>263</v>
      </c>
      <c r="C6" s="131"/>
      <c r="D6" s="599"/>
      <c r="H6" s="571"/>
      <c r="I6" s="572"/>
      <c r="J6" s="573"/>
    </row>
    <row r="7" spans="1:45" x14ac:dyDescent="0.2">
      <c r="AS7" s="440"/>
    </row>
    <row r="8" spans="1:45" x14ac:dyDescent="0.2">
      <c r="A8" s="132" t="s">
        <v>264</v>
      </c>
      <c r="AS8" s="583"/>
    </row>
    <row r="9" spans="1:45" x14ac:dyDescent="0.2">
      <c r="AS9" s="4"/>
    </row>
    <row r="10" spans="1:45" x14ac:dyDescent="0.2">
      <c r="J10" s="576" t="str">
        <f>IF(CountryUser="United States (Barrels)","Unit: Thousand barrels","Unit: Thousand metric tons")</f>
        <v>Unit: Thousand metric tons</v>
      </c>
      <c r="AS10" s="4"/>
    </row>
    <row r="11" spans="1:45" ht="12.75" customHeight="1" x14ac:dyDescent="0.2">
      <c r="A11" s="577"/>
      <c r="B11" s="594"/>
      <c r="C11" s="594"/>
      <c r="D11" s="825" t="s">
        <v>518</v>
      </c>
      <c r="E11" s="825" t="s">
        <v>519</v>
      </c>
      <c r="F11" s="825" t="s">
        <v>520</v>
      </c>
      <c r="G11" s="827" t="s">
        <v>521</v>
      </c>
      <c r="H11" s="590"/>
      <c r="I11" s="825" t="s">
        <v>523</v>
      </c>
      <c r="J11" s="822" t="s">
        <v>524</v>
      </c>
      <c r="L11" s="820" t="s">
        <v>499</v>
      </c>
    </row>
    <row r="12" spans="1:45" ht="24" x14ac:dyDescent="0.2">
      <c r="A12" s="593"/>
      <c r="B12" s="591"/>
      <c r="C12" s="592"/>
      <c r="D12" s="826"/>
      <c r="E12" s="826"/>
      <c r="F12" s="826"/>
      <c r="G12" s="828"/>
      <c r="H12" s="140" t="s">
        <v>522</v>
      </c>
      <c r="I12" s="826"/>
      <c r="J12" s="823"/>
      <c r="L12" s="821"/>
    </row>
    <row r="13" spans="1:45" x14ac:dyDescent="0.2">
      <c r="A13" s="136"/>
      <c r="B13" s="581"/>
      <c r="C13" s="137"/>
      <c r="D13" s="138" t="s">
        <v>265</v>
      </c>
      <c r="E13" s="139" t="s">
        <v>266</v>
      </c>
      <c r="F13" s="139" t="s">
        <v>267</v>
      </c>
      <c r="G13" s="139" t="s">
        <v>268</v>
      </c>
      <c r="H13" s="140" t="s">
        <v>269</v>
      </c>
      <c r="I13" s="139" t="s">
        <v>270</v>
      </c>
      <c r="J13" s="414" t="s">
        <v>271</v>
      </c>
      <c r="L13" s="414" t="s">
        <v>450</v>
      </c>
      <c r="AI13" s="445" t="s">
        <v>310</v>
      </c>
      <c r="AS13" s="440"/>
    </row>
    <row r="14" spans="1:45" x14ac:dyDescent="0.2">
      <c r="A14" s="580" t="s">
        <v>409</v>
      </c>
      <c r="B14" s="143" t="s">
        <v>525</v>
      </c>
      <c r="C14" s="586">
        <v>1</v>
      </c>
      <c r="D14" s="145">
        <v>35</v>
      </c>
      <c r="E14" s="145">
        <v>7</v>
      </c>
      <c r="F14" s="146"/>
      <c r="G14" s="145">
        <v>4</v>
      </c>
      <c r="H14" s="146"/>
      <c r="I14" s="145"/>
      <c r="J14" s="493">
        <f t="shared" ref="J14:J25" si="0">SUM(D14:G14,I14)</f>
        <v>46</v>
      </c>
      <c r="L14" s="214" t="str">
        <f>IF(J14-SUM(G14,I14,D14:E14)=0,"","Total is not equal to the sum of each product")</f>
        <v/>
      </c>
      <c r="AI14" s="445" t="s">
        <v>104</v>
      </c>
      <c r="AS14" s="215"/>
    </row>
    <row r="15" spans="1:45" x14ac:dyDescent="0.2">
      <c r="A15" s="575" t="s">
        <v>409</v>
      </c>
      <c r="B15" s="150" t="s">
        <v>526</v>
      </c>
      <c r="C15" s="587">
        <v>2</v>
      </c>
      <c r="D15" s="146"/>
      <c r="E15" s="146"/>
      <c r="F15" s="146"/>
      <c r="G15" s="145">
        <v>160</v>
      </c>
      <c r="H15" s="152">
        <v>160</v>
      </c>
      <c r="I15" s="145"/>
      <c r="J15" s="493">
        <f t="shared" si="0"/>
        <v>160</v>
      </c>
      <c r="L15" s="214" t="str">
        <f>IF(J15-SUM(G15,I15)=0,"","Total is not equal to the sum of each product")</f>
        <v/>
      </c>
      <c r="AI15" s="445" t="s">
        <v>105</v>
      </c>
      <c r="AS15" s="215"/>
    </row>
    <row r="16" spans="1:45" ht="13.5" x14ac:dyDescent="0.2">
      <c r="A16" s="575" t="s">
        <v>409</v>
      </c>
      <c r="B16" s="153" t="s">
        <v>274</v>
      </c>
      <c r="C16" s="588">
        <v>3</v>
      </c>
      <c r="D16" s="146"/>
      <c r="E16" s="146"/>
      <c r="F16" s="145">
        <v>126</v>
      </c>
      <c r="G16" s="146"/>
      <c r="H16" s="146"/>
      <c r="I16" s="146"/>
      <c r="J16" s="493">
        <f t="shared" si="0"/>
        <v>126</v>
      </c>
      <c r="L16" s="214" t="str">
        <f>IF(J16-SUM(F16)=0,"","Total is not equal to the sum of each product")</f>
        <v/>
      </c>
      <c r="AI16" s="445" t="s">
        <v>311</v>
      </c>
      <c r="AS16" s="215"/>
    </row>
    <row r="17" spans="1:45" ht="13.5" x14ac:dyDescent="0.2">
      <c r="A17" s="575" t="s">
        <v>409</v>
      </c>
      <c r="B17" s="153" t="s">
        <v>529</v>
      </c>
      <c r="C17" s="588">
        <v>4</v>
      </c>
      <c r="D17" s="146"/>
      <c r="E17" s="146"/>
      <c r="F17" s="145">
        <v>201</v>
      </c>
      <c r="G17" s="146"/>
      <c r="H17" s="146"/>
      <c r="I17" s="146"/>
      <c r="J17" s="493">
        <f t="shared" si="0"/>
        <v>201</v>
      </c>
      <c r="L17" s="214" t="str">
        <f>IF(J17-SUM(F17)=0,"","Total is not equal to the sum of each product")</f>
        <v/>
      </c>
      <c r="AI17" s="445" t="s">
        <v>94</v>
      </c>
      <c r="AS17" s="215"/>
    </row>
    <row r="18" spans="1:45" x14ac:dyDescent="0.2">
      <c r="A18" s="575" t="s">
        <v>409</v>
      </c>
      <c r="B18" s="153" t="s">
        <v>611</v>
      </c>
      <c r="C18" s="588">
        <v>5</v>
      </c>
      <c r="D18" s="145">
        <v>5038</v>
      </c>
      <c r="E18" s="145">
        <v>848</v>
      </c>
      <c r="F18" s="145"/>
      <c r="G18" s="145">
        <v>83</v>
      </c>
      <c r="H18" s="146"/>
      <c r="I18" s="145"/>
      <c r="J18" s="493">
        <f t="shared" si="0"/>
        <v>5969</v>
      </c>
      <c r="L18" s="214" t="str">
        <f t="shared" ref="L18:L25" si="1">IF(J18-SUM(D18:G18,I18)=0,"","Total is not equal to the sum of each product")</f>
        <v/>
      </c>
      <c r="AI18" s="445" t="s">
        <v>92</v>
      </c>
      <c r="AS18" s="215"/>
    </row>
    <row r="19" spans="1:45" x14ac:dyDescent="0.2">
      <c r="A19" s="575" t="s">
        <v>410</v>
      </c>
      <c r="B19" s="153" t="s">
        <v>612</v>
      </c>
      <c r="C19" s="588">
        <v>6</v>
      </c>
      <c r="D19" s="145">
        <v>0</v>
      </c>
      <c r="E19" s="145">
        <v>8</v>
      </c>
      <c r="F19" s="145"/>
      <c r="G19" s="145">
        <v>42</v>
      </c>
      <c r="H19" s="146"/>
      <c r="I19" s="145"/>
      <c r="J19" s="493">
        <f t="shared" si="0"/>
        <v>50</v>
      </c>
      <c r="L19" s="214" t="str">
        <f t="shared" si="1"/>
        <v/>
      </c>
      <c r="AI19" s="445" t="s">
        <v>93</v>
      </c>
      <c r="AS19" s="215"/>
    </row>
    <row r="20" spans="1:45" ht="13.5" x14ac:dyDescent="0.2">
      <c r="A20" s="595" t="s">
        <v>410</v>
      </c>
      <c r="B20" s="386" t="s">
        <v>613</v>
      </c>
      <c r="C20" s="587">
        <v>7</v>
      </c>
      <c r="D20" s="145">
        <v>68</v>
      </c>
      <c r="E20" s="145">
        <v>65</v>
      </c>
      <c r="F20" s="145">
        <v>126</v>
      </c>
      <c r="G20" s="145">
        <v>224</v>
      </c>
      <c r="H20" s="152">
        <v>164</v>
      </c>
      <c r="I20" s="145"/>
      <c r="J20" s="493">
        <f t="shared" si="0"/>
        <v>483</v>
      </c>
      <c r="L20" s="214" t="str">
        <f t="shared" si="1"/>
        <v/>
      </c>
      <c r="AI20" s="445" t="s">
        <v>107</v>
      </c>
      <c r="AS20" s="215"/>
    </row>
    <row r="21" spans="1:45" ht="13.5" x14ac:dyDescent="0.2">
      <c r="A21" s="575" t="s">
        <v>410</v>
      </c>
      <c r="B21" s="153" t="s">
        <v>614</v>
      </c>
      <c r="C21" s="587">
        <v>8</v>
      </c>
      <c r="D21" s="145">
        <v>381</v>
      </c>
      <c r="E21" s="145">
        <v>195</v>
      </c>
      <c r="F21" s="145"/>
      <c r="G21" s="145">
        <v>-21</v>
      </c>
      <c r="H21" s="152">
        <v>-4</v>
      </c>
      <c r="I21" s="145"/>
      <c r="J21" s="493">
        <f t="shared" si="0"/>
        <v>555</v>
      </c>
      <c r="L21" s="214" t="str">
        <f t="shared" si="1"/>
        <v/>
      </c>
      <c r="AI21" s="445" t="s">
        <v>97</v>
      </c>
      <c r="AS21" s="215"/>
    </row>
    <row r="22" spans="1:45" x14ac:dyDescent="0.2">
      <c r="A22" s="575" t="s">
        <v>426</v>
      </c>
      <c r="B22" s="155" t="s">
        <v>527</v>
      </c>
      <c r="C22" s="589">
        <v>9</v>
      </c>
      <c r="D22" s="493">
        <f t="shared" ref="D22:I22" si="2">D14+D15+D16+D17+D18-D19-D20-D21</f>
        <v>4624</v>
      </c>
      <c r="E22" s="493">
        <f t="shared" si="2"/>
        <v>587</v>
      </c>
      <c r="F22" s="493">
        <f t="shared" si="2"/>
        <v>201</v>
      </c>
      <c r="G22" s="493">
        <f t="shared" si="2"/>
        <v>2</v>
      </c>
      <c r="H22" s="157">
        <f t="shared" si="2"/>
        <v>0</v>
      </c>
      <c r="I22" s="493">
        <f t="shared" si="2"/>
        <v>0</v>
      </c>
      <c r="J22" s="493">
        <f t="shared" si="0"/>
        <v>5414</v>
      </c>
      <c r="L22" s="214" t="str">
        <f t="shared" si="1"/>
        <v/>
      </c>
      <c r="AI22" s="445" t="s">
        <v>312</v>
      </c>
      <c r="AS22" s="215"/>
    </row>
    <row r="23" spans="1:45" x14ac:dyDescent="0.2">
      <c r="A23" s="575" t="s">
        <v>410</v>
      </c>
      <c r="B23" s="155" t="s">
        <v>272</v>
      </c>
      <c r="C23" s="589">
        <v>10</v>
      </c>
      <c r="D23" s="493">
        <f t="shared" ref="D23:I23" si="3">D22-D24</f>
        <v>138</v>
      </c>
      <c r="E23" s="493">
        <f t="shared" si="3"/>
        <v>1</v>
      </c>
      <c r="F23" s="493">
        <f t="shared" si="3"/>
        <v>0</v>
      </c>
      <c r="G23" s="493">
        <f t="shared" si="3"/>
        <v>0</v>
      </c>
      <c r="H23" s="157">
        <f t="shared" si="3"/>
        <v>0</v>
      </c>
      <c r="I23" s="493">
        <f t="shared" si="3"/>
        <v>0</v>
      </c>
      <c r="J23" s="493">
        <f t="shared" si="0"/>
        <v>139</v>
      </c>
      <c r="L23" s="214" t="str">
        <f t="shared" si="1"/>
        <v/>
      </c>
      <c r="AI23" s="445" t="s">
        <v>96</v>
      </c>
      <c r="AS23" s="215"/>
    </row>
    <row r="24" spans="1:45" s="563" customFormat="1" ht="16.5" customHeight="1" x14ac:dyDescent="0.2">
      <c r="A24" s="158" t="s">
        <v>426</v>
      </c>
      <c r="B24" s="387" t="s">
        <v>528</v>
      </c>
      <c r="C24" s="585">
        <v>11</v>
      </c>
      <c r="D24" s="160">
        <v>4486</v>
      </c>
      <c r="E24" s="160">
        <v>586</v>
      </c>
      <c r="F24" s="160">
        <v>201</v>
      </c>
      <c r="G24" s="160">
        <v>2</v>
      </c>
      <c r="H24" s="160"/>
      <c r="I24" s="160"/>
      <c r="J24" s="161">
        <f t="shared" si="0"/>
        <v>5275</v>
      </c>
      <c r="L24" s="214" t="str">
        <f t="shared" si="1"/>
        <v/>
      </c>
      <c r="AI24" s="563" t="s">
        <v>108</v>
      </c>
      <c r="AS24" s="584"/>
    </row>
    <row r="25" spans="1:45" x14ac:dyDescent="0.2">
      <c r="A25" s="136"/>
      <c r="B25" s="162" t="s">
        <v>534</v>
      </c>
      <c r="C25" s="586">
        <v>12</v>
      </c>
      <c r="D25" s="145">
        <v>75</v>
      </c>
      <c r="E25" s="145"/>
      <c r="F25" s="145"/>
      <c r="G25" s="145"/>
      <c r="H25" s="152"/>
      <c r="I25" s="145"/>
      <c r="J25" s="493">
        <f t="shared" si="0"/>
        <v>75</v>
      </c>
      <c r="L25" s="214" t="str">
        <f t="shared" si="1"/>
        <v/>
      </c>
      <c r="AI25" s="445" t="s">
        <v>313</v>
      </c>
      <c r="AS25" s="215"/>
    </row>
    <row r="26" spans="1:45" s="163" customFormat="1" ht="22.5" customHeight="1" x14ac:dyDescent="0.2">
      <c r="D26" s="163" t="str">
        <f>IF(MIN(D14,D18:D20,D24)&lt;0,"Negative number","")</f>
        <v/>
      </c>
      <c r="E26" s="163" t="str">
        <f>IF(MIN(E14,E18:E20,E24)&lt;0,"Negative number","")</f>
        <v/>
      </c>
      <c r="F26" s="163" t="str">
        <f>IF(MIN(F16:F20,F24)&lt;0,"Negative number","")</f>
        <v/>
      </c>
      <c r="G26" s="163" t="str">
        <f>IF(MIN(G14:G15,G18:G20,G24:G24)&lt;0,"Negative number","")</f>
        <v/>
      </c>
      <c r="H26" s="163" t="str">
        <f>IF(MIN(H14:H15,H18:H20,H24:H24)&lt;0,"Negative number","")</f>
        <v/>
      </c>
      <c r="I26" s="578" t="str">
        <f>IF(MIN(I14:I15,I18:I20,I24)&lt;0,"Negative number","")</f>
        <v/>
      </c>
      <c r="J26" s="163" t="str">
        <f>IF(MIN(J14:J20,J24)&lt;0,"Negative number","")</f>
        <v/>
      </c>
    </row>
    <row r="27" spans="1:45" ht="22.5" customHeight="1" x14ac:dyDescent="0.2">
      <c r="B27" s="441"/>
      <c r="C27" s="441"/>
      <c r="H27" s="164" t="str">
        <f>IF(OR(H14&gt;G14,H15&gt;G15,H18&gt;G18,H19&gt;G19,H20&gt;G20,H24&gt;G24,H25&gt;G25),"Error: Of which Biofuels greater than Additives / Oxygenates","")</f>
        <v/>
      </c>
    </row>
    <row r="28" spans="1:45" x14ac:dyDescent="0.2">
      <c r="A28" s="439">
        <v>1</v>
      </c>
      <c r="B28" s="390" t="s">
        <v>684</v>
      </c>
      <c r="C28" s="390"/>
      <c r="H28" s="579">
        <f>J16-MOS_Table_2!AC26</f>
        <v>2</v>
      </c>
      <c r="I28" s="441" t="str">
        <f>IF(H28=0,"OK","Total Backflows not equal to Total Backflows on table 2")</f>
        <v>Total Backflows not equal to Total Backflows on table 2</v>
      </c>
      <c r="L28" s="165"/>
    </row>
    <row r="29" spans="1:45" x14ac:dyDescent="0.2">
      <c r="A29" s="439">
        <v>2</v>
      </c>
      <c r="B29" s="390" t="s">
        <v>685</v>
      </c>
      <c r="C29" s="390"/>
      <c r="H29" s="579">
        <f>J17-MOS_Table_2!AC16</f>
        <v>-1</v>
      </c>
      <c r="I29" s="441" t="str">
        <f>IF(H29=0,"OK","Total of Product transferred not equal to total of Product transferred on table 2")</f>
        <v>Total of Product transferred not equal to total of Product transferred on table 2</v>
      </c>
    </row>
    <row r="30" spans="1:45" x14ac:dyDescent="0.2">
      <c r="A30" s="439">
        <v>3</v>
      </c>
      <c r="B30" s="390" t="s">
        <v>686</v>
      </c>
      <c r="C30" s="390"/>
      <c r="H30" s="579">
        <f>J20-MOS_Table_2!AC8</f>
        <v>1</v>
      </c>
      <c r="I30" s="390" t="str">
        <f>IF(H30=0,"OK","Total Direct Use figure does not equal total of Primary Product Receipts on table 2")</f>
        <v>Total Direct Use figure does not equal total of Primary Product Receipts on table 2</v>
      </c>
    </row>
    <row r="31" spans="1:45" x14ac:dyDescent="0.2">
      <c r="A31" s="439">
        <v>4</v>
      </c>
      <c r="B31" s="441" t="s">
        <v>687</v>
      </c>
      <c r="C31" s="441"/>
      <c r="H31" s="579">
        <f>J21-(MOS_Table_5!J9-MOS_Table_5!J8)</f>
        <v>2</v>
      </c>
      <c r="I31" s="390" t="str">
        <f>IF(H31=0,"OK","Stock change not equal to Closing minus Opening levels on National Territory, table 5")</f>
        <v>Stock change not equal to Closing minus Opening levels on National Territory, table 5</v>
      </c>
    </row>
    <row r="32" spans="1:45" x14ac:dyDescent="0.2">
      <c r="A32" s="439"/>
      <c r="B32" s="390"/>
      <c r="C32" s="390"/>
      <c r="H32" s="579"/>
      <c r="I32" s="441"/>
    </row>
    <row r="33" spans="1:9" x14ac:dyDescent="0.2">
      <c r="A33" s="439"/>
      <c r="B33" s="390"/>
      <c r="C33" s="390"/>
      <c r="H33" s="579"/>
      <c r="I33" s="441"/>
    </row>
    <row r="34" spans="1:9" x14ac:dyDescent="0.2">
      <c r="A34" s="439"/>
      <c r="B34" s="390"/>
      <c r="C34" s="390"/>
      <c r="H34" s="390"/>
    </row>
    <row r="35" spans="1:9" x14ac:dyDescent="0.2">
      <c r="A35" s="439"/>
      <c r="B35" s="390"/>
      <c r="C35" s="390"/>
      <c r="H35" s="390"/>
    </row>
    <row r="36" spans="1:9" x14ac:dyDescent="0.2">
      <c r="A36" s="439"/>
      <c r="B36" s="390"/>
      <c r="C36" s="390"/>
      <c r="H36" s="390"/>
    </row>
    <row r="37" spans="1:9" x14ac:dyDescent="0.2">
      <c r="A37" s="439"/>
      <c r="B37" s="596"/>
      <c r="C37" s="390"/>
      <c r="H37" s="390"/>
    </row>
    <row r="38" spans="1:9" x14ac:dyDescent="0.2">
      <c r="A38" s="439"/>
      <c r="B38" s="390"/>
      <c r="C38" s="390"/>
      <c r="H38" s="390"/>
    </row>
    <row r="39" spans="1:9" x14ac:dyDescent="0.2">
      <c r="A39" s="439"/>
      <c r="B39" s="390"/>
      <c r="C39" s="390"/>
      <c r="H39" s="390"/>
    </row>
    <row r="40" spans="1:9" x14ac:dyDescent="0.2">
      <c r="A40" s="439"/>
      <c r="B40" s="390"/>
      <c r="C40" s="390"/>
      <c r="H40" s="390"/>
    </row>
    <row r="41" spans="1:9" x14ac:dyDescent="0.2">
      <c r="A41" s="439"/>
      <c r="B41" s="390"/>
      <c r="C41" s="390"/>
      <c r="H41" s="390"/>
    </row>
    <row r="42" spans="1:9" x14ac:dyDescent="0.2">
      <c r="A42" s="439"/>
      <c r="B42" s="390"/>
      <c r="C42" s="390"/>
      <c r="H42" s="390"/>
    </row>
    <row r="43" spans="1:9" x14ac:dyDescent="0.2">
      <c r="A43" s="439"/>
      <c r="B43" s="390"/>
      <c r="C43" s="390"/>
      <c r="H43" s="390"/>
    </row>
    <row r="44" spans="1:9" x14ac:dyDescent="0.2">
      <c r="A44" s="439"/>
      <c r="B44" s="390"/>
      <c r="C44" s="390"/>
      <c r="H44" s="390"/>
    </row>
    <row r="45" spans="1:9" x14ac:dyDescent="0.2">
      <c r="A45" s="439"/>
      <c r="B45" s="390"/>
      <c r="C45" s="390"/>
      <c r="H45" s="390"/>
    </row>
    <row r="46" spans="1:9" x14ac:dyDescent="0.2">
      <c r="A46" s="439"/>
      <c r="B46" s="390"/>
      <c r="C46" s="390"/>
      <c r="H46" s="390"/>
    </row>
    <row r="47" spans="1:9" x14ac:dyDescent="0.2">
      <c r="A47" s="439"/>
      <c r="B47" s="390"/>
      <c r="C47" s="390"/>
      <c r="H47" s="390"/>
    </row>
    <row r="48" spans="1:9" x14ac:dyDescent="0.2">
      <c r="A48" s="439"/>
      <c r="B48" s="390"/>
      <c r="C48" s="390"/>
      <c r="H48" s="390"/>
    </row>
    <row r="49" spans="1:8" x14ac:dyDescent="0.2">
      <c r="A49" s="439"/>
      <c r="B49" s="390"/>
      <c r="C49" s="390"/>
      <c r="H49" s="390"/>
    </row>
    <row r="50" spans="1:8" x14ac:dyDescent="0.2">
      <c r="A50" s="439"/>
      <c r="B50" s="390"/>
      <c r="C50" s="390"/>
      <c r="H50" s="390"/>
    </row>
    <row r="51" spans="1:8" x14ac:dyDescent="0.2">
      <c r="A51" s="439"/>
      <c r="B51" s="390"/>
      <c r="C51" s="390"/>
      <c r="H51" s="390"/>
    </row>
    <row r="52" spans="1:8" x14ac:dyDescent="0.2">
      <c r="A52" s="439"/>
      <c r="B52" s="390"/>
      <c r="C52" s="390"/>
      <c r="H52" s="390"/>
    </row>
    <row r="53" spans="1:8" x14ac:dyDescent="0.2">
      <c r="A53" s="439"/>
      <c r="B53" s="390"/>
      <c r="C53" s="390"/>
      <c r="H53" s="390"/>
    </row>
    <row r="54" spans="1:8" x14ac:dyDescent="0.2">
      <c r="A54" s="439"/>
      <c r="B54" s="390"/>
      <c r="C54" s="390"/>
      <c r="H54" s="390"/>
    </row>
    <row r="55" spans="1:8" x14ac:dyDescent="0.2">
      <c r="A55" s="439"/>
      <c r="B55" s="390"/>
      <c r="C55" s="390"/>
      <c r="H55" s="390"/>
    </row>
    <row r="56" spans="1:8" x14ac:dyDescent="0.2">
      <c r="A56" s="439"/>
      <c r="B56" s="390"/>
      <c r="C56" s="390"/>
      <c r="H56" s="390"/>
    </row>
    <row r="57" spans="1:8" x14ac:dyDescent="0.2">
      <c r="A57" s="439"/>
      <c r="B57" s="390"/>
      <c r="C57" s="390"/>
      <c r="H57" s="390"/>
    </row>
    <row r="58" spans="1:8" x14ac:dyDescent="0.2">
      <c r="A58" s="439"/>
      <c r="B58" s="390"/>
      <c r="C58" s="390"/>
      <c r="H58" s="390"/>
    </row>
    <row r="59" spans="1:8" x14ac:dyDescent="0.2">
      <c r="A59" s="439"/>
      <c r="B59" s="390"/>
      <c r="C59" s="390"/>
      <c r="H59" s="390"/>
    </row>
    <row r="60" spans="1:8" x14ac:dyDescent="0.2">
      <c r="A60" s="439"/>
      <c r="B60" s="390"/>
      <c r="C60" s="390"/>
      <c r="H60" s="390"/>
    </row>
    <row r="61" spans="1:8" x14ac:dyDescent="0.2">
      <c r="A61" s="439"/>
      <c r="B61" s="390"/>
      <c r="C61" s="390"/>
      <c r="H61" s="390"/>
    </row>
    <row r="62" spans="1:8" x14ac:dyDescent="0.2">
      <c r="A62" s="439"/>
      <c r="B62" s="390"/>
      <c r="C62" s="390"/>
      <c r="H62" s="390"/>
    </row>
    <row r="63" spans="1:8" x14ac:dyDescent="0.2">
      <c r="A63" s="439"/>
      <c r="B63" s="390"/>
      <c r="C63" s="390"/>
      <c r="H63" s="390"/>
    </row>
    <row r="64" spans="1:8" x14ac:dyDescent="0.2">
      <c r="A64" s="439"/>
      <c r="B64" s="390"/>
      <c r="C64" s="390"/>
      <c r="H64" s="390"/>
    </row>
    <row r="65" spans="1:8" x14ac:dyDescent="0.2">
      <c r="A65" s="439"/>
      <c r="B65" s="390"/>
      <c r="C65" s="390"/>
      <c r="H65" s="390"/>
    </row>
    <row r="66" spans="1:8" x14ac:dyDescent="0.2">
      <c r="A66" s="439"/>
      <c r="B66" s="390"/>
      <c r="C66" s="390"/>
      <c r="H66" s="390"/>
    </row>
    <row r="67" spans="1:8" x14ac:dyDescent="0.2">
      <c r="A67" s="439"/>
      <c r="B67" s="390"/>
      <c r="C67" s="390"/>
      <c r="H67" s="390"/>
    </row>
    <row r="68" spans="1:8" x14ac:dyDescent="0.2">
      <c r="A68" s="439"/>
      <c r="B68" s="390"/>
      <c r="C68" s="390"/>
      <c r="H68" s="390"/>
    </row>
    <row r="69" spans="1:8" x14ac:dyDescent="0.2">
      <c r="A69" s="439"/>
      <c r="B69" s="390"/>
      <c r="C69" s="390"/>
      <c r="H69" s="390"/>
    </row>
    <row r="70" spans="1:8" x14ac:dyDescent="0.2">
      <c r="A70" s="439"/>
      <c r="B70" s="390"/>
      <c r="C70" s="390"/>
      <c r="H70" s="390"/>
    </row>
    <row r="71" spans="1:8" x14ac:dyDescent="0.2">
      <c r="A71" s="439"/>
      <c r="B71" s="390"/>
      <c r="C71" s="390"/>
      <c r="H71" s="390"/>
    </row>
    <row r="72" spans="1:8" x14ac:dyDescent="0.2">
      <c r="A72" s="439"/>
      <c r="B72" s="390"/>
      <c r="C72" s="390"/>
      <c r="H72" s="390"/>
    </row>
    <row r="73" spans="1:8" x14ac:dyDescent="0.2">
      <c r="A73" s="439"/>
      <c r="B73" s="390"/>
      <c r="C73" s="390"/>
      <c r="H73" s="390"/>
    </row>
    <row r="74" spans="1:8" x14ac:dyDescent="0.2">
      <c r="A74" s="439"/>
      <c r="B74" s="390"/>
      <c r="C74" s="390"/>
      <c r="H74" s="390"/>
    </row>
    <row r="75" spans="1:8" x14ac:dyDescent="0.2">
      <c r="A75" s="439"/>
      <c r="B75" s="390"/>
      <c r="C75" s="390"/>
      <c r="H75" s="390"/>
    </row>
    <row r="76" spans="1:8" x14ac:dyDescent="0.2">
      <c r="A76" s="439"/>
      <c r="B76" s="390"/>
      <c r="C76" s="390"/>
      <c r="H76" s="390"/>
    </row>
    <row r="77" spans="1:8" x14ac:dyDescent="0.2">
      <c r="A77" s="439"/>
      <c r="B77" s="390"/>
      <c r="C77" s="390"/>
      <c r="H77" s="390"/>
    </row>
    <row r="78" spans="1:8" x14ac:dyDescent="0.2">
      <c r="A78" s="439"/>
      <c r="B78" s="390"/>
      <c r="C78" s="390"/>
      <c r="H78" s="390"/>
    </row>
    <row r="79" spans="1:8" x14ac:dyDescent="0.2">
      <c r="A79" s="439"/>
      <c r="B79" s="390"/>
      <c r="C79" s="390"/>
      <c r="H79" s="390"/>
    </row>
    <row r="80" spans="1:8" x14ac:dyDescent="0.2">
      <c r="A80" s="439"/>
      <c r="B80" s="390"/>
      <c r="C80" s="390"/>
      <c r="H80" s="390"/>
    </row>
    <row r="81" spans="1:8" x14ac:dyDescent="0.2">
      <c r="A81" s="439"/>
      <c r="B81" s="390"/>
      <c r="C81" s="390"/>
      <c r="H81" s="390"/>
    </row>
    <row r="82" spans="1:8" x14ac:dyDescent="0.2">
      <c r="A82" s="439"/>
      <c r="B82" s="390"/>
      <c r="C82" s="390"/>
      <c r="H82" s="390"/>
    </row>
    <row r="83" spans="1:8" x14ac:dyDescent="0.2">
      <c r="A83" s="439"/>
      <c r="B83" s="390"/>
      <c r="C83" s="390"/>
      <c r="H83" s="390"/>
    </row>
    <row r="84" spans="1:8" x14ac:dyDescent="0.2">
      <c r="A84" s="439"/>
      <c r="B84" s="390"/>
      <c r="C84" s="390"/>
      <c r="H84" s="390"/>
    </row>
    <row r="85" spans="1:8" x14ac:dyDescent="0.2">
      <c r="A85" s="439"/>
      <c r="B85" s="390"/>
      <c r="C85" s="390"/>
      <c r="H85" s="390"/>
    </row>
    <row r="86" spans="1:8" x14ac:dyDescent="0.2">
      <c r="A86" s="439"/>
      <c r="B86" s="390"/>
      <c r="C86" s="390"/>
      <c r="H86" s="390"/>
    </row>
    <row r="87" spans="1:8" x14ac:dyDescent="0.2">
      <c r="A87" s="439"/>
      <c r="B87" s="390"/>
      <c r="C87" s="390"/>
      <c r="H87" s="390"/>
    </row>
    <row r="88" spans="1:8" x14ac:dyDescent="0.2">
      <c r="A88" s="439"/>
      <c r="B88" s="390"/>
      <c r="C88" s="390"/>
      <c r="H88" s="390"/>
    </row>
    <row r="89" spans="1:8" x14ac:dyDescent="0.2">
      <c r="A89" s="439"/>
      <c r="B89" s="390"/>
      <c r="C89" s="390"/>
      <c r="H89" s="390"/>
    </row>
    <row r="90" spans="1:8" x14ac:dyDescent="0.2">
      <c r="A90" s="439"/>
      <c r="B90" s="390"/>
      <c r="C90" s="390"/>
      <c r="H90" s="390"/>
    </row>
    <row r="91" spans="1:8" x14ac:dyDescent="0.2">
      <c r="A91" s="439"/>
      <c r="B91" s="390"/>
      <c r="C91" s="390"/>
      <c r="H91" s="390"/>
    </row>
    <row r="92" spans="1:8" x14ac:dyDescent="0.2">
      <c r="A92" s="439"/>
      <c r="B92" s="390"/>
      <c r="C92" s="390"/>
      <c r="H92" s="390"/>
    </row>
    <row r="93" spans="1:8" x14ac:dyDescent="0.2">
      <c r="A93" s="439"/>
      <c r="B93" s="390"/>
      <c r="C93" s="390"/>
      <c r="H93" s="390"/>
    </row>
    <row r="94" spans="1:8" x14ac:dyDescent="0.2">
      <c r="A94" s="439"/>
      <c r="B94" s="390"/>
      <c r="C94" s="390"/>
      <c r="H94" s="390"/>
    </row>
    <row r="95" spans="1:8" x14ac:dyDescent="0.2">
      <c r="A95" s="439"/>
      <c r="B95" s="390"/>
      <c r="C95" s="390"/>
      <c r="H95" s="390"/>
    </row>
    <row r="96" spans="1:8" x14ac:dyDescent="0.2">
      <c r="A96" s="439"/>
      <c r="B96" s="390"/>
      <c r="C96" s="390"/>
      <c r="H96" s="390"/>
    </row>
    <row r="97" spans="1:8" x14ac:dyDescent="0.2">
      <c r="A97" s="439"/>
      <c r="B97" s="390"/>
      <c r="C97" s="390"/>
      <c r="H97" s="390"/>
    </row>
    <row r="98" spans="1:8" x14ac:dyDescent="0.2">
      <c r="A98" s="439"/>
      <c r="B98" s="390"/>
      <c r="C98" s="390"/>
      <c r="H98" s="390"/>
    </row>
    <row r="99" spans="1:8" x14ac:dyDescent="0.2">
      <c r="A99" s="439"/>
      <c r="B99" s="390"/>
      <c r="C99" s="390"/>
      <c r="H99" s="390"/>
    </row>
    <row r="100" spans="1:8" x14ac:dyDescent="0.2">
      <c r="A100" s="439"/>
      <c r="B100" s="390"/>
      <c r="C100" s="390"/>
      <c r="H100" s="390"/>
    </row>
    <row r="101" spans="1:8" x14ac:dyDescent="0.2">
      <c r="A101" s="439"/>
      <c r="B101" s="390"/>
      <c r="C101" s="390"/>
      <c r="H101" s="390"/>
    </row>
    <row r="102" spans="1:8" x14ac:dyDescent="0.2">
      <c r="A102" s="439"/>
      <c r="B102" s="390"/>
      <c r="C102" s="390"/>
      <c r="H102" s="390"/>
    </row>
    <row r="103" spans="1:8" x14ac:dyDescent="0.2">
      <c r="A103" s="439"/>
      <c r="B103" s="390"/>
      <c r="C103" s="390"/>
      <c r="H103" s="390"/>
    </row>
    <row r="104" spans="1:8" x14ac:dyDescent="0.2">
      <c r="A104" s="439"/>
      <c r="B104" s="390"/>
      <c r="C104" s="390"/>
      <c r="H104" s="390"/>
    </row>
    <row r="105" spans="1:8" x14ac:dyDescent="0.2">
      <c r="A105" s="439"/>
      <c r="B105" s="390"/>
      <c r="C105" s="390"/>
      <c r="H105" s="390"/>
    </row>
    <row r="106" spans="1:8" x14ac:dyDescent="0.2">
      <c r="A106" s="439"/>
      <c r="B106" s="390"/>
      <c r="C106" s="390"/>
      <c r="H106" s="390"/>
    </row>
    <row r="107" spans="1:8" x14ac:dyDescent="0.2">
      <c r="A107" s="439"/>
      <c r="B107" s="390"/>
      <c r="C107" s="390"/>
      <c r="H107" s="390"/>
    </row>
    <row r="108" spans="1:8" x14ac:dyDescent="0.2">
      <c r="A108" s="439"/>
      <c r="B108" s="390"/>
      <c r="C108" s="390"/>
      <c r="H108" s="390"/>
    </row>
    <row r="109" spans="1:8" x14ac:dyDescent="0.2">
      <c r="A109" s="439"/>
      <c r="B109" s="390"/>
      <c r="C109" s="390"/>
      <c r="H109" s="390"/>
    </row>
    <row r="110" spans="1:8" x14ac:dyDescent="0.2">
      <c r="A110" s="439"/>
      <c r="B110" s="390"/>
      <c r="C110" s="390"/>
      <c r="H110" s="390"/>
    </row>
    <row r="111" spans="1:8" x14ac:dyDescent="0.2">
      <c r="A111" s="439"/>
      <c r="B111" s="390"/>
      <c r="C111" s="390"/>
      <c r="H111" s="390"/>
    </row>
    <row r="112" spans="1:8" x14ac:dyDescent="0.2">
      <c r="A112" s="439"/>
      <c r="B112" s="390"/>
      <c r="C112" s="390"/>
      <c r="H112" s="390"/>
    </row>
    <row r="113" spans="1:8" x14ac:dyDescent="0.2">
      <c r="A113" s="439"/>
      <c r="B113" s="390"/>
      <c r="C113" s="390"/>
      <c r="H113" s="390"/>
    </row>
    <row r="114" spans="1:8" x14ac:dyDescent="0.2">
      <c r="A114" s="439"/>
      <c r="B114" s="390"/>
      <c r="C114" s="390"/>
      <c r="H114" s="390"/>
    </row>
    <row r="115" spans="1:8" x14ac:dyDescent="0.2">
      <c r="A115" s="439"/>
      <c r="B115" s="390"/>
      <c r="C115" s="390"/>
      <c r="H115" s="390"/>
    </row>
    <row r="116" spans="1:8" x14ac:dyDescent="0.2">
      <c r="A116" s="439"/>
      <c r="B116" s="390"/>
      <c r="C116" s="390"/>
      <c r="H116" s="390"/>
    </row>
    <row r="117" spans="1:8" x14ac:dyDescent="0.2">
      <c r="A117" s="439"/>
      <c r="B117" s="390"/>
      <c r="C117" s="390"/>
      <c r="H117" s="390"/>
    </row>
    <row r="118" spans="1:8" x14ac:dyDescent="0.2">
      <c r="A118" s="439"/>
      <c r="B118" s="390"/>
      <c r="C118" s="390"/>
      <c r="H118" s="390"/>
    </row>
    <row r="119" spans="1:8" x14ac:dyDescent="0.2">
      <c r="A119" s="439"/>
      <c r="B119" s="390"/>
      <c r="C119" s="390"/>
      <c r="H119" s="390"/>
    </row>
    <row r="120" spans="1:8" x14ac:dyDescent="0.2">
      <c r="A120" s="439"/>
      <c r="B120" s="390"/>
      <c r="C120" s="390"/>
      <c r="H120" s="390"/>
    </row>
    <row r="121" spans="1:8" x14ac:dyDescent="0.2">
      <c r="A121" s="439"/>
      <c r="B121" s="390"/>
      <c r="C121" s="390"/>
      <c r="H121" s="390"/>
    </row>
    <row r="122" spans="1:8" x14ac:dyDescent="0.2">
      <c r="A122" s="439"/>
      <c r="B122" s="390"/>
      <c r="C122" s="390"/>
      <c r="H122" s="390"/>
    </row>
    <row r="123" spans="1:8" x14ac:dyDescent="0.2">
      <c r="A123" s="439"/>
      <c r="B123" s="390"/>
      <c r="C123" s="390"/>
      <c r="H123" s="390"/>
    </row>
    <row r="124" spans="1:8" x14ac:dyDescent="0.2">
      <c r="A124" s="439"/>
      <c r="B124" s="390"/>
      <c r="C124" s="390"/>
      <c r="H124" s="390"/>
    </row>
    <row r="125" spans="1:8" x14ac:dyDescent="0.2">
      <c r="A125" s="439"/>
      <c r="B125" s="390"/>
      <c r="C125" s="390"/>
      <c r="H125" s="390"/>
    </row>
    <row r="126" spans="1:8" x14ac:dyDescent="0.2">
      <c r="A126" s="439"/>
      <c r="B126" s="390"/>
      <c r="C126" s="390"/>
      <c r="H126" s="390"/>
    </row>
    <row r="127" spans="1:8" x14ac:dyDescent="0.2">
      <c r="A127" s="439"/>
      <c r="B127" s="390"/>
      <c r="C127" s="390"/>
      <c r="H127" s="390"/>
    </row>
    <row r="128" spans="1:8" x14ac:dyDescent="0.2">
      <c r="A128" s="439"/>
      <c r="B128" s="390"/>
      <c r="C128" s="390"/>
      <c r="H128" s="390"/>
    </row>
    <row r="129" spans="2:35" x14ac:dyDescent="0.2">
      <c r="AI129" s="445" t="s">
        <v>309</v>
      </c>
    </row>
    <row r="130" spans="2:35" hidden="1" x14ac:dyDescent="0.2">
      <c r="B130" s="22" t="s">
        <v>308</v>
      </c>
      <c r="D130" s="582" t="s">
        <v>90</v>
      </c>
      <c r="E130" s="582" t="s">
        <v>391</v>
      </c>
      <c r="F130" s="582" t="s">
        <v>304</v>
      </c>
      <c r="G130" s="582" t="s">
        <v>305</v>
      </c>
      <c r="H130" s="582" t="s">
        <v>306</v>
      </c>
      <c r="I130" s="582" t="s">
        <v>307</v>
      </c>
      <c r="J130" s="582" t="s">
        <v>99</v>
      </c>
      <c r="AI130" s="445" t="s">
        <v>110</v>
      </c>
    </row>
  </sheetData>
  <sheetProtection algorithmName="SHA-512" hashValue="3ebyX4sm9DSgByPr6Pve1rS7jnoeyjOsfrnACccKtPeea9DZj4KC0+XbH6m/pd0AqWRnZJQAsw/Z4FN74KYufw==" saltValue="+dfStkam/3/NEgwZpgxqHw==" spinCount="100000" sheet="1" objects="1" scenarios="1"/>
  <mergeCells count="8">
    <mergeCell ref="L11:L12"/>
    <mergeCell ref="J11:J12"/>
    <mergeCell ref="D2:E2"/>
    <mergeCell ref="D11:D12"/>
    <mergeCell ref="E11:E12"/>
    <mergeCell ref="F11:F12"/>
    <mergeCell ref="G11:G12"/>
    <mergeCell ref="I11:I12"/>
  </mergeCells>
  <phoneticPr fontId="6" type="noConversion"/>
  <conditionalFormatting sqref="H15 H20 H22 H24:H25">
    <cfRule type="cellIs" dxfId="261" priority="14" stopIfTrue="1" operator="greaterThan">
      <formula>G15</formula>
    </cfRule>
  </conditionalFormatting>
  <conditionalFormatting sqref="D15:E17 F14:F15 G16:I17 H14 H18:H19">
    <cfRule type="cellIs" dxfId="260" priority="12" stopIfTrue="1" operator="notEqual">
      <formula>0</formula>
    </cfRule>
  </conditionalFormatting>
  <conditionalFormatting sqref="D14:E14 G14:G15 H15 I14:I15 F16:F17 D18:G20 H20 I18:I20 J14:J20 D24:J25 D22:J22">
    <cfRule type="cellIs" dxfId="259" priority="13" stopIfTrue="1" operator="lessThan">
      <formula>0</formula>
    </cfRule>
  </conditionalFormatting>
  <conditionalFormatting sqref="J18:J25">
    <cfRule type="cellIs" dxfId="258" priority="11" stopIfTrue="1" operator="notEqual">
      <formula>SUM(D18:G18,I18)</formula>
    </cfRule>
  </conditionalFormatting>
  <conditionalFormatting sqref="I28:I33">
    <cfRule type="cellIs" dxfId="257" priority="20" stopIfTrue="1" operator="notEqual">
      <formula>"OK"</formula>
    </cfRule>
  </conditionalFormatting>
  <conditionalFormatting sqref="J17">
    <cfRule type="cellIs" dxfId="256" priority="10" stopIfTrue="1" operator="notEqual">
      <formula>$F$17</formula>
    </cfRule>
  </conditionalFormatting>
  <conditionalFormatting sqref="J16">
    <cfRule type="cellIs" dxfId="255" priority="9" stopIfTrue="1" operator="notEqual">
      <formula>$F$16</formula>
    </cfRule>
  </conditionalFormatting>
  <conditionalFormatting sqref="J15">
    <cfRule type="cellIs" dxfId="254" priority="8" stopIfTrue="1" operator="notEqual">
      <formula>G15+I15</formula>
    </cfRule>
  </conditionalFormatting>
  <conditionalFormatting sqref="J14">
    <cfRule type="cellIs" dxfId="253" priority="7" stopIfTrue="1" operator="notEqual">
      <formula>D14+E14+G14+I14</formula>
    </cfRule>
  </conditionalFormatting>
  <conditionalFormatting sqref="D22:E22">
    <cfRule type="cellIs" dxfId="252" priority="6" stopIfTrue="1" operator="notEqual">
      <formula>D14+D18-D19-D20-D21</formula>
    </cfRule>
  </conditionalFormatting>
  <conditionalFormatting sqref="F22">
    <cfRule type="cellIs" dxfId="251" priority="5" stopIfTrue="1" operator="notEqual">
      <formula>SUM(F16:F18)-SUM(F19:F21)</formula>
    </cfRule>
  </conditionalFormatting>
  <conditionalFormatting sqref="G22">
    <cfRule type="cellIs" dxfId="250" priority="4" stopIfTrue="1" operator="notEqual">
      <formula>SUM(G14,G15,G18)-SUM(G19:G21)</formula>
    </cfRule>
  </conditionalFormatting>
  <conditionalFormatting sqref="H22">
    <cfRule type="cellIs" dxfId="249" priority="3" stopIfTrue="1" operator="notEqual">
      <formula>H15-H20-H21</formula>
    </cfRule>
  </conditionalFormatting>
  <conditionalFormatting sqref="I22">
    <cfRule type="cellIs" dxfId="248" priority="2" stopIfTrue="1" operator="notEqual">
      <formula>SUM(I14:I15,I18)-SUM(I19:I21)</formula>
    </cfRule>
  </conditionalFormatting>
  <conditionalFormatting sqref="D23:J23">
    <cfRule type="cellIs" dxfId="247" priority="1" stopIfTrue="1" operator="notEqual">
      <formula>D22-D24</formula>
    </cfRule>
  </conditionalFormatting>
  <dataValidations disablePrompts="1" count="1">
    <dataValidation type="list" allowBlank="1" showInputMessage="1" showErrorMessage="1" sqref="D4" xr:uid="{00000000-0002-0000-0200-000000000000}">
      <formula1>$AI$1:$AI$2</formula1>
    </dataValidation>
  </dataValidations>
  <pageMargins left="0.75" right="0.75" top="1" bottom="1" header="0.5" footer="0.5"/>
  <pageSetup paperSize="9" scale="80" orientation="landscape" r:id="rId1"/>
  <headerFooter alignWithMargins="0">
    <oddHeader>&amp;C&amp;A</oddHeader>
    <oddFooter>&amp;L&amp;F&amp;CPage &amp;P&amp;R&amp;D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tabColor indexed="43"/>
  </sheetPr>
  <dimension ref="A1:AS130"/>
  <sheetViews>
    <sheetView zoomScaleNormal="100" workbookViewId="0">
      <pane xSplit="3" topLeftCell="D1" activePane="topRight" state="frozen"/>
      <selection pane="topRight" activeCell="D8" sqref="D8"/>
    </sheetView>
  </sheetViews>
  <sheetFormatPr defaultRowHeight="12" x14ac:dyDescent="0.2"/>
  <cols>
    <col min="1" max="1" width="2" style="390" customWidth="1"/>
    <col min="2" max="2" width="49.7109375" style="131" customWidth="1"/>
    <col min="3" max="3" width="3.28515625" style="131" bestFit="1" customWidth="1"/>
    <col min="4" max="29" width="9.28515625" style="131" customWidth="1"/>
    <col min="30" max="30" width="1.5703125" style="131" customWidth="1"/>
    <col min="31" max="31" width="46.140625" style="131" customWidth="1"/>
    <col min="32" max="34" width="9.140625" style="131"/>
    <col min="35" max="35" width="10.7109375" style="131" customWidth="1"/>
    <col min="36" max="44" width="9.140625" style="131"/>
    <col min="45" max="45" width="12.85546875" style="131" hidden="1" customWidth="1"/>
    <col min="46" max="16384" width="9.140625" style="131"/>
  </cols>
  <sheetData>
    <row r="1" spans="1:45" x14ac:dyDescent="0.2">
      <c r="A1" s="388" t="s">
        <v>479</v>
      </c>
      <c r="AS1" s="440"/>
    </row>
    <row r="2" spans="1:45" x14ac:dyDescent="0.2">
      <c r="B2" s="166" t="str">
        <f>IF(MOS_Table_1!D2=0,"",MOS_Table_1!D2)</f>
        <v>Netherlands</v>
      </c>
      <c r="C2" s="166"/>
    </row>
    <row r="3" spans="1:45" x14ac:dyDescent="0.2">
      <c r="B3" s="166" t="str">
        <f>IF(MOS_Table_1!D3=0,"",MOS_Table_1!D3)</f>
        <v>April 2026</v>
      </c>
      <c r="C3" s="166"/>
      <c r="D3" s="133"/>
      <c r="E3" s="133"/>
      <c r="F3" s="133"/>
      <c r="G3" s="133"/>
      <c r="H3" s="133"/>
      <c r="I3" s="133"/>
      <c r="J3" s="133"/>
      <c r="K3" s="133"/>
      <c r="L3" s="133"/>
      <c r="M3" s="133"/>
      <c r="N3" s="133"/>
      <c r="O3" s="133"/>
      <c r="P3" s="133"/>
      <c r="Q3" s="133"/>
      <c r="R3" s="133"/>
      <c r="S3" s="133"/>
      <c r="T3" s="133"/>
      <c r="U3" s="133"/>
      <c r="V3" s="133"/>
      <c r="W3" s="133"/>
      <c r="X3" s="133"/>
      <c r="Y3" s="133"/>
      <c r="Z3" s="133"/>
      <c r="AA3" s="391"/>
      <c r="AB3" s="133"/>
      <c r="AC3" s="133"/>
    </row>
    <row r="4" spans="1:45" x14ac:dyDescent="0.2">
      <c r="A4" s="132" t="s">
        <v>275</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67" t="str">
        <f>IF(CountryUser="United States (Barrels)","Unit: Thousand barrels","Unit: Thousand metric tons")</f>
        <v>Unit: Thousand metric tons</v>
      </c>
    </row>
    <row r="5" spans="1:45" x14ac:dyDescent="0.2">
      <c r="A5" s="392"/>
      <c r="B5" s="393"/>
      <c r="C5" s="394"/>
      <c r="D5" s="833" t="s">
        <v>535</v>
      </c>
      <c r="E5" s="840" t="s">
        <v>536</v>
      </c>
      <c r="F5" s="831" t="s">
        <v>537</v>
      </c>
      <c r="G5" s="833" t="s">
        <v>449</v>
      </c>
      <c r="H5" s="833" t="s">
        <v>393</v>
      </c>
      <c r="I5" s="840" t="s">
        <v>394</v>
      </c>
      <c r="J5" s="829" t="s">
        <v>538</v>
      </c>
      <c r="K5" s="395"/>
      <c r="L5" s="396"/>
      <c r="M5" s="842" t="s">
        <v>539</v>
      </c>
      <c r="N5" s="833" t="s">
        <v>540</v>
      </c>
      <c r="O5" s="844" t="s">
        <v>541</v>
      </c>
      <c r="P5" s="397"/>
      <c r="Q5" s="398"/>
      <c r="R5" s="840" t="s">
        <v>542</v>
      </c>
      <c r="S5" s="399"/>
      <c r="T5" s="400"/>
      <c r="U5" s="838" t="s">
        <v>543</v>
      </c>
      <c r="V5" s="400"/>
      <c r="W5" s="396"/>
      <c r="X5" s="829" t="s">
        <v>544</v>
      </c>
      <c r="Y5" s="400"/>
      <c r="Z5" s="396"/>
      <c r="AA5" s="831" t="s">
        <v>545</v>
      </c>
      <c r="AB5" s="833" t="s">
        <v>546</v>
      </c>
      <c r="AC5" s="835" t="s">
        <v>547</v>
      </c>
      <c r="AE5" s="820" t="s">
        <v>548</v>
      </c>
    </row>
    <row r="6" spans="1:45" ht="45" customHeight="1" x14ac:dyDescent="0.2">
      <c r="A6" s="401"/>
      <c r="B6" s="169"/>
      <c r="C6" s="402"/>
      <c r="D6" s="834"/>
      <c r="E6" s="841"/>
      <c r="F6" s="832"/>
      <c r="G6" s="834"/>
      <c r="H6" s="834"/>
      <c r="I6" s="841"/>
      <c r="J6" s="830"/>
      <c r="K6" s="403" t="s">
        <v>549</v>
      </c>
      <c r="L6" s="404" t="s">
        <v>550</v>
      </c>
      <c r="M6" s="843"/>
      <c r="N6" s="834"/>
      <c r="O6" s="845"/>
      <c r="P6" s="405" t="s">
        <v>551</v>
      </c>
      <c r="Q6" s="406" t="s">
        <v>552</v>
      </c>
      <c r="R6" s="841"/>
      <c r="S6" s="407" t="s">
        <v>553</v>
      </c>
      <c r="T6" s="408" t="s">
        <v>554</v>
      </c>
      <c r="U6" s="839"/>
      <c r="V6" s="403" t="s">
        <v>555</v>
      </c>
      <c r="W6" s="409" t="s">
        <v>556</v>
      </c>
      <c r="X6" s="830"/>
      <c r="Y6" s="406" t="s">
        <v>557</v>
      </c>
      <c r="Z6" s="409" t="s">
        <v>558</v>
      </c>
      <c r="AA6" s="832"/>
      <c r="AB6" s="834"/>
      <c r="AC6" s="836"/>
      <c r="AE6" s="837"/>
    </row>
    <row r="7" spans="1:45" ht="12.75" x14ac:dyDescent="0.2">
      <c r="A7" s="410"/>
      <c r="B7" s="168"/>
      <c r="C7" s="169"/>
      <c r="D7" s="138" t="s">
        <v>265</v>
      </c>
      <c r="E7" s="411" t="s">
        <v>266</v>
      </c>
      <c r="F7" s="138" t="s">
        <v>267</v>
      </c>
      <c r="G7" s="139" t="s">
        <v>268</v>
      </c>
      <c r="H7" s="139" t="s">
        <v>269</v>
      </c>
      <c r="I7" s="170" t="s">
        <v>270</v>
      </c>
      <c r="J7" s="412" t="s">
        <v>271</v>
      </c>
      <c r="K7" s="170" t="s">
        <v>450</v>
      </c>
      <c r="L7" s="413" t="s">
        <v>451</v>
      </c>
      <c r="M7" s="138" t="s">
        <v>452</v>
      </c>
      <c r="N7" s="139" t="s">
        <v>453</v>
      </c>
      <c r="O7" s="414" t="s">
        <v>454</v>
      </c>
      <c r="P7" s="170" t="s">
        <v>455</v>
      </c>
      <c r="Q7" s="170" t="s">
        <v>456</v>
      </c>
      <c r="R7" s="413" t="s">
        <v>457</v>
      </c>
      <c r="S7" s="171" t="s">
        <v>458</v>
      </c>
      <c r="T7" s="172" t="s">
        <v>459</v>
      </c>
      <c r="U7" s="415" t="s">
        <v>460</v>
      </c>
      <c r="V7" s="173" t="s">
        <v>461</v>
      </c>
      <c r="W7" s="413" t="s">
        <v>462</v>
      </c>
      <c r="X7" s="415" t="s">
        <v>463</v>
      </c>
      <c r="Y7" s="171" t="s">
        <v>464</v>
      </c>
      <c r="Z7" s="413" t="s">
        <v>467</v>
      </c>
      <c r="AA7" s="138" t="s">
        <v>468</v>
      </c>
      <c r="AB7" s="139" t="s">
        <v>469</v>
      </c>
      <c r="AC7" s="141" t="s">
        <v>470</v>
      </c>
      <c r="AE7" s="141" t="s">
        <v>471</v>
      </c>
      <c r="AS7" s="213" t="s">
        <v>310</v>
      </c>
    </row>
    <row r="8" spans="1:45" ht="13.5" x14ac:dyDescent="0.2">
      <c r="A8" s="416" t="s">
        <v>409</v>
      </c>
      <c r="B8" s="174" t="s">
        <v>559</v>
      </c>
      <c r="C8" s="417">
        <v>1</v>
      </c>
      <c r="D8" s="175">
        <v>68</v>
      </c>
      <c r="E8" s="418">
        <v>65</v>
      </c>
      <c r="F8" s="175">
        <v>68</v>
      </c>
      <c r="G8" s="176"/>
      <c r="H8" s="176"/>
      <c r="I8" s="177">
        <v>16</v>
      </c>
      <c r="J8" s="419">
        <v>104</v>
      </c>
      <c r="K8" s="177">
        <v>47</v>
      </c>
      <c r="L8" s="178">
        <v>57</v>
      </c>
      <c r="M8" s="175"/>
      <c r="N8" s="176"/>
      <c r="O8" s="420"/>
      <c r="P8" s="177"/>
      <c r="Q8" s="177"/>
      <c r="R8" s="177"/>
      <c r="S8" s="179">
        <v>117</v>
      </c>
      <c r="T8" s="180">
        <v>5</v>
      </c>
      <c r="U8" s="421">
        <v>123</v>
      </c>
      <c r="V8" s="175">
        <v>117</v>
      </c>
      <c r="W8" s="178">
        <v>5</v>
      </c>
      <c r="X8" s="421"/>
      <c r="Y8" s="176"/>
      <c r="Z8" s="178"/>
      <c r="AA8" s="175"/>
      <c r="AB8" s="176">
        <v>38</v>
      </c>
      <c r="AC8" s="181">
        <f>SUM(D8:J8,M8:O8,R8,U8,X8,AA8:AB8)</f>
        <v>482</v>
      </c>
      <c r="AE8" s="214" t="str">
        <f>IF(AC8-SUM(D8:J8,M8:O8,R8,U8,X8,AA8:AB8)=0,"","Total products is not equal to the sum of products")</f>
        <v/>
      </c>
      <c r="AS8" s="215" t="s">
        <v>327</v>
      </c>
    </row>
    <row r="9" spans="1:45" x14ac:dyDescent="0.2">
      <c r="A9" s="416" t="s">
        <v>409</v>
      </c>
      <c r="B9" s="174" t="s">
        <v>560</v>
      </c>
      <c r="C9" s="417">
        <v>2</v>
      </c>
      <c r="D9" s="182"/>
      <c r="E9" s="201"/>
      <c r="F9" s="175">
        <v>205</v>
      </c>
      <c r="G9" s="176"/>
      <c r="H9" s="176">
        <v>93</v>
      </c>
      <c r="I9" s="177">
        <v>983</v>
      </c>
      <c r="J9" s="419">
        <v>342</v>
      </c>
      <c r="K9" s="177"/>
      <c r="L9" s="178">
        <v>342</v>
      </c>
      <c r="M9" s="175">
        <v>6</v>
      </c>
      <c r="N9" s="176"/>
      <c r="O9" s="420">
        <v>759</v>
      </c>
      <c r="P9" s="177"/>
      <c r="Q9" s="177">
        <v>759</v>
      </c>
      <c r="R9" s="177">
        <v>119</v>
      </c>
      <c r="S9" s="179">
        <v>1313</v>
      </c>
      <c r="T9" s="180">
        <v>224</v>
      </c>
      <c r="U9" s="421">
        <v>1538</v>
      </c>
      <c r="V9" s="175"/>
      <c r="W9" s="178">
        <v>1538</v>
      </c>
      <c r="X9" s="421">
        <v>779</v>
      </c>
      <c r="Y9" s="176">
        <v>466</v>
      </c>
      <c r="Z9" s="178">
        <v>314</v>
      </c>
      <c r="AA9" s="175">
        <v>41</v>
      </c>
      <c r="AB9" s="176">
        <v>337</v>
      </c>
      <c r="AC9" s="181">
        <f>SUM(F9:J9,M9:O9,R9,U9,X9,AA9:AB9)</f>
        <v>5202</v>
      </c>
      <c r="AE9" s="214" t="str">
        <f>IF(AC9-SUM(F9:J9,M9:O9,R9,U9,X9,AA9:AB9)=0,"","Total products is not equal to the sum of products")</f>
        <v/>
      </c>
      <c r="AS9" s="215" t="s">
        <v>91</v>
      </c>
    </row>
    <row r="10" spans="1:45" x14ac:dyDescent="0.2">
      <c r="A10" s="416" t="s">
        <v>409</v>
      </c>
      <c r="B10" s="174" t="s">
        <v>561</v>
      </c>
      <c r="C10" s="417">
        <v>3</v>
      </c>
      <c r="D10" s="182"/>
      <c r="E10" s="201"/>
      <c r="F10" s="175">
        <v>6</v>
      </c>
      <c r="G10" s="176"/>
      <c r="H10" s="176"/>
      <c r="I10" s="177"/>
      <c r="J10" s="422"/>
      <c r="K10" s="177"/>
      <c r="L10" s="178"/>
      <c r="M10" s="175"/>
      <c r="N10" s="176"/>
      <c r="O10" s="420"/>
      <c r="P10" s="177"/>
      <c r="Q10" s="177"/>
      <c r="R10" s="177"/>
      <c r="S10" s="179"/>
      <c r="T10" s="180"/>
      <c r="U10" s="421"/>
      <c r="V10" s="175"/>
      <c r="W10" s="178"/>
      <c r="X10" s="421"/>
      <c r="Y10" s="176"/>
      <c r="Z10" s="178"/>
      <c r="AA10" s="175"/>
      <c r="AB10" s="176"/>
      <c r="AC10" s="181">
        <f>SUM(F10:J10,M10:O10,R10,U10,X10,AA10:AB10)</f>
        <v>6</v>
      </c>
      <c r="AE10" s="214" t="str">
        <f>IF(AC10-SUM(F10:J10,M10:O10,R10,U10,X10,AA10:AB10)=0,"","Total products is not equal to the sum of products")</f>
        <v/>
      </c>
      <c r="AS10" s="215" t="s">
        <v>328</v>
      </c>
    </row>
    <row r="11" spans="1:45" x14ac:dyDescent="0.2">
      <c r="A11" s="416" t="s">
        <v>410</v>
      </c>
      <c r="B11" s="174" t="s">
        <v>562</v>
      </c>
      <c r="C11" s="417">
        <v>4</v>
      </c>
      <c r="D11" s="182"/>
      <c r="E11" s="201"/>
      <c r="F11" s="175">
        <v>184</v>
      </c>
      <c r="G11" s="176"/>
      <c r="H11" s="176">
        <v>1</v>
      </c>
      <c r="I11" s="177"/>
      <c r="J11" s="422"/>
      <c r="K11" s="177"/>
      <c r="L11" s="178"/>
      <c r="M11" s="175"/>
      <c r="N11" s="176"/>
      <c r="O11" s="420"/>
      <c r="P11" s="177"/>
      <c r="Q11" s="177"/>
      <c r="R11" s="177"/>
      <c r="S11" s="179"/>
      <c r="T11" s="180"/>
      <c r="U11" s="421"/>
      <c r="V11" s="175"/>
      <c r="W11" s="178"/>
      <c r="X11" s="421"/>
      <c r="Y11" s="176"/>
      <c r="Z11" s="178"/>
      <c r="AA11" s="175">
        <v>25</v>
      </c>
      <c r="AB11" s="176">
        <v>0</v>
      </c>
      <c r="AC11" s="181">
        <f>SUM(F11:J11,M11:O11,R11,U11,X11,AA11:AB11)</f>
        <v>210</v>
      </c>
      <c r="AE11" s="214" t="str">
        <f>IF(AC11-SUM(F11:J11,M11:O11,R11,U11,X11,AA11:AB11)=0,"","Total products is not equal to the sum of products")</f>
        <v/>
      </c>
      <c r="AS11" s="215" t="s">
        <v>329</v>
      </c>
    </row>
    <row r="12" spans="1:45" ht="13.5" x14ac:dyDescent="0.2">
      <c r="A12" s="416" t="s">
        <v>409</v>
      </c>
      <c r="B12" s="183" t="s">
        <v>563</v>
      </c>
      <c r="C12" s="423">
        <v>5</v>
      </c>
      <c r="D12" s="182"/>
      <c r="E12" s="201"/>
      <c r="F12" s="182"/>
      <c r="G12" s="176"/>
      <c r="H12" s="176">
        <v>253</v>
      </c>
      <c r="I12" s="177">
        <v>1359</v>
      </c>
      <c r="J12" s="422">
        <v>665</v>
      </c>
      <c r="K12" s="177"/>
      <c r="L12" s="178">
        <v>665</v>
      </c>
      <c r="M12" s="175"/>
      <c r="N12" s="176"/>
      <c r="O12" s="420">
        <v>182</v>
      </c>
      <c r="P12" s="177"/>
      <c r="Q12" s="177">
        <v>157</v>
      </c>
      <c r="R12" s="177">
        <v>93</v>
      </c>
      <c r="S12" s="179">
        <v>1010</v>
      </c>
      <c r="T12" s="180">
        <v>93</v>
      </c>
      <c r="U12" s="421">
        <v>1103</v>
      </c>
      <c r="V12" s="175"/>
      <c r="W12" s="178">
        <v>1103</v>
      </c>
      <c r="X12" s="421">
        <v>1800</v>
      </c>
      <c r="Y12" s="176">
        <v>752</v>
      </c>
      <c r="Z12" s="178">
        <v>1048</v>
      </c>
      <c r="AA12" s="175">
        <v>226</v>
      </c>
      <c r="AB12" s="176">
        <v>522</v>
      </c>
      <c r="AC12" s="181">
        <f>SUM(G12:J12,M12:O12,R12,U12,X12,AA12:AB12)</f>
        <v>6203</v>
      </c>
      <c r="AE12" s="214" t="str">
        <f>IF(AC12-SUM(G12:J12,M12:O12,R12,U12,X12,AA12:AB12)=0,"","Total products is not equal to the sum of products")</f>
        <v/>
      </c>
      <c r="AS12" s="215" t="s">
        <v>92</v>
      </c>
    </row>
    <row r="13" spans="1:45" ht="13.5" x14ac:dyDescent="0.2">
      <c r="A13" s="416" t="s">
        <v>410</v>
      </c>
      <c r="B13" s="183" t="s">
        <v>564</v>
      </c>
      <c r="C13" s="423">
        <v>6</v>
      </c>
      <c r="D13" s="182"/>
      <c r="E13" s="201"/>
      <c r="F13" s="182"/>
      <c r="G13" s="176"/>
      <c r="H13" s="176">
        <v>125</v>
      </c>
      <c r="I13" s="177">
        <v>1392</v>
      </c>
      <c r="J13" s="422">
        <v>1785</v>
      </c>
      <c r="K13" s="177"/>
      <c r="L13" s="178">
        <v>1785</v>
      </c>
      <c r="M13" s="175">
        <v>7</v>
      </c>
      <c r="N13" s="176"/>
      <c r="O13" s="420">
        <v>791</v>
      </c>
      <c r="P13" s="177"/>
      <c r="Q13" s="177">
        <v>791</v>
      </c>
      <c r="R13" s="177">
        <v>118</v>
      </c>
      <c r="S13" s="179">
        <v>2050</v>
      </c>
      <c r="T13" s="180">
        <v>310</v>
      </c>
      <c r="U13" s="421">
        <v>2359</v>
      </c>
      <c r="V13" s="175">
        <v>2</v>
      </c>
      <c r="W13" s="178">
        <v>2357</v>
      </c>
      <c r="X13" s="421">
        <v>2032</v>
      </c>
      <c r="Y13" s="176">
        <v>1305</v>
      </c>
      <c r="Z13" s="178">
        <v>727</v>
      </c>
      <c r="AA13" s="175">
        <v>206</v>
      </c>
      <c r="AB13" s="176">
        <v>728</v>
      </c>
      <c r="AC13" s="181">
        <f>SUM(G13:J13,M13:O13,R13,U13,X13,AA13:AB13)</f>
        <v>9543</v>
      </c>
      <c r="AE13" s="214" t="str">
        <f>IF(AC13-SUM(G13:J13,M13:O13,R13,U13,X13,AA13:AB13)=0,"","Total products is not equal to the sum of products")</f>
        <v/>
      </c>
      <c r="AS13" s="215" t="s">
        <v>93</v>
      </c>
    </row>
    <row r="14" spans="1:45" x14ac:dyDescent="0.2">
      <c r="A14" s="416" t="s">
        <v>410</v>
      </c>
      <c r="B14" s="174" t="s">
        <v>565</v>
      </c>
      <c r="C14" s="417">
        <v>7</v>
      </c>
      <c r="D14" s="182"/>
      <c r="E14" s="201"/>
      <c r="F14" s="175"/>
      <c r="G14" s="176"/>
      <c r="H14" s="176"/>
      <c r="I14" s="177"/>
      <c r="J14" s="419"/>
      <c r="K14" s="177"/>
      <c r="L14" s="178"/>
      <c r="M14" s="175"/>
      <c r="N14" s="176"/>
      <c r="O14" s="420"/>
      <c r="P14" s="177"/>
      <c r="Q14" s="177"/>
      <c r="R14" s="177"/>
      <c r="S14" s="179"/>
      <c r="T14" s="180">
        <v>203</v>
      </c>
      <c r="U14" s="421">
        <v>203</v>
      </c>
      <c r="V14" s="175">
        <v>34</v>
      </c>
      <c r="W14" s="178">
        <v>170</v>
      </c>
      <c r="X14" s="421">
        <v>712</v>
      </c>
      <c r="Y14" s="176">
        <v>455</v>
      </c>
      <c r="Z14" s="178">
        <v>257</v>
      </c>
      <c r="AA14" s="175"/>
      <c r="AB14" s="176"/>
      <c r="AC14" s="181">
        <f>SUM(F14:J14,M14:O14,R14,U14,X14,AA14:AB14)</f>
        <v>915</v>
      </c>
      <c r="AE14" s="214" t="str">
        <f>IF(AC14-SUM(F14:J14,M14:O14,R14,U14,X14,AA14:AB14)=0,"","Total products is not equal to the sum of products")</f>
        <v/>
      </c>
      <c r="AS14" s="215" t="s">
        <v>330</v>
      </c>
    </row>
    <row r="15" spans="1:45" ht="13.5" x14ac:dyDescent="0.2">
      <c r="A15" s="416" t="s">
        <v>409</v>
      </c>
      <c r="B15" s="183" t="s">
        <v>566</v>
      </c>
      <c r="C15" s="423">
        <v>8</v>
      </c>
      <c r="D15" s="175">
        <v>-68</v>
      </c>
      <c r="E15" s="418">
        <v>-53</v>
      </c>
      <c r="F15" s="175"/>
      <c r="G15" s="176"/>
      <c r="H15" s="176">
        <v>-13</v>
      </c>
      <c r="I15" s="177">
        <v>-693</v>
      </c>
      <c r="J15" s="419">
        <v>903</v>
      </c>
      <c r="K15" s="177"/>
      <c r="L15" s="178">
        <v>903</v>
      </c>
      <c r="M15" s="175"/>
      <c r="N15" s="176"/>
      <c r="O15" s="420">
        <v>95</v>
      </c>
      <c r="P15" s="177"/>
      <c r="Q15" s="177">
        <v>95</v>
      </c>
      <c r="R15" s="177">
        <v>-96</v>
      </c>
      <c r="S15" s="179">
        <v>-265</v>
      </c>
      <c r="T15" s="180">
        <v>135</v>
      </c>
      <c r="U15" s="421">
        <v>-130</v>
      </c>
      <c r="V15" s="175"/>
      <c r="W15" s="178">
        <v>-130</v>
      </c>
      <c r="X15" s="421">
        <v>109</v>
      </c>
      <c r="Y15" s="176">
        <v>406</v>
      </c>
      <c r="Z15" s="178">
        <v>-297</v>
      </c>
      <c r="AA15" s="175"/>
      <c r="AB15" s="176">
        <v>-68</v>
      </c>
      <c r="AC15" s="181">
        <f>SUM(D15:J15,M15:O15,R15,U15,X15,AA15:AB15)</f>
        <v>-14</v>
      </c>
      <c r="AE15" s="214" t="str">
        <f>IF(AC15-SUM(D15:J15,M15:O15,R15,U15,X15,AA15:AB15)=0,"","Total products is not equal to the sum of products")</f>
        <v/>
      </c>
      <c r="AS15" s="215" t="s">
        <v>95</v>
      </c>
    </row>
    <row r="16" spans="1:45" ht="13.5" x14ac:dyDescent="0.2">
      <c r="A16" s="416" t="s">
        <v>410</v>
      </c>
      <c r="B16" s="183" t="s">
        <v>567</v>
      </c>
      <c r="C16" s="423">
        <v>9</v>
      </c>
      <c r="D16" s="182"/>
      <c r="E16" s="201"/>
      <c r="F16" s="175"/>
      <c r="G16" s="176"/>
      <c r="H16" s="176"/>
      <c r="I16" s="177">
        <v>0</v>
      </c>
      <c r="J16" s="419"/>
      <c r="K16" s="177"/>
      <c r="L16" s="178"/>
      <c r="M16" s="175"/>
      <c r="N16" s="176"/>
      <c r="O16" s="420"/>
      <c r="P16" s="177"/>
      <c r="Q16" s="177"/>
      <c r="R16" s="177">
        <v>3</v>
      </c>
      <c r="S16" s="179"/>
      <c r="T16" s="180"/>
      <c r="U16" s="421"/>
      <c r="V16" s="175"/>
      <c r="W16" s="178"/>
      <c r="X16" s="421">
        <v>161</v>
      </c>
      <c r="Y16" s="176">
        <v>0</v>
      </c>
      <c r="Z16" s="178">
        <v>161</v>
      </c>
      <c r="AA16" s="175"/>
      <c r="AB16" s="176">
        <v>38</v>
      </c>
      <c r="AC16" s="181">
        <f>SUM(F16:J16,M16:O16,R16,U16,X16,AA16:AB16)</f>
        <v>202</v>
      </c>
      <c r="AE16" s="214" t="str">
        <f>IF(AC16-SUM(F16:J16,M16:O16,R16,U16,X16,AA16:AB16)=0,"","Total products is not equal to the sum of products")</f>
        <v/>
      </c>
      <c r="AS16" s="215" t="s">
        <v>94</v>
      </c>
    </row>
    <row r="17" spans="1:45" ht="13.5" x14ac:dyDescent="0.2">
      <c r="A17" s="416" t="s">
        <v>410</v>
      </c>
      <c r="B17" s="183" t="s">
        <v>533</v>
      </c>
      <c r="C17" s="423">
        <v>10</v>
      </c>
      <c r="D17" s="182"/>
      <c r="E17" s="201"/>
      <c r="F17" s="182"/>
      <c r="G17" s="176"/>
      <c r="H17" s="176">
        <v>13</v>
      </c>
      <c r="I17" s="177">
        <v>-181</v>
      </c>
      <c r="J17" s="419">
        <v>-107</v>
      </c>
      <c r="K17" s="177"/>
      <c r="L17" s="178">
        <v>-107</v>
      </c>
      <c r="M17" s="175">
        <v>-2</v>
      </c>
      <c r="N17" s="176"/>
      <c r="O17" s="420">
        <v>-63</v>
      </c>
      <c r="P17" s="177"/>
      <c r="Q17" s="177">
        <v>-63</v>
      </c>
      <c r="R17" s="177">
        <v>-10</v>
      </c>
      <c r="S17" s="179">
        <v>-283</v>
      </c>
      <c r="T17" s="180">
        <v>-49</v>
      </c>
      <c r="U17" s="421">
        <v>-332</v>
      </c>
      <c r="V17" s="175"/>
      <c r="W17" s="178">
        <v>-332</v>
      </c>
      <c r="X17" s="421">
        <v>-249</v>
      </c>
      <c r="Y17" s="176">
        <v>-136</v>
      </c>
      <c r="Z17" s="178">
        <v>-113</v>
      </c>
      <c r="AA17" s="175"/>
      <c r="AB17" s="176">
        <v>-3</v>
      </c>
      <c r="AC17" s="181">
        <f>SUM(G17:J17,M17:O17,R17,U17,X17,AA17:AB17)</f>
        <v>-934</v>
      </c>
      <c r="AE17" s="214" t="str">
        <f>IF(AC17-SUM(G17:J17,M17:O17,R17,U17,X17,AA17:AB17)=0,"","Total products is not equal to the sum of products")</f>
        <v/>
      </c>
      <c r="AS17" s="215" t="s">
        <v>97</v>
      </c>
    </row>
    <row r="18" spans="1:45" x14ac:dyDescent="0.2">
      <c r="A18" s="416" t="s">
        <v>426</v>
      </c>
      <c r="B18" s="184" t="s">
        <v>568</v>
      </c>
      <c r="C18" s="424">
        <v>11</v>
      </c>
      <c r="D18" s="185">
        <f>D8+D15</f>
        <v>0</v>
      </c>
      <c r="E18" s="190">
        <f>E8+E15</f>
        <v>12</v>
      </c>
      <c r="F18" s="185">
        <f>F8+F9+F10-F11-F14+F15-F16</f>
        <v>95</v>
      </c>
      <c r="G18" s="181">
        <f t="shared" ref="G18:Z18" si="0">G8+G9+G10-G11+G12-G13-G14+G15-G16-G17</f>
        <v>0</v>
      </c>
      <c r="H18" s="181">
        <f t="shared" si="0"/>
        <v>194</v>
      </c>
      <c r="I18" s="186">
        <f t="shared" si="0"/>
        <v>454</v>
      </c>
      <c r="J18" s="188">
        <f t="shared" si="0"/>
        <v>336</v>
      </c>
      <c r="K18" s="186">
        <f t="shared" si="0"/>
        <v>47</v>
      </c>
      <c r="L18" s="187">
        <f t="shared" si="0"/>
        <v>289</v>
      </c>
      <c r="M18" s="185">
        <f t="shared" si="0"/>
        <v>1</v>
      </c>
      <c r="N18" s="181">
        <f t="shared" si="0"/>
        <v>0</v>
      </c>
      <c r="O18" s="181">
        <f t="shared" si="0"/>
        <v>308</v>
      </c>
      <c r="P18" s="181">
        <f>P8+P9+P10-P11+P12-P13-P14+P15-P16-P17</f>
        <v>0</v>
      </c>
      <c r="Q18" s="181">
        <f>Q8+Q9+Q10-Q11+Q12-Q13-Q14+Q15-Q16-Q17</f>
        <v>283</v>
      </c>
      <c r="R18" s="186">
        <f t="shared" si="0"/>
        <v>5</v>
      </c>
      <c r="S18" s="188">
        <f>S8+S9+S10-S11+S12-S13-S14+S15-S16-S17</f>
        <v>408</v>
      </c>
      <c r="T18" s="189">
        <f>T8+T9+T10-T11+T12-T13-T14+T15-T16-T17</f>
        <v>-7</v>
      </c>
      <c r="U18" s="189">
        <f>U8+U9+U10-U11+U12-U13-U14+U15-U16-U17</f>
        <v>404</v>
      </c>
      <c r="V18" s="185">
        <f>V8+V9+V10-V11+V12-V13-V14+V15-V16-V17</f>
        <v>81</v>
      </c>
      <c r="W18" s="190">
        <f t="shared" si="0"/>
        <v>321</v>
      </c>
      <c r="X18" s="185">
        <f t="shared" si="0"/>
        <v>32</v>
      </c>
      <c r="Y18" s="181">
        <f t="shared" si="0"/>
        <v>0</v>
      </c>
      <c r="Z18" s="190">
        <f t="shared" si="0"/>
        <v>33</v>
      </c>
      <c r="AA18" s="185">
        <f>AA8+AA9+AA10-AA11+AA12-AA13-AA14+AA15-AA16-AA17</f>
        <v>36</v>
      </c>
      <c r="AB18" s="181">
        <f>AB8+AB9+AB10-AB11+AB12-AB13-AB14+AB15-AB16-AB17</f>
        <v>66</v>
      </c>
      <c r="AC18" s="181">
        <f>SUM(D18:J18,M18:O18,R18,U18,X18,AA18:AB18)</f>
        <v>1943</v>
      </c>
      <c r="AE18" s="214" t="str">
        <f>IF(AC18-SUM(D18:J18,M18:O18,R18,U18,X18,AA18:AB18)=0,"","Total products is not equal to the sum of products")</f>
        <v/>
      </c>
      <c r="AS18" s="215" t="s">
        <v>331</v>
      </c>
    </row>
    <row r="19" spans="1:45" x14ac:dyDescent="0.2">
      <c r="A19" s="416" t="s">
        <v>410</v>
      </c>
      <c r="B19" s="184" t="s">
        <v>272</v>
      </c>
      <c r="C19" s="424">
        <v>12</v>
      </c>
      <c r="D19" s="185">
        <f>D18-D20</f>
        <v>0</v>
      </c>
      <c r="E19" s="190">
        <f t="shared" ref="E19:Z19" si="1">E18-E20</f>
        <v>-1</v>
      </c>
      <c r="F19" s="185">
        <f t="shared" si="1"/>
        <v>0</v>
      </c>
      <c r="G19" s="181">
        <f t="shared" si="1"/>
        <v>0</v>
      </c>
      <c r="H19" s="181">
        <f t="shared" si="1"/>
        <v>0</v>
      </c>
      <c r="I19" s="186">
        <f t="shared" si="1"/>
        <v>-48</v>
      </c>
      <c r="J19" s="188">
        <f t="shared" si="1"/>
        <v>2</v>
      </c>
      <c r="K19" s="186">
        <f t="shared" si="1"/>
        <v>0</v>
      </c>
      <c r="L19" s="187">
        <f t="shared" si="1"/>
        <v>1</v>
      </c>
      <c r="M19" s="185">
        <f t="shared" si="1"/>
        <v>1</v>
      </c>
      <c r="N19" s="181">
        <f t="shared" si="1"/>
        <v>0</v>
      </c>
      <c r="O19" s="181">
        <f t="shared" si="1"/>
        <v>0</v>
      </c>
      <c r="P19" s="181">
        <f>P18-P20</f>
        <v>0</v>
      </c>
      <c r="Q19" s="181">
        <f>Q18-Q20</f>
        <v>1</v>
      </c>
      <c r="R19" s="186">
        <f t="shared" si="1"/>
        <v>-1</v>
      </c>
      <c r="S19" s="188">
        <f>S18-S20</f>
        <v>33</v>
      </c>
      <c r="T19" s="189">
        <f>T18-T20</f>
        <v>-35</v>
      </c>
      <c r="U19" s="189">
        <f>U18-U20</f>
        <v>1</v>
      </c>
      <c r="V19" s="185">
        <f>V18-V20</f>
        <v>-1</v>
      </c>
      <c r="W19" s="190">
        <f t="shared" si="1"/>
        <v>-1</v>
      </c>
      <c r="X19" s="185">
        <f t="shared" si="1"/>
        <v>32</v>
      </c>
      <c r="Y19" s="181">
        <f t="shared" si="1"/>
        <v>0</v>
      </c>
      <c r="Z19" s="190">
        <f t="shared" si="1"/>
        <v>33</v>
      </c>
      <c r="AA19" s="185">
        <f>AA18-AA20</f>
        <v>1</v>
      </c>
      <c r="AB19" s="181">
        <f>AB18-AB20</f>
        <v>-6</v>
      </c>
      <c r="AC19" s="181">
        <f>SUM(D19:J19,M19:O19,R19,U19,X19,AA19:AB19)</f>
        <v>-19</v>
      </c>
      <c r="AE19" s="214" t="str">
        <f>IF(AC19-SUM(D19:J19,M19:O19,R19,U19,X19,AA19:AB19)=0,"","Total products is not equal to the sum of products")</f>
        <v/>
      </c>
      <c r="AS19" s="215" t="s">
        <v>96</v>
      </c>
    </row>
    <row r="20" spans="1:45" s="198" customFormat="1" ht="18.75" customHeight="1" x14ac:dyDescent="0.2">
      <c r="A20" s="425" t="s">
        <v>426</v>
      </c>
      <c r="B20" s="426" t="s">
        <v>569</v>
      </c>
      <c r="C20" s="417">
        <v>13</v>
      </c>
      <c r="D20" s="191"/>
      <c r="E20" s="427">
        <v>13</v>
      </c>
      <c r="F20" s="191">
        <v>95</v>
      </c>
      <c r="G20" s="192"/>
      <c r="H20" s="192">
        <v>194</v>
      </c>
      <c r="I20" s="193">
        <v>502</v>
      </c>
      <c r="J20" s="428">
        <v>334</v>
      </c>
      <c r="K20" s="193">
        <v>47</v>
      </c>
      <c r="L20" s="194">
        <v>288</v>
      </c>
      <c r="M20" s="191">
        <v>0</v>
      </c>
      <c r="N20" s="192"/>
      <c r="O20" s="429">
        <v>308</v>
      </c>
      <c r="P20" s="193"/>
      <c r="Q20" s="193">
        <v>282</v>
      </c>
      <c r="R20" s="193">
        <v>6</v>
      </c>
      <c r="S20" s="195">
        <v>375</v>
      </c>
      <c r="T20" s="196">
        <v>28</v>
      </c>
      <c r="U20" s="430">
        <v>403</v>
      </c>
      <c r="V20" s="191">
        <v>82</v>
      </c>
      <c r="W20" s="194">
        <v>322</v>
      </c>
      <c r="X20" s="430"/>
      <c r="Y20" s="192"/>
      <c r="Z20" s="194"/>
      <c r="AA20" s="191">
        <v>35</v>
      </c>
      <c r="AB20" s="192">
        <v>72</v>
      </c>
      <c r="AC20" s="197">
        <f>SUM(D20:J20,M20:O20,R20,U20,X20,AA20:AB20)</f>
        <v>1962</v>
      </c>
      <c r="AD20" s="431"/>
      <c r="AE20" s="214" t="str">
        <f>IF(AC20-SUM(D20:J20,M20:O20,R20,U20,X20,AA20:AB20)=0,"","Total products is not equal to the sum of products")</f>
        <v/>
      </c>
      <c r="AS20" s="216" t="s">
        <v>332</v>
      </c>
    </row>
    <row r="21" spans="1:45" ht="13.5" x14ac:dyDescent="0.2">
      <c r="A21" s="432"/>
      <c r="B21" s="199" t="s">
        <v>570</v>
      </c>
      <c r="C21" s="417">
        <v>14</v>
      </c>
      <c r="D21" s="182"/>
      <c r="E21" s="201"/>
      <c r="F21" s="182"/>
      <c r="G21" s="146"/>
      <c r="H21" s="146"/>
      <c r="I21" s="200"/>
      <c r="J21" s="202"/>
      <c r="K21" s="200"/>
      <c r="L21" s="201"/>
      <c r="M21" s="175"/>
      <c r="N21" s="175"/>
      <c r="O21" s="421">
        <v>304</v>
      </c>
      <c r="P21" s="175"/>
      <c r="Q21" s="433">
        <v>278</v>
      </c>
      <c r="R21" s="200"/>
      <c r="S21" s="202"/>
      <c r="T21" s="146"/>
      <c r="U21" s="182"/>
      <c r="V21" s="182"/>
      <c r="W21" s="201"/>
      <c r="X21" s="182"/>
      <c r="Y21" s="146"/>
      <c r="Z21" s="201"/>
      <c r="AA21" s="182"/>
      <c r="AB21" s="146"/>
      <c r="AC21" s="181">
        <f>SUM(M21:O21)</f>
        <v>304</v>
      </c>
      <c r="AE21" s="214" t="str">
        <f>IF(AC21-SUM(M21:O21)=0,"","There is an error in this line")</f>
        <v/>
      </c>
      <c r="AS21" s="215" t="s">
        <v>477</v>
      </c>
    </row>
    <row r="22" spans="1:45" x14ac:dyDescent="0.2">
      <c r="A22" s="434"/>
      <c r="B22" s="203" t="s">
        <v>571</v>
      </c>
      <c r="C22" s="417">
        <v>15</v>
      </c>
      <c r="D22" s="175"/>
      <c r="E22" s="418"/>
      <c r="F22" s="175"/>
      <c r="G22" s="176"/>
      <c r="H22" s="176"/>
      <c r="I22" s="177"/>
      <c r="J22" s="435"/>
      <c r="K22" s="177"/>
      <c r="L22" s="178"/>
      <c r="M22" s="175"/>
      <c r="N22" s="176"/>
      <c r="O22" s="420"/>
      <c r="P22" s="177"/>
      <c r="Q22" s="177"/>
      <c r="R22" s="177"/>
      <c r="S22" s="179"/>
      <c r="T22" s="180"/>
      <c r="U22" s="421"/>
      <c r="V22" s="175"/>
      <c r="W22" s="178"/>
      <c r="X22" s="421"/>
      <c r="Y22" s="176"/>
      <c r="Z22" s="178"/>
      <c r="AA22" s="175"/>
      <c r="AB22" s="176"/>
      <c r="AC22" s="181">
        <f>SUM(D22:J22,M22:O22,R22,U22,X22,AA22:AB22)</f>
        <v>0</v>
      </c>
      <c r="AE22" s="214" t="str">
        <f>IF(AC22-SUM(D22:J22,M22:O22,R22,U22,X22,AA22:AB22)=0,"","Total products is not equal to the sum of products")</f>
        <v/>
      </c>
      <c r="AS22" s="215" t="s">
        <v>478</v>
      </c>
    </row>
    <row r="23" spans="1:45" x14ac:dyDescent="0.2">
      <c r="A23" s="434"/>
      <c r="B23" s="203" t="s">
        <v>572</v>
      </c>
      <c r="C23" s="417">
        <v>16</v>
      </c>
      <c r="D23" s="182"/>
      <c r="E23" s="201"/>
      <c r="F23" s="182"/>
      <c r="G23" s="146"/>
      <c r="H23" s="176">
        <v>8</v>
      </c>
      <c r="I23" s="200"/>
      <c r="J23" s="202"/>
      <c r="K23" s="200"/>
      <c r="L23" s="201"/>
      <c r="M23" s="182"/>
      <c r="N23" s="146"/>
      <c r="O23" s="146"/>
      <c r="P23" s="200"/>
      <c r="Q23" s="200"/>
      <c r="R23" s="200"/>
      <c r="S23" s="202"/>
      <c r="T23" s="146"/>
      <c r="U23" s="182"/>
      <c r="V23" s="182"/>
      <c r="W23" s="201"/>
      <c r="X23" s="182"/>
      <c r="Y23" s="146"/>
      <c r="Z23" s="201"/>
      <c r="AA23" s="182"/>
      <c r="AB23" s="146"/>
      <c r="AC23" s="181">
        <f>H23</f>
        <v>8</v>
      </c>
      <c r="AE23" s="214" t="str">
        <f>IF(AC23-H23=0,"","Total products is not equal to deliveries of Automotive LPG reported")</f>
        <v/>
      </c>
      <c r="AS23" s="215" t="s">
        <v>333</v>
      </c>
    </row>
    <row r="24" spans="1:45" x14ac:dyDescent="0.2">
      <c r="A24" s="434"/>
      <c r="B24" s="203" t="s">
        <v>573</v>
      </c>
      <c r="C24" s="417">
        <v>17</v>
      </c>
      <c r="D24" s="182"/>
      <c r="E24" s="201"/>
      <c r="F24" s="182"/>
      <c r="G24" s="146"/>
      <c r="H24" s="200"/>
      <c r="I24" s="200"/>
      <c r="J24" s="202"/>
      <c r="K24" s="200"/>
      <c r="L24" s="201"/>
      <c r="M24" s="182"/>
      <c r="N24" s="146"/>
      <c r="O24" s="146"/>
      <c r="P24" s="200"/>
      <c r="Q24" s="200"/>
      <c r="R24" s="200"/>
      <c r="S24" s="202"/>
      <c r="T24" s="176">
        <v>2</v>
      </c>
      <c r="U24" s="420">
        <v>2</v>
      </c>
      <c r="V24" s="176">
        <v>1</v>
      </c>
      <c r="W24" s="176">
        <v>2</v>
      </c>
      <c r="X24" s="182"/>
      <c r="Y24" s="146"/>
      <c r="Z24" s="201"/>
      <c r="AA24" s="182"/>
      <c r="AB24" s="146"/>
      <c r="AC24" s="181">
        <f>U24</f>
        <v>2</v>
      </c>
      <c r="AE24" s="214" t="str">
        <f>IF(AC24-U24=0,"","Total products is not equal to Deliveries of rail and marine diesel of Total gas/diesel oil")</f>
        <v/>
      </c>
      <c r="AS24" s="215" t="s">
        <v>577</v>
      </c>
    </row>
    <row r="25" spans="1:45" ht="13.5" x14ac:dyDescent="0.2">
      <c r="A25" s="436"/>
      <c r="B25" s="437" t="s">
        <v>574</v>
      </c>
      <c r="C25" s="417">
        <v>18</v>
      </c>
      <c r="D25" s="175"/>
      <c r="E25" s="418">
        <v>13</v>
      </c>
      <c r="F25" s="175">
        <v>77</v>
      </c>
      <c r="G25" s="176"/>
      <c r="H25" s="176">
        <v>178</v>
      </c>
      <c r="I25" s="177">
        <v>502</v>
      </c>
      <c r="J25" s="435"/>
      <c r="K25" s="177"/>
      <c r="L25" s="178"/>
      <c r="M25" s="175"/>
      <c r="N25" s="176"/>
      <c r="O25" s="420"/>
      <c r="P25" s="177"/>
      <c r="Q25" s="177"/>
      <c r="R25" s="177">
        <v>4</v>
      </c>
      <c r="S25" s="179"/>
      <c r="T25" s="180"/>
      <c r="U25" s="421">
        <v>1</v>
      </c>
      <c r="V25" s="175"/>
      <c r="W25" s="178">
        <v>1</v>
      </c>
      <c r="X25" s="421"/>
      <c r="Y25" s="176"/>
      <c r="Z25" s="178"/>
      <c r="AA25" s="175"/>
      <c r="AB25" s="176">
        <v>32</v>
      </c>
      <c r="AC25" s="181">
        <f>SUM(D25:J25,M25:O25,R25,U25,X25,AA25:AB25)</f>
        <v>807</v>
      </c>
      <c r="AE25" s="214" t="str">
        <f>IF(AC25-SUM(D25:J25,M25:O25,R25,U25,X25,AA25:AB25)=0,"","Total products is not equal to the sum of products")</f>
        <v/>
      </c>
      <c r="AS25" s="215" t="s">
        <v>334</v>
      </c>
    </row>
    <row r="26" spans="1:45" ht="13.5" x14ac:dyDescent="0.2">
      <c r="A26" s="436"/>
      <c r="B26" s="437" t="s">
        <v>575</v>
      </c>
      <c r="C26" s="423">
        <v>19</v>
      </c>
      <c r="D26" s="182"/>
      <c r="E26" s="201"/>
      <c r="F26" s="175">
        <v>68</v>
      </c>
      <c r="G26" s="176"/>
      <c r="H26" s="176"/>
      <c r="I26" s="177">
        <v>16</v>
      </c>
      <c r="J26" s="435"/>
      <c r="K26" s="177"/>
      <c r="L26" s="178"/>
      <c r="M26" s="175"/>
      <c r="N26" s="176"/>
      <c r="O26" s="420"/>
      <c r="P26" s="177"/>
      <c r="Q26" s="177"/>
      <c r="R26" s="177"/>
      <c r="S26" s="179"/>
      <c r="T26" s="180">
        <v>5</v>
      </c>
      <c r="U26" s="421">
        <v>5</v>
      </c>
      <c r="V26" s="175"/>
      <c r="W26" s="178">
        <v>5</v>
      </c>
      <c r="X26" s="421"/>
      <c r="Y26" s="176"/>
      <c r="Z26" s="178"/>
      <c r="AA26" s="175"/>
      <c r="AB26" s="176">
        <v>35</v>
      </c>
      <c r="AC26" s="181">
        <f>SUM(F26:J26,M26:O26,R26,U26,X26,AA26:AB26)</f>
        <v>124</v>
      </c>
      <c r="AE26" s="214" t="str">
        <f>IF(AC26-SUM(F26:J26,M26:O26,R26,U26,X26,AA26:AB26)=0,"","Total products is not equal to the sum of products")</f>
        <v/>
      </c>
      <c r="AS26" s="215" t="s">
        <v>311</v>
      </c>
    </row>
    <row r="27" spans="1:45" x14ac:dyDescent="0.2">
      <c r="A27" s="436"/>
      <c r="B27" s="437" t="s">
        <v>576</v>
      </c>
      <c r="C27" s="417">
        <v>20</v>
      </c>
      <c r="D27" s="182"/>
      <c r="E27" s="201"/>
      <c r="F27" s="182"/>
      <c r="G27" s="146"/>
      <c r="H27" s="146"/>
      <c r="I27" s="200"/>
      <c r="J27" s="202"/>
      <c r="K27" s="200"/>
      <c r="L27" s="201"/>
      <c r="M27" s="182"/>
      <c r="N27" s="146"/>
      <c r="O27" s="146"/>
      <c r="P27" s="200"/>
      <c r="Q27" s="200"/>
      <c r="R27" s="200"/>
      <c r="S27" s="202"/>
      <c r="T27" s="146"/>
      <c r="U27" s="182"/>
      <c r="V27" s="182"/>
      <c r="W27" s="201"/>
      <c r="X27" s="182"/>
      <c r="Y27" s="146"/>
      <c r="Z27" s="201"/>
      <c r="AA27" s="182"/>
      <c r="AB27" s="146"/>
      <c r="AC27" s="176">
        <f>AC20-AC26</f>
        <v>1838</v>
      </c>
      <c r="AE27" s="214"/>
      <c r="AS27" s="215" t="s">
        <v>335</v>
      </c>
    </row>
    <row r="28" spans="1:45" x14ac:dyDescent="0.2">
      <c r="A28" s="439"/>
      <c r="B28" s="148"/>
      <c r="C28" s="148"/>
      <c r="D28" s="148" t="str">
        <f>IF(MIN(D8,D18,D20,D22,D25)&lt;0,"Negative number","")</f>
        <v/>
      </c>
      <c r="E28" s="148" t="str">
        <f>IF(MIN(E8,E18,E20,E22,E25)&lt;0,"Negative number","")</f>
        <v/>
      </c>
      <c r="F28" s="148" t="str">
        <f>IF(MIN(F8:F11,F14,F16,F18,F20,F22,F25,F26)&lt;0,"Negative number","")</f>
        <v/>
      </c>
      <c r="G28" s="148" t="str">
        <f>IF(MIN(G8:G14,G16,G18,G20,G22,G25,G26)&lt;0,"Negative number","")</f>
        <v/>
      </c>
      <c r="H28" s="148" t="str">
        <f>IF(MIN(H8:H14,H16,H18,H20,H22,H23,H25,H26)&lt;0,"Negative number","")</f>
        <v/>
      </c>
      <c r="I28" s="148" t="str">
        <f>IF(MIN(I8:I14,I16,I18,I20,I22,I25,I26)&lt;0,"Negative number","")</f>
        <v/>
      </c>
      <c r="J28" s="131" t="str">
        <f>IF(MIN(J8:J14,J16,J18,J20,J22,J25,J26)&lt;0,"Negative number","")</f>
        <v/>
      </c>
      <c r="K28" s="131" t="str">
        <f>IF(MIN(K8:K14,K16,K18,K20,K22,K25,K26)&lt;0,"Negative number","")</f>
        <v/>
      </c>
      <c r="L28" s="131" t="str">
        <f>IF(MIN(L8:L14,L16,L18,L20,L22,L25,L26)&lt;0,"Negative number","")</f>
        <v/>
      </c>
      <c r="M28" s="131" t="str">
        <f>IF(MIN(M8:M14,M16,M18,M20,M21,M22,M25,M26)&lt;0,"Negative number","")</f>
        <v/>
      </c>
      <c r="N28" s="131" t="str">
        <f>IF(MIN(N8:N14,N16,N18,N20,N21,N22,N25,N26)&lt;0,"Negative number","")</f>
        <v/>
      </c>
      <c r="O28" s="131" t="str">
        <f>IF(MIN(O8:O14,O16,O18,O20,O21,O22,O25,O26)&lt;0,"Negative number","")</f>
        <v/>
      </c>
      <c r="P28" s="131" t="str">
        <f>IF(MIN(P8:P14,P16,P18,P20,P21,P22,P25,P26)&lt;0,"Negative number","")</f>
        <v/>
      </c>
      <c r="Q28" s="131" t="str">
        <f>IF(MIN(Q8:Q14,Q16,Q18,Q20,Q21,Q22,Q25,Q26)&lt;0,"Negative number","")</f>
        <v/>
      </c>
      <c r="R28" s="131" t="str">
        <f>IF(MIN(R8:R14,R16,R18,R20,R22,R25,R26)&lt;0,"Negative number","")</f>
        <v/>
      </c>
      <c r="S28" s="131" t="str">
        <f>IF(MIN(S8:S14,S16,S18,S20,S22,S25,S26)&lt;0,"Negative number","")</f>
        <v/>
      </c>
      <c r="T28" s="131" t="str">
        <f>IF(MIN(T8:T14,T16,T18,T20,T22,T25,T26)&lt;0,"Negative number","")</f>
        <v>Negative number</v>
      </c>
      <c r="U28" s="131" t="str">
        <f>IF(MIN(U8:U14,U16,U18,U20,U22,U24,U25,U26)&lt;0,"Negative number","")</f>
        <v/>
      </c>
      <c r="V28" s="131" t="str">
        <f>IF(MIN(V8:V14,V16,V18,V20,V22,V24,V25,V26)&lt;0,"Negative number","")</f>
        <v/>
      </c>
      <c r="W28" s="131" t="str">
        <f>IF(MIN(W8:W14,W16,W18,W20,W22,W24,W25,W26)&lt;0,"Negative number","")</f>
        <v/>
      </c>
      <c r="X28" s="131" t="str">
        <f>IF(MIN(X8:X14,X16,X18,X20,X22,X25,X26)&lt;0,"Negative number","")</f>
        <v/>
      </c>
      <c r="Y28" s="131" t="str">
        <f>IF(MIN(Y8:Y14,Y16,Y18,Y20,Y22,Y25,Y26)&lt;0,"Negative number","")</f>
        <v/>
      </c>
      <c r="Z28" s="131" t="str">
        <f>IF(MIN(Z8:Z14,Z16,Z18,Z20,Z22,Z25,Z26)&lt;0,"Negative number","")</f>
        <v/>
      </c>
      <c r="AA28" s="131" t="str">
        <f>IF(MIN(AA8:AA14,AA16,AA18,AA20,AA22,AA25,AA26)&lt;0,"Negative number","")</f>
        <v/>
      </c>
      <c r="AB28" s="131" t="str">
        <f>IF(MIN(AB8:AB14,AB16,AB18,AB20,AB22,AB25,AB26)&lt;0,"Negative number","")</f>
        <v/>
      </c>
      <c r="AC28" s="131" t="str">
        <f>IF(MIN(AC8:AC14,AC16,AC18,AC20,AC21:AC27)&lt;0,"Negative number","")</f>
        <v/>
      </c>
    </row>
    <row r="29" spans="1:45" x14ac:dyDescent="0.2">
      <c r="A29" s="439"/>
      <c r="B29" s="148"/>
      <c r="C29" s="148"/>
      <c r="D29" s="148"/>
      <c r="E29" s="148"/>
      <c r="F29" s="148"/>
      <c r="G29" s="148"/>
      <c r="H29" s="148"/>
      <c r="I29" s="148"/>
      <c r="L29" s="131" t="str">
        <f>IF(OR(L8&gt;J8,L9&gt;J9,L10&gt;J10,L11&gt;J11,L12&gt;J12,L13&gt;J13,L14&gt;J14,L16&gt;J16,L18&gt;J18,L20&gt;J20,L22&gt;J22,L25&gt;J25,L26&gt;J26),"Error: Non-biogasoline
is greater than Total.","")</f>
        <v/>
      </c>
      <c r="Q29" s="131" t="str">
        <f>IF(OR(Q8&gt;O8,Q9&gt;O9,Q10&gt;O10,Q11&gt;O11,Q12&gt;O12,Q13&gt;O13,Q14&gt;O14,Q16&gt;O16,Q18&gt;O18,Q20&gt;O20,Q22&gt;O22,Q25&gt;O25,Q26&gt;O26),"Error: Non-biogasoline
is greater than Total.","")</f>
        <v/>
      </c>
      <c r="U29" s="131" t="str">
        <f>IF(OR(U8&lt;&gt;S8+T8,U9&lt;&gt;S9+T9,U10&lt;&gt;S10+T10,U11&lt;&gt;S11+T11,U12&lt;&gt;S12+T12,U13&lt;&gt;S13+T13,U14&lt;&gt;S14+T14,U16&lt;&gt;S16+T16,U18&lt;&gt;S18+T18,U20&lt;&gt;S20+T20,U22&lt;&gt;S22+T22,T24&lt;&gt;U24,U25&lt;&gt;S25+T25,U26&lt;&gt;S26+T26),"Error: Sum not equal Total.","")</f>
        <v>Error: Sum not equal Total.</v>
      </c>
      <c r="X29" s="131" t="str">
        <f>IF(OR(X8&lt;&gt;Y8+Z8,X9&lt;&gt;Y9+Z9,X10&lt;&gt;Y10+Z10,X11&lt;&gt;Y11+Z11,X12&lt;&gt;Y12+Z12,X13&lt;&gt;Y13+Z13,X14&lt;&gt;Y14+Z14,X16&lt;&gt;Y16+Z16,X18&lt;&gt;Y18+Z18,X20&lt;&gt;Y20+Z20,X22&lt;&gt;Y22+Z22,X25&lt;&gt;Y25+Z25,X26&lt;&gt;Y26+Z26),"Error: Sum not equal Total.","")</f>
        <v>Error: Sum not equal Total.</v>
      </c>
    </row>
    <row r="30" spans="1:45" x14ac:dyDescent="0.2">
      <c r="A30" s="439"/>
      <c r="B30" s="148"/>
      <c r="C30" s="148"/>
      <c r="D30" s="148"/>
      <c r="E30" s="148"/>
      <c r="F30" s="148"/>
      <c r="G30" s="148"/>
      <c r="H30" s="148"/>
      <c r="I30" s="148"/>
      <c r="K30" s="131" t="str">
        <f>IF(OR(K8&gt;J8,K9&gt;J9,K10&gt;J10,K11&gt;J11,K12&gt;J12,K13&gt;J13,K14&gt;J14,K16&gt;J16,K18&gt;J18,K20&gt;J20,K22&gt;J22,K25&gt;J25,K26&gt;J26),"Error: Biogasoline
is greater than Total.","")</f>
        <v/>
      </c>
      <c r="P30" s="131" t="str">
        <f>IF(OR(P8&gt;O8,P9&gt;O9,P10&gt;O10,P11&gt;O11,P12&gt;O12,P13&gt;O13,P14&gt;O14,P16&gt;O16,P18&gt;O18,P20&gt;O20,P21&gt;O21,P22&gt;O22,P25&gt;O25,P26&gt;O26),"Error: Bjo jet kerosene
is greater than Total.","")</f>
        <v/>
      </c>
      <c r="T30" s="131" t="str">
        <f>IF(OR(T8&gt;$U8,T9&gt;$U9,T10&gt;$U10,T11&gt;$U11,T12&gt;$U12,T13&gt;$U13,T14&gt;$U14,T16&gt;$U16,T18&gt;$U18,T20&gt;$U20,T22&gt;$U22,T24&gt;$U24,T25&gt;$U25,T26&gt;$U26),"Error: Heating and othergas oil
is greater than Total gas/diesel oil.","")</f>
        <v/>
      </c>
      <c r="V30" s="131" t="str">
        <f>IF(OR(V8&gt;U8,V9&gt;U9,V10&gt;U10,V11&gt;U11,V12&gt;U12,V13&gt;U13,V14&gt;U14,V16&gt;U16,V18&gt;U18,V20&gt;U20,V22&gt;U22,V24&gt;U24,V25&gt;U25,V26&gt;U26),"Error: Biodiesels is greater than Total.","")</f>
        <v/>
      </c>
      <c r="Y30" s="131" t="str">
        <f>IF(OR(Y8&gt;X8,Y9&gt;X9,Y10&gt;X10,Y11&gt;X11,Y12&gt;X12,Y13&gt;X13,Y14&gt;X14,Y16&gt;X16,Y18&gt;X18,Y20&gt;X20,Y22&gt;X22,Y25&gt;X25,Y26&gt;X26),"Error: Fuel oil-low sulphur (&lt;1%)
is greater than Total.","")</f>
        <v/>
      </c>
    </row>
    <row r="31" spans="1:45" x14ac:dyDescent="0.2">
      <c r="A31" s="439"/>
      <c r="B31" s="148"/>
      <c r="C31" s="148"/>
      <c r="D31" s="148"/>
      <c r="E31" s="148"/>
      <c r="F31" s="148"/>
      <c r="G31" s="148"/>
      <c r="H31" s="148"/>
      <c r="I31" s="148"/>
      <c r="J31" s="131" t="str">
        <f>IF(OR(J8&lt;&gt;K8+L8,J9&lt;&gt;K9+L9,J10&lt;&gt;K10+L10,J11&lt;&gt;K11+L11,J12&lt;&gt;K12+L12,J13&lt;&gt;K13+L13,J14&lt;&gt;K14+L14,J15&lt;&gt;K15+L15,J16&lt;&gt;K16+L16,J17&lt;&gt;K17+L17,J18&lt;&gt;K18+L18,J19&lt;&gt;K19+L19,J20&lt;&gt;K20+L20,J22&lt;&gt;K22+L22,J25&lt;&gt;K25+L25,J26&lt;&gt;K26+L26),"Error: Sum not equal Total.","")</f>
        <v>Error: Sum not equal Total.</v>
      </c>
      <c r="O31" s="131" t="str">
        <f>IF(OR(O8&lt;&gt;P8+Q8,O9&lt;&gt;P9+Q9,O10&lt;&gt;P10+Q10,O11&lt;&gt;P11+Q11,O12&lt;&gt;P12+Q12,O13&lt;&gt;P13+Q13,O14&lt;&gt;P14+Q14,O16&lt;&gt;P16+Q16,O18&lt;&gt;P18+Q18,O20&lt;&gt;P20+Q20,O21&lt;&gt;P21+Q21,O22&lt;&gt;P22+Q22,O25&lt;&gt;P25+Q25,O26&lt;&gt;P26+Q26),"Error: Sum not equal Total.","")</f>
        <v>Error: Sum not equal Total.</v>
      </c>
      <c r="S31" s="131" t="str">
        <f>IF(OR(S8&gt;$U8,S9&gt;$U9,S10&gt;$U10,S11&gt;$U11,S12&gt;$U12,S13&gt;$U13,S14&gt;$U14,S16&gt;$U16,S18&gt;$U18,S20&gt;$U20,S22&gt;$U22,S25&gt;$U25,S26&gt;$U26),"Error: Road diesel is greater
than Total gas/diesel oil.","")</f>
        <v>Error: Road diesel is greater
than Total gas/diesel oil.</v>
      </c>
      <c r="W31" s="131" t="str">
        <f>IF(OR(W8&gt;U8,W9&gt;U9,W10&gt;U10,W11&gt;U11,W12&gt;U12,W13&gt;U13,W14&gt;U14,W16&gt;U16,W18&gt;U18,W20&gt;U20,W22&gt;U22,W24&gt;U24,W25&gt;U25,W26&gt;U26),"Error: Non-bio gas/diesel oil is greater than Total.","")</f>
        <v/>
      </c>
      <c r="Z31" s="131" t="str">
        <f>IF(OR(Z8&gt;X8,Z9&gt;X9,Z10&gt;X10,Z11&gt;X11,Z12&gt;X12,Z13&gt;X13,Z14&gt;X14,Z16&gt;X16,Z18&gt;X18,Z20&gt;X20,Z22&gt;X22,Z25&gt;X25,Z26&gt;X26),"Error: Fuel oil-high sulphur (&gt;=1%) is greater than Total.","")</f>
        <v>Error: Fuel oil-high sulphur (&gt;=1%) is greater than Total.</v>
      </c>
    </row>
    <row r="32" spans="1:45" x14ac:dyDescent="0.2">
      <c r="A32" s="439">
        <v>1</v>
      </c>
      <c r="B32" s="390" t="s">
        <v>585</v>
      </c>
      <c r="C32" s="390"/>
      <c r="D32" s="390"/>
      <c r="E32" s="390"/>
      <c r="F32" s="390"/>
      <c r="G32" s="390"/>
      <c r="H32" s="204">
        <f>AC8-MOS_Table_1!J20</f>
        <v>-1</v>
      </c>
      <c r="I32" s="441" t="str">
        <f>IF(H32=0,"OK","Total of 'Primary product receipts' not equal to total of 'Direct use' in MOS_Table_1.")</f>
        <v>Total of 'Primary product receipts' not equal to total of 'Direct use' in MOS_Table_1.</v>
      </c>
    </row>
    <row r="33" spans="1:9" x14ac:dyDescent="0.2">
      <c r="A33" s="439">
        <v>2</v>
      </c>
      <c r="B33" s="390" t="s">
        <v>578</v>
      </c>
      <c r="C33" s="390"/>
      <c r="D33" s="390"/>
      <c r="E33" s="390"/>
      <c r="F33" s="390"/>
      <c r="G33" s="390"/>
      <c r="H33" s="205">
        <f>AC15</f>
        <v>-14</v>
      </c>
      <c r="I33" s="441" t="str">
        <f>IF(H33=0,"OK","Interproduct transfers of Total products is not equal to 0.")</f>
        <v>Interproduct transfers of Total products is not equal to 0.</v>
      </c>
    </row>
    <row r="34" spans="1:9" x14ac:dyDescent="0.2">
      <c r="A34" s="439">
        <v>3</v>
      </c>
      <c r="B34" s="390" t="s">
        <v>586</v>
      </c>
      <c r="C34" s="390"/>
      <c r="D34" s="390"/>
      <c r="E34" s="390"/>
      <c r="F34" s="390"/>
      <c r="G34" s="390"/>
      <c r="H34" s="205"/>
      <c r="I34" s="441" t="str">
        <f>IF(G35=0,"OK","Products transferred of Total products is not equal to Products transferred of Total in MOS_Table_1.")</f>
        <v>Products transferred of Total products is not equal to Products transferred of Total in MOS_Table_1.</v>
      </c>
    </row>
    <row r="35" spans="1:9" x14ac:dyDescent="0.2">
      <c r="A35" s="439">
        <v>4</v>
      </c>
      <c r="B35" s="390" t="s">
        <v>588</v>
      </c>
      <c r="C35" s="390"/>
      <c r="D35" s="390"/>
      <c r="E35" s="390"/>
      <c r="F35" s="390"/>
      <c r="G35" s="205">
        <f>AC16-MOS_Table_1!J17</f>
        <v>1</v>
      </c>
      <c r="H35" s="205">
        <f>AC17-(MOS_Table_5!AG9-MOS_Table_5!AG8)</f>
        <v>-1</v>
      </c>
      <c r="I35" s="441" t="str">
        <f>IF(H35=0,"OK","Stock change for Total products is not equal to Closing stock level minus the Opening stock level on National territory in MOS_Table_5 for Total products.")</f>
        <v>Stock change for Total products is not equal to Closing stock level minus the Opening stock level on National territory in MOS_Table_5 for Total products.</v>
      </c>
    </row>
    <row r="36" spans="1:9" x14ac:dyDescent="0.2">
      <c r="A36" s="439">
        <v>5</v>
      </c>
      <c r="B36" s="390" t="s">
        <v>579</v>
      </c>
      <c r="C36" s="390"/>
      <c r="D36" s="390"/>
      <c r="E36" s="390"/>
      <c r="F36" s="390"/>
      <c r="G36" s="390"/>
      <c r="I36" s="441" t="str">
        <f>IF(OR(H22+H23&gt;H20,M21+M22&gt;M20,N21+N22&gt;N20,O22+O21&gt;O20,P21+P22&gt;P20,Q22+Q21&gt;Q20,T22+T24&gt;T20,U22+U24&gt;U20,V22+V24&gt;V20,W22+W24&gt;W20),"Sum of Memo Items shoud not exceed Gross inland deliveries (Observed).","")</f>
        <v/>
      </c>
    </row>
    <row r="37" spans="1:9" x14ac:dyDescent="0.2">
      <c r="A37" s="439"/>
      <c r="B37" s="390" t="s">
        <v>580</v>
      </c>
      <c r="C37" s="390"/>
      <c r="D37" s="390"/>
      <c r="E37" s="390"/>
      <c r="F37" s="390"/>
      <c r="G37" s="205"/>
      <c r="H37" s="205">
        <f>IF(I39="OK",0,1)</f>
        <v>0</v>
      </c>
      <c r="I37" s="441" t="str">
        <f>IF(OR(M21&gt;M20,N21&gt;N20,O21&gt;O20,P21&gt;P20,Q21&gt;Q20),"Deliveries to international aviation shoud not exceed Gross inland deliveries (Observed).","OK")</f>
        <v>OK</v>
      </c>
    </row>
    <row r="38" spans="1:9" x14ac:dyDescent="0.2">
      <c r="A38" s="439"/>
      <c r="B38" s="441" t="s">
        <v>581</v>
      </c>
      <c r="C38" s="441"/>
      <c r="D38" s="390"/>
      <c r="E38" s="390"/>
      <c r="F38" s="390"/>
      <c r="G38" s="390"/>
      <c r="H38" s="442">
        <f>IF(I40="OK",0,1)</f>
        <v>0</v>
      </c>
      <c r="I38" s="441" t="str">
        <f>IF(OR(D22&gt;D20,E22&gt;E20,F22&gt;F20,G22&gt;G20,H22&gt;H20,I22&gt;I20,J22&gt;J20,K22&gt;K20,L22&gt;L20,M22&gt;M20,N22&gt;N20,O22&gt;O20,P22&gt;P20,Q22&gt;Q20,R22&gt;R20,S22&gt;S20,T22&gt;T20,U22&gt;U20,V22&gt;V20,W22&gt;W20,X22&gt;X20,Y22&gt;Y20,Z22&gt;Z20,AA22&gt;AA20,AB22&gt;AB20),"Deliveries to Main activity producer power plants should not exceed Gross inland deliveries (Observed).","OK")</f>
        <v>OK</v>
      </c>
    </row>
    <row r="39" spans="1:9" x14ac:dyDescent="0.2">
      <c r="A39" s="439"/>
      <c r="B39" s="390" t="s">
        <v>582</v>
      </c>
      <c r="C39" s="390"/>
      <c r="D39" s="390"/>
      <c r="E39" s="390"/>
      <c r="F39" s="390"/>
      <c r="G39" s="390"/>
      <c r="H39" s="442">
        <f>IF(I41="OK",0,1)</f>
        <v>0</v>
      </c>
      <c r="I39" s="390" t="str">
        <f>IF((H23&gt;H20),"Deliveries of automotive LPG should not exceed Gross inland deliveries (Observed) of LPG.","OK")</f>
        <v>OK</v>
      </c>
    </row>
    <row r="40" spans="1:9" x14ac:dyDescent="0.2">
      <c r="A40" s="439"/>
      <c r="B40" s="390" t="s">
        <v>583</v>
      </c>
      <c r="C40" s="390"/>
      <c r="D40" s="390"/>
      <c r="E40" s="390"/>
      <c r="F40" s="390"/>
      <c r="G40" s="390"/>
      <c r="H40" s="442"/>
      <c r="I40" s="390" t="str">
        <f>IF(OR(T24&gt;T20,U24&gt;U20,V24&gt;V20,W24&gt;W20),"Deliveries of rail and marine diesel should not exceed Gross inland deliveries (Observed).","OK")</f>
        <v>OK</v>
      </c>
    </row>
    <row r="41" spans="1:9" x14ac:dyDescent="0.2">
      <c r="A41" s="439">
        <v>6</v>
      </c>
      <c r="B41" s="390" t="s">
        <v>584</v>
      </c>
      <c r="C41" s="390"/>
      <c r="D41" s="390"/>
      <c r="E41" s="390"/>
      <c r="F41" s="390"/>
      <c r="G41" s="390"/>
      <c r="H41" s="442">
        <f>IF(I43="OK",0,1)</f>
        <v>1</v>
      </c>
      <c r="I41" s="390" t="str">
        <f>IF(OR(D25&gt;D20,E25&gt;E20,F25&gt;F20,G25&gt;G20,H25&gt;H20,I25&gt;I20,J25&gt;J20,K25&gt;K20,L25&gt;L20,M25&gt;M20,N25&gt;N20,O25&gt;O20,P25&gt;P20,Q25&gt;Q20,R25&gt;R20,S25&gt;S20,T25&gt;T20,,U25&gt;U20,V25&gt;V20,W25&gt;W20,X25&gt;X20,Y25&gt;Y20,Z25&gt;Z20,AA25&gt;AA20,AB25&gt;AB20),"Deliveries to the Petrochemical sector should not exceed Gross inland deliveries (Observed).","OK")</f>
        <v>OK</v>
      </c>
    </row>
    <row r="42" spans="1:9" x14ac:dyDescent="0.2">
      <c r="A42" s="439">
        <v>7</v>
      </c>
      <c r="B42" s="390" t="s">
        <v>587</v>
      </c>
      <c r="C42" s="390"/>
      <c r="D42" s="390"/>
      <c r="E42" s="390"/>
      <c r="F42" s="390"/>
      <c r="G42" s="390"/>
      <c r="H42" s="442">
        <f>AC26-MOS_Table_1!J16</f>
        <v>-2</v>
      </c>
      <c r="I42" s="390" t="str">
        <f>IF(H42=0,"OK","Backflows to refineries of Total products is not equal to Total of Backflows in MOS_Table_1.")</f>
        <v>Backflows to refineries of Total products is not equal to Total of Backflows in MOS_Table_1.</v>
      </c>
    </row>
    <row r="43" spans="1:9" x14ac:dyDescent="0.2">
      <c r="A43" s="439"/>
      <c r="B43" s="390"/>
      <c r="C43" s="390"/>
      <c r="D43" s="390"/>
      <c r="E43" s="390"/>
      <c r="F43" s="390"/>
      <c r="G43" s="390"/>
      <c r="H43" s="442"/>
      <c r="I43" s="390"/>
    </row>
    <row r="44" spans="1:9" x14ac:dyDescent="0.2">
      <c r="A44" s="439"/>
      <c r="B44" s="390"/>
      <c r="C44" s="390"/>
      <c r="D44" s="390"/>
      <c r="E44" s="390"/>
      <c r="F44" s="390"/>
      <c r="G44" s="390"/>
      <c r="H44" s="205"/>
      <c r="I44" s="390"/>
    </row>
    <row r="45" spans="1:9" x14ac:dyDescent="0.2">
      <c r="A45" s="439"/>
      <c r="B45" s="148"/>
      <c r="C45" s="148"/>
      <c r="D45" s="148"/>
      <c r="E45" s="148"/>
      <c r="F45" s="148"/>
      <c r="G45" s="148"/>
      <c r="H45" s="148"/>
      <c r="I45" s="148"/>
    </row>
    <row r="46" spans="1:9" x14ac:dyDescent="0.2">
      <c r="A46" s="439"/>
      <c r="B46" s="148"/>
      <c r="C46" s="148"/>
      <c r="D46" s="148"/>
      <c r="E46" s="148"/>
      <c r="F46" s="148"/>
      <c r="G46" s="148"/>
      <c r="H46" s="148"/>
      <c r="I46" s="148"/>
    </row>
    <row r="47" spans="1:9" x14ac:dyDescent="0.2">
      <c r="A47" s="439"/>
      <c r="B47" s="148"/>
      <c r="C47" s="148"/>
      <c r="D47" s="148"/>
      <c r="E47" s="148"/>
      <c r="F47" s="148"/>
      <c r="G47" s="148"/>
      <c r="H47" s="148"/>
      <c r="I47" s="148"/>
    </row>
    <row r="48" spans="1:9" x14ac:dyDescent="0.2">
      <c r="A48" s="439"/>
      <c r="B48" s="148"/>
      <c r="C48" s="148"/>
      <c r="D48" s="148"/>
      <c r="E48" s="148"/>
      <c r="F48" s="148"/>
      <c r="G48" s="148"/>
      <c r="H48" s="148"/>
      <c r="I48" s="148"/>
    </row>
    <row r="49" spans="1:9" x14ac:dyDescent="0.2">
      <c r="A49" s="439"/>
      <c r="B49" s="148"/>
      <c r="C49" s="148"/>
      <c r="D49" s="148"/>
      <c r="E49" s="148"/>
      <c r="F49" s="148"/>
      <c r="G49" s="148"/>
      <c r="H49" s="148"/>
      <c r="I49" s="148"/>
    </row>
    <row r="50" spans="1:9" x14ac:dyDescent="0.2">
      <c r="A50" s="439"/>
      <c r="B50" s="148"/>
      <c r="C50" s="148"/>
      <c r="D50" s="148"/>
      <c r="E50" s="148"/>
      <c r="F50" s="148"/>
      <c r="G50" s="148"/>
      <c r="H50" s="148"/>
      <c r="I50" s="148"/>
    </row>
    <row r="51" spans="1:9" x14ac:dyDescent="0.2">
      <c r="A51" s="439"/>
      <c r="B51" s="148"/>
      <c r="C51" s="148"/>
      <c r="D51" s="148"/>
      <c r="E51" s="148"/>
      <c r="F51" s="148"/>
      <c r="G51" s="148"/>
      <c r="H51" s="148"/>
      <c r="I51" s="148"/>
    </row>
    <row r="52" spans="1:9" x14ac:dyDescent="0.2">
      <c r="A52" s="439"/>
      <c r="B52" s="148"/>
      <c r="C52" s="148"/>
      <c r="D52" s="148"/>
      <c r="E52" s="148"/>
      <c r="F52" s="148"/>
      <c r="G52" s="148"/>
      <c r="H52" s="148"/>
      <c r="I52" s="148"/>
    </row>
    <row r="53" spans="1:9" x14ac:dyDescent="0.2">
      <c r="A53" s="439"/>
      <c r="B53" s="148"/>
      <c r="C53" s="148"/>
      <c r="D53" s="148"/>
      <c r="E53" s="148"/>
      <c r="F53" s="148"/>
      <c r="G53" s="148"/>
      <c r="H53" s="148"/>
      <c r="I53" s="148"/>
    </row>
    <row r="54" spans="1:9" x14ac:dyDescent="0.2">
      <c r="A54" s="439"/>
      <c r="B54" s="148"/>
      <c r="C54" s="148"/>
      <c r="D54" s="148"/>
      <c r="E54" s="148"/>
      <c r="F54" s="148"/>
      <c r="G54" s="148"/>
      <c r="H54" s="148"/>
      <c r="I54" s="148"/>
    </row>
    <row r="55" spans="1:9" x14ac:dyDescent="0.2">
      <c r="A55" s="439"/>
      <c r="B55" s="148"/>
      <c r="C55" s="148"/>
      <c r="D55" s="148"/>
      <c r="E55" s="148"/>
      <c r="F55" s="148"/>
      <c r="G55" s="148"/>
      <c r="H55" s="148"/>
      <c r="I55" s="148"/>
    </row>
    <row r="56" spans="1:9" x14ac:dyDescent="0.2">
      <c r="A56" s="439"/>
      <c r="B56" s="148"/>
      <c r="C56" s="148"/>
      <c r="D56" s="148"/>
      <c r="E56" s="148"/>
      <c r="F56" s="148"/>
      <c r="G56" s="148"/>
      <c r="H56" s="148"/>
      <c r="I56" s="148"/>
    </row>
    <row r="57" spans="1:9" x14ac:dyDescent="0.2">
      <c r="A57" s="439"/>
      <c r="B57" s="148"/>
      <c r="C57" s="148"/>
      <c r="D57" s="148"/>
      <c r="E57" s="148"/>
      <c r="F57" s="148"/>
      <c r="G57" s="148"/>
      <c r="H57" s="148"/>
      <c r="I57" s="148"/>
    </row>
    <row r="58" spans="1:9" x14ac:dyDescent="0.2">
      <c r="A58" s="439"/>
      <c r="B58" s="148"/>
      <c r="C58" s="148"/>
      <c r="D58" s="148"/>
      <c r="E58" s="148"/>
      <c r="F58" s="148"/>
      <c r="G58" s="148"/>
      <c r="H58" s="148"/>
      <c r="I58" s="148"/>
    </row>
    <row r="59" spans="1:9" x14ac:dyDescent="0.2">
      <c r="A59" s="439"/>
      <c r="B59" s="148"/>
      <c r="C59" s="148"/>
      <c r="D59" s="148"/>
      <c r="E59" s="148"/>
      <c r="F59" s="148"/>
      <c r="G59" s="148"/>
      <c r="H59" s="148"/>
      <c r="I59" s="148"/>
    </row>
    <row r="60" spans="1:9" x14ac:dyDescent="0.2">
      <c r="A60" s="439"/>
      <c r="B60" s="148"/>
      <c r="C60" s="148"/>
      <c r="D60" s="148"/>
      <c r="E60" s="148"/>
      <c r="F60" s="148"/>
      <c r="G60" s="148"/>
      <c r="H60" s="148"/>
      <c r="I60" s="148"/>
    </row>
    <row r="61" spans="1:9" x14ac:dyDescent="0.2">
      <c r="A61" s="439"/>
      <c r="B61" s="148"/>
      <c r="C61" s="148"/>
      <c r="D61" s="148"/>
      <c r="E61" s="148"/>
      <c r="F61" s="148"/>
      <c r="G61" s="148"/>
      <c r="H61" s="148"/>
      <c r="I61" s="148"/>
    </row>
    <row r="62" spans="1:9" x14ac:dyDescent="0.2">
      <c r="A62" s="439"/>
      <c r="B62" s="148"/>
      <c r="C62" s="148"/>
      <c r="D62" s="148"/>
      <c r="E62" s="148"/>
      <c r="F62" s="148"/>
      <c r="G62" s="148"/>
      <c r="H62" s="148"/>
      <c r="I62" s="148"/>
    </row>
    <row r="63" spans="1:9" x14ac:dyDescent="0.2">
      <c r="A63" s="439"/>
      <c r="B63" s="148"/>
      <c r="C63" s="148"/>
      <c r="D63" s="148"/>
      <c r="E63" s="148"/>
      <c r="F63" s="148"/>
      <c r="G63" s="148"/>
      <c r="H63" s="148"/>
      <c r="I63" s="148"/>
    </row>
    <row r="64" spans="1:9" x14ac:dyDescent="0.2">
      <c r="A64" s="439"/>
      <c r="B64" s="148"/>
      <c r="C64" s="148"/>
      <c r="D64" s="148"/>
      <c r="E64" s="148"/>
      <c r="F64" s="148"/>
      <c r="G64" s="148"/>
      <c r="H64" s="148"/>
      <c r="I64" s="148"/>
    </row>
    <row r="65" spans="1:9" x14ac:dyDescent="0.2">
      <c r="A65" s="439"/>
      <c r="B65" s="148"/>
      <c r="C65" s="148"/>
      <c r="D65" s="148"/>
      <c r="E65" s="148"/>
      <c r="F65" s="148"/>
      <c r="G65" s="148"/>
      <c r="H65" s="148"/>
      <c r="I65" s="148"/>
    </row>
    <row r="66" spans="1:9" x14ac:dyDescent="0.2">
      <c r="A66" s="439"/>
      <c r="B66" s="148"/>
      <c r="C66" s="148"/>
      <c r="D66" s="148"/>
      <c r="E66" s="148"/>
      <c r="F66" s="148"/>
      <c r="G66" s="148"/>
      <c r="H66" s="148"/>
      <c r="I66" s="148"/>
    </row>
    <row r="67" spans="1:9" x14ac:dyDescent="0.2">
      <c r="A67" s="439"/>
      <c r="B67" s="148"/>
      <c r="C67" s="148"/>
      <c r="D67" s="148"/>
      <c r="E67" s="148"/>
      <c r="F67" s="148"/>
      <c r="G67" s="148"/>
      <c r="H67" s="148"/>
      <c r="I67" s="148"/>
    </row>
    <row r="68" spans="1:9" x14ac:dyDescent="0.2">
      <c r="A68" s="439"/>
      <c r="B68" s="148"/>
      <c r="C68" s="148"/>
      <c r="D68" s="148"/>
      <c r="E68" s="148"/>
      <c r="F68" s="148"/>
      <c r="G68" s="148"/>
      <c r="H68" s="148"/>
      <c r="I68" s="148"/>
    </row>
    <row r="69" spans="1:9" x14ac:dyDescent="0.2">
      <c r="A69" s="439"/>
      <c r="B69" s="148"/>
      <c r="C69" s="148"/>
      <c r="D69" s="148"/>
      <c r="E69" s="148"/>
      <c r="F69" s="148"/>
      <c r="G69" s="148"/>
      <c r="H69" s="148"/>
      <c r="I69" s="148"/>
    </row>
    <row r="70" spans="1:9" x14ac:dyDescent="0.2">
      <c r="A70" s="439"/>
      <c r="B70" s="148"/>
      <c r="C70" s="148"/>
      <c r="D70" s="148"/>
      <c r="E70" s="148"/>
      <c r="F70" s="148"/>
      <c r="G70" s="148"/>
      <c r="H70" s="148"/>
      <c r="I70" s="148"/>
    </row>
    <row r="71" spans="1:9" x14ac:dyDescent="0.2">
      <c r="A71" s="439"/>
      <c r="B71" s="148"/>
      <c r="C71" s="148"/>
      <c r="D71" s="148"/>
      <c r="E71" s="148"/>
      <c r="F71" s="148"/>
      <c r="G71" s="148"/>
      <c r="H71" s="148"/>
      <c r="I71" s="148"/>
    </row>
    <row r="72" spans="1:9" x14ac:dyDescent="0.2">
      <c r="A72" s="439"/>
      <c r="B72" s="148"/>
      <c r="C72" s="148"/>
      <c r="D72" s="148"/>
      <c r="E72" s="148"/>
      <c r="F72" s="148"/>
      <c r="G72" s="148"/>
      <c r="H72" s="148"/>
      <c r="I72" s="148"/>
    </row>
    <row r="73" spans="1:9" x14ac:dyDescent="0.2">
      <c r="A73" s="439"/>
      <c r="B73" s="148"/>
      <c r="C73" s="148"/>
      <c r="D73" s="148"/>
      <c r="E73" s="148"/>
      <c r="F73" s="148"/>
      <c r="G73" s="148"/>
      <c r="H73" s="148"/>
      <c r="I73" s="148"/>
    </row>
    <row r="74" spans="1:9" x14ac:dyDescent="0.2">
      <c r="A74" s="439"/>
      <c r="B74" s="148"/>
      <c r="C74" s="148"/>
      <c r="D74" s="148"/>
      <c r="E74" s="148"/>
      <c r="F74" s="148"/>
      <c r="G74" s="148"/>
      <c r="H74" s="148"/>
      <c r="I74" s="148"/>
    </row>
    <row r="75" spans="1:9" x14ac:dyDescent="0.2">
      <c r="A75" s="439"/>
      <c r="B75" s="148"/>
      <c r="C75" s="148"/>
      <c r="D75" s="148"/>
      <c r="E75" s="148"/>
      <c r="F75" s="148"/>
      <c r="G75" s="148"/>
      <c r="H75" s="148"/>
      <c r="I75" s="148"/>
    </row>
    <row r="76" spans="1:9" x14ac:dyDescent="0.2">
      <c r="A76" s="439"/>
      <c r="B76" s="148"/>
      <c r="C76" s="148"/>
      <c r="D76" s="148"/>
      <c r="E76" s="148"/>
      <c r="F76" s="148"/>
      <c r="G76" s="148"/>
      <c r="H76" s="148"/>
      <c r="I76" s="148"/>
    </row>
    <row r="77" spans="1:9" x14ac:dyDescent="0.2">
      <c r="A77" s="439"/>
      <c r="B77" s="148"/>
      <c r="C77" s="148"/>
      <c r="D77" s="148"/>
      <c r="E77" s="148"/>
      <c r="F77" s="148"/>
      <c r="G77" s="148"/>
      <c r="H77" s="148"/>
      <c r="I77" s="148"/>
    </row>
    <row r="78" spans="1:9" x14ac:dyDescent="0.2">
      <c r="A78" s="439"/>
      <c r="B78" s="148"/>
      <c r="C78" s="148"/>
      <c r="D78" s="148"/>
      <c r="E78" s="148"/>
      <c r="F78" s="148"/>
      <c r="G78" s="148"/>
      <c r="H78" s="148"/>
      <c r="I78" s="148"/>
    </row>
    <row r="79" spans="1:9" x14ac:dyDescent="0.2">
      <c r="A79" s="439"/>
      <c r="B79" s="148"/>
      <c r="C79" s="148"/>
      <c r="D79" s="148"/>
      <c r="E79" s="148"/>
      <c r="F79" s="148"/>
      <c r="G79" s="148"/>
      <c r="H79" s="148"/>
      <c r="I79" s="148"/>
    </row>
    <row r="80" spans="1:9" x14ac:dyDescent="0.2">
      <c r="A80" s="439"/>
      <c r="B80" s="148"/>
      <c r="C80" s="148"/>
      <c r="D80" s="148"/>
      <c r="E80" s="148"/>
      <c r="F80" s="148"/>
      <c r="G80" s="148"/>
      <c r="H80" s="148"/>
      <c r="I80" s="148"/>
    </row>
    <row r="81" spans="1:9" x14ac:dyDescent="0.2">
      <c r="A81" s="439"/>
      <c r="B81" s="148"/>
      <c r="C81" s="148"/>
      <c r="D81" s="148"/>
      <c r="E81" s="148"/>
      <c r="F81" s="148"/>
      <c r="G81" s="148"/>
      <c r="H81" s="148"/>
      <c r="I81" s="148"/>
    </row>
    <row r="82" spans="1:9" x14ac:dyDescent="0.2">
      <c r="A82" s="439"/>
      <c r="B82" s="148"/>
      <c r="C82" s="148"/>
      <c r="D82" s="148"/>
      <c r="E82" s="148"/>
      <c r="F82" s="148"/>
      <c r="G82" s="148"/>
      <c r="H82" s="148"/>
      <c r="I82" s="148"/>
    </row>
    <row r="83" spans="1:9" x14ac:dyDescent="0.2">
      <c r="A83" s="439"/>
      <c r="B83" s="148"/>
      <c r="C83" s="148"/>
      <c r="D83" s="148"/>
      <c r="E83" s="148"/>
      <c r="F83" s="148"/>
      <c r="G83" s="148"/>
      <c r="H83" s="148"/>
      <c r="I83" s="148"/>
    </row>
    <row r="84" spans="1:9" x14ac:dyDescent="0.2">
      <c r="A84" s="439"/>
      <c r="B84" s="148"/>
      <c r="C84" s="148"/>
      <c r="D84" s="148"/>
      <c r="E84" s="148"/>
      <c r="F84" s="148"/>
      <c r="G84" s="148"/>
      <c r="H84" s="148"/>
      <c r="I84" s="148"/>
    </row>
    <row r="85" spans="1:9" x14ac:dyDescent="0.2">
      <c r="A85" s="439"/>
      <c r="B85" s="148"/>
      <c r="C85" s="148"/>
      <c r="D85" s="148"/>
      <c r="E85" s="148"/>
      <c r="F85" s="148"/>
      <c r="G85" s="148"/>
      <c r="H85" s="148"/>
      <c r="I85" s="148"/>
    </row>
    <row r="86" spans="1:9" x14ac:dyDescent="0.2">
      <c r="A86" s="439"/>
      <c r="B86" s="148"/>
      <c r="C86" s="148"/>
      <c r="D86" s="148"/>
      <c r="E86" s="148"/>
      <c r="F86" s="148"/>
      <c r="G86" s="148"/>
      <c r="H86" s="148"/>
      <c r="I86" s="148"/>
    </row>
    <row r="87" spans="1:9" x14ac:dyDescent="0.2">
      <c r="A87" s="439"/>
      <c r="B87" s="148"/>
      <c r="C87" s="148"/>
      <c r="D87" s="148"/>
      <c r="E87" s="148"/>
      <c r="F87" s="148"/>
      <c r="G87" s="148"/>
      <c r="H87" s="148"/>
      <c r="I87" s="148"/>
    </row>
    <row r="88" spans="1:9" x14ac:dyDescent="0.2">
      <c r="A88" s="439"/>
      <c r="B88" s="148"/>
      <c r="C88" s="148"/>
      <c r="D88" s="148"/>
      <c r="E88" s="148"/>
      <c r="F88" s="148"/>
      <c r="G88" s="148"/>
      <c r="H88" s="148"/>
      <c r="I88" s="148"/>
    </row>
    <row r="89" spans="1:9" x14ac:dyDescent="0.2">
      <c r="A89" s="439"/>
      <c r="B89" s="148"/>
      <c r="C89" s="148"/>
      <c r="D89" s="148"/>
      <c r="E89" s="148"/>
      <c r="F89" s="148"/>
      <c r="G89" s="148"/>
      <c r="H89" s="148"/>
      <c r="I89" s="148"/>
    </row>
    <row r="90" spans="1:9" x14ac:dyDescent="0.2">
      <c r="A90" s="439"/>
      <c r="B90" s="148"/>
      <c r="C90" s="148"/>
      <c r="D90" s="148"/>
      <c r="E90" s="148"/>
      <c r="F90" s="148"/>
      <c r="G90" s="148"/>
      <c r="H90" s="148"/>
      <c r="I90" s="148"/>
    </row>
    <row r="91" spans="1:9" x14ac:dyDescent="0.2">
      <c r="A91" s="439"/>
      <c r="B91" s="148"/>
      <c r="C91" s="148"/>
      <c r="D91" s="148"/>
      <c r="E91" s="148"/>
      <c r="F91" s="148"/>
      <c r="G91" s="148"/>
      <c r="H91" s="148"/>
      <c r="I91" s="148"/>
    </row>
    <row r="92" spans="1:9" x14ac:dyDescent="0.2">
      <c r="A92" s="439"/>
      <c r="B92" s="148"/>
      <c r="C92" s="148"/>
      <c r="D92" s="148"/>
      <c r="E92" s="148"/>
      <c r="F92" s="148"/>
      <c r="G92" s="148"/>
      <c r="H92" s="148"/>
      <c r="I92" s="148"/>
    </row>
    <row r="93" spans="1:9" x14ac:dyDescent="0.2">
      <c r="A93" s="439"/>
      <c r="B93" s="148"/>
      <c r="C93" s="148"/>
      <c r="D93" s="148"/>
      <c r="E93" s="148"/>
      <c r="F93" s="148"/>
      <c r="G93" s="148"/>
      <c r="H93" s="148"/>
      <c r="I93" s="148"/>
    </row>
    <row r="94" spans="1:9" x14ac:dyDescent="0.2">
      <c r="A94" s="439"/>
      <c r="B94" s="148"/>
      <c r="C94" s="148"/>
      <c r="D94" s="148"/>
      <c r="E94" s="148"/>
      <c r="F94" s="148"/>
      <c r="G94" s="148"/>
      <c r="H94" s="148"/>
      <c r="I94" s="148"/>
    </row>
    <row r="95" spans="1:9" x14ac:dyDescent="0.2">
      <c r="A95" s="439"/>
      <c r="B95" s="148"/>
      <c r="C95" s="148"/>
      <c r="D95" s="148"/>
      <c r="E95" s="148"/>
      <c r="F95" s="148"/>
      <c r="G95" s="148"/>
      <c r="H95" s="148"/>
      <c r="I95" s="148"/>
    </row>
    <row r="96" spans="1:9" x14ac:dyDescent="0.2">
      <c r="A96" s="439"/>
      <c r="B96" s="148"/>
      <c r="C96" s="148"/>
      <c r="D96" s="148"/>
      <c r="E96" s="148"/>
      <c r="F96" s="148"/>
      <c r="G96" s="148"/>
      <c r="H96" s="148"/>
      <c r="I96" s="148"/>
    </row>
    <row r="97" spans="1:9" x14ac:dyDescent="0.2">
      <c r="A97" s="439"/>
      <c r="B97" s="148"/>
      <c r="C97" s="148"/>
      <c r="D97" s="148"/>
      <c r="E97" s="148"/>
      <c r="F97" s="148"/>
      <c r="G97" s="148"/>
      <c r="H97" s="148"/>
      <c r="I97" s="148"/>
    </row>
    <row r="98" spans="1:9" x14ac:dyDescent="0.2">
      <c r="A98" s="439"/>
      <c r="B98" s="148"/>
      <c r="C98" s="148"/>
      <c r="D98" s="148"/>
      <c r="E98" s="148"/>
      <c r="F98" s="148"/>
      <c r="G98" s="148"/>
      <c r="H98" s="148"/>
      <c r="I98" s="148"/>
    </row>
    <row r="99" spans="1:9" x14ac:dyDescent="0.2">
      <c r="A99" s="439"/>
      <c r="B99" s="148"/>
      <c r="C99" s="148"/>
      <c r="D99" s="148"/>
      <c r="E99" s="148"/>
      <c r="F99" s="148"/>
      <c r="G99" s="148"/>
      <c r="H99" s="148"/>
      <c r="I99" s="148"/>
    </row>
    <row r="100" spans="1:9" x14ac:dyDescent="0.2">
      <c r="A100" s="439"/>
      <c r="B100" s="148"/>
      <c r="C100" s="148"/>
      <c r="D100" s="148"/>
      <c r="E100" s="148"/>
      <c r="F100" s="148"/>
      <c r="G100" s="148"/>
      <c r="H100" s="148"/>
      <c r="I100" s="148"/>
    </row>
    <row r="101" spans="1:9" x14ac:dyDescent="0.2">
      <c r="A101" s="439"/>
      <c r="B101" s="148"/>
      <c r="C101" s="148"/>
      <c r="D101" s="148"/>
      <c r="E101" s="148"/>
      <c r="F101" s="148"/>
      <c r="G101" s="148"/>
      <c r="H101" s="148"/>
      <c r="I101" s="148"/>
    </row>
    <row r="102" spans="1:9" x14ac:dyDescent="0.2">
      <c r="A102" s="439"/>
      <c r="B102" s="148"/>
      <c r="C102" s="148"/>
      <c r="D102" s="148"/>
      <c r="E102" s="148"/>
      <c r="F102" s="148"/>
      <c r="G102" s="148"/>
      <c r="H102" s="148"/>
      <c r="I102" s="148"/>
    </row>
    <row r="103" spans="1:9" x14ac:dyDescent="0.2">
      <c r="A103" s="439"/>
      <c r="B103" s="148"/>
      <c r="C103" s="148"/>
      <c r="D103" s="148"/>
      <c r="E103" s="148"/>
      <c r="F103" s="148"/>
      <c r="G103" s="148"/>
      <c r="H103" s="148"/>
      <c r="I103" s="148"/>
    </row>
    <row r="104" spans="1:9" x14ac:dyDescent="0.2">
      <c r="A104" s="439"/>
      <c r="B104" s="148"/>
      <c r="C104" s="148"/>
      <c r="D104" s="148"/>
      <c r="E104" s="148"/>
      <c r="F104" s="148"/>
      <c r="G104" s="148"/>
      <c r="H104" s="148"/>
      <c r="I104" s="148"/>
    </row>
    <row r="105" spans="1:9" x14ac:dyDescent="0.2">
      <c r="A105" s="439"/>
      <c r="B105" s="148"/>
      <c r="C105" s="148"/>
      <c r="D105" s="148"/>
      <c r="E105" s="148"/>
      <c r="F105" s="148"/>
      <c r="G105" s="148"/>
      <c r="H105" s="148"/>
      <c r="I105" s="148"/>
    </row>
    <row r="106" spans="1:9" x14ac:dyDescent="0.2">
      <c r="A106" s="439"/>
      <c r="B106" s="148"/>
      <c r="C106" s="148"/>
      <c r="D106" s="148"/>
      <c r="E106" s="148"/>
      <c r="F106" s="148"/>
      <c r="G106" s="148"/>
      <c r="H106" s="148"/>
      <c r="I106" s="148"/>
    </row>
    <row r="107" spans="1:9" x14ac:dyDescent="0.2">
      <c r="A107" s="439"/>
      <c r="B107" s="148"/>
      <c r="C107" s="148"/>
      <c r="D107" s="148"/>
      <c r="E107" s="148"/>
      <c r="F107" s="148"/>
      <c r="G107" s="148"/>
      <c r="H107" s="148"/>
      <c r="I107" s="148"/>
    </row>
    <row r="108" spans="1:9" x14ac:dyDescent="0.2">
      <c r="A108" s="439"/>
      <c r="B108" s="148"/>
      <c r="C108" s="148"/>
      <c r="D108" s="148"/>
      <c r="E108" s="148"/>
      <c r="F108" s="148"/>
      <c r="G108" s="148"/>
      <c r="H108" s="148"/>
      <c r="I108" s="148"/>
    </row>
    <row r="109" spans="1:9" x14ac:dyDescent="0.2">
      <c r="A109" s="439"/>
      <c r="B109" s="148"/>
      <c r="C109" s="148"/>
      <c r="D109" s="148"/>
      <c r="E109" s="148"/>
      <c r="F109" s="148"/>
      <c r="G109" s="148"/>
      <c r="H109" s="148"/>
      <c r="I109" s="148"/>
    </row>
    <row r="110" spans="1:9" x14ac:dyDescent="0.2">
      <c r="A110" s="439"/>
      <c r="B110" s="148"/>
      <c r="C110" s="148"/>
      <c r="D110" s="148"/>
      <c r="E110" s="148"/>
      <c r="F110" s="148"/>
      <c r="G110" s="148"/>
      <c r="H110" s="148"/>
      <c r="I110" s="148"/>
    </row>
    <row r="111" spans="1:9" x14ac:dyDescent="0.2">
      <c r="A111" s="439"/>
      <c r="B111" s="148"/>
      <c r="C111" s="148"/>
      <c r="D111" s="148"/>
      <c r="E111" s="148"/>
      <c r="F111" s="148"/>
      <c r="G111" s="148"/>
      <c r="H111" s="148"/>
      <c r="I111" s="148"/>
    </row>
    <row r="112" spans="1:9" x14ac:dyDescent="0.2">
      <c r="A112" s="439"/>
      <c r="B112" s="148"/>
      <c r="C112" s="148"/>
      <c r="D112" s="148"/>
      <c r="E112" s="148"/>
      <c r="F112" s="148"/>
      <c r="G112" s="148"/>
      <c r="H112" s="148"/>
      <c r="I112" s="148"/>
    </row>
    <row r="113" spans="1:9" x14ac:dyDescent="0.2">
      <c r="A113" s="439"/>
      <c r="B113" s="148"/>
      <c r="C113" s="148"/>
      <c r="D113" s="148"/>
      <c r="E113" s="148"/>
      <c r="F113" s="148"/>
      <c r="G113" s="148"/>
      <c r="H113" s="148"/>
      <c r="I113" s="148"/>
    </row>
    <row r="114" spans="1:9" x14ac:dyDescent="0.2">
      <c r="A114" s="439"/>
      <c r="B114" s="148"/>
      <c r="C114" s="148"/>
      <c r="D114" s="148"/>
      <c r="E114" s="148"/>
      <c r="F114" s="148"/>
      <c r="G114" s="148"/>
      <c r="H114" s="148"/>
      <c r="I114" s="148"/>
    </row>
    <row r="115" spans="1:9" x14ac:dyDescent="0.2">
      <c r="A115" s="439"/>
      <c r="B115" s="148"/>
      <c r="C115" s="148"/>
      <c r="D115" s="148"/>
      <c r="E115" s="148"/>
      <c r="F115" s="148"/>
      <c r="G115" s="148"/>
      <c r="H115" s="148"/>
      <c r="I115" s="148"/>
    </row>
    <row r="116" spans="1:9" x14ac:dyDescent="0.2">
      <c r="A116" s="439"/>
      <c r="B116" s="148"/>
      <c r="C116" s="148"/>
      <c r="D116" s="148"/>
      <c r="E116" s="148"/>
      <c r="F116" s="148"/>
      <c r="G116" s="148"/>
      <c r="H116" s="148"/>
      <c r="I116" s="148"/>
    </row>
    <row r="117" spans="1:9" x14ac:dyDescent="0.2">
      <c r="A117" s="439"/>
      <c r="B117" s="148"/>
      <c r="C117" s="148"/>
      <c r="D117" s="148"/>
      <c r="E117" s="148"/>
      <c r="F117" s="148"/>
      <c r="G117" s="148"/>
      <c r="H117" s="148"/>
      <c r="I117" s="148"/>
    </row>
    <row r="118" spans="1:9" x14ac:dyDescent="0.2">
      <c r="A118" s="439"/>
      <c r="B118" s="148"/>
      <c r="C118" s="148"/>
      <c r="D118" s="148"/>
      <c r="E118" s="148"/>
      <c r="F118" s="148"/>
      <c r="G118" s="148"/>
      <c r="H118" s="148"/>
      <c r="I118" s="148"/>
    </row>
    <row r="119" spans="1:9" x14ac:dyDescent="0.2">
      <c r="A119" s="439"/>
      <c r="B119" s="148"/>
      <c r="C119" s="148"/>
      <c r="D119" s="148"/>
      <c r="E119" s="148"/>
      <c r="F119" s="148"/>
      <c r="G119" s="148"/>
      <c r="H119" s="148"/>
      <c r="I119" s="148"/>
    </row>
    <row r="120" spans="1:9" x14ac:dyDescent="0.2">
      <c r="A120" s="439"/>
      <c r="B120" s="148"/>
      <c r="C120" s="148"/>
      <c r="D120" s="148"/>
      <c r="E120" s="148"/>
      <c r="F120" s="148"/>
      <c r="G120" s="148"/>
      <c r="H120" s="148"/>
      <c r="I120" s="148"/>
    </row>
    <row r="121" spans="1:9" x14ac:dyDescent="0.2">
      <c r="A121" s="439"/>
      <c r="B121" s="148"/>
      <c r="C121" s="148"/>
      <c r="D121" s="148"/>
      <c r="E121" s="148"/>
      <c r="F121" s="148"/>
      <c r="G121" s="148"/>
      <c r="H121" s="148"/>
      <c r="I121" s="148"/>
    </row>
    <row r="122" spans="1:9" x14ac:dyDescent="0.2">
      <c r="A122" s="439"/>
      <c r="B122" s="148"/>
      <c r="C122" s="148"/>
      <c r="D122" s="148"/>
      <c r="E122" s="148"/>
      <c r="F122" s="148"/>
      <c r="G122" s="148"/>
      <c r="H122" s="148"/>
      <c r="I122" s="148"/>
    </row>
    <row r="123" spans="1:9" x14ac:dyDescent="0.2">
      <c r="A123" s="439"/>
      <c r="B123" s="148"/>
      <c r="C123" s="148"/>
      <c r="D123" s="148"/>
      <c r="E123" s="148"/>
      <c r="F123" s="148"/>
      <c r="G123" s="148"/>
      <c r="H123" s="148"/>
      <c r="I123" s="148"/>
    </row>
    <row r="124" spans="1:9" x14ac:dyDescent="0.2">
      <c r="A124" s="439"/>
      <c r="B124" s="148"/>
      <c r="C124" s="148"/>
      <c r="D124" s="148"/>
      <c r="E124" s="148"/>
      <c r="F124" s="148"/>
      <c r="G124" s="148"/>
      <c r="H124" s="148"/>
      <c r="I124" s="148"/>
    </row>
    <row r="125" spans="1:9" x14ac:dyDescent="0.2">
      <c r="A125" s="439"/>
      <c r="B125" s="148"/>
      <c r="C125" s="148"/>
      <c r="D125" s="148"/>
      <c r="E125" s="148"/>
      <c r="F125" s="148"/>
      <c r="G125" s="148"/>
      <c r="H125" s="148"/>
      <c r="I125" s="148"/>
    </row>
    <row r="126" spans="1:9" x14ac:dyDescent="0.2">
      <c r="A126" s="439"/>
      <c r="B126" s="148"/>
      <c r="C126" s="148"/>
      <c r="D126" s="148"/>
      <c r="E126" s="148"/>
      <c r="F126" s="148"/>
      <c r="G126" s="148"/>
      <c r="H126" s="148"/>
      <c r="I126" s="148"/>
    </row>
    <row r="127" spans="1:9" x14ac:dyDescent="0.2">
      <c r="A127" s="439"/>
      <c r="B127" s="148"/>
      <c r="C127" s="148"/>
      <c r="D127" s="148"/>
      <c r="E127" s="148"/>
      <c r="F127" s="148"/>
      <c r="G127" s="148"/>
      <c r="H127" s="148"/>
      <c r="I127" s="148"/>
    </row>
    <row r="128" spans="1:9" x14ac:dyDescent="0.2">
      <c r="A128" s="439"/>
      <c r="B128" s="148"/>
      <c r="C128" s="148"/>
      <c r="D128" s="148"/>
      <c r="E128" s="148"/>
      <c r="F128" s="148"/>
      <c r="G128" s="148"/>
      <c r="H128" s="148"/>
      <c r="I128" s="148"/>
    </row>
    <row r="129" spans="1:35" ht="12.75" x14ac:dyDescent="0.2">
      <c r="A129" s="439"/>
      <c r="B129" s="148"/>
      <c r="C129" s="148"/>
      <c r="I129" s="148"/>
      <c r="AI129" s="213" t="s">
        <v>309</v>
      </c>
    </row>
    <row r="130" spans="1:35" ht="12.75" hidden="1" x14ac:dyDescent="0.2">
      <c r="B130" s="22" t="s">
        <v>308</v>
      </c>
      <c r="D130" s="443" t="s">
        <v>90</v>
      </c>
      <c r="E130" s="443" t="s">
        <v>391</v>
      </c>
      <c r="F130" s="443" t="s">
        <v>314</v>
      </c>
      <c r="G130" s="443" t="s">
        <v>315</v>
      </c>
      <c r="H130" s="443" t="s">
        <v>393</v>
      </c>
      <c r="I130" s="443" t="s">
        <v>84</v>
      </c>
      <c r="J130" s="443" t="s">
        <v>316</v>
      </c>
      <c r="K130" s="443" t="s">
        <v>317</v>
      </c>
      <c r="L130" s="443" t="s">
        <v>589</v>
      </c>
      <c r="M130" s="443" t="s">
        <v>318</v>
      </c>
      <c r="N130" s="443" t="s">
        <v>319</v>
      </c>
      <c r="O130" s="443" t="s">
        <v>100</v>
      </c>
      <c r="P130" s="443" t="s">
        <v>590</v>
      </c>
      <c r="Q130" s="443" t="s">
        <v>591</v>
      </c>
      <c r="R130" s="443" t="s">
        <v>320</v>
      </c>
      <c r="S130" s="443" t="s">
        <v>321</v>
      </c>
      <c r="T130" s="443" t="s">
        <v>323</v>
      </c>
      <c r="U130" s="443" t="s">
        <v>88</v>
      </c>
      <c r="V130" s="443" t="s">
        <v>322</v>
      </c>
      <c r="W130" s="443" t="s">
        <v>592</v>
      </c>
      <c r="X130" s="443" t="s">
        <v>89</v>
      </c>
      <c r="Y130" s="443" t="s">
        <v>324</v>
      </c>
      <c r="Z130" s="443" t="s">
        <v>325</v>
      </c>
      <c r="AA130" s="443" t="s">
        <v>326</v>
      </c>
      <c r="AB130" s="443" t="s">
        <v>476</v>
      </c>
      <c r="AC130" s="443" t="s">
        <v>102</v>
      </c>
      <c r="AI130" s="1" t="s">
        <v>110</v>
      </c>
    </row>
  </sheetData>
  <sheetProtection algorithmName="SHA-512" hashValue="sCuKKi5THFdBkHlxNZQznKRTd8l+dwV4fDYqLlbIy0cRYsmeeBD90Bdx5Gx/VzwZR66PvIH1odfZxAyRigZMzA==" saltValue="VcMYjzbabEP6Mf4S3/G5pg==" spinCount="100000" sheet="1" objects="1" scenarios="1"/>
  <mergeCells count="17">
    <mergeCell ref="U5:U6"/>
    <mergeCell ref="D5:D6"/>
    <mergeCell ref="E5:E6"/>
    <mergeCell ref="F5:F6"/>
    <mergeCell ref="G5:G6"/>
    <mergeCell ref="H5:H6"/>
    <mergeCell ref="I5:I6"/>
    <mergeCell ref="J5:J6"/>
    <mergeCell ref="M5:M6"/>
    <mergeCell ref="N5:N6"/>
    <mergeCell ref="O5:O6"/>
    <mergeCell ref="R5:R6"/>
    <mergeCell ref="X5:X6"/>
    <mergeCell ref="AA5:AA6"/>
    <mergeCell ref="AB5:AB6"/>
    <mergeCell ref="AC5:AC6"/>
    <mergeCell ref="AE5:AE6"/>
  </mergeCells>
  <phoneticPr fontId="6" type="noConversion"/>
  <conditionalFormatting sqref="D9:E14 F12:F13 D16:E16 D17:F17 D23:G23 D21:L21 R21:AB21 D26:E26 D27:AB27 I23:AB23 D24:S24 X24:AB24">
    <cfRule type="cellIs" dxfId="246" priority="13" stopIfTrue="1" operator="notEqual">
      <formula>0</formula>
    </cfRule>
  </conditionalFormatting>
  <conditionalFormatting sqref="D8:AC14 D16:AC16 D18:AC18 D20:AC27">
    <cfRule type="cellIs" dxfId="245" priority="14" stopIfTrue="1" operator="lessThan">
      <formula>0</formula>
    </cfRule>
  </conditionalFormatting>
  <conditionalFormatting sqref="D19:E19">
    <cfRule type="cellIs" dxfId="244" priority="41" stopIfTrue="1" operator="notEqual">
      <formula>0</formula>
    </cfRule>
  </conditionalFormatting>
  <conditionalFormatting sqref="AC27">
    <cfRule type="cellIs" dxfId="243" priority="12" stopIfTrue="1" operator="notEqual">
      <formula>$AC$20-$AC$26</formula>
    </cfRule>
  </conditionalFormatting>
  <conditionalFormatting sqref="AC8 AC15 AC18:AC20 AC22 AC25">
    <cfRule type="cellIs" dxfId="242" priority="11" stopIfTrue="1" operator="notEqual">
      <formula>SUM(D8:J8,M8:O8,R8,U8,X8,AA8:AB8)</formula>
    </cfRule>
  </conditionalFormatting>
  <conditionalFormatting sqref="U8:U20 U22 U24:U26">
    <cfRule type="expression" dxfId="241" priority="21" stopIfTrue="1">
      <formula>OR(AND(OR(S8&lt;&gt;0,T8&lt;&gt;0),U8&lt;&gt;S8+T8),AND(OR(V8&lt;&gt;0,W8&lt;&gt;0),U8&lt;&gt;V8+W8))</formula>
    </cfRule>
    <cfRule type="expression" dxfId="240" priority="37" stopIfTrue="1">
      <formula>OR(AND(S8+T8=0,U8&lt;&gt;0),AND(V8+W8=0,U8&lt;&gt;0))</formula>
    </cfRule>
  </conditionalFormatting>
  <conditionalFormatting sqref="X8:X20 X22 X25:X26">
    <cfRule type="expression" dxfId="239" priority="19" stopIfTrue="1">
      <formula>AND(Y8+Z8=0,X8&lt;&gt;0)</formula>
    </cfRule>
    <cfRule type="cellIs" dxfId="238" priority="20" stopIfTrue="1" operator="notEqual">
      <formula>Y8+Z8</formula>
    </cfRule>
  </conditionalFormatting>
  <conditionalFormatting sqref="O8:O22 O25:O26">
    <cfRule type="expression" dxfId="237" priority="17" stopIfTrue="1">
      <formula>AND(P8+Q8=0,O8&lt;&gt;0)</formula>
    </cfRule>
    <cfRule type="cellIs" dxfId="236" priority="18" stopIfTrue="1" operator="notEqual">
      <formula>P8+Q8</formula>
    </cfRule>
  </conditionalFormatting>
  <conditionalFormatting sqref="J8:J20 J22 J25:J26">
    <cfRule type="expression" dxfId="235" priority="15" stopIfTrue="1">
      <formula>AND(K8+L8=0,J8&lt;&gt;0)</formula>
    </cfRule>
    <cfRule type="cellIs" dxfId="234" priority="16" stopIfTrue="1" operator="notEqual">
      <formula>K8+L8</formula>
    </cfRule>
  </conditionalFormatting>
  <conditionalFormatting sqref="G18:AB18">
    <cfRule type="cellIs" dxfId="233" priority="9" stopIfTrue="1" operator="notEqual">
      <formula>SUM(G8:G10,G12,G15)-SUM(G11,G13:G14,G16:G17)</formula>
    </cfRule>
  </conditionalFormatting>
  <conditionalFormatting sqref="D19:AB19">
    <cfRule type="cellIs" dxfId="232" priority="10" stopIfTrue="1" operator="notEqual">
      <formula>D18-D20</formula>
    </cfRule>
  </conditionalFormatting>
  <conditionalFormatting sqref="D18:E18">
    <cfRule type="cellIs" dxfId="231" priority="8" stopIfTrue="1" operator="notEqual">
      <formula>D8+D15</formula>
    </cfRule>
  </conditionalFormatting>
  <conditionalFormatting sqref="F18">
    <cfRule type="cellIs" dxfId="230" priority="7" stopIfTrue="1" operator="notEqual">
      <formula>SUM(F8:F10,F15)-SUM(F11,F14,F16)</formula>
    </cfRule>
  </conditionalFormatting>
  <conditionalFormatting sqref="AC9:AC11 AC14 AC16 AC26">
    <cfRule type="cellIs" dxfId="229" priority="6" stopIfTrue="1" operator="notEqual">
      <formula>SUM(F9:J9,M9:O9,R9,U9,X9,AA9:AB9)</formula>
    </cfRule>
  </conditionalFormatting>
  <conditionalFormatting sqref="AC12:AC13 AC17">
    <cfRule type="cellIs" dxfId="228" priority="5" stopIfTrue="1" operator="notEqual">
      <formula>SUM(F12:J12,M12:O12,R12,U12,X12,AA12:AB12)</formula>
    </cfRule>
  </conditionalFormatting>
  <conditionalFormatting sqref="AC21">
    <cfRule type="cellIs" dxfId="227" priority="4" stopIfTrue="1" operator="notEqual">
      <formula>SUM(M21:O21)</formula>
    </cfRule>
  </conditionalFormatting>
  <conditionalFormatting sqref="AC23">
    <cfRule type="cellIs" dxfId="226" priority="3" stopIfTrue="1" operator="notEqual">
      <formula>H23</formula>
    </cfRule>
  </conditionalFormatting>
  <conditionalFormatting sqref="AC24">
    <cfRule type="cellIs" dxfId="225" priority="2" stopIfTrue="1" operator="notEqual">
      <formula>U24</formula>
    </cfRule>
  </conditionalFormatting>
  <conditionalFormatting sqref="I32:I44">
    <cfRule type="cellIs" dxfId="224" priority="98" stopIfTrue="1" operator="notEqual">
      <formula>"OK"</formula>
    </cfRule>
  </conditionalFormatting>
  <printOptions horizontalCentered="1"/>
  <pageMargins left="0.39370078740157483" right="0.39370078740157483" top="0.98425196850393704" bottom="0.98425196850393704" header="0.31496062992125984" footer="0.31496062992125984"/>
  <pageSetup paperSize="9" scale="48" firstPageNumber="2" orientation="landscape" r:id="rId1"/>
  <headerFooter alignWithMargins="0">
    <oddHeader>&amp;A</oddHeader>
    <oddFooter>&amp;L&amp;F&amp;CPage &amp;P&amp;R&amp;D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tabColor indexed="43"/>
    <pageSetUpPr fitToPage="1"/>
  </sheetPr>
  <dimension ref="A1:AS130"/>
  <sheetViews>
    <sheetView zoomScaleNormal="100" workbookViewId="0">
      <pane xSplit="3" ySplit="7" topLeftCell="D8" activePane="bottomRight" state="frozen"/>
      <selection pane="topRight"/>
      <selection pane="bottomLeft"/>
      <selection pane="bottomRight" activeCell="D8" sqref="D8"/>
    </sheetView>
  </sheetViews>
  <sheetFormatPr defaultRowHeight="12.75" x14ac:dyDescent="0.2"/>
  <cols>
    <col min="1" max="1" width="36.5703125" style="130" customWidth="1"/>
    <col min="2" max="2" width="11.140625" style="130" customWidth="1"/>
    <col min="3" max="3" width="3.5703125" style="130" customWidth="1"/>
    <col min="4" max="34" width="9.28515625" style="130" customWidth="1"/>
    <col min="35" max="35" width="2.42578125" style="130" bestFit="1" customWidth="1"/>
    <col min="36" max="36" width="76.140625" style="130" customWidth="1"/>
    <col min="37" max="37" width="10.85546875" style="130" bestFit="1" customWidth="1"/>
    <col min="38" max="44" width="9.140625" style="130"/>
    <col min="45" max="45" width="10.85546875" style="130" hidden="1" customWidth="1"/>
    <col min="46" max="16384" width="9.140625" style="130"/>
  </cols>
  <sheetData>
    <row r="1" spans="1:45" x14ac:dyDescent="0.2">
      <c r="A1" s="388" t="s">
        <v>479</v>
      </c>
    </row>
    <row r="2" spans="1:45" x14ac:dyDescent="0.2">
      <c r="A2" s="166" t="str">
        <f>IF(MOS_Table_1!D2=0,"",MOS_Table_1!D2)</f>
        <v>Netherlands</v>
      </c>
      <c r="AB2" s="444"/>
      <c r="AC2" s="445"/>
      <c r="AD2" s="445"/>
    </row>
    <row r="3" spans="1:45" x14ac:dyDescent="0.2">
      <c r="A3" s="166" t="str">
        <f>IF(MOS_Table_1!D3=0,"",MOS_Table_1!D3)</f>
        <v>April 2026</v>
      </c>
      <c r="I3" s="212"/>
      <c r="AB3" s="444"/>
      <c r="AC3" s="445"/>
      <c r="AD3" s="445"/>
      <c r="AS3" s="440" t="s">
        <v>309</v>
      </c>
    </row>
    <row r="4" spans="1:45" x14ac:dyDescent="0.2">
      <c r="A4" s="132" t="s">
        <v>465</v>
      </c>
      <c r="D4" s="446"/>
      <c r="E4" s="447" t="s">
        <v>466</v>
      </c>
      <c r="F4" s="446"/>
      <c r="G4" s="446"/>
      <c r="H4" s="446"/>
      <c r="I4" s="446"/>
      <c r="J4" s="446"/>
      <c r="K4" s="446"/>
      <c r="L4" s="446"/>
      <c r="M4" s="446"/>
      <c r="N4" s="446"/>
      <c r="O4" s="446"/>
      <c r="P4" s="446"/>
      <c r="Q4" s="446"/>
      <c r="R4" s="446"/>
      <c r="S4" s="446"/>
      <c r="T4" s="446"/>
      <c r="U4" s="446"/>
      <c r="V4" s="446"/>
      <c r="W4" s="446"/>
      <c r="X4" s="446"/>
      <c r="Y4" s="446"/>
      <c r="Z4" s="446"/>
      <c r="AA4" s="446"/>
      <c r="AB4" s="446"/>
      <c r="AC4" s="446"/>
      <c r="AE4" s="167"/>
      <c r="AF4" s="167"/>
      <c r="AH4" s="167" t="str">
        <f>IF(CountryUser="United States (Barrels)","Unit: Thousand barrels","Unit: Thousand metric tons")</f>
        <v>Unit: Thousand metric tons</v>
      </c>
      <c r="AS4" s="448" t="s">
        <v>110</v>
      </c>
    </row>
    <row r="5" spans="1:45" s="444" customFormat="1" ht="12.75" customHeight="1" x14ac:dyDescent="0.2">
      <c r="A5" s="449"/>
      <c r="B5" s="134"/>
      <c r="C5" s="450"/>
      <c r="D5" s="825" t="s">
        <v>535</v>
      </c>
      <c r="E5" s="825" t="s">
        <v>536</v>
      </c>
      <c r="F5" s="825" t="s">
        <v>520</v>
      </c>
      <c r="G5" s="827" t="s">
        <v>521</v>
      </c>
      <c r="H5" s="451"/>
      <c r="I5" s="848" t="s">
        <v>595</v>
      </c>
      <c r="J5" s="822" t="s">
        <v>524</v>
      </c>
      <c r="K5" s="842" t="s">
        <v>449</v>
      </c>
      <c r="L5" s="833" t="s">
        <v>393</v>
      </c>
      <c r="M5" s="840" t="s">
        <v>394</v>
      </c>
      <c r="N5" s="829" t="s">
        <v>538</v>
      </c>
      <c r="O5" s="395"/>
      <c r="P5" s="400"/>
      <c r="Q5" s="842" t="s">
        <v>539</v>
      </c>
      <c r="R5" s="833" t="s">
        <v>540</v>
      </c>
      <c r="S5" s="844" t="s">
        <v>541</v>
      </c>
      <c r="T5" s="397"/>
      <c r="U5" s="398"/>
      <c r="V5" s="840" t="s">
        <v>542</v>
      </c>
      <c r="W5" s="399"/>
      <c r="X5" s="400"/>
      <c r="Y5" s="838" t="s">
        <v>543</v>
      </c>
      <c r="Z5" s="400"/>
      <c r="AA5" s="400"/>
      <c r="AB5" s="829" t="s">
        <v>544</v>
      </c>
      <c r="AC5" s="400"/>
      <c r="AD5" s="400"/>
      <c r="AE5" s="842" t="s">
        <v>545</v>
      </c>
      <c r="AF5" s="848" t="s">
        <v>546</v>
      </c>
      <c r="AG5" s="835" t="s">
        <v>547</v>
      </c>
      <c r="AH5" s="835" t="s">
        <v>596</v>
      </c>
      <c r="AI5" s="130"/>
      <c r="AJ5" s="846" t="s">
        <v>548</v>
      </c>
    </row>
    <row r="6" spans="1:45" s="444" customFormat="1" ht="45" x14ac:dyDescent="0.2">
      <c r="A6" s="452"/>
      <c r="B6" s="453"/>
      <c r="C6" s="144"/>
      <c r="D6" s="826"/>
      <c r="E6" s="826"/>
      <c r="F6" s="826"/>
      <c r="G6" s="850"/>
      <c r="H6" s="140" t="s">
        <v>522</v>
      </c>
      <c r="I6" s="849"/>
      <c r="J6" s="823"/>
      <c r="K6" s="843"/>
      <c r="L6" s="834"/>
      <c r="M6" s="841"/>
      <c r="N6" s="830"/>
      <c r="O6" s="403" t="s">
        <v>549</v>
      </c>
      <c r="P6" s="454" t="s">
        <v>550</v>
      </c>
      <c r="Q6" s="843"/>
      <c r="R6" s="834"/>
      <c r="S6" s="845"/>
      <c r="T6" s="405" t="s">
        <v>551</v>
      </c>
      <c r="U6" s="406" t="s">
        <v>552</v>
      </c>
      <c r="V6" s="841"/>
      <c r="W6" s="407" t="s">
        <v>553</v>
      </c>
      <c r="X6" s="408" t="s">
        <v>554</v>
      </c>
      <c r="Y6" s="839"/>
      <c r="Z6" s="403" t="s">
        <v>555</v>
      </c>
      <c r="AA6" s="405" t="s">
        <v>556</v>
      </c>
      <c r="AB6" s="830"/>
      <c r="AC6" s="406" t="s">
        <v>557</v>
      </c>
      <c r="AD6" s="409" t="s">
        <v>558</v>
      </c>
      <c r="AE6" s="843"/>
      <c r="AF6" s="849"/>
      <c r="AG6" s="836"/>
      <c r="AH6" s="836"/>
      <c r="AJ6" s="847"/>
    </row>
    <row r="7" spans="1:45" s="444" customFormat="1" x14ac:dyDescent="0.2">
      <c r="A7" s="455"/>
      <c r="B7" s="137"/>
      <c r="C7" s="456"/>
      <c r="D7" s="173" t="s">
        <v>265</v>
      </c>
      <c r="E7" s="171" t="s">
        <v>266</v>
      </c>
      <c r="F7" s="171" t="s">
        <v>267</v>
      </c>
      <c r="G7" s="206" t="s">
        <v>268</v>
      </c>
      <c r="H7" s="457" t="s">
        <v>269</v>
      </c>
      <c r="I7" s="457" t="s">
        <v>270</v>
      </c>
      <c r="J7" s="458" t="s">
        <v>271</v>
      </c>
      <c r="K7" s="173" t="s">
        <v>450</v>
      </c>
      <c r="L7" s="173" t="s">
        <v>451</v>
      </c>
      <c r="M7" s="207" t="s">
        <v>452</v>
      </c>
      <c r="N7" s="459" t="s">
        <v>453</v>
      </c>
      <c r="O7" s="457" t="s">
        <v>454</v>
      </c>
      <c r="P7" s="460" t="s">
        <v>455</v>
      </c>
      <c r="Q7" s="461" t="s">
        <v>456</v>
      </c>
      <c r="R7" s="462" t="s">
        <v>457</v>
      </c>
      <c r="S7" s="463" t="s">
        <v>458</v>
      </c>
      <c r="T7" s="457" t="s">
        <v>459</v>
      </c>
      <c r="U7" s="171" t="s">
        <v>460</v>
      </c>
      <c r="V7" s="208" t="s">
        <v>461</v>
      </c>
      <c r="W7" s="173" t="s">
        <v>462</v>
      </c>
      <c r="X7" s="206" t="s">
        <v>463</v>
      </c>
      <c r="Y7" s="415" t="s">
        <v>464</v>
      </c>
      <c r="Z7" s="464" t="s">
        <v>467</v>
      </c>
      <c r="AA7" s="460" t="s">
        <v>468</v>
      </c>
      <c r="AB7" s="459" t="s">
        <v>469</v>
      </c>
      <c r="AC7" s="464" t="s">
        <v>470</v>
      </c>
      <c r="AD7" s="460" t="s">
        <v>471</v>
      </c>
      <c r="AE7" s="465" t="s">
        <v>370</v>
      </c>
      <c r="AF7" s="460" t="s">
        <v>597</v>
      </c>
      <c r="AG7" s="209" t="s">
        <v>598</v>
      </c>
      <c r="AH7" s="209" t="s">
        <v>599</v>
      </c>
      <c r="AJ7" s="209" t="s">
        <v>600</v>
      </c>
      <c r="AL7" s="440"/>
      <c r="AS7" s="440" t="s">
        <v>608</v>
      </c>
    </row>
    <row r="8" spans="1:45" ht="15" customHeight="1" x14ac:dyDescent="0.2">
      <c r="A8" s="466" t="s">
        <v>472</v>
      </c>
      <c r="B8" s="467" t="s">
        <v>473</v>
      </c>
      <c r="C8" s="468">
        <v>1</v>
      </c>
      <c r="D8" s="469">
        <f>D10+D12+D14+D16+D18+D20+D22+D24</f>
        <v>3911</v>
      </c>
      <c r="E8" s="469">
        <f t="shared" ref="E8:K9" si="0">E10+E12+E14+E16+E18+E20+E22+E24</f>
        <v>338</v>
      </c>
      <c r="F8" s="469">
        <f t="shared" si="0"/>
        <v>0</v>
      </c>
      <c r="G8" s="469">
        <f>G10+G12+G14+G16+G18+G20+G22+G24</f>
        <v>1441</v>
      </c>
      <c r="H8" s="469">
        <f>H10+H12+H14+H16+H18+H20+H22+H24</f>
        <v>961</v>
      </c>
      <c r="I8" s="469">
        <f t="shared" si="0"/>
        <v>0</v>
      </c>
      <c r="J8" s="470">
        <f>J10+J12+J14+J16+J18+J20+J22+J24</f>
        <v>5690</v>
      </c>
      <c r="K8" s="471">
        <f t="shared" si="0"/>
        <v>0</v>
      </c>
      <c r="L8" s="471">
        <f>L10+L12+L14+L16+L18+L20+L22+L24</f>
        <v>60</v>
      </c>
      <c r="M8" s="472">
        <f t="shared" ref="M8:AF9" si="1">M10+M12+M14+M16+M18+M20+M22+M24</f>
        <v>1802</v>
      </c>
      <c r="N8" s="473">
        <f t="shared" si="1"/>
        <v>1066</v>
      </c>
      <c r="O8" s="474">
        <f t="shared" si="1"/>
        <v>0</v>
      </c>
      <c r="P8" s="470">
        <f t="shared" si="1"/>
        <v>1066</v>
      </c>
      <c r="Q8" s="471">
        <f t="shared" si="1"/>
        <v>7</v>
      </c>
      <c r="R8" s="469">
        <f t="shared" si="1"/>
        <v>0</v>
      </c>
      <c r="S8" s="475">
        <f t="shared" si="1"/>
        <v>616</v>
      </c>
      <c r="T8" s="469">
        <f t="shared" si="1"/>
        <v>0</v>
      </c>
      <c r="U8" s="469">
        <f t="shared" si="1"/>
        <v>616</v>
      </c>
      <c r="V8" s="470">
        <f t="shared" si="1"/>
        <v>65</v>
      </c>
      <c r="W8" s="471">
        <f t="shared" si="1"/>
        <v>2878</v>
      </c>
      <c r="X8" s="469">
        <f t="shared" si="1"/>
        <v>374</v>
      </c>
      <c r="Y8" s="476">
        <f t="shared" si="1"/>
        <v>3252</v>
      </c>
      <c r="Z8" s="469">
        <f t="shared" si="1"/>
        <v>0</v>
      </c>
      <c r="AA8" s="470">
        <f t="shared" si="1"/>
        <v>3252</v>
      </c>
      <c r="AB8" s="473">
        <f t="shared" si="1"/>
        <v>2426</v>
      </c>
      <c r="AC8" s="477">
        <f t="shared" si="1"/>
        <v>1591</v>
      </c>
      <c r="AD8" s="478">
        <f t="shared" si="1"/>
        <v>835</v>
      </c>
      <c r="AE8" s="479">
        <f t="shared" si="1"/>
        <v>26</v>
      </c>
      <c r="AF8" s="479">
        <f t="shared" si="1"/>
        <v>686</v>
      </c>
      <c r="AG8" s="477">
        <f>SUM(K8:N8,Q8:S8,V8,Y8,AB8,AE8:AF8)</f>
        <v>10006</v>
      </c>
      <c r="AH8" s="477">
        <f>SUM(J8,AG8)</f>
        <v>15696</v>
      </c>
      <c r="AI8" s="480">
        <v>0</v>
      </c>
      <c r="AJ8" s="481" t="s">
        <v>593</v>
      </c>
      <c r="AS8" s="215" t="s">
        <v>337</v>
      </c>
    </row>
    <row r="9" spans="1:45" ht="15" customHeight="1" x14ac:dyDescent="0.2">
      <c r="A9" s="482" t="s">
        <v>601</v>
      </c>
      <c r="B9" s="483" t="s">
        <v>474</v>
      </c>
      <c r="C9" s="484">
        <v>2</v>
      </c>
      <c r="D9" s="469">
        <f>D11+D13+D15+D17+D19+D21+D23+D25</f>
        <v>4291</v>
      </c>
      <c r="E9" s="469">
        <f t="shared" si="0"/>
        <v>533</v>
      </c>
      <c r="F9" s="469">
        <f t="shared" si="0"/>
        <v>0</v>
      </c>
      <c r="G9" s="469">
        <f>G11+G13+G15+G17+G19+G21+G23+G25</f>
        <v>1419</v>
      </c>
      <c r="H9" s="469">
        <f>H11+H13+H15+H17+H19+H21+H23+H25</f>
        <v>957</v>
      </c>
      <c r="I9" s="469">
        <f t="shared" si="0"/>
        <v>0</v>
      </c>
      <c r="J9" s="470">
        <f t="shared" si="0"/>
        <v>6243</v>
      </c>
      <c r="K9" s="471">
        <f t="shared" si="0"/>
        <v>0</v>
      </c>
      <c r="L9" s="471">
        <f>L11+L13+L15+L17+L19+L21+L23+L25</f>
        <v>73</v>
      </c>
      <c r="M9" s="472">
        <f t="shared" si="1"/>
        <v>1621</v>
      </c>
      <c r="N9" s="473">
        <f t="shared" si="1"/>
        <v>959</v>
      </c>
      <c r="O9" s="474">
        <f t="shared" si="1"/>
        <v>0</v>
      </c>
      <c r="P9" s="470">
        <f t="shared" si="1"/>
        <v>959</v>
      </c>
      <c r="Q9" s="471">
        <f t="shared" si="1"/>
        <v>5</v>
      </c>
      <c r="R9" s="469">
        <f t="shared" si="1"/>
        <v>0</v>
      </c>
      <c r="S9" s="475">
        <f t="shared" si="1"/>
        <v>553</v>
      </c>
      <c r="T9" s="469">
        <f t="shared" si="1"/>
        <v>0</v>
      </c>
      <c r="U9" s="469">
        <f t="shared" si="1"/>
        <v>553</v>
      </c>
      <c r="V9" s="470">
        <f t="shared" si="1"/>
        <v>55</v>
      </c>
      <c r="W9" s="471">
        <f t="shared" si="1"/>
        <v>2595</v>
      </c>
      <c r="X9" s="469">
        <f t="shared" si="1"/>
        <v>325</v>
      </c>
      <c r="Y9" s="476">
        <f t="shared" si="1"/>
        <v>2920</v>
      </c>
      <c r="Z9" s="469">
        <f t="shared" si="1"/>
        <v>0</v>
      </c>
      <c r="AA9" s="470">
        <f t="shared" si="1"/>
        <v>2920</v>
      </c>
      <c r="AB9" s="473">
        <f t="shared" si="1"/>
        <v>2177</v>
      </c>
      <c r="AC9" s="477">
        <f t="shared" si="1"/>
        <v>1455</v>
      </c>
      <c r="AD9" s="478">
        <f t="shared" si="1"/>
        <v>722</v>
      </c>
      <c r="AE9" s="479">
        <f t="shared" si="1"/>
        <v>26</v>
      </c>
      <c r="AF9" s="479">
        <f t="shared" si="1"/>
        <v>684</v>
      </c>
      <c r="AG9" s="477">
        <f t="shared" ref="AG9:AG41" si="2">SUM(K9:N9,Q9:S9,V9,Y9,AB9,AE9:AF9)</f>
        <v>9073</v>
      </c>
      <c r="AH9" s="477">
        <f t="shared" ref="AH9:AH41" si="3">SUM(J9,AG9)</f>
        <v>15316</v>
      </c>
      <c r="AI9" s="480">
        <v>0</v>
      </c>
      <c r="AJ9" s="481" t="s">
        <v>593</v>
      </c>
      <c r="AS9" s="215" t="s">
        <v>109</v>
      </c>
    </row>
    <row r="10" spans="1:45" ht="15" customHeight="1" x14ac:dyDescent="0.2">
      <c r="A10" s="485" t="s">
        <v>475</v>
      </c>
      <c r="B10" s="486" t="s">
        <v>473</v>
      </c>
      <c r="C10" s="487">
        <v>3</v>
      </c>
      <c r="D10" s="488">
        <v>1688</v>
      </c>
      <c r="E10" s="488"/>
      <c r="F10" s="488"/>
      <c r="G10" s="489"/>
      <c r="H10" s="488"/>
      <c r="I10" s="488"/>
      <c r="J10" s="478">
        <f>SUM(D10:G10,I10)</f>
        <v>1688</v>
      </c>
      <c r="K10" s="490"/>
      <c r="L10" s="490"/>
      <c r="M10" s="488"/>
      <c r="N10" s="491">
        <v>398</v>
      </c>
      <c r="O10" s="490"/>
      <c r="P10" s="492">
        <v>398</v>
      </c>
      <c r="Q10" s="490"/>
      <c r="R10" s="490"/>
      <c r="S10" s="493">
        <v>66</v>
      </c>
      <c r="T10" s="488"/>
      <c r="U10" s="488">
        <v>66</v>
      </c>
      <c r="V10" s="494"/>
      <c r="W10" s="490">
        <v>353</v>
      </c>
      <c r="X10" s="489"/>
      <c r="Y10" s="495">
        <v>353</v>
      </c>
      <c r="Z10" s="488"/>
      <c r="AA10" s="492">
        <v>353</v>
      </c>
      <c r="AB10" s="491">
        <v>523</v>
      </c>
      <c r="AC10" s="496">
        <v>118</v>
      </c>
      <c r="AD10" s="492">
        <v>405</v>
      </c>
      <c r="AE10" s="497">
        <v>160</v>
      </c>
      <c r="AF10" s="497">
        <v>277</v>
      </c>
      <c r="AG10" s="477">
        <f t="shared" si="2"/>
        <v>1777</v>
      </c>
      <c r="AH10" s="477">
        <f t="shared" si="3"/>
        <v>3465</v>
      </c>
      <c r="AI10" s="480">
        <v>0</v>
      </c>
      <c r="AJ10" s="481" t="s">
        <v>593</v>
      </c>
      <c r="AS10" s="215" t="s">
        <v>338</v>
      </c>
    </row>
    <row r="11" spans="1:45" ht="15" customHeight="1" x14ac:dyDescent="0.2">
      <c r="A11" s="498" t="s">
        <v>602</v>
      </c>
      <c r="B11" s="499" t="s">
        <v>300</v>
      </c>
      <c r="C11" s="500">
        <v>4</v>
      </c>
      <c r="D11" s="488">
        <v>1781</v>
      </c>
      <c r="E11" s="488"/>
      <c r="F11" s="488"/>
      <c r="G11" s="489"/>
      <c r="H11" s="488"/>
      <c r="I11" s="488"/>
      <c r="J11" s="478">
        <f t="shared" ref="J11:J29" si="4">SUM(D11:G11,I11)</f>
        <v>1781</v>
      </c>
      <c r="K11" s="490"/>
      <c r="L11" s="490"/>
      <c r="M11" s="488"/>
      <c r="N11" s="491">
        <v>274</v>
      </c>
      <c r="O11" s="490"/>
      <c r="P11" s="492">
        <v>274</v>
      </c>
      <c r="Q11" s="490"/>
      <c r="R11" s="490"/>
      <c r="S11" s="493">
        <v>80</v>
      </c>
      <c r="T11" s="488"/>
      <c r="U11" s="488">
        <v>80</v>
      </c>
      <c r="V11" s="494"/>
      <c r="W11" s="490">
        <v>336</v>
      </c>
      <c r="X11" s="489"/>
      <c r="Y11" s="495">
        <v>336</v>
      </c>
      <c r="Z11" s="488"/>
      <c r="AA11" s="492">
        <v>336</v>
      </c>
      <c r="AB11" s="491">
        <v>517</v>
      </c>
      <c r="AC11" s="496">
        <v>54</v>
      </c>
      <c r="AD11" s="492">
        <v>463</v>
      </c>
      <c r="AE11" s="497">
        <v>170</v>
      </c>
      <c r="AF11" s="497">
        <v>327</v>
      </c>
      <c r="AG11" s="477">
        <f t="shared" si="2"/>
        <v>1704</v>
      </c>
      <c r="AH11" s="477">
        <f t="shared" si="3"/>
        <v>3485</v>
      </c>
      <c r="AI11" s="480">
        <v>0</v>
      </c>
      <c r="AJ11" s="481" t="s">
        <v>593</v>
      </c>
      <c r="AS11" s="215" t="s">
        <v>339</v>
      </c>
    </row>
    <row r="12" spans="1:45" ht="15" customHeight="1" x14ac:dyDescent="0.2">
      <c r="A12" s="485" t="s">
        <v>276</v>
      </c>
      <c r="B12" s="486" t="s">
        <v>473</v>
      </c>
      <c r="C12" s="487">
        <v>5</v>
      </c>
      <c r="D12" s="488"/>
      <c r="E12" s="488"/>
      <c r="F12" s="488"/>
      <c r="G12" s="489"/>
      <c r="H12" s="488"/>
      <c r="I12" s="488"/>
      <c r="J12" s="478">
        <f t="shared" si="4"/>
        <v>0</v>
      </c>
      <c r="K12" s="490"/>
      <c r="L12" s="490"/>
      <c r="M12" s="488"/>
      <c r="N12" s="491"/>
      <c r="O12" s="490"/>
      <c r="P12" s="492"/>
      <c r="Q12" s="490"/>
      <c r="R12" s="490"/>
      <c r="S12" s="493"/>
      <c r="T12" s="488"/>
      <c r="U12" s="488"/>
      <c r="V12" s="494"/>
      <c r="W12" s="490"/>
      <c r="X12" s="489"/>
      <c r="Y12" s="495"/>
      <c r="Z12" s="488"/>
      <c r="AA12" s="492"/>
      <c r="AB12" s="491"/>
      <c r="AC12" s="496"/>
      <c r="AD12" s="492"/>
      <c r="AE12" s="497"/>
      <c r="AF12" s="497"/>
      <c r="AG12" s="477">
        <f t="shared" si="2"/>
        <v>0</v>
      </c>
      <c r="AH12" s="477">
        <f t="shared" si="3"/>
        <v>0</v>
      </c>
      <c r="AI12" s="480">
        <v>0</v>
      </c>
      <c r="AJ12" s="481" t="s">
        <v>593</v>
      </c>
      <c r="AS12" s="215" t="s">
        <v>340</v>
      </c>
    </row>
    <row r="13" spans="1:45" ht="15" customHeight="1" x14ac:dyDescent="0.2">
      <c r="A13" s="501" t="s">
        <v>277</v>
      </c>
      <c r="B13" s="499" t="s">
        <v>301</v>
      </c>
      <c r="C13" s="500">
        <v>6</v>
      </c>
      <c r="D13" s="488"/>
      <c r="E13" s="488"/>
      <c r="F13" s="488"/>
      <c r="G13" s="489"/>
      <c r="H13" s="488"/>
      <c r="I13" s="488"/>
      <c r="J13" s="478">
        <f t="shared" si="4"/>
        <v>0</v>
      </c>
      <c r="K13" s="490"/>
      <c r="L13" s="490"/>
      <c r="M13" s="488"/>
      <c r="N13" s="491"/>
      <c r="O13" s="490"/>
      <c r="P13" s="492"/>
      <c r="Q13" s="490"/>
      <c r="R13" s="490"/>
      <c r="S13" s="493"/>
      <c r="T13" s="488"/>
      <c r="U13" s="488"/>
      <c r="V13" s="494"/>
      <c r="W13" s="490"/>
      <c r="X13" s="489"/>
      <c r="Y13" s="495"/>
      <c r="Z13" s="488"/>
      <c r="AA13" s="492"/>
      <c r="AB13" s="491"/>
      <c r="AC13" s="496"/>
      <c r="AD13" s="492"/>
      <c r="AE13" s="497"/>
      <c r="AF13" s="497"/>
      <c r="AG13" s="477">
        <f t="shared" si="2"/>
        <v>0</v>
      </c>
      <c r="AH13" s="477">
        <f t="shared" si="3"/>
        <v>0</v>
      </c>
      <c r="AI13" s="480">
        <v>0</v>
      </c>
      <c r="AJ13" s="481" t="s">
        <v>593</v>
      </c>
      <c r="AS13" s="215" t="s">
        <v>341</v>
      </c>
    </row>
    <row r="14" spans="1:45" ht="15" customHeight="1" x14ac:dyDescent="0.2">
      <c r="A14" s="485" t="s">
        <v>278</v>
      </c>
      <c r="B14" s="486" t="s">
        <v>473</v>
      </c>
      <c r="C14" s="487">
        <v>7</v>
      </c>
      <c r="D14" s="488"/>
      <c r="E14" s="488"/>
      <c r="F14" s="488"/>
      <c r="G14" s="489"/>
      <c r="H14" s="488"/>
      <c r="I14" s="488"/>
      <c r="J14" s="478">
        <f t="shared" si="4"/>
        <v>0</v>
      </c>
      <c r="K14" s="490"/>
      <c r="L14" s="490"/>
      <c r="M14" s="502"/>
      <c r="N14" s="491"/>
      <c r="O14" s="503"/>
      <c r="P14" s="492"/>
      <c r="Q14" s="490"/>
      <c r="R14" s="490"/>
      <c r="S14" s="493"/>
      <c r="T14" s="488"/>
      <c r="U14" s="488"/>
      <c r="V14" s="494"/>
      <c r="W14" s="490"/>
      <c r="X14" s="489"/>
      <c r="Y14" s="495"/>
      <c r="Z14" s="488"/>
      <c r="AA14" s="492"/>
      <c r="AB14" s="491"/>
      <c r="AC14" s="496"/>
      <c r="AD14" s="492"/>
      <c r="AE14" s="497"/>
      <c r="AF14" s="497"/>
      <c r="AG14" s="477">
        <f t="shared" si="2"/>
        <v>0</v>
      </c>
      <c r="AH14" s="477">
        <f t="shared" si="3"/>
        <v>0</v>
      </c>
      <c r="AI14" s="480">
        <v>0</v>
      </c>
      <c r="AJ14" s="481" t="s">
        <v>593</v>
      </c>
      <c r="AS14" s="215" t="s">
        <v>342</v>
      </c>
    </row>
    <row r="15" spans="1:45" ht="15" customHeight="1" x14ac:dyDescent="0.2">
      <c r="A15" s="501" t="s">
        <v>279</v>
      </c>
      <c r="B15" s="486" t="s">
        <v>474</v>
      </c>
      <c r="C15" s="500">
        <v>8</v>
      </c>
      <c r="D15" s="488"/>
      <c r="E15" s="488"/>
      <c r="F15" s="488"/>
      <c r="G15" s="489"/>
      <c r="H15" s="488"/>
      <c r="I15" s="488"/>
      <c r="J15" s="478">
        <f t="shared" si="4"/>
        <v>0</v>
      </c>
      <c r="K15" s="490"/>
      <c r="L15" s="490"/>
      <c r="M15" s="502"/>
      <c r="N15" s="491"/>
      <c r="O15" s="503"/>
      <c r="P15" s="492"/>
      <c r="Q15" s="490"/>
      <c r="R15" s="490"/>
      <c r="S15" s="493"/>
      <c r="T15" s="488"/>
      <c r="U15" s="488"/>
      <c r="V15" s="494"/>
      <c r="W15" s="490"/>
      <c r="X15" s="489"/>
      <c r="Y15" s="495"/>
      <c r="Z15" s="488"/>
      <c r="AA15" s="492"/>
      <c r="AB15" s="491"/>
      <c r="AC15" s="496"/>
      <c r="AD15" s="492"/>
      <c r="AE15" s="497"/>
      <c r="AF15" s="497"/>
      <c r="AG15" s="477">
        <f t="shared" si="2"/>
        <v>0</v>
      </c>
      <c r="AH15" s="477">
        <f t="shared" si="3"/>
        <v>0</v>
      </c>
      <c r="AI15" s="480">
        <v>0</v>
      </c>
      <c r="AJ15" s="481" t="s">
        <v>593</v>
      </c>
      <c r="AS15" s="215" t="s">
        <v>343</v>
      </c>
    </row>
    <row r="16" spans="1:45" ht="15" customHeight="1" x14ac:dyDescent="0.2">
      <c r="A16" s="485" t="s">
        <v>603</v>
      </c>
      <c r="B16" s="486" t="s">
        <v>473</v>
      </c>
      <c r="C16" s="487">
        <v>9</v>
      </c>
      <c r="D16" s="488"/>
      <c r="E16" s="488"/>
      <c r="F16" s="488"/>
      <c r="G16" s="489"/>
      <c r="H16" s="488"/>
      <c r="I16" s="488"/>
      <c r="J16" s="478">
        <f t="shared" si="4"/>
        <v>0</v>
      </c>
      <c r="K16" s="490"/>
      <c r="L16" s="490"/>
      <c r="M16" s="502"/>
      <c r="N16" s="491"/>
      <c r="O16" s="503"/>
      <c r="P16" s="492"/>
      <c r="Q16" s="490"/>
      <c r="R16" s="490"/>
      <c r="S16" s="493"/>
      <c r="T16" s="488"/>
      <c r="U16" s="488"/>
      <c r="V16" s="494"/>
      <c r="W16" s="490"/>
      <c r="X16" s="489"/>
      <c r="Y16" s="495"/>
      <c r="Z16" s="488"/>
      <c r="AA16" s="492"/>
      <c r="AB16" s="491"/>
      <c r="AC16" s="496"/>
      <c r="AD16" s="492"/>
      <c r="AE16" s="497"/>
      <c r="AF16" s="497"/>
      <c r="AG16" s="477">
        <f t="shared" si="2"/>
        <v>0</v>
      </c>
      <c r="AH16" s="477">
        <f t="shared" si="3"/>
        <v>0</v>
      </c>
      <c r="AI16" s="480">
        <v>0</v>
      </c>
      <c r="AJ16" s="481" t="s">
        <v>593</v>
      </c>
      <c r="AS16" s="215" t="s">
        <v>344</v>
      </c>
    </row>
    <row r="17" spans="1:45" ht="15" customHeight="1" x14ac:dyDescent="0.2">
      <c r="A17" s="501" t="s">
        <v>604</v>
      </c>
      <c r="B17" s="486" t="s">
        <v>474</v>
      </c>
      <c r="C17" s="500">
        <v>10</v>
      </c>
      <c r="D17" s="488"/>
      <c r="E17" s="488"/>
      <c r="F17" s="488"/>
      <c r="G17" s="489"/>
      <c r="H17" s="488"/>
      <c r="I17" s="488"/>
      <c r="J17" s="478">
        <f t="shared" si="4"/>
        <v>0</v>
      </c>
      <c r="K17" s="490"/>
      <c r="L17" s="490"/>
      <c r="M17" s="502"/>
      <c r="N17" s="491"/>
      <c r="O17" s="503"/>
      <c r="P17" s="492"/>
      <c r="Q17" s="490"/>
      <c r="R17" s="490"/>
      <c r="S17" s="493"/>
      <c r="T17" s="488"/>
      <c r="U17" s="488"/>
      <c r="V17" s="494"/>
      <c r="W17" s="490"/>
      <c r="X17" s="489"/>
      <c r="Y17" s="495"/>
      <c r="Z17" s="488"/>
      <c r="AA17" s="492"/>
      <c r="AB17" s="491"/>
      <c r="AC17" s="496"/>
      <c r="AD17" s="492"/>
      <c r="AE17" s="497"/>
      <c r="AF17" s="497"/>
      <c r="AG17" s="477">
        <f t="shared" si="2"/>
        <v>0</v>
      </c>
      <c r="AH17" s="477">
        <f t="shared" si="3"/>
        <v>0</v>
      </c>
      <c r="AI17" s="480">
        <v>0</v>
      </c>
      <c r="AJ17" s="481" t="s">
        <v>593</v>
      </c>
      <c r="AS17" s="215" t="s">
        <v>345</v>
      </c>
    </row>
    <row r="18" spans="1:45" ht="15" customHeight="1" x14ac:dyDescent="0.2">
      <c r="A18" s="485" t="s">
        <v>280</v>
      </c>
      <c r="B18" s="486" t="s">
        <v>473</v>
      </c>
      <c r="C18" s="487">
        <v>11</v>
      </c>
      <c r="D18" s="488"/>
      <c r="E18" s="488"/>
      <c r="F18" s="488"/>
      <c r="G18" s="489"/>
      <c r="H18" s="488"/>
      <c r="I18" s="488"/>
      <c r="J18" s="478">
        <f t="shared" si="4"/>
        <v>0</v>
      </c>
      <c r="K18" s="490"/>
      <c r="L18" s="490"/>
      <c r="M18" s="502"/>
      <c r="N18" s="491"/>
      <c r="O18" s="503"/>
      <c r="P18" s="492"/>
      <c r="Q18" s="490"/>
      <c r="R18" s="490"/>
      <c r="S18" s="493"/>
      <c r="T18" s="488"/>
      <c r="U18" s="488"/>
      <c r="V18" s="494"/>
      <c r="W18" s="490"/>
      <c r="X18" s="489"/>
      <c r="Y18" s="495"/>
      <c r="Z18" s="488"/>
      <c r="AA18" s="492"/>
      <c r="AB18" s="491"/>
      <c r="AC18" s="496"/>
      <c r="AD18" s="492"/>
      <c r="AE18" s="497"/>
      <c r="AF18" s="497"/>
      <c r="AG18" s="477">
        <f t="shared" si="2"/>
        <v>0</v>
      </c>
      <c r="AH18" s="477">
        <f t="shared" si="3"/>
        <v>0</v>
      </c>
      <c r="AI18" s="480">
        <v>0</v>
      </c>
      <c r="AJ18" s="481" t="s">
        <v>593</v>
      </c>
      <c r="AS18" s="215" t="s">
        <v>346</v>
      </c>
    </row>
    <row r="19" spans="1:45" ht="15" customHeight="1" x14ac:dyDescent="0.2">
      <c r="A19" s="501" t="s">
        <v>281</v>
      </c>
      <c r="B19" s="486" t="s">
        <v>474</v>
      </c>
      <c r="C19" s="500">
        <v>12</v>
      </c>
      <c r="D19" s="488"/>
      <c r="E19" s="488"/>
      <c r="F19" s="488"/>
      <c r="G19" s="489"/>
      <c r="H19" s="488"/>
      <c r="I19" s="488"/>
      <c r="J19" s="478">
        <f t="shared" si="4"/>
        <v>0</v>
      </c>
      <c r="K19" s="490"/>
      <c r="L19" s="490"/>
      <c r="M19" s="502"/>
      <c r="N19" s="491"/>
      <c r="O19" s="503"/>
      <c r="P19" s="492"/>
      <c r="Q19" s="490"/>
      <c r="R19" s="490"/>
      <c r="S19" s="493"/>
      <c r="T19" s="488"/>
      <c r="U19" s="488"/>
      <c r="V19" s="494"/>
      <c r="W19" s="490"/>
      <c r="X19" s="489"/>
      <c r="Y19" s="495"/>
      <c r="Z19" s="488"/>
      <c r="AA19" s="492"/>
      <c r="AB19" s="491"/>
      <c r="AC19" s="496"/>
      <c r="AD19" s="492"/>
      <c r="AE19" s="497"/>
      <c r="AF19" s="497"/>
      <c r="AG19" s="477">
        <f t="shared" si="2"/>
        <v>0</v>
      </c>
      <c r="AH19" s="477">
        <f t="shared" si="3"/>
        <v>0</v>
      </c>
      <c r="AI19" s="480">
        <v>0</v>
      </c>
      <c r="AJ19" s="481" t="s">
        <v>593</v>
      </c>
      <c r="AS19" s="215" t="s">
        <v>347</v>
      </c>
    </row>
    <row r="20" spans="1:45" ht="15" customHeight="1" x14ac:dyDescent="0.2">
      <c r="A20" s="504" t="s">
        <v>282</v>
      </c>
      <c r="B20" s="486" t="s">
        <v>473</v>
      </c>
      <c r="C20" s="487">
        <v>13</v>
      </c>
      <c r="D20" s="488"/>
      <c r="E20" s="488"/>
      <c r="F20" s="488"/>
      <c r="G20" s="489"/>
      <c r="H20" s="488"/>
      <c r="I20" s="488"/>
      <c r="J20" s="478">
        <f t="shared" si="4"/>
        <v>0</v>
      </c>
      <c r="K20" s="490"/>
      <c r="L20" s="490"/>
      <c r="M20" s="502"/>
      <c r="N20" s="491"/>
      <c r="O20" s="503"/>
      <c r="P20" s="492"/>
      <c r="Q20" s="490"/>
      <c r="R20" s="490"/>
      <c r="S20" s="493"/>
      <c r="T20" s="488"/>
      <c r="U20" s="488"/>
      <c r="V20" s="494"/>
      <c r="W20" s="490"/>
      <c r="X20" s="489"/>
      <c r="Y20" s="495"/>
      <c r="Z20" s="488"/>
      <c r="AA20" s="492"/>
      <c r="AB20" s="491"/>
      <c r="AC20" s="496"/>
      <c r="AD20" s="492"/>
      <c r="AE20" s="497"/>
      <c r="AF20" s="497"/>
      <c r="AG20" s="477">
        <f t="shared" si="2"/>
        <v>0</v>
      </c>
      <c r="AH20" s="477">
        <f t="shared" si="3"/>
        <v>0</v>
      </c>
      <c r="AI20" s="480">
        <v>0</v>
      </c>
      <c r="AJ20" s="481" t="s">
        <v>593</v>
      </c>
      <c r="AS20" s="215" t="s">
        <v>348</v>
      </c>
    </row>
    <row r="21" spans="1:45" ht="15" customHeight="1" x14ac:dyDescent="0.2">
      <c r="A21" s="501" t="s">
        <v>283</v>
      </c>
      <c r="B21" s="486" t="s">
        <v>474</v>
      </c>
      <c r="C21" s="500">
        <v>14</v>
      </c>
      <c r="D21" s="488"/>
      <c r="E21" s="488"/>
      <c r="F21" s="488"/>
      <c r="G21" s="489"/>
      <c r="H21" s="488"/>
      <c r="I21" s="488"/>
      <c r="J21" s="478">
        <f t="shared" si="4"/>
        <v>0</v>
      </c>
      <c r="K21" s="490"/>
      <c r="L21" s="490"/>
      <c r="M21" s="502"/>
      <c r="N21" s="491"/>
      <c r="O21" s="503"/>
      <c r="P21" s="492"/>
      <c r="Q21" s="490"/>
      <c r="R21" s="490"/>
      <c r="S21" s="493"/>
      <c r="T21" s="488"/>
      <c r="U21" s="488"/>
      <c r="V21" s="494"/>
      <c r="W21" s="490"/>
      <c r="X21" s="489"/>
      <c r="Y21" s="495"/>
      <c r="Z21" s="488"/>
      <c r="AA21" s="492"/>
      <c r="AB21" s="491"/>
      <c r="AC21" s="496"/>
      <c r="AD21" s="492"/>
      <c r="AE21" s="497"/>
      <c r="AF21" s="497"/>
      <c r="AG21" s="477">
        <f t="shared" si="2"/>
        <v>0</v>
      </c>
      <c r="AH21" s="477">
        <f t="shared" si="3"/>
        <v>0</v>
      </c>
      <c r="AI21" s="480">
        <v>0</v>
      </c>
      <c r="AJ21" s="481" t="s">
        <v>593</v>
      </c>
      <c r="AS21" s="215" t="s">
        <v>349</v>
      </c>
    </row>
    <row r="22" spans="1:45" ht="15" customHeight="1" x14ac:dyDescent="0.2">
      <c r="A22" s="485" t="s">
        <v>284</v>
      </c>
      <c r="B22" s="486" t="s">
        <v>473</v>
      </c>
      <c r="C22" s="487">
        <v>15</v>
      </c>
      <c r="D22" s="488">
        <v>142</v>
      </c>
      <c r="E22" s="488"/>
      <c r="F22" s="488"/>
      <c r="G22" s="489"/>
      <c r="H22" s="488"/>
      <c r="I22" s="488"/>
      <c r="J22" s="478">
        <f t="shared" si="4"/>
        <v>142</v>
      </c>
      <c r="K22" s="490"/>
      <c r="L22" s="490"/>
      <c r="M22" s="502"/>
      <c r="N22" s="491">
        <v>270</v>
      </c>
      <c r="O22" s="503"/>
      <c r="P22" s="492">
        <v>270</v>
      </c>
      <c r="Q22" s="490"/>
      <c r="R22" s="490"/>
      <c r="S22" s="493"/>
      <c r="T22" s="488"/>
      <c r="U22" s="488"/>
      <c r="V22" s="494"/>
      <c r="W22" s="490">
        <v>869</v>
      </c>
      <c r="X22" s="489"/>
      <c r="Y22" s="495">
        <v>869</v>
      </c>
      <c r="Z22" s="488"/>
      <c r="AA22" s="492">
        <v>869</v>
      </c>
      <c r="AB22" s="491"/>
      <c r="AC22" s="496"/>
      <c r="AD22" s="492"/>
      <c r="AE22" s="497"/>
      <c r="AF22" s="497"/>
      <c r="AG22" s="477">
        <f>SUM(K22:N22,Q22:S22,V22,Y22,AB22,AE22:AF22)</f>
        <v>1139</v>
      </c>
      <c r="AH22" s="477">
        <f t="shared" si="3"/>
        <v>1281</v>
      </c>
      <c r="AI22" s="480">
        <v>0</v>
      </c>
      <c r="AJ22" s="481" t="s">
        <v>593</v>
      </c>
      <c r="AS22" s="215" t="s">
        <v>350</v>
      </c>
    </row>
    <row r="23" spans="1:45" ht="15" customHeight="1" x14ac:dyDescent="0.2">
      <c r="A23" s="501" t="s">
        <v>285</v>
      </c>
      <c r="B23" s="486" t="s">
        <v>474</v>
      </c>
      <c r="C23" s="500">
        <v>16</v>
      </c>
      <c r="D23" s="488">
        <v>183</v>
      </c>
      <c r="E23" s="488"/>
      <c r="F23" s="488"/>
      <c r="G23" s="489"/>
      <c r="H23" s="488"/>
      <c r="I23" s="488"/>
      <c r="J23" s="478">
        <f t="shared" si="4"/>
        <v>183</v>
      </c>
      <c r="K23" s="490"/>
      <c r="L23" s="490"/>
      <c r="M23" s="502"/>
      <c r="N23" s="491">
        <v>270</v>
      </c>
      <c r="O23" s="503"/>
      <c r="P23" s="492">
        <v>270</v>
      </c>
      <c r="Q23" s="490"/>
      <c r="R23" s="490"/>
      <c r="S23" s="493"/>
      <c r="T23" s="488"/>
      <c r="U23" s="488"/>
      <c r="V23" s="494"/>
      <c r="W23" s="490">
        <v>862</v>
      </c>
      <c r="X23" s="489"/>
      <c r="Y23" s="495">
        <v>862</v>
      </c>
      <c r="Z23" s="488"/>
      <c r="AA23" s="492">
        <v>862</v>
      </c>
      <c r="AB23" s="491"/>
      <c r="AC23" s="496"/>
      <c r="AD23" s="492"/>
      <c r="AE23" s="497"/>
      <c r="AF23" s="497"/>
      <c r="AG23" s="477">
        <f t="shared" si="2"/>
        <v>1132</v>
      </c>
      <c r="AH23" s="477">
        <f t="shared" si="3"/>
        <v>1315</v>
      </c>
      <c r="AI23" s="480">
        <v>0</v>
      </c>
      <c r="AJ23" s="481" t="s">
        <v>593</v>
      </c>
      <c r="AS23" s="215" t="s">
        <v>351</v>
      </c>
    </row>
    <row r="24" spans="1:45" ht="15" customHeight="1" x14ac:dyDescent="0.2">
      <c r="A24" s="485" t="s">
        <v>286</v>
      </c>
      <c r="B24" s="486" t="s">
        <v>473</v>
      </c>
      <c r="C24" s="487">
        <v>17</v>
      </c>
      <c r="D24" s="488">
        <v>2081</v>
      </c>
      <c r="E24" s="488">
        <v>338</v>
      </c>
      <c r="F24" s="488"/>
      <c r="G24" s="489">
        <v>1441</v>
      </c>
      <c r="H24" s="488">
        <v>961</v>
      </c>
      <c r="I24" s="488"/>
      <c r="J24" s="478">
        <f t="shared" si="4"/>
        <v>3860</v>
      </c>
      <c r="K24" s="490"/>
      <c r="L24" s="490">
        <v>60</v>
      </c>
      <c r="M24" s="502">
        <v>1802</v>
      </c>
      <c r="N24" s="491">
        <v>398</v>
      </c>
      <c r="O24" s="503"/>
      <c r="P24" s="492">
        <v>398</v>
      </c>
      <c r="Q24" s="490">
        <v>7</v>
      </c>
      <c r="R24" s="490"/>
      <c r="S24" s="493">
        <v>550</v>
      </c>
      <c r="T24" s="488"/>
      <c r="U24" s="488">
        <v>550</v>
      </c>
      <c r="V24" s="494">
        <v>65</v>
      </c>
      <c r="W24" s="490">
        <v>1656</v>
      </c>
      <c r="X24" s="489">
        <v>374</v>
      </c>
      <c r="Y24" s="495">
        <v>2030</v>
      </c>
      <c r="Z24" s="488"/>
      <c r="AA24" s="492">
        <v>2030</v>
      </c>
      <c r="AB24" s="491">
        <v>1903</v>
      </c>
      <c r="AC24" s="496">
        <v>1473</v>
      </c>
      <c r="AD24" s="492">
        <v>430</v>
      </c>
      <c r="AE24" s="497">
        <v>-134</v>
      </c>
      <c r="AF24" s="497">
        <v>409</v>
      </c>
      <c r="AG24" s="477">
        <f t="shared" si="2"/>
        <v>7090</v>
      </c>
      <c r="AH24" s="477">
        <f t="shared" si="3"/>
        <v>10950</v>
      </c>
      <c r="AI24" s="480">
        <v>0</v>
      </c>
      <c r="AJ24" s="481" t="s">
        <v>593</v>
      </c>
      <c r="AS24" s="215" t="s">
        <v>352</v>
      </c>
    </row>
    <row r="25" spans="1:45" ht="15" customHeight="1" x14ac:dyDescent="0.2">
      <c r="A25" s="501" t="s">
        <v>287</v>
      </c>
      <c r="B25" s="486" t="s">
        <v>474</v>
      </c>
      <c r="C25" s="500">
        <v>18</v>
      </c>
      <c r="D25" s="488">
        <v>2327</v>
      </c>
      <c r="E25" s="488">
        <v>533</v>
      </c>
      <c r="F25" s="488"/>
      <c r="G25" s="489">
        <v>1419</v>
      </c>
      <c r="H25" s="488">
        <v>957</v>
      </c>
      <c r="I25" s="488"/>
      <c r="J25" s="478">
        <f t="shared" si="4"/>
        <v>4279</v>
      </c>
      <c r="K25" s="490"/>
      <c r="L25" s="490">
        <v>73</v>
      </c>
      <c r="M25" s="502">
        <v>1621</v>
      </c>
      <c r="N25" s="491">
        <v>415</v>
      </c>
      <c r="O25" s="503"/>
      <c r="P25" s="492">
        <v>415</v>
      </c>
      <c r="Q25" s="490">
        <v>5</v>
      </c>
      <c r="R25" s="490"/>
      <c r="S25" s="493">
        <v>473</v>
      </c>
      <c r="T25" s="488"/>
      <c r="U25" s="488">
        <v>473</v>
      </c>
      <c r="V25" s="494">
        <v>55</v>
      </c>
      <c r="W25" s="490">
        <v>1397</v>
      </c>
      <c r="X25" s="489">
        <v>325</v>
      </c>
      <c r="Y25" s="495">
        <v>1722</v>
      </c>
      <c r="Z25" s="488"/>
      <c r="AA25" s="492">
        <v>1722</v>
      </c>
      <c r="AB25" s="491">
        <v>1660</v>
      </c>
      <c r="AC25" s="496">
        <v>1401</v>
      </c>
      <c r="AD25" s="492">
        <v>259</v>
      </c>
      <c r="AE25" s="497">
        <v>-144</v>
      </c>
      <c r="AF25" s="497">
        <v>357</v>
      </c>
      <c r="AG25" s="477">
        <f t="shared" si="2"/>
        <v>6237</v>
      </c>
      <c r="AH25" s="477">
        <f t="shared" si="3"/>
        <v>10516</v>
      </c>
      <c r="AI25" s="480">
        <v>0</v>
      </c>
      <c r="AJ25" s="481" t="s">
        <v>593</v>
      </c>
      <c r="AS25" s="215" t="s">
        <v>353</v>
      </c>
    </row>
    <row r="26" spans="1:45" ht="15" customHeight="1" x14ac:dyDescent="0.2">
      <c r="A26" s="485" t="s">
        <v>605</v>
      </c>
      <c r="B26" s="486" t="s">
        <v>473</v>
      </c>
      <c r="C26" s="487">
        <v>19</v>
      </c>
      <c r="D26" s="488">
        <v>2263</v>
      </c>
      <c r="E26" s="488"/>
      <c r="F26" s="488"/>
      <c r="G26" s="489"/>
      <c r="H26" s="488"/>
      <c r="I26" s="488"/>
      <c r="J26" s="478">
        <f t="shared" si="4"/>
        <v>2263</v>
      </c>
      <c r="K26" s="490"/>
      <c r="L26" s="490"/>
      <c r="M26" s="502"/>
      <c r="N26" s="491">
        <v>197</v>
      </c>
      <c r="O26" s="503"/>
      <c r="P26" s="492">
        <v>197</v>
      </c>
      <c r="Q26" s="490"/>
      <c r="R26" s="490"/>
      <c r="S26" s="493">
        <v>70</v>
      </c>
      <c r="T26" s="488"/>
      <c r="U26" s="488">
        <v>70</v>
      </c>
      <c r="V26" s="494"/>
      <c r="W26" s="490">
        <v>47</v>
      </c>
      <c r="X26" s="489"/>
      <c r="Y26" s="495">
        <v>47</v>
      </c>
      <c r="Z26" s="488"/>
      <c r="AA26" s="492">
        <v>47</v>
      </c>
      <c r="AB26" s="491"/>
      <c r="AC26" s="496"/>
      <c r="AD26" s="492"/>
      <c r="AE26" s="497"/>
      <c r="AF26" s="497">
        <v>40</v>
      </c>
      <c r="AG26" s="477">
        <f t="shared" si="2"/>
        <v>354</v>
      </c>
      <c r="AH26" s="477">
        <f t="shared" si="3"/>
        <v>2617</v>
      </c>
      <c r="AI26" s="480">
        <v>0</v>
      </c>
      <c r="AJ26" s="481" t="s">
        <v>593</v>
      </c>
      <c r="AS26" s="215" t="s">
        <v>354</v>
      </c>
    </row>
    <row r="27" spans="1:45" ht="15" customHeight="1" x14ac:dyDescent="0.2">
      <c r="A27" s="501" t="s">
        <v>606</v>
      </c>
      <c r="B27" s="499" t="s">
        <v>302</v>
      </c>
      <c r="C27" s="500">
        <v>20</v>
      </c>
      <c r="D27" s="488">
        <v>2263</v>
      </c>
      <c r="E27" s="488"/>
      <c r="F27" s="488"/>
      <c r="G27" s="489"/>
      <c r="H27" s="488"/>
      <c r="I27" s="488"/>
      <c r="J27" s="478">
        <f t="shared" si="4"/>
        <v>2263</v>
      </c>
      <c r="K27" s="490"/>
      <c r="L27" s="490"/>
      <c r="M27" s="502"/>
      <c r="N27" s="491">
        <v>197</v>
      </c>
      <c r="O27" s="503"/>
      <c r="P27" s="492">
        <v>197</v>
      </c>
      <c r="Q27" s="490"/>
      <c r="R27" s="490"/>
      <c r="S27" s="493">
        <v>72</v>
      </c>
      <c r="T27" s="488"/>
      <c r="U27" s="488">
        <v>72</v>
      </c>
      <c r="V27" s="494"/>
      <c r="W27" s="490">
        <v>65</v>
      </c>
      <c r="X27" s="489"/>
      <c r="Y27" s="495">
        <v>65</v>
      </c>
      <c r="Z27" s="488"/>
      <c r="AA27" s="492">
        <v>65</v>
      </c>
      <c r="AB27" s="491"/>
      <c r="AC27" s="496"/>
      <c r="AD27" s="492"/>
      <c r="AE27" s="497"/>
      <c r="AF27" s="497">
        <v>40</v>
      </c>
      <c r="AG27" s="477">
        <f>SUM(K27:N27,Q27:S27,V27,Y27,AB27,AE27:AF27)</f>
        <v>374</v>
      </c>
      <c r="AH27" s="477">
        <f t="shared" si="3"/>
        <v>2637</v>
      </c>
      <c r="AI27" s="480">
        <v>0</v>
      </c>
      <c r="AJ27" s="481" t="s">
        <v>593</v>
      </c>
      <c r="AS27" s="215" t="s">
        <v>355</v>
      </c>
    </row>
    <row r="28" spans="1:45" ht="15" customHeight="1" x14ac:dyDescent="0.2">
      <c r="A28" s="485" t="s">
        <v>288</v>
      </c>
      <c r="B28" s="486" t="s">
        <v>473</v>
      </c>
      <c r="C28" s="487">
        <v>21</v>
      </c>
      <c r="D28" s="488"/>
      <c r="E28" s="488"/>
      <c r="F28" s="488"/>
      <c r="G28" s="489"/>
      <c r="H28" s="488"/>
      <c r="I28" s="488"/>
      <c r="J28" s="478">
        <f t="shared" si="4"/>
        <v>0</v>
      </c>
      <c r="K28" s="490"/>
      <c r="L28" s="490"/>
      <c r="M28" s="502"/>
      <c r="N28" s="491"/>
      <c r="O28" s="503"/>
      <c r="P28" s="492"/>
      <c r="Q28" s="490"/>
      <c r="R28" s="490"/>
      <c r="S28" s="493"/>
      <c r="T28" s="488"/>
      <c r="U28" s="488"/>
      <c r="V28" s="494"/>
      <c r="W28" s="490"/>
      <c r="X28" s="489"/>
      <c r="Y28" s="495"/>
      <c r="Z28" s="488"/>
      <c r="AA28" s="492"/>
      <c r="AB28" s="491"/>
      <c r="AC28" s="496"/>
      <c r="AD28" s="492"/>
      <c r="AE28" s="497"/>
      <c r="AF28" s="497"/>
      <c r="AG28" s="477">
        <f>SUM(K28:N28,Q28:S28,V28,Y28,AB28,AE28:AF28)</f>
        <v>0</v>
      </c>
      <c r="AH28" s="477">
        <f t="shared" si="3"/>
        <v>0</v>
      </c>
      <c r="AI28" s="480">
        <v>0</v>
      </c>
      <c r="AJ28" s="481" t="s">
        <v>593</v>
      </c>
      <c r="AS28" s="215" t="s">
        <v>356</v>
      </c>
    </row>
    <row r="29" spans="1:45" ht="15" customHeight="1" x14ac:dyDescent="0.2">
      <c r="A29" s="501" t="s">
        <v>289</v>
      </c>
      <c r="B29" s="499" t="s">
        <v>303</v>
      </c>
      <c r="C29" s="500">
        <v>22</v>
      </c>
      <c r="D29" s="488"/>
      <c r="E29" s="488"/>
      <c r="F29" s="488"/>
      <c r="G29" s="489"/>
      <c r="H29" s="488"/>
      <c r="I29" s="488"/>
      <c r="J29" s="478">
        <f t="shared" si="4"/>
        <v>0</v>
      </c>
      <c r="K29" s="490"/>
      <c r="L29" s="490"/>
      <c r="M29" s="502"/>
      <c r="N29" s="491"/>
      <c r="O29" s="503"/>
      <c r="P29" s="492"/>
      <c r="Q29" s="490"/>
      <c r="R29" s="490"/>
      <c r="S29" s="493"/>
      <c r="T29" s="488"/>
      <c r="U29" s="488"/>
      <c r="V29" s="494"/>
      <c r="W29" s="490"/>
      <c r="X29" s="489"/>
      <c r="Y29" s="495"/>
      <c r="Z29" s="488"/>
      <c r="AA29" s="492"/>
      <c r="AB29" s="491"/>
      <c r="AC29" s="496"/>
      <c r="AD29" s="492"/>
      <c r="AE29" s="497"/>
      <c r="AF29" s="497"/>
      <c r="AG29" s="477">
        <f t="shared" si="2"/>
        <v>0</v>
      </c>
      <c r="AH29" s="477">
        <f t="shared" si="3"/>
        <v>0</v>
      </c>
      <c r="AI29" s="480">
        <v>0</v>
      </c>
      <c r="AJ29" s="481" t="s">
        <v>593</v>
      </c>
      <c r="AS29" s="215" t="s">
        <v>357</v>
      </c>
    </row>
    <row r="30" spans="1:45" ht="15" customHeight="1" x14ac:dyDescent="0.2">
      <c r="A30" s="466" t="s">
        <v>290</v>
      </c>
      <c r="B30" s="483" t="s">
        <v>473</v>
      </c>
      <c r="C30" s="484">
        <v>23</v>
      </c>
      <c r="D30" s="477">
        <f t="shared" ref="D30:K31" si="5">D8-D10-D12+D26+D28</f>
        <v>4486</v>
      </c>
      <c r="E30" s="477">
        <f t="shared" si="5"/>
        <v>338</v>
      </c>
      <c r="F30" s="477">
        <f t="shared" si="5"/>
        <v>0</v>
      </c>
      <c r="G30" s="505">
        <f>G8-G10-G12+G26+G28</f>
        <v>1441</v>
      </c>
      <c r="H30" s="477">
        <f>H8-H10-H12+H26+H28</f>
        <v>961</v>
      </c>
      <c r="I30" s="477">
        <f t="shared" si="5"/>
        <v>0</v>
      </c>
      <c r="J30" s="478">
        <f t="shared" si="5"/>
        <v>6265</v>
      </c>
      <c r="K30" s="505">
        <f t="shared" si="5"/>
        <v>0</v>
      </c>
      <c r="L30" s="505">
        <f>L8-L10-L12+L26+L28</f>
        <v>60</v>
      </c>
      <c r="M30" s="472">
        <f t="shared" ref="M30:AF31" si="6">M8-M10-M12+M26+M28</f>
        <v>1802</v>
      </c>
      <c r="N30" s="473">
        <f t="shared" si="6"/>
        <v>865</v>
      </c>
      <c r="O30" s="474">
        <f t="shared" si="6"/>
        <v>0</v>
      </c>
      <c r="P30" s="470">
        <f t="shared" si="6"/>
        <v>865</v>
      </c>
      <c r="Q30" s="471">
        <f t="shared" si="6"/>
        <v>7</v>
      </c>
      <c r="R30" s="471">
        <f t="shared" si="6"/>
        <v>0</v>
      </c>
      <c r="S30" s="475">
        <f t="shared" si="6"/>
        <v>620</v>
      </c>
      <c r="T30" s="469">
        <f t="shared" si="6"/>
        <v>0</v>
      </c>
      <c r="U30" s="469">
        <f t="shared" si="6"/>
        <v>620</v>
      </c>
      <c r="V30" s="470">
        <f t="shared" si="6"/>
        <v>65</v>
      </c>
      <c r="W30" s="471">
        <f t="shared" si="6"/>
        <v>2572</v>
      </c>
      <c r="X30" s="469">
        <f t="shared" si="6"/>
        <v>374</v>
      </c>
      <c r="Y30" s="476">
        <f t="shared" si="6"/>
        <v>2946</v>
      </c>
      <c r="Z30" s="469">
        <f t="shared" si="6"/>
        <v>0</v>
      </c>
      <c r="AA30" s="470">
        <f t="shared" si="6"/>
        <v>2946</v>
      </c>
      <c r="AB30" s="473">
        <f t="shared" si="6"/>
        <v>1903</v>
      </c>
      <c r="AC30" s="469">
        <f t="shared" si="6"/>
        <v>1473</v>
      </c>
      <c r="AD30" s="478">
        <f t="shared" si="6"/>
        <v>430</v>
      </c>
      <c r="AE30" s="479">
        <f t="shared" si="6"/>
        <v>-134</v>
      </c>
      <c r="AF30" s="479">
        <f t="shared" si="6"/>
        <v>449</v>
      </c>
      <c r="AG30" s="477">
        <f t="shared" si="2"/>
        <v>8583</v>
      </c>
      <c r="AH30" s="477">
        <f t="shared" si="3"/>
        <v>14848</v>
      </c>
      <c r="AI30" s="480">
        <v>0</v>
      </c>
      <c r="AJ30" s="481" t="s">
        <v>593</v>
      </c>
      <c r="AS30" s="215" t="s">
        <v>358</v>
      </c>
    </row>
    <row r="31" spans="1:45" ht="15" customHeight="1" thickBot="1" x14ac:dyDescent="0.25">
      <c r="A31" s="506" t="s">
        <v>291</v>
      </c>
      <c r="B31" s="507" t="s">
        <v>474</v>
      </c>
      <c r="C31" s="508">
        <v>24</v>
      </c>
      <c r="D31" s="509">
        <f>D9-D11-D13+D27+D29</f>
        <v>4773</v>
      </c>
      <c r="E31" s="509">
        <f t="shared" si="5"/>
        <v>533</v>
      </c>
      <c r="F31" s="509">
        <f t="shared" si="5"/>
        <v>0</v>
      </c>
      <c r="G31" s="510">
        <f>G9-G11-G13+G27+G29</f>
        <v>1419</v>
      </c>
      <c r="H31" s="509">
        <f>H9-H11-H13+H27+H29</f>
        <v>957</v>
      </c>
      <c r="I31" s="509">
        <f t="shared" si="5"/>
        <v>0</v>
      </c>
      <c r="J31" s="511">
        <f t="shared" si="5"/>
        <v>6725</v>
      </c>
      <c r="K31" s="510">
        <f t="shared" si="5"/>
        <v>0</v>
      </c>
      <c r="L31" s="509">
        <f>L9-L11-L13+L27+L29</f>
        <v>73</v>
      </c>
      <c r="M31" s="512">
        <f t="shared" si="6"/>
        <v>1621</v>
      </c>
      <c r="N31" s="513">
        <f t="shared" si="6"/>
        <v>882</v>
      </c>
      <c r="O31" s="514">
        <f t="shared" si="6"/>
        <v>0</v>
      </c>
      <c r="P31" s="515">
        <f t="shared" si="6"/>
        <v>882</v>
      </c>
      <c r="Q31" s="516">
        <f t="shared" si="6"/>
        <v>5</v>
      </c>
      <c r="R31" s="516">
        <f t="shared" si="6"/>
        <v>0</v>
      </c>
      <c r="S31" s="517">
        <f t="shared" si="6"/>
        <v>545</v>
      </c>
      <c r="T31" s="518">
        <f t="shared" si="6"/>
        <v>0</v>
      </c>
      <c r="U31" s="518">
        <f t="shared" si="6"/>
        <v>545</v>
      </c>
      <c r="V31" s="515">
        <f t="shared" si="6"/>
        <v>55</v>
      </c>
      <c r="W31" s="516">
        <f t="shared" si="6"/>
        <v>2324</v>
      </c>
      <c r="X31" s="518">
        <f t="shared" si="6"/>
        <v>325</v>
      </c>
      <c r="Y31" s="519">
        <f t="shared" si="6"/>
        <v>2649</v>
      </c>
      <c r="Z31" s="518">
        <f t="shared" si="6"/>
        <v>0</v>
      </c>
      <c r="AA31" s="515">
        <f t="shared" si="6"/>
        <v>2649</v>
      </c>
      <c r="AB31" s="513">
        <f t="shared" si="6"/>
        <v>1660</v>
      </c>
      <c r="AC31" s="518">
        <f t="shared" si="6"/>
        <v>1401</v>
      </c>
      <c r="AD31" s="511">
        <f t="shared" si="6"/>
        <v>259</v>
      </c>
      <c r="AE31" s="520">
        <f t="shared" si="6"/>
        <v>-144</v>
      </c>
      <c r="AF31" s="509">
        <f t="shared" si="6"/>
        <v>397</v>
      </c>
      <c r="AG31" s="509">
        <f t="shared" si="2"/>
        <v>7743</v>
      </c>
      <c r="AH31" s="509">
        <f t="shared" si="3"/>
        <v>14468</v>
      </c>
      <c r="AI31" s="480">
        <v>0</v>
      </c>
      <c r="AJ31" s="481" t="s">
        <v>593</v>
      </c>
      <c r="AS31" s="215" t="s">
        <v>359</v>
      </c>
    </row>
    <row r="32" spans="1:45" ht="15" customHeight="1" x14ac:dyDescent="0.2">
      <c r="A32" s="521" t="s">
        <v>292</v>
      </c>
      <c r="B32" s="522" t="s">
        <v>473</v>
      </c>
      <c r="C32" s="523">
        <v>25</v>
      </c>
      <c r="D32" s="524">
        <v>1444</v>
      </c>
      <c r="E32" s="524">
        <v>40</v>
      </c>
      <c r="F32" s="524"/>
      <c r="G32" s="489"/>
      <c r="H32" s="524"/>
      <c r="I32" s="524"/>
      <c r="J32" s="525">
        <f>SUM(D32:G32,I32)</f>
        <v>1484</v>
      </c>
      <c r="K32" s="526"/>
      <c r="L32" s="526"/>
      <c r="M32" s="527"/>
      <c r="N32" s="528"/>
      <c r="O32" s="529"/>
      <c r="P32" s="530"/>
      <c r="Q32" s="526"/>
      <c r="R32" s="526"/>
      <c r="S32" s="531"/>
      <c r="T32" s="524"/>
      <c r="U32" s="524"/>
      <c r="V32" s="532"/>
      <c r="W32" s="526"/>
      <c r="X32" s="533"/>
      <c r="Y32" s="534"/>
      <c r="Z32" s="524"/>
      <c r="AA32" s="530"/>
      <c r="AB32" s="528"/>
      <c r="AC32" s="535"/>
      <c r="AD32" s="530"/>
      <c r="AE32" s="536"/>
      <c r="AF32" s="536"/>
      <c r="AG32" s="537">
        <f t="shared" si="2"/>
        <v>0</v>
      </c>
      <c r="AH32" s="537">
        <f t="shared" si="3"/>
        <v>1484</v>
      </c>
      <c r="AI32" s="480">
        <v>0</v>
      </c>
      <c r="AJ32" s="481" t="s">
        <v>593</v>
      </c>
      <c r="AS32" s="215" t="s">
        <v>360</v>
      </c>
    </row>
    <row r="33" spans="1:45" ht="15" customHeight="1" x14ac:dyDescent="0.2">
      <c r="A33" s="538" t="s">
        <v>293</v>
      </c>
      <c r="B33" s="486" t="s">
        <v>474</v>
      </c>
      <c r="C33" s="487">
        <v>26</v>
      </c>
      <c r="D33" s="488">
        <v>1546</v>
      </c>
      <c r="E33" s="488">
        <v>40</v>
      </c>
      <c r="F33" s="488"/>
      <c r="G33" s="489"/>
      <c r="H33" s="488"/>
      <c r="I33" s="488"/>
      <c r="J33" s="478">
        <f t="shared" ref="J33:J41" si="7">SUM(D33:G33,I33)</f>
        <v>1586</v>
      </c>
      <c r="K33" s="490"/>
      <c r="L33" s="490"/>
      <c r="M33" s="502"/>
      <c r="N33" s="491"/>
      <c r="O33" s="503"/>
      <c r="P33" s="492"/>
      <c r="Q33" s="490"/>
      <c r="R33" s="490"/>
      <c r="S33" s="493"/>
      <c r="T33" s="488"/>
      <c r="U33" s="488"/>
      <c r="V33" s="494"/>
      <c r="W33" s="490"/>
      <c r="X33" s="489"/>
      <c r="Y33" s="495"/>
      <c r="Z33" s="488"/>
      <c r="AA33" s="492"/>
      <c r="AB33" s="491"/>
      <c r="AC33" s="496"/>
      <c r="AD33" s="492"/>
      <c r="AE33" s="497"/>
      <c r="AF33" s="497"/>
      <c r="AG33" s="477">
        <f t="shared" si="2"/>
        <v>0</v>
      </c>
      <c r="AH33" s="477">
        <f t="shared" si="3"/>
        <v>1586</v>
      </c>
      <c r="AI33" s="480">
        <v>0</v>
      </c>
      <c r="AJ33" s="481" t="s">
        <v>593</v>
      </c>
      <c r="AS33" s="215" t="s">
        <v>361</v>
      </c>
    </row>
    <row r="34" spans="1:45" ht="15" customHeight="1" x14ac:dyDescent="0.2">
      <c r="A34" s="539" t="s">
        <v>294</v>
      </c>
      <c r="B34" s="486" t="s">
        <v>473</v>
      </c>
      <c r="C34" s="487">
        <v>27</v>
      </c>
      <c r="D34" s="488"/>
      <c r="E34" s="488"/>
      <c r="F34" s="488"/>
      <c r="G34" s="489"/>
      <c r="H34" s="488"/>
      <c r="I34" s="488"/>
      <c r="J34" s="478">
        <f t="shared" si="7"/>
        <v>0</v>
      </c>
      <c r="K34" s="490"/>
      <c r="L34" s="490"/>
      <c r="M34" s="502"/>
      <c r="N34" s="491"/>
      <c r="O34" s="503"/>
      <c r="P34" s="492"/>
      <c r="Q34" s="490"/>
      <c r="R34" s="490"/>
      <c r="S34" s="493"/>
      <c r="T34" s="488"/>
      <c r="U34" s="488"/>
      <c r="V34" s="494"/>
      <c r="W34" s="490"/>
      <c r="X34" s="489"/>
      <c r="Y34" s="495"/>
      <c r="Z34" s="488"/>
      <c r="AA34" s="492"/>
      <c r="AB34" s="491"/>
      <c r="AC34" s="496"/>
      <c r="AD34" s="492"/>
      <c r="AE34" s="497"/>
      <c r="AF34" s="497"/>
      <c r="AG34" s="477">
        <f t="shared" si="2"/>
        <v>0</v>
      </c>
      <c r="AH34" s="477">
        <f t="shared" si="3"/>
        <v>0</v>
      </c>
      <c r="AI34" s="480">
        <v>0</v>
      </c>
      <c r="AJ34" s="481" t="s">
        <v>593</v>
      </c>
      <c r="AS34" s="215" t="s">
        <v>362</v>
      </c>
    </row>
    <row r="35" spans="1:45" ht="15" customHeight="1" x14ac:dyDescent="0.2">
      <c r="A35" s="538" t="s">
        <v>295</v>
      </c>
      <c r="B35" s="486" t="s">
        <v>474</v>
      </c>
      <c r="C35" s="487">
        <v>28</v>
      </c>
      <c r="D35" s="488"/>
      <c r="E35" s="488"/>
      <c r="F35" s="488"/>
      <c r="G35" s="489"/>
      <c r="H35" s="488"/>
      <c r="I35" s="488"/>
      <c r="J35" s="478">
        <f t="shared" si="7"/>
        <v>0</v>
      </c>
      <c r="K35" s="490"/>
      <c r="L35" s="490"/>
      <c r="M35" s="502"/>
      <c r="N35" s="491"/>
      <c r="O35" s="503"/>
      <c r="P35" s="492"/>
      <c r="Q35" s="490"/>
      <c r="R35" s="490"/>
      <c r="S35" s="493"/>
      <c r="T35" s="488"/>
      <c r="U35" s="488"/>
      <c r="V35" s="494"/>
      <c r="W35" s="490"/>
      <c r="X35" s="489"/>
      <c r="Y35" s="495"/>
      <c r="Z35" s="488"/>
      <c r="AA35" s="492"/>
      <c r="AB35" s="491"/>
      <c r="AC35" s="496"/>
      <c r="AD35" s="492"/>
      <c r="AE35" s="497"/>
      <c r="AF35" s="497"/>
      <c r="AG35" s="477">
        <f t="shared" si="2"/>
        <v>0</v>
      </c>
      <c r="AH35" s="477">
        <f t="shared" si="3"/>
        <v>0</v>
      </c>
      <c r="AI35" s="480">
        <v>0</v>
      </c>
      <c r="AJ35" s="481" t="s">
        <v>593</v>
      </c>
      <c r="AS35" s="215" t="s">
        <v>363</v>
      </c>
    </row>
    <row r="36" spans="1:45" ht="15" customHeight="1" x14ac:dyDescent="0.2">
      <c r="A36" s="539" t="s">
        <v>296</v>
      </c>
      <c r="B36" s="486" t="s">
        <v>473</v>
      </c>
      <c r="C36" s="487">
        <v>29</v>
      </c>
      <c r="D36" s="488"/>
      <c r="E36" s="488"/>
      <c r="F36" s="488"/>
      <c r="G36" s="489"/>
      <c r="H36" s="488"/>
      <c r="I36" s="488"/>
      <c r="J36" s="478">
        <f t="shared" si="7"/>
        <v>0</v>
      </c>
      <c r="K36" s="490"/>
      <c r="L36" s="490"/>
      <c r="M36" s="502"/>
      <c r="N36" s="491"/>
      <c r="O36" s="503"/>
      <c r="P36" s="492"/>
      <c r="Q36" s="490"/>
      <c r="R36" s="490"/>
      <c r="S36" s="493"/>
      <c r="T36" s="488"/>
      <c r="U36" s="488"/>
      <c r="V36" s="494"/>
      <c r="W36" s="490"/>
      <c r="X36" s="489"/>
      <c r="Y36" s="495"/>
      <c r="Z36" s="488"/>
      <c r="AA36" s="492"/>
      <c r="AB36" s="491"/>
      <c r="AC36" s="496"/>
      <c r="AD36" s="492"/>
      <c r="AE36" s="497"/>
      <c r="AF36" s="497"/>
      <c r="AG36" s="477">
        <f t="shared" si="2"/>
        <v>0</v>
      </c>
      <c r="AH36" s="477">
        <f t="shared" si="3"/>
        <v>0</v>
      </c>
      <c r="AI36" s="480">
        <v>0</v>
      </c>
      <c r="AJ36" s="481" t="s">
        <v>593</v>
      </c>
      <c r="AS36" s="215" t="s">
        <v>364</v>
      </c>
    </row>
    <row r="37" spans="1:45" ht="15" customHeight="1" x14ac:dyDescent="0.2">
      <c r="A37" s="538" t="s">
        <v>594</v>
      </c>
      <c r="B37" s="486" t="s">
        <v>474</v>
      </c>
      <c r="C37" s="487">
        <v>30</v>
      </c>
      <c r="D37" s="488"/>
      <c r="E37" s="488"/>
      <c r="F37" s="488"/>
      <c r="G37" s="489"/>
      <c r="H37" s="488"/>
      <c r="I37" s="488"/>
      <c r="J37" s="478">
        <f t="shared" si="7"/>
        <v>0</v>
      </c>
      <c r="K37" s="490"/>
      <c r="L37" s="490"/>
      <c r="M37" s="502"/>
      <c r="N37" s="491"/>
      <c r="O37" s="503"/>
      <c r="P37" s="492"/>
      <c r="Q37" s="490"/>
      <c r="R37" s="490"/>
      <c r="S37" s="493"/>
      <c r="T37" s="488"/>
      <c r="U37" s="488"/>
      <c r="V37" s="494"/>
      <c r="W37" s="490"/>
      <c r="X37" s="489"/>
      <c r="Y37" s="495"/>
      <c r="Z37" s="488"/>
      <c r="AA37" s="492"/>
      <c r="AB37" s="491"/>
      <c r="AC37" s="496"/>
      <c r="AD37" s="492"/>
      <c r="AE37" s="497"/>
      <c r="AF37" s="497"/>
      <c r="AG37" s="477">
        <f t="shared" si="2"/>
        <v>0</v>
      </c>
      <c r="AH37" s="477">
        <f t="shared" si="3"/>
        <v>0</v>
      </c>
      <c r="AI37" s="480">
        <v>0</v>
      </c>
      <c r="AJ37" s="481" t="s">
        <v>593</v>
      </c>
      <c r="AS37" s="215" t="s">
        <v>365</v>
      </c>
    </row>
    <row r="38" spans="1:45" ht="15" customHeight="1" x14ac:dyDescent="0.2">
      <c r="A38" s="539" t="s">
        <v>297</v>
      </c>
      <c r="B38" s="486" t="s">
        <v>473</v>
      </c>
      <c r="C38" s="487">
        <v>31</v>
      </c>
      <c r="D38" s="488">
        <v>2151</v>
      </c>
      <c r="E38" s="488"/>
      <c r="F38" s="488"/>
      <c r="G38" s="489"/>
      <c r="H38" s="488"/>
      <c r="I38" s="488"/>
      <c r="J38" s="478">
        <f t="shared" si="7"/>
        <v>2151</v>
      </c>
      <c r="K38" s="490"/>
      <c r="L38" s="490"/>
      <c r="M38" s="502"/>
      <c r="N38" s="491">
        <v>152</v>
      </c>
      <c r="O38" s="503"/>
      <c r="P38" s="492">
        <v>152</v>
      </c>
      <c r="Q38" s="490"/>
      <c r="R38" s="490"/>
      <c r="S38" s="493">
        <v>60</v>
      </c>
      <c r="T38" s="488"/>
      <c r="U38" s="488">
        <v>60</v>
      </c>
      <c r="V38" s="494"/>
      <c r="W38" s="490"/>
      <c r="X38" s="489"/>
      <c r="Y38" s="495"/>
      <c r="Z38" s="488"/>
      <c r="AA38" s="492"/>
      <c r="AB38" s="491"/>
      <c r="AC38" s="496"/>
      <c r="AD38" s="492"/>
      <c r="AE38" s="497"/>
      <c r="AF38" s="497"/>
      <c r="AG38" s="477">
        <f t="shared" si="2"/>
        <v>212</v>
      </c>
      <c r="AH38" s="477">
        <f t="shared" si="3"/>
        <v>2363</v>
      </c>
      <c r="AI38" s="480">
        <v>0</v>
      </c>
      <c r="AJ38" s="481" t="s">
        <v>593</v>
      </c>
      <c r="AS38" s="215" t="s">
        <v>366</v>
      </c>
    </row>
    <row r="39" spans="1:45" ht="15" customHeight="1" x14ac:dyDescent="0.2">
      <c r="A39" s="538" t="s">
        <v>594</v>
      </c>
      <c r="B39" s="486" t="s">
        <v>474</v>
      </c>
      <c r="C39" s="487">
        <v>32</v>
      </c>
      <c r="D39" s="488">
        <v>2259</v>
      </c>
      <c r="E39" s="488"/>
      <c r="F39" s="488"/>
      <c r="G39" s="489"/>
      <c r="H39" s="488"/>
      <c r="I39" s="488"/>
      <c r="J39" s="478">
        <f t="shared" si="7"/>
        <v>2259</v>
      </c>
      <c r="K39" s="490"/>
      <c r="L39" s="490"/>
      <c r="M39" s="502"/>
      <c r="N39" s="491">
        <v>152</v>
      </c>
      <c r="O39" s="503"/>
      <c r="P39" s="492">
        <v>152</v>
      </c>
      <c r="Q39" s="490"/>
      <c r="R39" s="490"/>
      <c r="S39" s="493">
        <v>60</v>
      </c>
      <c r="T39" s="488"/>
      <c r="U39" s="488">
        <v>60</v>
      </c>
      <c r="V39" s="494"/>
      <c r="W39" s="490"/>
      <c r="X39" s="489"/>
      <c r="Y39" s="495"/>
      <c r="Z39" s="488"/>
      <c r="AA39" s="492"/>
      <c r="AB39" s="491"/>
      <c r="AC39" s="496"/>
      <c r="AD39" s="492"/>
      <c r="AE39" s="497"/>
      <c r="AF39" s="497"/>
      <c r="AG39" s="477">
        <f t="shared" si="2"/>
        <v>212</v>
      </c>
      <c r="AH39" s="477">
        <f t="shared" si="3"/>
        <v>2471</v>
      </c>
      <c r="AI39" s="480">
        <v>0</v>
      </c>
      <c r="AJ39" s="481" t="s">
        <v>593</v>
      </c>
      <c r="AS39" s="215" t="s">
        <v>367</v>
      </c>
    </row>
    <row r="40" spans="1:45" ht="15" customHeight="1" x14ac:dyDescent="0.2">
      <c r="A40" s="539" t="s">
        <v>298</v>
      </c>
      <c r="B40" s="486" t="s">
        <v>473</v>
      </c>
      <c r="C40" s="487">
        <v>33</v>
      </c>
      <c r="D40" s="488">
        <v>112</v>
      </c>
      <c r="E40" s="488"/>
      <c r="F40" s="488"/>
      <c r="G40" s="489"/>
      <c r="H40" s="488"/>
      <c r="I40" s="488"/>
      <c r="J40" s="478">
        <f t="shared" si="7"/>
        <v>112</v>
      </c>
      <c r="K40" s="490"/>
      <c r="L40" s="490"/>
      <c r="M40" s="502"/>
      <c r="N40" s="491">
        <v>45</v>
      </c>
      <c r="O40" s="503"/>
      <c r="P40" s="492">
        <v>45</v>
      </c>
      <c r="Q40" s="490"/>
      <c r="R40" s="490"/>
      <c r="S40" s="493">
        <v>10</v>
      </c>
      <c r="T40" s="488"/>
      <c r="U40" s="488">
        <v>10</v>
      </c>
      <c r="V40" s="494"/>
      <c r="W40" s="490">
        <v>60</v>
      </c>
      <c r="X40" s="489"/>
      <c r="Y40" s="495">
        <v>60</v>
      </c>
      <c r="Z40" s="488"/>
      <c r="AA40" s="492">
        <v>60</v>
      </c>
      <c r="AB40" s="491"/>
      <c r="AC40" s="496"/>
      <c r="AD40" s="492"/>
      <c r="AE40" s="497"/>
      <c r="AF40" s="497">
        <v>40</v>
      </c>
      <c r="AG40" s="477">
        <f t="shared" si="2"/>
        <v>155</v>
      </c>
      <c r="AH40" s="477">
        <f t="shared" si="3"/>
        <v>267</v>
      </c>
      <c r="AI40" s="480">
        <v>0</v>
      </c>
      <c r="AJ40" s="481" t="s">
        <v>593</v>
      </c>
      <c r="AS40" s="215" t="s">
        <v>368</v>
      </c>
    </row>
    <row r="41" spans="1:45" ht="15" customHeight="1" x14ac:dyDescent="0.2">
      <c r="A41" s="538" t="s">
        <v>594</v>
      </c>
      <c r="B41" s="486" t="s">
        <v>474</v>
      </c>
      <c r="C41" s="487">
        <v>34</v>
      </c>
      <c r="D41" s="488">
        <v>4</v>
      </c>
      <c r="E41" s="488"/>
      <c r="F41" s="488"/>
      <c r="G41" s="489"/>
      <c r="H41" s="488"/>
      <c r="I41" s="488"/>
      <c r="J41" s="478">
        <f t="shared" si="7"/>
        <v>4</v>
      </c>
      <c r="K41" s="490"/>
      <c r="L41" s="490"/>
      <c r="M41" s="502"/>
      <c r="N41" s="491">
        <v>45</v>
      </c>
      <c r="O41" s="503"/>
      <c r="P41" s="492">
        <v>45</v>
      </c>
      <c r="Q41" s="490"/>
      <c r="R41" s="490"/>
      <c r="S41" s="493">
        <v>12</v>
      </c>
      <c r="T41" s="488"/>
      <c r="U41" s="488">
        <v>12</v>
      </c>
      <c r="V41" s="494"/>
      <c r="W41" s="490">
        <v>65</v>
      </c>
      <c r="X41" s="489"/>
      <c r="Y41" s="495">
        <v>65</v>
      </c>
      <c r="Z41" s="488"/>
      <c r="AA41" s="492">
        <v>65</v>
      </c>
      <c r="AB41" s="491"/>
      <c r="AC41" s="496"/>
      <c r="AD41" s="492"/>
      <c r="AE41" s="497"/>
      <c r="AF41" s="497"/>
      <c r="AG41" s="477">
        <f t="shared" si="2"/>
        <v>122</v>
      </c>
      <c r="AH41" s="477">
        <f t="shared" si="3"/>
        <v>126</v>
      </c>
      <c r="AI41" s="480">
        <v>0</v>
      </c>
      <c r="AJ41" s="481" t="s">
        <v>593</v>
      </c>
      <c r="AS41" s="215" t="s">
        <v>369</v>
      </c>
    </row>
    <row r="42" spans="1:45" s="210" customFormat="1" ht="22.5" customHeight="1" x14ac:dyDescent="0.2">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540"/>
      <c r="AJ42" s="130"/>
    </row>
    <row r="43" spans="1:45" s="163" customFormat="1" ht="22.5" customHeight="1" x14ac:dyDescent="0.2">
      <c r="B43" s="541"/>
      <c r="C43" s="541"/>
      <c r="AI43" s="540"/>
      <c r="AJ43" s="130"/>
    </row>
    <row r="44" spans="1:45" s="163" customFormat="1" ht="22.5" customHeight="1" x14ac:dyDescent="0.2">
      <c r="A44" s="446"/>
      <c r="B44" s="541"/>
      <c r="C44" s="541"/>
      <c r="AI44" s="540"/>
      <c r="AJ44" s="130"/>
    </row>
    <row r="45" spans="1:45" s="163" customFormat="1" x14ac:dyDescent="0.2">
      <c r="A45" s="446"/>
      <c r="B45" s="541"/>
      <c r="C45" s="541"/>
      <c r="H45" s="438"/>
      <c r="O45" s="438"/>
      <c r="U45" s="438"/>
      <c r="W45" s="164"/>
      <c r="Z45" s="164"/>
      <c r="AI45" s="540"/>
      <c r="AJ45" s="130"/>
    </row>
    <row r="46" spans="1:45" x14ac:dyDescent="0.2">
      <c r="A46" s="542" t="s">
        <v>607</v>
      </c>
      <c r="B46" s="165"/>
      <c r="C46" s="165"/>
      <c r="F46" s="446"/>
      <c r="I46" s="389">
        <f>(J9-J8)-MOS_Table_1!J21</f>
        <v>-2</v>
      </c>
      <c r="J46" s="441" t="str">
        <f>IF(I46=0,"OK","Closing stock minus Opening stock levels on National territory does not equal Stock changes in Table 1 for Total.")</f>
        <v>Closing stock minus Opening stock levels on National territory does not equal Stock changes in Table 1 for Total.</v>
      </c>
      <c r="AI46" s="540"/>
    </row>
    <row r="47" spans="1:45" x14ac:dyDescent="0.2">
      <c r="A47" s="441" t="s">
        <v>299</v>
      </c>
      <c r="B47" s="165"/>
      <c r="C47" s="165"/>
      <c r="F47" s="446"/>
      <c r="I47" s="543">
        <f>(AG9-AG8)-MOS_Table_2!AC17</f>
        <v>1</v>
      </c>
      <c r="J47" s="441" t="str">
        <f>IF(I47=0,"OK","Closing stock minus Opening stock levels on National territory does not equal Stock changes in Table 2 for Total Products.")</f>
        <v>Closing stock minus Opening stock levels on National territory does not equal Stock changes in Table 2 for Total Products.</v>
      </c>
      <c r="AI47" s="540"/>
    </row>
    <row r="48" spans="1:45" x14ac:dyDescent="0.2">
      <c r="AI48" s="540"/>
    </row>
    <row r="49" spans="35:35" x14ac:dyDescent="0.2">
      <c r="AI49" s="540"/>
    </row>
    <row r="50" spans="35:35" x14ac:dyDescent="0.2">
      <c r="AI50" s="540"/>
    </row>
    <row r="51" spans="35:35" x14ac:dyDescent="0.2">
      <c r="AI51" s="540"/>
    </row>
    <row r="52" spans="35:35" x14ac:dyDescent="0.2">
      <c r="AI52" s="540"/>
    </row>
    <row r="53" spans="35:35" x14ac:dyDescent="0.2">
      <c r="AI53" s="540"/>
    </row>
    <row r="54" spans="35:35" x14ac:dyDescent="0.2">
      <c r="AI54" s="540"/>
    </row>
    <row r="55" spans="35:35" x14ac:dyDescent="0.2">
      <c r="AI55" s="540"/>
    </row>
    <row r="56" spans="35:35" x14ac:dyDescent="0.2">
      <c r="AI56" s="540"/>
    </row>
    <row r="57" spans="35:35" x14ac:dyDescent="0.2">
      <c r="AI57" s="540"/>
    </row>
    <row r="58" spans="35:35" x14ac:dyDescent="0.2">
      <c r="AI58" s="540"/>
    </row>
    <row r="59" spans="35:35" x14ac:dyDescent="0.2">
      <c r="AI59" s="540"/>
    </row>
    <row r="60" spans="35:35" x14ac:dyDescent="0.2">
      <c r="AI60" s="540"/>
    </row>
    <row r="61" spans="35:35" x14ac:dyDescent="0.2">
      <c r="AI61" s="540"/>
    </row>
    <row r="62" spans="35:35" x14ac:dyDescent="0.2">
      <c r="AI62" s="540"/>
    </row>
    <row r="63" spans="35:35" x14ac:dyDescent="0.2">
      <c r="AI63" s="540"/>
    </row>
    <row r="64" spans="35:35" x14ac:dyDescent="0.2">
      <c r="AI64" s="540"/>
    </row>
    <row r="65" spans="35:35" x14ac:dyDescent="0.2">
      <c r="AI65" s="540"/>
    </row>
    <row r="66" spans="35:35" x14ac:dyDescent="0.2">
      <c r="AI66" s="540"/>
    </row>
    <row r="67" spans="35:35" x14ac:dyDescent="0.2">
      <c r="AI67" s="540"/>
    </row>
    <row r="68" spans="35:35" x14ac:dyDescent="0.2">
      <c r="AI68" s="540"/>
    </row>
    <row r="69" spans="35:35" x14ac:dyDescent="0.2">
      <c r="AI69" s="540"/>
    </row>
    <row r="70" spans="35:35" x14ac:dyDescent="0.2">
      <c r="AI70" s="540"/>
    </row>
    <row r="71" spans="35:35" x14ac:dyDescent="0.2">
      <c r="AI71" s="540"/>
    </row>
    <row r="72" spans="35:35" x14ac:dyDescent="0.2">
      <c r="AI72" s="540"/>
    </row>
    <row r="73" spans="35:35" x14ac:dyDescent="0.2">
      <c r="AI73" s="540"/>
    </row>
    <row r="74" spans="35:35" x14ac:dyDescent="0.2">
      <c r="AI74" s="540"/>
    </row>
    <row r="75" spans="35:35" x14ac:dyDescent="0.2">
      <c r="AI75" s="540"/>
    </row>
    <row r="76" spans="35:35" x14ac:dyDescent="0.2">
      <c r="AI76" s="540"/>
    </row>
    <row r="77" spans="35:35" x14ac:dyDescent="0.2">
      <c r="AI77" s="540"/>
    </row>
    <row r="78" spans="35:35" x14ac:dyDescent="0.2">
      <c r="AI78" s="540"/>
    </row>
    <row r="79" spans="35:35" x14ac:dyDescent="0.2">
      <c r="AI79" s="540"/>
    </row>
    <row r="80" spans="35:35" x14ac:dyDescent="0.2">
      <c r="AI80" s="540"/>
    </row>
    <row r="81" spans="35:36" x14ac:dyDescent="0.2">
      <c r="AI81" s="540"/>
    </row>
    <row r="82" spans="35:36" x14ac:dyDescent="0.2">
      <c r="AI82" s="540"/>
    </row>
    <row r="83" spans="35:36" x14ac:dyDescent="0.2">
      <c r="AI83" s="540"/>
    </row>
    <row r="84" spans="35:36" x14ac:dyDescent="0.2">
      <c r="AI84" s="540"/>
    </row>
    <row r="85" spans="35:36" x14ac:dyDescent="0.2">
      <c r="AI85" s="540"/>
    </row>
    <row r="86" spans="35:36" x14ac:dyDescent="0.2">
      <c r="AI86" s="540"/>
    </row>
    <row r="87" spans="35:36" x14ac:dyDescent="0.2">
      <c r="AI87" s="540"/>
    </row>
    <row r="88" spans="35:36" x14ac:dyDescent="0.2">
      <c r="AI88" s="540"/>
    </row>
    <row r="89" spans="35:36" x14ac:dyDescent="0.2">
      <c r="AI89" s="540"/>
    </row>
    <row r="90" spans="35:36" x14ac:dyDescent="0.2">
      <c r="AI90" s="540"/>
    </row>
    <row r="91" spans="35:36" x14ac:dyDescent="0.2">
      <c r="AI91" s="540"/>
    </row>
    <row r="92" spans="35:36" x14ac:dyDescent="0.2">
      <c r="AI92" s="210"/>
    </row>
    <row r="93" spans="35:36" x14ac:dyDescent="0.2">
      <c r="AJ93" s="210"/>
    </row>
    <row r="130" spans="2:34" hidden="1" x14ac:dyDescent="0.2">
      <c r="B130" s="22" t="s">
        <v>308</v>
      </c>
      <c r="D130" s="544" t="s">
        <v>90</v>
      </c>
      <c r="E130" s="544" t="s">
        <v>391</v>
      </c>
      <c r="F130" s="544" t="s">
        <v>304</v>
      </c>
      <c r="G130" s="544" t="s">
        <v>305</v>
      </c>
      <c r="H130" s="544" t="s">
        <v>306</v>
      </c>
      <c r="I130" s="544" t="s">
        <v>307</v>
      </c>
      <c r="J130" s="544" t="s">
        <v>99</v>
      </c>
      <c r="K130" s="544" t="s">
        <v>315</v>
      </c>
      <c r="L130" s="443" t="s">
        <v>393</v>
      </c>
      <c r="M130" s="443" t="s">
        <v>84</v>
      </c>
      <c r="N130" s="443" t="s">
        <v>316</v>
      </c>
      <c r="O130" s="443" t="s">
        <v>317</v>
      </c>
      <c r="P130" s="443" t="s">
        <v>589</v>
      </c>
      <c r="Q130" s="443" t="s">
        <v>318</v>
      </c>
      <c r="R130" s="443" t="s">
        <v>319</v>
      </c>
      <c r="S130" s="443" t="s">
        <v>100</v>
      </c>
      <c r="T130" s="443" t="s">
        <v>590</v>
      </c>
      <c r="U130" s="443" t="s">
        <v>591</v>
      </c>
      <c r="V130" s="443" t="s">
        <v>320</v>
      </c>
      <c r="W130" s="443" t="s">
        <v>321</v>
      </c>
      <c r="X130" s="443" t="s">
        <v>323</v>
      </c>
      <c r="Y130" s="443" t="s">
        <v>88</v>
      </c>
      <c r="Z130" s="443" t="s">
        <v>322</v>
      </c>
      <c r="AA130" s="443" t="s">
        <v>592</v>
      </c>
      <c r="AB130" s="443" t="s">
        <v>89</v>
      </c>
      <c r="AC130" s="443" t="s">
        <v>324</v>
      </c>
      <c r="AD130" s="443" t="s">
        <v>325</v>
      </c>
      <c r="AE130" s="443" t="s">
        <v>326</v>
      </c>
      <c r="AF130" s="443" t="s">
        <v>476</v>
      </c>
      <c r="AG130" s="443" t="s">
        <v>102</v>
      </c>
      <c r="AH130" s="443" t="s">
        <v>336</v>
      </c>
    </row>
  </sheetData>
  <sheetProtection algorithmName="SHA-512" hashValue="Wo7GJ4tFa+t49eZmi4x0+BrP39YLFqU3Mpk1ZlJMoHQQOzHi16RVdQg8zTbYombP5MHfcdXw5C8gvTiV+wpSAQ==" saltValue="uHhBo54zkRpqcXxjolHSpA==" spinCount="100000" sheet="1" objects="1" scenarios="1"/>
  <mergeCells count="21">
    <mergeCell ref="R5:R6"/>
    <mergeCell ref="D5:D6"/>
    <mergeCell ref="E5:E6"/>
    <mergeCell ref="F5:F6"/>
    <mergeCell ref="G5:G6"/>
    <mergeCell ref="I5:I6"/>
    <mergeCell ref="J5:J6"/>
    <mergeCell ref="K5:K6"/>
    <mergeCell ref="L5:L6"/>
    <mergeCell ref="M5:M6"/>
    <mergeCell ref="N5:N6"/>
    <mergeCell ref="Q5:Q6"/>
    <mergeCell ref="AG5:AG6"/>
    <mergeCell ref="AH5:AH6"/>
    <mergeCell ref="AJ5:AJ6"/>
    <mergeCell ref="S5:S6"/>
    <mergeCell ref="V5:V6"/>
    <mergeCell ref="Y5:Y6"/>
    <mergeCell ref="AB5:AB6"/>
    <mergeCell ref="AE5:AE6"/>
    <mergeCell ref="AF5:AF6"/>
  </mergeCells>
  <phoneticPr fontId="6" type="noConversion"/>
  <conditionalFormatting sqref="J46:J47">
    <cfRule type="cellIs" dxfId="223" priority="69" stopIfTrue="1" operator="notEqual">
      <formula>"OK"</formula>
    </cfRule>
  </conditionalFormatting>
  <conditionalFormatting sqref="D8:AH41">
    <cfRule type="cellIs" dxfId="222" priority="7" stopIfTrue="1" operator="lessThan">
      <formula>0</formula>
    </cfRule>
  </conditionalFormatting>
  <conditionalFormatting sqref="J8:J41">
    <cfRule type="cellIs" dxfId="221" priority="6" stopIfTrue="1" operator="notEqual">
      <formula>SUM(D8:G8,I8)</formula>
    </cfRule>
  </conditionalFormatting>
  <conditionalFormatting sqref="N8:N41">
    <cfRule type="expression" dxfId="220" priority="15" stopIfTrue="1">
      <formula>AND(O8+P8=0,N8&lt;&gt;0)</formula>
    </cfRule>
    <cfRule type="cellIs" dxfId="219" priority="17" stopIfTrue="1" operator="notEqual">
      <formula>O8+P8</formula>
    </cfRule>
  </conditionalFormatting>
  <conditionalFormatting sqref="S8:S41">
    <cfRule type="expression" dxfId="218" priority="13" stopIfTrue="1">
      <formula>AND(T8+U8=0,S8&lt;&gt;0)</formula>
    </cfRule>
    <cfRule type="cellIs" dxfId="217" priority="14" stopIfTrue="1" operator="notEqual">
      <formula>T8+U8</formula>
    </cfRule>
  </conditionalFormatting>
  <conditionalFormatting sqref="Y8:Y41">
    <cfRule type="expression" dxfId="216" priority="11" stopIfTrue="1">
      <formula>OR(AND(OR(W8&lt;&gt;0,X8&lt;&gt;0),Y8&lt;&gt;W8+X8),AND(OR(Z8&lt;&gt;0,AA8&lt;&gt;0),Y8&lt;&gt;Z8+AA8))</formula>
    </cfRule>
    <cfRule type="expression" dxfId="215" priority="12" stopIfTrue="1">
      <formula>OR(AND(W8+X8=0,Y8&lt;&gt;0),AND(Z8+AA8=0,Y8&lt;&gt;0))</formula>
    </cfRule>
  </conditionalFormatting>
  <conditionalFormatting sqref="AB8:AB41">
    <cfRule type="expression" dxfId="214" priority="9" stopIfTrue="1">
      <formula>AND(AC8+AD8=0,AB8&lt;&gt;0)</formula>
    </cfRule>
    <cfRule type="cellIs" dxfId="213" priority="10" stopIfTrue="1" operator="notEqual">
      <formula>AC8+AD8</formula>
    </cfRule>
  </conditionalFormatting>
  <conditionalFormatting sqref="AG8:AG41">
    <cfRule type="cellIs" dxfId="212" priority="5" stopIfTrue="1" operator="notEqual">
      <formula>SUM(K8:N8,Q8:S8,V8,Y8,AB8,AE8:AF8)</formula>
    </cfRule>
  </conditionalFormatting>
  <conditionalFormatting sqref="AH8:AH41">
    <cfRule type="cellIs" dxfId="211" priority="2" stopIfTrue="1" operator="notEqual">
      <formula>J8+AG8</formula>
    </cfRule>
  </conditionalFormatting>
  <conditionalFormatting sqref="D8:AH9">
    <cfRule type="cellIs" dxfId="210" priority="4" stopIfTrue="1" operator="notEqual">
      <formula>SUM(D10,D12,D14,D16,D18,D20,D22,D24)</formula>
    </cfRule>
  </conditionalFormatting>
  <conditionalFormatting sqref="D30:AH31">
    <cfRule type="cellIs" dxfId="209" priority="3" stopIfTrue="1" operator="notEqual">
      <formula>SUM(D8,D26,D28)-SUM(D10,D12)</formula>
    </cfRule>
  </conditionalFormatting>
  <conditionalFormatting sqref="D26:AH27">
    <cfRule type="cellIs" dxfId="208" priority="8" stopIfTrue="1" operator="notEqual">
      <formula>SUM(D36,D38,D40)</formula>
    </cfRule>
  </conditionalFormatting>
  <conditionalFormatting sqref="H8:H41">
    <cfRule type="cellIs" dxfId="207" priority="1" stopIfTrue="1" operator="greaterThan">
      <formula>G8</formula>
    </cfRule>
  </conditionalFormatting>
  <pageMargins left="0.4" right="0.17" top="1" bottom="1" header="0.5" footer="0.5"/>
  <pageSetup paperSize="9" scale="42" orientation="landscape" r:id="rId1"/>
  <headerFooter alignWithMargins="0">
    <oddHeader>&amp;A</oddHeader>
    <oddFooter>&amp;L&amp;F&amp;CPage &amp;P&amp;R&amp;D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tabColor indexed="42"/>
    <pageSetUpPr fitToPage="1"/>
  </sheetPr>
  <dimension ref="B1:E41"/>
  <sheetViews>
    <sheetView showGridLines="0" workbookViewId="0">
      <pane ySplit="2" topLeftCell="A3" activePane="bottomLeft" state="frozen"/>
      <selection pane="bottomLeft"/>
    </sheetView>
  </sheetViews>
  <sheetFormatPr defaultRowHeight="14.25" x14ac:dyDescent="0.2"/>
  <cols>
    <col min="1" max="1" width="2.85546875" style="740" customWidth="1"/>
    <col min="2" max="2" width="33" style="740" customWidth="1"/>
    <col min="3" max="3" width="96.28515625" style="740" customWidth="1"/>
    <col min="4" max="4" width="0.5703125" style="740" customWidth="1"/>
    <col min="5" max="16384" width="9.140625" style="740"/>
  </cols>
  <sheetData>
    <row r="1" spans="2:4" ht="8.25" customHeight="1" thickBot="1" x14ac:dyDescent="0.25"/>
    <row r="2" spans="2:4" ht="33" customHeight="1" thickBot="1" x14ac:dyDescent="0.25">
      <c r="B2" s="789" t="str">
        <f>JODI_Oil!C2&amp;" - Definitions"</f>
        <v>Joint Organisations Data Initiative - Oil - Definitions</v>
      </c>
      <c r="C2" s="741"/>
    </row>
    <row r="3" spans="2:4" ht="15" customHeight="1" x14ac:dyDescent="0.25">
      <c r="D3" s="742"/>
    </row>
    <row r="4" spans="2:4" ht="21" customHeight="1" x14ac:dyDescent="0.2">
      <c r="B4" s="743" t="s">
        <v>447</v>
      </c>
      <c r="C4" s="744"/>
    </row>
    <row r="5" spans="2:4" ht="15" customHeight="1" x14ac:dyDescent="0.2">
      <c r="B5" s="754" t="s">
        <v>634</v>
      </c>
      <c r="C5" s="745" t="s">
        <v>635</v>
      </c>
    </row>
    <row r="6" spans="2:4" ht="15" customHeight="1" x14ac:dyDescent="0.2">
      <c r="B6" s="754" t="s">
        <v>441</v>
      </c>
      <c r="C6" s="745" t="s">
        <v>636</v>
      </c>
    </row>
    <row r="7" spans="2:4" ht="15" customHeight="1" x14ac:dyDescent="0.2">
      <c r="B7" s="754" t="s">
        <v>442</v>
      </c>
      <c r="C7" s="745" t="s">
        <v>637</v>
      </c>
    </row>
    <row r="8" spans="2:4" ht="29.25" customHeight="1" x14ac:dyDescent="0.2">
      <c r="B8" s="754" t="s">
        <v>443</v>
      </c>
      <c r="C8" s="745" t="s">
        <v>638</v>
      </c>
    </row>
    <row r="9" spans="2:4" ht="15" customHeight="1" x14ac:dyDescent="0.2">
      <c r="B9" s="754" t="s">
        <v>444</v>
      </c>
      <c r="C9" s="745" t="s">
        <v>639</v>
      </c>
    </row>
    <row r="10" spans="2:4" ht="31.5" customHeight="1" x14ac:dyDescent="0.2">
      <c r="B10" s="754" t="s">
        <v>445</v>
      </c>
      <c r="C10" s="745" t="s">
        <v>729</v>
      </c>
    </row>
    <row r="11" spans="2:4" ht="32.25" customHeight="1" x14ac:dyDescent="0.2">
      <c r="B11" s="754" t="s">
        <v>446</v>
      </c>
      <c r="C11" s="745" t="s">
        <v>654</v>
      </c>
    </row>
    <row r="12" spans="2:4" ht="15" customHeight="1" x14ac:dyDescent="0.2">
      <c r="B12" s="754" t="s">
        <v>641</v>
      </c>
      <c r="C12" s="745" t="s">
        <v>653</v>
      </c>
    </row>
    <row r="13" spans="2:4" ht="30.75" customHeight="1" x14ac:dyDescent="0.2">
      <c r="B13" s="754" t="s">
        <v>642</v>
      </c>
      <c r="C13" s="745" t="s">
        <v>640</v>
      </c>
    </row>
    <row r="14" spans="2:4" ht="15" customHeight="1" x14ac:dyDescent="0.2">
      <c r="B14" s="754" t="s">
        <v>643</v>
      </c>
      <c r="C14" s="745" t="s">
        <v>644</v>
      </c>
    </row>
    <row r="15" spans="2:4" ht="15" customHeight="1" x14ac:dyDescent="0.2">
      <c r="B15" s="754" t="s">
        <v>645</v>
      </c>
      <c r="C15" s="745" t="s">
        <v>646</v>
      </c>
    </row>
    <row r="16" spans="2:4" ht="28.5" x14ac:dyDescent="0.2">
      <c r="B16" s="754" t="s">
        <v>647</v>
      </c>
      <c r="C16" s="745" t="s">
        <v>730</v>
      </c>
    </row>
    <row r="17" spans="2:5" ht="42.75" x14ac:dyDescent="0.2">
      <c r="B17" s="754" t="s">
        <v>648</v>
      </c>
      <c r="C17" s="745" t="s">
        <v>731</v>
      </c>
    </row>
    <row r="18" spans="2:5" ht="14.25" customHeight="1" x14ac:dyDescent="0.2">
      <c r="B18" s="746"/>
      <c r="C18" s="747"/>
    </row>
    <row r="19" spans="2:5" ht="18.75" customHeight="1" x14ac:dyDescent="0.2">
      <c r="B19" s="748" t="s">
        <v>448</v>
      </c>
      <c r="C19" s="749"/>
    </row>
    <row r="20" spans="2:5" ht="28.5" x14ac:dyDescent="0.2">
      <c r="B20" s="755" t="s">
        <v>437</v>
      </c>
      <c r="C20" s="756" t="s">
        <v>719</v>
      </c>
    </row>
    <row r="21" spans="2:5" ht="28.5" x14ac:dyDescent="0.2">
      <c r="B21" s="755" t="s">
        <v>620</v>
      </c>
      <c r="C21" s="756" t="s">
        <v>718</v>
      </c>
    </row>
    <row r="22" spans="2:5" ht="28.5" x14ac:dyDescent="0.2">
      <c r="B22" s="755" t="s">
        <v>438</v>
      </c>
      <c r="C22" s="756" t="s">
        <v>720</v>
      </c>
    </row>
    <row r="23" spans="2:5" ht="28.5" x14ac:dyDescent="0.2">
      <c r="B23" s="755" t="s">
        <v>649</v>
      </c>
      <c r="C23" s="756" t="s">
        <v>728</v>
      </c>
    </row>
    <row r="24" spans="2:5" ht="34.5" customHeight="1" x14ac:dyDescent="0.2">
      <c r="B24" s="755" t="s">
        <v>622</v>
      </c>
      <c r="C24" s="756" t="s">
        <v>717</v>
      </c>
    </row>
    <row r="25" spans="2:5" ht="28.5" x14ac:dyDescent="0.2">
      <c r="B25" s="755" t="s">
        <v>650</v>
      </c>
      <c r="C25" s="756" t="s">
        <v>721</v>
      </c>
      <c r="D25" s="750"/>
    </row>
    <row r="26" spans="2:5" ht="15" customHeight="1" x14ac:dyDescent="0.2">
      <c r="B26" s="755" t="s">
        <v>272</v>
      </c>
      <c r="C26" s="756" t="s">
        <v>651</v>
      </c>
      <c r="D26" s="750"/>
    </row>
    <row r="27" spans="2:5" ht="15" customHeight="1" x14ac:dyDescent="0.2">
      <c r="B27" s="755" t="s">
        <v>624</v>
      </c>
      <c r="C27" s="756" t="s">
        <v>652</v>
      </c>
    </row>
    <row r="28" spans="2:5" ht="30.75" customHeight="1" x14ac:dyDescent="0.2">
      <c r="B28" s="755" t="s">
        <v>412</v>
      </c>
      <c r="C28" s="756" t="s">
        <v>722</v>
      </c>
    </row>
    <row r="29" spans="2:5" ht="15" customHeight="1" x14ac:dyDescent="0.2">
      <c r="B29" s="755" t="s">
        <v>439</v>
      </c>
      <c r="C29" s="756" t="s">
        <v>723</v>
      </c>
      <c r="E29" s="750"/>
    </row>
    <row r="30" spans="2:5" ht="42.75" x14ac:dyDescent="0.2">
      <c r="B30" s="755" t="s">
        <v>430</v>
      </c>
      <c r="C30" s="756" t="s">
        <v>724</v>
      </c>
    </row>
    <row r="31" spans="2:5" ht="31.5" customHeight="1" x14ac:dyDescent="0.2">
      <c r="B31" s="755" t="s">
        <v>625</v>
      </c>
      <c r="C31" s="756" t="s">
        <v>725</v>
      </c>
      <c r="E31" s="750"/>
    </row>
    <row r="32" spans="2:5" ht="57" x14ac:dyDescent="0.2">
      <c r="B32" s="755" t="s">
        <v>435</v>
      </c>
      <c r="C32" s="756" t="s">
        <v>726</v>
      </c>
    </row>
    <row r="33" spans="2:3" ht="44.25" customHeight="1" x14ac:dyDescent="0.2">
      <c r="B33" s="755" t="s">
        <v>440</v>
      </c>
      <c r="C33" s="751" t="s">
        <v>727</v>
      </c>
    </row>
    <row r="35" spans="2:3" x14ac:dyDescent="0.2">
      <c r="C35" s="747"/>
    </row>
    <row r="36" spans="2:3" x14ac:dyDescent="0.2">
      <c r="C36" s="747"/>
    </row>
    <row r="37" spans="2:3" x14ac:dyDescent="0.2">
      <c r="C37" s="747"/>
    </row>
    <row r="38" spans="2:3" x14ac:dyDescent="0.2">
      <c r="C38" s="747"/>
    </row>
    <row r="39" spans="2:3" x14ac:dyDescent="0.2">
      <c r="C39" s="747"/>
    </row>
    <row r="40" spans="2:3" x14ac:dyDescent="0.2">
      <c r="B40" s="752"/>
      <c r="C40" s="753"/>
    </row>
    <row r="41" spans="2:3" x14ac:dyDescent="0.2">
      <c r="B41" s="752"/>
      <c r="C41" s="752"/>
    </row>
  </sheetData>
  <sheetProtection algorithmName="SHA-512" hashValue="rkw67SZ5QM4dUC23SiRnql+ILRNz7W4OFT/qrLqLlj4OnPFW8+OWmvBcP/RxkhLrUm4Ee6XEMv55h/88i8hfvg==" saltValue="3j69WjCagLXSy+eFj7monw==" spinCount="100000" sheet="1" objects="1" scenarios="1"/>
  <phoneticPr fontId="0" type="noConversion"/>
  <pageMargins left="0.48" right="0.18" top="0.39370078740157483" bottom="0.39370078740157483" header="0.51181102362204722" footer="0.27"/>
  <pageSetup paperSize="149" scale="76" orientation="portrait" r:id="rId1"/>
  <headerFooter alignWithMargins="0"/>
  <rowBreaks count="1" manualBreakCount="1">
    <brk id="18"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tabColor indexed="42"/>
  </sheetPr>
  <dimension ref="B1:D72"/>
  <sheetViews>
    <sheetView showGridLines="0" workbookViewId="0">
      <pane ySplit="2" topLeftCell="A3" activePane="bottomLeft" state="frozen"/>
      <selection pane="bottomLeft"/>
    </sheetView>
  </sheetViews>
  <sheetFormatPr defaultRowHeight="15" x14ac:dyDescent="0.25"/>
  <cols>
    <col min="1" max="1" width="1.5703125" style="740" customWidth="1"/>
    <col min="2" max="2" width="3.42578125" style="757" customWidth="1"/>
    <col min="3" max="3" width="154.140625" style="758" customWidth="1"/>
    <col min="4" max="4" width="9.140625" style="759"/>
    <col min="5" max="16384" width="9.140625" style="740"/>
  </cols>
  <sheetData>
    <row r="1" spans="2:4" ht="5.25" customHeight="1" thickBot="1" x14ac:dyDescent="0.3"/>
    <row r="2" spans="2:4" ht="25.5" customHeight="1" thickBot="1" x14ac:dyDescent="0.3">
      <c r="B2" s="760"/>
      <c r="C2" s="786" t="s">
        <v>10</v>
      </c>
    </row>
    <row r="4" spans="2:4" ht="15.75" x14ac:dyDescent="0.25">
      <c r="B4" s="761"/>
      <c r="C4" s="787" t="s">
        <v>11</v>
      </c>
    </row>
    <row r="5" spans="2:4" x14ac:dyDescent="0.2">
      <c r="B5" s="762" t="s">
        <v>12</v>
      </c>
      <c r="C5" s="763" t="s">
        <v>13</v>
      </c>
      <c r="D5" s="764"/>
    </row>
    <row r="6" spans="2:4" ht="42.75" x14ac:dyDescent="0.25">
      <c r="B6" s="761"/>
      <c r="C6" s="765" t="s">
        <v>9</v>
      </c>
    </row>
    <row r="7" spans="2:4" x14ac:dyDescent="0.2">
      <c r="B7" s="762" t="s">
        <v>14</v>
      </c>
      <c r="C7" s="763" t="s">
        <v>15</v>
      </c>
      <c r="D7" s="764"/>
    </row>
    <row r="8" spans="2:4" ht="28.5" x14ac:dyDescent="0.25">
      <c r="B8" s="761"/>
      <c r="C8" s="765" t="s">
        <v>8</v>
      </c>
    </row>
    <row r="9" spans="2:4" x14ac:dyDescent="0.2">
      <c r="B9" s="762" t="s">
        <v>16</v>
      </c>
      <c r="C9" s="763" t="s">
        <v>17</v>
      </c>
      <c r="D9" s="764"/>
    </row>
    <row r="10" spans="2:4" s="769" customFormat="1" ht="14.25" x14ac:dyDescent="0.2">
      <c r="B10" s="766"/>
      <c r="C10" s="767" t="s">
        <v>18</v>
      </c>
      <c r="D10" s="768"/>
    </row>
    <row r="11" spans="2:4" ht="42.75" x14ac:dyDescent="0.25">
      <c r="B11" s="761"/>
      <c r="C11" s="770" t="s">
        <v>7</v>
      </c>
    </row>
    <row r="12" spans="2:4" s="769" customFormat="1" ht="14.25" x14ac:dyDescent="0.2">
      <c r="B12" s="766"/>
      <c r="C12" s="767" t="s">
        <v>19</v>
      </c>
      <c r="D12" s="768"/>
    </row>
    <row r="13" spans="2:4" x14ac:dyDescent="0.25">
      <c r="B13" s="761"/>
      <c r="C13" s="771" t="s">
        <v>6</v>
      </c>
    </row>
    <row r="14" spans="2:4" ht="15" customHeight="1" x14ac:dyDescent="0.25">
      <c r="B14" s="761"/>
      <c r="C14" s="772" t="s">
        <v>20</v>
      </c>
    </row>
    <row r="15" spans="2:4" x14ac:dyDescent="0.25">
      <c r="B15" s="761"/>
      <c r="C15" s="772" t="s">
        <v>21</v>
      </c>
    </row>
    <row r="16" spans="2:4" x14ac:dyDescent="0.25">
      <c r="B16" s="761"/>
      <c r="C16" s="772" t="s">
        <v>22</v>
      </c>
    </row>
    <row r="17" spans="2:4" s="774" customFormat="1" ht="14.25" x14ac:dyDescent="0.2">
      <c r="B17" s="766"/>
      <c r="C17" s="773" t="s">
        <v>23</v>
      </c>
      <c r="D17" s="768"/>
    </row>
    <row r="18" spans="2:4" x14ac:dyDescent="0.25">
      <c r="B18" s="761"/>
      <c r="C18" s="771" t="s">
        <v>24</v>
      </c>
    </row>
    <row r="19" spans="2:4" x14ac:dyDescent="0.25">
      <c r="B19" s="761"/>
      <c r="C19" s="772" t="s">
        <v>25</v>
      </c>
    </row>
    <row r="20" spans="2:4" ht="28.5" x14ac:dyDescent="0.25">
      <c r="B20" s="761"/>
      <c r="C20" s="772" t="s">
        <v>26</v>
      </c>
    </row>
    <row r="21" spans="2:4" x14ac:dyDescent="0.25">
      <c r="B21" s="761"/>
      <c r="C21" s="772" t="s">
        <v>27</v>
      </c>
    </row>
    <row r="22" spans="2:4" x14ac:dyDescent="0.25">
      <c r="B22" s="761"/>
      <c r="C22" s="772" t="s">
        <v>28</v>
      </c>
    </row>
    <row r="23" spans="2:4" x14ac:dyDescent="0.25">
      <c r="B23" s="761"/>
      <c r="C23" s="772" t="s">
        <v>29</v>
      </c>
    </row>
    <row r="24" spans="2:4" x14ac:dyDescent="0.25">
      <c r="B24" s="761"/>
      <c r="C24" s="772" t="s">
        <v>655</v>
      </c>
    </row>
    <row r="25" spans="2:4" x14ac:dyDescent="0.25">
      <c r="B25" s="761"/>
      <c r="C25" s="773" t="s">
        <v>30</v>
      </c>
    </row>
    <row r="26" spans="2:4" ht="28.5" x14ac:dyDescent="0.25">
      <c r="B26" s="761"/>
      <c r="C26" s="771" t="s">
        <v>5</v>
      </c>
    </row>
    <row r="27" spans="2:4" x14ac:dyDescent="0.25">
      <c r="B27" s="761"/>
      <c r="C27" s="775"/>
    </row>
    <row r="28" spans="2:4" ht="15.75" x14ac:dyDescent="0.25">
      <c r="B28" s="761"/>
      <c r="C28" s="788" t="s">
        <v>31</v>
      </c>
    </row>
    <row r="29" spans="2:4" x14ac:dyDescent="0.2">
      <c r="B29" s="762" t="s">
        <v>12</v>
      </c>
      <c r="C29" s="763" t="s">
        <v>32</v>
      </c>
      <c r="D29" s="764"/>
    </row>
    <row r="30" spans="2:4" ht="47.25" x14ac:dyDescent="0.25">
      <c r="B30" s="761"/>
      <c r="C30" s="765" t="s">
        <v>732</v>
      </c>
    </row>
    <row r="31" spans="2:4" x14ac:dyDescent="0.2">
      <c r="B31" s="762" t="s">
        <v>14</v>
      </c>
      <c r="C31" s="763" t="s">
        <v>84</v>
      </c>
      <c r="D31" s="764"/>
    </row>
    <row r="32" spans="2:4" ht="45" x14ac:dyDescent="0.25">
      <c r="B32" s="761"/>
      <c r="C32" s="765" t="s">
        <v>733</v>
      </c>
    </row>
    <row r="33" spans="2:4" x14ac:dyDescent="0.2">
      <c r="B33" s="762" t="s">
        <v>16</v>
      </c>
      <c r="C33" s="763" t="s">
        <v>33</v>
      </c>
      <c r="D33" s="764"/>
    </row>
    <row r="34" spans="2:4" x14ac:dyDescent="0.25">
      <c r="B34" s="761"/>
      <c r="C34" s="776" t="s">
        <v>34</v>
      </c>
    </row>
    <row r="35" spans="2:4" s="769" customFormat="1" ht="14.25" x14ac:dyDescent="0.2">
      <c r="B35" s="766"/>
      <c r="C35" s="777" t="s">
        <v>35</v>
      </c>
      <c r="D35" s="768"/>
    </row>
    <row r="36" spans="2:4" ht="30.75" x14ac:dyDescent="0.25">
      <c r="B36" s="761"/>
      <c r="C36" s="778" t="s">
        <v>734</v>
      </c>
    </row>
    <row r="37" spans="2:4" s="769" customFormat="1" ht="14.25" x14ac:dyDescent="0.2">
      <c r="B37" s="766"/>
      <c r="C37" s="777" t="s">
        <v>36</v>
      </c>
      <c r="D37" s="768"/>
    </row>
    <row r="38" spans="2:4" ht="33" x14ac:dyDescent="0.25">
      <c r="B38" s="761"/>
      <c r="C38" s="778" t="s">
        <v>735</v>
      </c>
    </row>
    <row r="39" spans="2:4" s="769" customFormat="1" ht="14.25" x14ac:dyDescent="0.2">
      <c r="B39" s="766"/>
      <c r="C39" s="777" t="s">
        <v>37</v>
      </c>
      <c r="D39" s="768"/>
    </row>
    <row r="40" spans="2:4" ht="30.75" x14ac:dyDescent="0.25">
      <c r="B40" s="761"/>
      <c r="C40" s="778" t="s">
        <v>736</v>
      </c>
    </row>
    <row r="41" spans="2:4" x14ac:dyDescent="0.25">
      <c r="B41" s="779" t="s">
        <v>38</v>
      </c>
      <c r="C41" s="780" t="s">
        <v>39</v>
      </c>
      <c r="D41" s="764"/>
    </row>
    <row r="42" spans="2:4" x14ac:dyDescent="0.25">
      <c r="B42" s="761"/>
      <c r="C42" s="776" t="s">
        <v>40</v>
      </c>
    </row>
    <row r="43" spans="2:4" s="769" customFormat="1" ht="14.25" x14ac:dyDescent="0.2">
      <c r="B43" s="766"/>
      <c r="C43" s="777" t="s">
        <v>41</v>
      </c>
      <c r="D43" s="764"/>
    </row>
    <row r="44" spans="2:4" ht="45" x14ac:dyDescent="0.25">
      <c r="B44" s="761"/>
      <c r="C44" s="778" t="s">
        <v>737</v>
      </c>
    </row>
    <row r="45" spans="2:4" s="769" customFormat="1" ht="14.25" x14ac:dyDescent="0.2">
      <c r="B45" s="766"/>
      <c r="C45" s="777" t="s">
        <v>42</v>
      </c>
      <c r="D45" s="768"/>
    </row>
    <row r="46" spans="2:4" ht="16.5" x14ac:dyDescent="0.25">
      <c r="B46" s="761"/>
      <c r="C46" s="778" t="s">
        <v>738</v>
      </c>
    </row>
    <row r="47" spans="2:4" x14ac:dyDescent="0.25">
      <c r="B47" s="779" t="s">
        <v>43</v>
      </c>
      <c r="C47" s="780" t="s">
        <v>44</v>
      </c>
      <c r="D47" s="764"/>
    </row>
    <row r="48" spans="2:4" ht="30.75" x14ac:dyDescent="0.25">
      <c r="B48" s="761"/>
      <c r="C48" s="765" t="s">
        <v>739</v>
      </c>
    </row>
    <row r="49" spans="2:4" x14ac:dyDescent="0.25">
      <c r="B49" s="779" t="s">
        <v>45</v>
      </c>
      <c r="C49" s="780" t="s">
        <v>46</v>
      </c>
      <c r="D49" s="764"/>
    </row>
    <row r="50" spans="2:4" ht="33" x14ac:dyDescent="0.25">
      <c r="B50" s="761"/>
      <c r="C50" s="765" t="s">
        <v>740</v>
      </c>
    </row>
    <row r="51" spans="2:4" x14ac:dyDescent="0.25">
      <c r="B51" s="779" t="s">
        <v>47</v>
      </c>
      <c r="C51" s="780" t="s">
        <v>48</v>
      </c>
      <c r="D51" s="764"/>
    </row>
    <row r="52" spans="2:4" ht="28.5" x14ac:dyDescent="0.25">
      <c r="B52" s="761"/>
      <c r="C52" s="765" t="s">
        <v>86</v>
      </c>
    </row>
    <row r="53" spans="2:4" s="769" customFormat="1" ht="14.25" x14ac:dyDescent="0.2">
      <c r="B53" s="766"/>
      <c r="C53" s="777" t="s">
        <v>49</v>
      </c>
      <c r="D53" s="768"/>
    </row>
    <row r="54" spans="2:4" ht="28.5" x14ac:dyDescent="0.25">
      <c r="B54" s="761"/>
      <c r="C54" s="778" t="s">
        <v>4</v>
      </c>
    </row>
    <row r="55" spans="2:4" s="769" customFormat="1" ht="14.25" x14ac:dyDescent="0.2">
      <c r="B55" s="766"/>
      <c r="C55" s="777" t="s">
        <v>50</v>
      </c>
      <c r="D55" s="768"/>
    </row>
    <row r="56" spans="2:4" ht="18.75" x14ac:dyDescent="0.25">
      <c r="B56" s="761"/>
      <c r="C56" s="778" t="s">
        <v>741</v>
      </c>
    </row>
    <row r="57" spans="2:4" s="769" customFormat="1" ht="14.25" x14ac:dyDescent="0.2">
      <c r="B57" s="766"/>
      <c r="C57" s="777" t="s">
        <v>51</v>
      </c>
      <c r="D57" s="768"/>
    </row>
    <row r="58" spans="2:4" ht="72" customHeight="1" x14ac:dyDescent="0.25">
      <c r="B58" s="761"/>
      <c r="C58" s="778" t="s">
        <v>85</v>
      </c>
    </row>
    <row r="59" spans="2:4" s="769" customFormat="1" ht="14.25" x14ac:dyDescent="0.2">
      <c r="B59" s="766"/>
      <c r="C59" s="777" t="s">
        <v>52</v>
      </c>
      <c r="D59" s="768"/>
    </row>
    <row r="60" spans="2:4" ht="29.25" x14ac:dyDescent="0.25">
      <c r="B60" s="761"/>
      <c r="C60" s="781" t="s">
        <v>3</v>
      </c>
    </row>
    <row r="61" spans="2:4" s="769" customFormat="1" ht="14.25" x14ac:dyDescent="0.2">
      <c r="B61" s="766"/>
      <c r="C61" s="777" t="s">
        <v>53</v>
      </c>
      <c r="D61" s="768"/>
    </row>
    <row r="62" spans="2:4" x14ac:dyDescent="0.25">
      <c r="B62" s="761"/>
      <c r="C62" s="778" t="s">
        <v>2</v>
      </c>
    </row>
    <row r="63" spans="2:4" s="783" customFormat="1" ht="47.25" x14ac:dyDescent="0.25">
      <c r="B63" s="782"/>
      <c r="C63" s="771" t="s">
        <v>742</v>
      </c>
      <c r="D63" s="759"/>
    </row>
    <row r="64" spans="2:4" s="783" customFormat="1" ht="16.5" x14ac:dyDescent="0.25">
      <c r="B64" s="782"/>
      <c r="C64" s="771" t="s">
        <v>743</v>
      </c>
      <c r="D64" s="759"/>
    </row>
    <row r="65" spans="2:4" s="769" customFormat="1" ht="14.25" x14ac:dyDescent="0.2">
      <c r="B65" s="766"/>
      <c r="C65" s="777" t="s">
        <v>54</v>
      </c>
      <c r="D65" s="768"/>
    </row>
    <row r="66" spans="2:4" ht="43.5" x14ac:dyDescent="0.25">
      <c r="B66" s="761"/>
      <c r="C66" s="784" t="s">
        <v>1</v>
      </c>
    </row>
    <row r="67" spans="2:4" s="769" customFormat="1" ht="14.25" x14ac:dyDescent="0.2">
      <c r="B67" s="766"/>
      <c r="C67" s="777" t="s">
        <v>55</v>
      </c>
      <c r="D67" s="768"/>
    </row>
    <row r="68" spans="2:4" ht="45" x14ac:dyDescent="0.25">
      <c r="B68" s="761"/>
      <c r="C68" s="778" t="s">
        <v>744</v>
      </c>
    </row>
    <row r="69" spans="2:4" x14ac:dyDescent="0.25">
      <c r="B69" s="761"/>
      <c r="C69" s="777" t="s">
        <v>56</v>
      </c>
    </row>
    <row r="70" spans="2:4" ht="29.25" x14ac:dyDescent="0.25">
      <c r="B70" s="761"/>
      <c r="C70" s="778" t="s">
        <v>745</v>
      </c>
    </row>
    <row r="71" spans="2:4" x14ac:dyDescent="0.25">
      <c r="B71" s="779" t="s">
        <v>57</v>
      </c>
      <c r="C71" s="785" t="s">
        <v>58</v>
      </c>
      <c r="D71" s="764"/>
    </row>
    <row r="72" spans="2:4" x14ac:dyDescent="0.25">
      <c r="B72" s="761"/>
      <c r="C72" s="765" t="s">
        <v>59</v>
      </c>
    </row>
  </sheetData>
  <sheetProtection algorithmName="SHA-512" hashValue="gUdnJ3sZiT2PryhdrKYrRoUfFdJaY9kxZ5a7Bj5911rGPIBMxrN1xhTpGcYyEvfoVjjXax8/loD2M9Sb5L8uDA==" saltValue="X3qg3GU3YEJmZAj6WSQuUw==" spinCount="100000" sheet="1" objects="1" scenarios="1"/>
  <phoneticPr fontId="6" type="noConversion"/>
  <pageMargins left="0.74803149606299213" right="0.74803149606299213" top="0.59055118110236227" bottom="0.59055118110236227" header="0.51181102362204722" footer="0.51181102362204722"/>
  <pageSetup paperSize="9" orientation="landscape" r:id="rId1"/>
  <headerFooter alignWithMargins="0"/>
  <rowBreaks count="3" manualBreakCount="3">
    <brk id="27" max="16383" man="1"/>
    <brk id="46"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tabColor indexed="42"/>
  </sheetPr>
  <dimension ref="B1:D50"/>
  <sheetViews>
    <sheetView showGridLines="0" workbookViewId="0">
      <pane ySplit="2" topLeftCell="A3" activePane="bottomLeft" state="frozen"/>
      <selection pane="bottomLeft"/>
    </sheetView>
  </sheetViews>
  <sheetFormatPr defaultRowHeight="15" x14ac:dyDescent="0.2"/>
  <cols>
    <col min="1" max="1" width="1.5703125" style="791" customWidth="1"/>
    <col min="2" max="2" width="4.5703125" style="790" customWidth="1"/>
    <col min="3" max="3" width="157.28515625" style="791" customWidth="1"/>
    <col min="4" max="4" width="9.140625" style="546"/>
    <col min="5" max="16384" width="9.140625" style="791"/>
  </cols>
  <sheetData>
    <row r="1" spans="2:4" ht="6" customHeight="1" thickBot="1" x14ac:dyDescent="0.25"/>
    <row r="2" spans="2:4" ht="24.75" customHeight="1" thickBot="1" x14ac:dyDescent="0.3">
      <c r="B2" s="760"/>
      <c r="C2" s="805" t="s">
        <v>60</v>
      </c>
    </row>
    <row r="4" spans="2:4" x14ac:dyDescent="0.25">
      <c r="B4" s="792" t="s">
        <v>12</v>
      </c>
      <c r="C4" s="793" t="s">
        <v>61</v>
      </c>
      <c r="D4" s="764"/>
    </row>
    <row r="5" spans="2:4" ht="43.5" x14ac:dyDescent="0.2">
      <c r="B5" s="794"/>
      <c r="C5" s="795" t="s">
        <v>746</v>
      </c>
    </row>
    <row r="6" spans="2:4" x14ac:dyDescent="0.25">
      <c r="B6" s="792" t="s">
        <v>14</v>
      </c>
      <c r="C6" s="796" t="s">
        <v>62</v>
      </c>
      <c r="D6" s="764"/>
    </row>
    <row r="7" spans="2:4" ht="29.25" x14ac:dyDescent="0.2">
      <c r="B7" s="794"/>
      <c r="C7" s="797" t="s">
        <v>747</v>
      </c>
    </row>
    <row r="8" spans="2:4" x14ac:dyDescent="0.25">
      <c r="B8" s="792" t="s">
        <v>16</v>
      </c>
      <c r="C8" s="796" t="s">
        <v>63</v>
      </c>
      <c r="D8" s="764"/>
    </row>
    <row r="9" spans="2:4" ht="29.25" x14ac:dyDescent="0.2">
      <c r="B9" s="794"/>
      <c r="C9" s="798" t="s">
        <v>748</v>
      </c>
    </row>
    <row r="10" spans="2:4" ht="28.5" x14ac:dyDescent="0.2">
      <c r="B10" s="794"/>
      <c r="C10" s="799" t="s">
        <v>749</v>
      </c>
    </row>
    <row r="11" spans="2:4" x14ac:dyDescent="0.25">
      <c r="B11" s="794"/>
      <c r="C11" s="799" t="s">
        <v>750</v>
      </c>
    </row>
    <row r="12" spans="2:4" x14ac:dyDescent="0.25">
      <c r="B12" s="792" t="s">
        <v>38</v>
      </c>
      <c r="C12" s="796" t="s">
        <v>751</v>
      </c>
      <c r="D12" s="800"/>
    </row>
    <row r="13" spans="2:4" ht="43.5" x14ac:dyDescent="0.2">
      <c r="B13" s="794"/>
      <c r="C13" s="798" t="s">
        <v>752</v>
      </c>
    </row>
    <row r="14" spans="2:4" ht="43.5" x14ac:dyDescent="0.2">
      <c r="B14" s="794"/>
      <c r="C14" s="798" t="s">
        <v>753</v>
      </c>
    </row>
    <row r="15" spans="2:4" x14ac:dyDescent="0.25">
      <c r="B15" s="792" t="s">
        <v>43</v>
      </c>
      <c r="C15" s="796" t="s">
        <v>64</v>
      </c>
      <c r="D15" s="764"/>
    </row>
    <row r="16" spans="2:4" ht="29.25" x14ac:dyDescent="0.2">
      <c r="B16" s="794"/>
      <c r="C16" s="798" t="s">
        <v>754</v>
      </c>
    </row>
    <row r="17" spans="2:4" x14ac:dyDescent="0.25">
      <c r="B17" s="792" t="s">
        <v>45</v>
      </c>
      <c r="C17" s="796" t="s">
        <v>65</v>
      </c>
      <c r="D17" s="764"/>
    </row>
    <row r="18" spans="2:4" ht="42.75" x14ac:dyDescent="0.2">
      <c r="B18" s="794"/>
      <c r="C18" s="795" t="s">
        <v>66</v>
      </c>
    </row>
    <row r="19" spans="2:4" x14ac:dyDescent="0.25">
      <c r="B19" s="792" t="s">
        <v>47</v>
      </c>
      <c r="C19" s="801" t="s">
        <v>67</v>
      </c>
      <c r="D19" s="764"/>
    </row>
    <row r="20" spans="2:4" ht="28.5" x14ac:dyDescent="0.2">
      <c r="B20" s="794"/>
      <c r="C20" s="795" t="s">
        <v>68</v>
      </c>
    </row>
    <row r="21" spans="2:4" x14ac:dyDescent="0.25">
      <c r="B21" s="792" t="s">
        <v>57</v>
      </c>
      <c r="C21" s="796" t="s">
        <v>69</v>
      </c>
    </row>
    <row r="22" spans="2:4" x14ac:dyDescent="0.2">
      <c r="B22" s="794"/>
      <c r="C22" s="795" t="s">
        <v>70</v>
      </c>
    </row>
    <row r="23" spans="2:4" x14ac:dyDescent="0.25">
      <c r="B23" s="792" t="s">
        <v>71</v>
      </c>
      <c r="C23" s="796" t="s">
        <v>72</v>
      </c>
      <c r="D23" s="764"/>
    </row>
    <row r="24" spans="2:4" x14ac:dyDescent="0.2">
      <c r="B24" s="794"/>
      <c r="C24" s="795" t="s">
        <v>73</v>
      </c>
    </row>
    <row r="25" spans="2:4" x14ac:dyDescent="0.25">
      <c r="B25" s="792" t="s">
        <v>74</v>
      </c>
      <c r="C25" s="796" t="s">
        <v>75</v>
      </c>
      <c r="D25" s="764"/>
    </row>
    <row r="26" spans="2:4" x14ac:dyDescent="0.2">
      <c r="B26" s="794"/>
      <c r="C26" s="795" t="s">
        <v>76</v>
      </c>
    </row>
    <row r="27" spans="2:4" x14ac:dyDescent="0.25">
      <c r="B27" s="792" t="s">
        <v>77</v>
      </c>
      <c r="C27" s="796" t="s">
        <v>755</v>
      </c>
      <c r="D27" s="764"/>
    </row>
    <row r="28" spans="2:4" ht="72" x14ac:dyDescent="0.2">
      <c r="B28" s="794"/>
      <c r="C28" s="802" t="s">
        <v>756</v>
      </c>
    </row>
    <row r="29" spans="2:4" ht="29.25" x14ac:dyDescent="0.2">
      <c r="B29" s="794"/>
      <c r="C29" s="798" t="s">
        <v>757</v>
      </c>
    </row>
    <row r="30" spans="2:4" x14ac:dyDescent="0.25">
      <c r="B30" s="792" t="s">
        <v>78</v>
      </c>
      <c r="C30" s="793" t="s">
        <v>79</v>
      </c>
      <c r="D30" s="764"/>
    </row>
    <row r="31" spans="2:4" ht="43.5" x14ac:dyDescent="0.2">
      <c r="B31" s="794"/>
      <c r="C31" s="798" t="s">
        <v>758</v>
      </c>
    </row>
    <row r="32" spans="2:4" x14ac:dyDescent="0.25">
      <c r="B32" s="792" t="s">
        <v>80</v>
      </c>
      <c r="C32" s="796" t="s">
        <v>81</v>
      </c>
      <c r="D32" s="764"/>
    </row>
    <row r="33" spans="2:3" ht="42.75" x14ac:dyDescent="0.2">
      <c r="B33" s="792"/>
      <c r="C33" s="795" t="s">
        <v>82</v>
      </c>
    </row>
    <row r="34" spans="2:3" ht="28.5" x14ac:dyDescent="0.2">
      <c r="B34" s="792"/>
      <c r="C34" s="795" t="s">
        <v>83</v>
      </c>
    </row>
    <row r="35" spans="2:3" x14ac:dyDescent="0.25">
      <c r="B35" s="794"/>
      <c r="C35" s="798"/>
    </row>
    <row r="36" spans="2:3" x14ac:dyDescent="0.25">
      <c r="C36" s="803"/>
    </row>
    <row r="37" spans="2:3" x14ac:dyDescent="0.25">
      <c r="C37" s="803"/>
    </row>
    <row r="38" spans="2:3" x14ac:dyDescent="0.25">
      <c r="C38" s="803"/>
    </row>
    <row r="39" spans="2:3" x14ac:dyDescent="0.2">
      <c r="C39" s="804"/>
    </row>
    <row r="40" spans="2:3" x14ac:dyDescent="0.2">
      <c r="C40" s="804"/>
    </row>
    <row r="41" spans="2:3" x14ac:dyDescent="0.2">
      <c r="C41" s="804"/>
    </row>
    <row r="42" spans="2:3" x14ac:dyDescent="0.2">
      <c r="C42" s="804"/>
    </row>
    <row r="43" spans="2:3" x14ac:dyDescent="0.2">
      <c r="C43" s="804"/>
    </row>
    <row r="44" spans="2:3" x14ac:dyDescent="0.2">
      <c r="C44" s="804"/>
    </row>
    <row r="45" spans="2:3" x14ac:dyDescent="0.2">
      <c r="C45" s="804"/>
    </row>
    <row r="46" spans="2:3" x14ac:dyDescent="0.2">
      <c r="C46" s="804"/>
    </row>
    <row r="47" spans="2:3" x14ac:dyDescent="0.2">
      <c r="C47" s="804"/>
    </row>
    <row r="48" spans="2:3" x14ac:dyDescent="0.2">
      <c r="C48" s="804"/>
    </row>
    <row r="49" spans="3:3" x14ac:dyDescent="0.25">
      <c r="C49" s="803"/>
    </row>
    <row r="50" spans="3:3" x14ac:dyDescent="0.25">
      <c r="C50" s="803"/>
    </row>
  </sheetData>
  <sheetProtection algorithmName="SHA-512" hashValue="fuOvyW5B9BYHi5nwG2+NHbka3CD/rOpTWuZ2mF2oKkz0a2anFALQmMwQX8yNPot4tMlxQ7+MwceDIbzH++p0BA==" saltValue="NLi2ExKwZcnq8ZyHNlGMYw==" spinCount="100000" sheet="1" objects="1" scenarios="1"/>
  <phoneticPr fontId="6" type="noConversion"/>
  <pageMargins left="0.74803149606299213" right="0.74803149606299213" top="0.59055118110236227" bottom="0.59055118110236227" header="0.51181102362204722" footer="0.51181102362204722"/>
  <pageSetup paperSize="9" orientation="landscape" r:id="rId1"/>
  <headerFooter alignWithMargins="0"/>
  <rowBreaks count="1" manualBreakCount="1">
    <brk id="2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tabColor indexed="10"/>
  </sheetPr>
  <dimension ref="B2:K112"/>
  <sheetViews>
    <sheetView showGridLines="0" workbookViewId="0"/>
  </sheetViews>
  <sheetFormatPr defaultRowHeight="12.75" x14ac:dyDescent="0.2"/>
  <cols>
    <col min="1" max="1" width="3.5703125" style="4" customWidth="1"/>
    <col min="2" max="2" width="7.5703125" style="4" customWidth="1"/>
    <col min="3" max="3" width="20.28515625" style="4" customWidth="1"/>
    <col min="4" max="4" width="11.140625" style="4" bestFit="1" customWidth="1"/>
    <col min="5" max="5" width="6.5703125" style="4" customWidth="1"/>
    <col min="6" max="16384" width="9.140625" style="4"/>
  </cols>
  <sheetData>
    <row r="2" spans="2:5" ht="23.25" customHeight="1" x14ac:dyDescent="0.2">
      <c r="B2" s="2" t="s">
        <v>112</v>
      </c>
      <c r="C2" s="3"/>
    </row>
    <row r="7" spans="2:5" ht="13.5" thickBot="1" x14ac:dyDescent="0.25">
      <c r="C7" s="5" t="s">
        <v>246</v>
      </c>
    </row>
    <row r="8" spans="2:5" x14ac:dyDescent="0.2">
      <c r="C8" s="553" t="s">
        <v>113</v>
      </c>
      <c r="D8" s="555" t="s">
        <v>114</v>
      </c>
      <c r="E8" s="549" t="s">
        <v>115</v>
      </c>
    </row>
    <row r="9" spans="2:5" x14ac:dyDescent="0.2">
      <c r="C9" s="559" t="s">
        <v>699</v>
      </c>
      <c r="D9" s="560" t="s">
        <v>700</v>
      </c>
      <c r="E9" s="548" t="s">
        <v>701</v>
      </c>
    </row>
    <row r="10" spans="2:5" x14ac:dyDescent="0.2">
      <c r="C10" s="559" t="s">
        <v>763</v>
      </c>
      <c r="D10" s="560" t="s">
        <v>764</v>
      </c>
      <c r="E10" s="548" t="s">
        <v>765</v>
      </c>
    </row>
    <row r="11" spans="2:5" x14ac:dyDescent="0.2">
      <c r="C11" s="554" t="s">
        <v>116</v>
      </c>
      <c r="D11" s="556" t="s">
        <v>117</v>
      </c>
      <c r="E11" s="550" t="s">
        <v>118</v>
      </c>
    </row>
    <row r="12" spans="2:5" x14ac:dyDescent="0.2">
      <c r="C12" s="809" t="s">
        <v>119</v>
      </c>
      <c r="D12" s="810" t="s">
        <v>120</v>
      </c>
      <c r="E12" s="551" t="s">
        <v>121</v>
      </c>
    </row>
    <row r="13" spans="2:5" x14ac:dyDescent="0.2">
      <c r="C13" s="559" t="s">
        <v>766</v>
      </c>
      <c r="D13" s="560" t="s">
        <v>767</v>
      </c>
      <c r="E13" s="548" t="s">
        <v>768</v>
      </c>
    </row>
    <row r="14" spans="2:5" x14ac:dyDescent="0.2">
      <c r="C14" s="809" t="s">
        <v>122</v>
      </c>
      <c r="D14" s="810" t="s">
        <v>123</v>
      </c>
      <c r="E14" s="551" t="s">
        <v>124</v>
      </c>
    </row>
    <row r="15" spans="2:5" x14ac:dyDescent="0.2">
      <c r="C15" s="559" t="s">
        <v>702</v>
      </c>
      <c r="D15" s="560" t="s">
        <v>703</v>
      </c>
      <c r="E15" s="548" t="s">
        <v>704</v>
      </c>
    </row>
    <row r="16" spans="2:5" x14ac:dyDescent="0.2">
      <c r="C16" s="559" t="s">
        <v>656</v>
      </c>
      <c r="D16" s="560" t="s">
        <v>657</v>
      </c>
      <c r="E16" s="548" t="s">
        <v>658</v>
      </c>
    </row>
    <row r="17" spans="3:5" x14ac:dyDescent="0.2">
      <c r="C17" s="809" t="s">
        <v>125</v>
      </c>
      <c r="D17" s="810" t="s">
        <v>126</v>
      </c>
      <c r="E17" s="551" t="s">
        <v>127</v>
      </c>
    </row>
    <row r="18" spans="3:5" x14ac:dyDescent="0.2">
      <c r="C18" s="809" t="s">
        <v>503</v>
      </c>
      <c r="D18" s="810" t="s">
        <v>504</v>
      </c>
      <c r="E18" s="551" t="s">
        <v>505</v>
      </c>
    </row>
    <row r="19" spans="3:5" x14ac:dyDescent="0.2">
      <c r="C19" s="814" t="s">
        <v>769</v>
      </c>
      <c r="D19" s="815" t="s">
        <v>770</v>
      </c>
      <c r="E19" s="816" t="s">
        <v>771</v>
      </c>
    </row>
    <row r="20" spans="3:5" x14ac:dyDescent="0.2">
      <c r="C20" s="814" t="s">
        <v>772</v>
      </c>
      <c r="D20" s="815" t="s">
        <v>773</v>
      </c>
      <c r="E20" s="816" t="s">
        <v>774</v>
      </c>
    </row>
    <row r="21" spans="3:5" x14ac:dyDescent="0.2">
      <c r="C21" s="559" t="s">
        <v>659</v>
      </c>
      <c r="D21" s="560" t="s">
        <v>660</v>
      </c>
      <c r="E21" s="548" t="s">
        <v>661</v>
      </c>
    </row>
    <row r="22" spans="3:5" x14ac:dyDescent="0.2">
      <c r="C22" s="559" t="s">
        <v>662</v>
      </c>
      <c r="D22" s="560" t="s">
        <v>663</v>
      </c>
      <c r="E22" s="548" t="s">
        <v>664</v>
      </c>
    </row>
    <row r="23" spans="3:5" x14ac:dyDescent="0.2">
      <c r="C23" s="809" t="s">
        <v>128</v>
      </c>
      <c r="D23" s="810" t="s">
        <v>129</v>
      </c>
      <c r="E23" s="551" t="s">
        <v>130</v>
      </c>
    </row>
    <row r="24" spans="3:5" x14ac:dyDescent="0.2">
      <c r="C24" s="809" t="s">
        <v>131</v>
      </c>
      <c r="D24" s="810" t="s">
        <v>132</v>
      </c>
      <c r="E24" s="551" t="s">
        <v>133</v>
      </c>
    </row>
    <row r="25" spans="3:5" x14ac:dyDescent="0.2">
      <c r="C25" s="809" t="s">
        <v>509</v>
      </c>
      <c r="D25" s="810" t="s">
        <v>510</v>
      </c>
      <c r="E25" s="551" t="s">
        <v>511</v>
      </c>
    </row>
    <row r="26" spans="3:5" x14ac:dyDescent="0.2">
      <c r="C26" s="809" t="s">
        <v>134</v>
      </c>
      <c r="D26" s="810" t="s">
        <v>135</v>
      </c>
      <c r="E26" s="551" t="s">
        <v>136</v>
      </c>
    </row>
    <row r="27" spans="3:5" x14ac:dyDescent="0.2">
      <c r="C27" s="809" t="s">
        <v>137</v>
      </c>
      <c r="D27" s="810" t="s">
        <v>138</v>
      </c>
      <c r="E27" s="551" t="s">
        <v>139</v>
      </c>
    </row>
    <row r="28" spans="3:5" x14ac:dyDescent="0.2">
      <c r="C28" s="559" t="s">
        <v>690</v>
      </c>
      <c r="D28" s="560" t="s">
        <v>691</v>
      </c>
      <c r="E28" s="548" t="s">
        <v>692</v>
      </c>
    </row>
    <row r="29" spans="3:5" x14ac:dyDescent="0.2">
      <c r="C29" s="558" t="s">
        <v>140</v>
      </c>
      <c r="D29" s="557" t="s">
        <v>141</v>
      </c>
      <c r="E29" s="552" t="s">
        <v>142</v>
      </c>
    </row>
    <row r="30" spans="3:5" x14ac:dyDescent="0.2">
      <c r="C30" s="809" t="s">
        <v>143</v>
      </c>
      <c r="D30" s="810" t="s">
        <v>144</v>
      </c>
      <c r="E30" s="551" t="s">
        <v>145</v>
      </c>
    </row>
    <row r="31" spans="3:5" x14ac:dyDescent="0.2">
      <c r="C31" s="809" t="s">
        <v>146</v>
      </c>
      <c r="D31" s="810" t="s">
        <v>147</v>
      </c>
      <c r="E31" s="551" t="s">
        <v>148</v>
      </c>
    </row>
    <row r="32" spans="3:5" x14ac:dyDescent="0.2">
      <c r="C32" s="809" t="s">
        <v>149</v>
      </c>
      <c r="D32" s="810" t="s">
        <v>150</v>
      </c>
      <c r="E32" s="551" t="s">
        <v>151</v>
      </c>
    </row>
    <row r="33" spans="3:5" x14ac:dyDescent="0.2">
      <c r="C33" s="809" t="s">
        <v>152</v>
      </c>
      <c r="D33" s="810" t="s">
        <v>153</v>
      </c>
      <c r="E33" s="551" t="s">
        <v>154</v>
      </c>
    </row>
    <row r="34" spans="3:5" x14ac:dyDescent="0.2">
      <c r="C34" s="809" t="s">
        <v>506</v>
      </c>
      <c r="D34" s="810" t="s">
        <v>507</v>
      </c>
      <c r="E34" s="551" t="s">
        <v>508</v>
      </c>
    </row>
    <row r="35" spans="3:5" x14ac:dyDescent="0.2">
      <c r="C35" s="809" t="s">
        <v>155</v>
      </c>
      <c r="D35" s="810" t="s">
        <v>156</v>
      </c>
      <c r="E35" s="551" t="s">
        <v>157</v>
      </c>
    </row>
    <row r="36" spans="3:5" x14ac:dyDescent="0.2">
      <c r="C36" s="558" t="s">
        <v>158</v>
      </c>
      <c r="D36" s="557" t="s">
        <v>159</v>
      </c>
      <c r="E36" s="552" t="s">
        <v>160</v>
      </c>
    </row>
    <row r="37" spans="3:5" x14ac:dyDescent="0.2">
      <c r="C37" s="809" t="s">
        <v>161</v>
      </c>
      <c r="D37" s="810" t="s">
        <v>162</v>
      </c>
      <c r="E37" s="551" t="s">
        <v>163</v>
      </c>
    </row>
    <row r="38" spans="3:5" x14ac:dyDescent="0.2">
      <c r="C38" s="559" t="s">
        <v>708</v>
      </c>
      <c r="D38" s="560" t="s">
        <v>688</v>
      </c>
      <c r="E38" s="548" t="s">
        <v>689</v>
      </c>
    </row>
    <row r="39" spans="3:5" x14ac:dyDescent="0.2">
      <c r="C39" s="559" t="s">
        <v>665</v>
      </c>
      <c r="D39" s="560" t="s">
        <v>666</v>
      </c>
      <c r="E39" s="548" t="s">
        <v>667</v>
      </c>
    </row>
    <row r="40" spans="3:5" x14ac:dyDescent="0.2">
      <c r="C40" s="559" t="s">
        <v>705</v>
      </c>
      <c r="D40" s="560" t="s">
        <v>706</v>
      </c>
      <c r="E40" s="548" t="s">
        <v>707</v>
      </c>
    </row>
    <row r="41" spans="3:5" x14ac:dyDescent="0.2">
      <c r="C41" s="559" t="s">
        <v>668</v>
      </c>
      <c r="D41" s="560" t="s">
        <v>669</v>
      </c>
      <c r="E41" s="548" t="s">
        <v>670</v>
      </c>
    </row>
    <row r="42" spans="3:5" x14ac:dyDescent="0.2">
      <c r="C42" s="809" t="s">
        <v>164</v>
      </c>
      <c r="D42" s="810" t="s">
        <v>165</v>
      </c>
      <c r="E42" s="551" t="s">
        <v>166</v>
      </c>
    </row>
    <row r="43" spans="3:5" x14ac:dyDescent="0.2">
      <c r="C43" s="559" t="s">
        <v>672</v>
      </c>
      <c r="D43" s="560" t="s">
        <v>673</v>
      </c>
      <c r="E43" s="548" t="s">
        <v>674</v>
      </c>
    </row>
    <row r="44" spans="3:5" x14ac:dyDescent="0.2">
      <c r="C44" s="809" t="s">
        <v>167</v>
      </c>
      <c r="D44" s="810" t="s">
        <v>168</v>
      </c>
      <c r="E44" s="551" t="s">
        <v>169</v>
      </c>
    </row>
    <row r="45" spans="3:5" x14ac:dyDescent="0.2">
      <c r="C45" s="811" t="s">
        <v>693</v>
      </c>
      <c r="D45" s="560" t="s">
        <v>694</v>
      </c>
      <c r="E45" s="548" t="s">
        <v>695</v>
      </c>
    </row>
    <row r="46" spans="3:5" x14ac:dyDescent="0.2">
      <c r="C46" s="559" t="s">
        <v>675</v>
      </c>
      <c r="D46" s="560" t="s">
        <v>676</v>
      </c>
      <c r="E46" s="548" t="s">
        <v>677</v>
      </c>
    </row>
    <row r="47" spans="3:5" x14ac:dyDescent="0.2">
      <c r="C47" s="809" t="s">
        <v>170</v>
      </c>
      <c r="D47" s="810" t="s">
        <v>171</v>
      </c>
      <c r="E47" s="551" t="s">
        <v>172</v>
      </c>
    </row>
    <row r="48" spans="3:5" x14ac:dyDescent="0.2">
      <c r="C48" s="809" t="s">
        <v>173</v>
      </c>
      <c r="D48" s="810" t="s">
        <v>174</v>
      </c>
      <c r="E48" s="551" t="s">
        <v>174</v>
      </c>
    </row>
    <row r="49" spans="3:5" x14ac:dyDescent="0.2">
      <c r="C49" s="812" t="s">
        <v>775</v>
      </c>
      <c r="D49" s="813" t="s">
        <v>776</v>
      </c>
      <c r="E49" s="548" t="s">
        <v>671</v>
      </c>
    </row>
    <row r="50" spans="3:5" x14ac:dyDescent="0.2">
      <c r="C50" s="809" t="s">
        <v>175</v>
      </c>
      <c r="D50" s="810" t="s">
        <v>176</v>
      </c>
      <c r="E50" s="551" t="s">
        <v>177</v>
      </c>
    </row>
    <row r="51" spans="3:5" x14ac:dyDescent="0.2">
      <c r="C51" s="809" t="s">
        <v>178</v>
      </c>
      <c r="D51" s="810" t="s">
        <v>179</v>
      </c>
      <c r="E51" s="551" t="s">
        <v>180</v>
      </c>
    </row>
    <row r="52" spans="3:5" x14ac:dyDescent="0.2">
      <c r="C52" s="809" t="s">
        <v>181</v>
      </c>
      <c r="D52" s="810" t="s">
        <v>182</v>
      </c>
      <c r="E52" s="551" t="s">
        <v>183</v>
      </c>
    </row>
    <row r="53" spans="3:5" x14ac:dyDescent="0.2">
      <c r="C53" s="559" t="s">
        <v>678</v>
      </c>
      <c r="D53" s="560" t="s">
        <v>679</v>
      </c>
      <c r="E53" s="548" t="s">
        <v>680</v>
      </c>
    </row>
    <row r="54" spans="3:5" x14ac:dyDescent="0.2">
      <c r="C54" s="809" t="s">
        <v>515</v>
      </c>
      <c r="D54" s="810" t="s">
        <v>516</v>
      </c>
      <c r="E54" s="551" t="s">
        <v>517</v>
      </c>
    </row>
    <row r="55" spans="3:5" x14ac:dyDescent="0.2">
      <c r="C55" s="559" t="s">
        <v>681</v>
      </c>
      <c r="D55" s="560" t="s">
        <v>682</v>
      </c>
      <c r="E55" s="548" t="s">
        <v>683</v>
      </c>
    </row>
    <row r="56" spans="3:5" x14ac:dyDescent="0.2">
      <c r="C56" s="809" t="s">
        <v>184</v>
      </c>
      <c r="D56" s="810" t="s">
        <v>185</v>
      </c>
      <c r="E56" s="551" t="s">
        <v>186</v>
      </c>
    </row>
    <row r="57" spans="3:5" x14ac:dyDescent="0.2">
      <c r="C57" s="809" t="s">
        <v>512</v>
      </c>
      <c r="D57" s="810" t="s">
        <v>513</v>
      </c>
      <c r="E57" s="551" t="s">
        <v>514</v>
      </c>
    </row>
    <row r="58" spans="3:5" x14ac:dyDescent="0.2">
      <c r="C58" s="809" t="s">
        <v>187</v>
      </c>
      <c r="D58" s="810" t="s">
        <v>188</v>
      </c>
      <c r="E58" s="551" t="s">
        <v>189</v>
      </c>
    </row>
    <row r="59" spans="3:5" x14ac:dyDescent="0.2">
      <c r="C59" s="809" t="s">
        <v>190</v>
      </c>
      <c r="D59" s="810" t="s">
        <v>191</v>
      </c>
      <c r="E59" s="551" t="s">
        <v>192</v>
      </c>
    </row>
    <row r="60" spans="3:5" x14ac:dyDescent="0.2">
      <c r="C60" s="809" t="s">
        <v>193</v>
      </c>
      <c r="D60" s="810" t="s">
        <v>194</v>
      </c>
      <c r="E60" s="551" t="s">
        <v>195</v>
      </c>
    </row>
    <row r="61" spans="3:5" x14ac:dyDescent="0.2">
      <c r="C61" s="809" t="s">
        <v>196</v>
      </c>
      <c r="D61" s="810" t="s">
        <v>197</v>
      </c>
      <c r="E61" s="551" t="s">
        <v>198</v>
      </c>
    </row>
    <row r="62" spans="3:5" x14ac:dyDescent="0.2">
      <c r="C62" s="559" t="s">
        <v>696</v>
      </c>
      <c r="D62" s="560" t="s">
        <v>697</v>
      </c>
      <c r="E62" s="548" t="s">
        <v>698</v>
      </c>
    </row>
    <row r="63" spans="3:5" x14ac:dyDescent="0.2">
      <c r="C63" s="809" t="s">
        <v>199</v>
      </c>
      <c r="D63" s="810" t="s">
        <v>200</v>
      </c>
      <c r="E63" s="551" t="s">
        <v>201</v>
      </c>
    </row>
    <row r="64" spans="3:5" x14ac:dyDescent="0.2">
      <c r="C64" s="809" t="s">
        <v>202</v>
      </c>
      <c r="D64" s="810" t="s">
        <v>203</v>
      </c>
      <c r="E64" s="551" t="s">
        <v>204</v>
      </c>
    </row>
    <row r="65" spans="2:11" ht="13.5" thickBot="1" x14ac:dyDescent="0.25">
      <c r="C65" s="10" t="s">
        <v>500</v>
      </c>
      <c r="D65" s="547" t="s">
        <v>501</v>
      </c>
      <c r="E65" s="817" t="s">
        <v>502</v>
      </c>
    </row>
    <row r="71" spans="2:11" ht="13.5" thickBot="1" x14ac:dyDescent="0.25">
      <c r="C71" s="5" t="s">
        <v>247</v>
      </c>
    </row>
    <row r="72" spans="2:11" x14ac:dyDescent="0.2">
      <c r="C72" s="6" t="s">
        <v>205</v>
      </c>
      <c r="D72" s="7" t="s">
        <v>206</v>
      </c>
    </row>
    <row r="73" spans="2:11" x14ac:dyDescent="0.2">
      <c r="C73" s="8" t="s">
        <v>207</v>
      </c>
      <c r="D73" s="9" t="s">
        <v>208</v>
      </c>
    </row>
    <row r="74" spans="2:11" x14ac:dyDescent="0.2">
      <c r="C74" s="8" t="s">
        <v>209</v>
      </c>
      <c r="D74" s="9" t="s">
        <v>210</v>
      </c>
    </row>
    <row r="75" spans="2:11" x14ac:dyDescent="0.2">
      <c r="C75" s="8" t="s">
        <v>211</v>
      </c>
      <c r="D75" s="9" t="s">
        <v>212</v>
      </c>
    </row>
    <row r="76" spans="2:11" x14ac:dyDescent="0.2">
      <c r="C76" s="8" t="s">
        <v>213</v>
      </c>
      <c r="D76" s="9" t="s">
        <v>214</v>
      </c>
    </row>
    <row r="77" spans="2:11" x14ac:dyDescent="0.2">
      <c r="C77" s="8" t="s">
        <v>215</v>
      </c>
      <c r="D77" s="9" t="s">
        <v>216</v>
      </c>
    </row>
    <row r="78" spans="2:11" x14ac:dyDescent="0.2">
      <c r="C78" s="8" t="s">
        <v>217</v>
      </c>
      <c r="D78" s="9" t="s">
        <v>218</v>
      </c>
    </row>
    <row r="79" spans="2:11" x14ac:dyDescent="0.2">
      <c r="C79" s="8" t="s">
        <v>219</v>
      </c>
      <c r="D79" s="9" t="s">
        <v>220</v>
      </c>
    </row>
    <row r="80" spans="2:11" ht="27" customHeight="1" x14ac:dyDescent="0.2">
      <c r="B80" s="2" t="s">
        <v>230</v>
      </c>
      <c r="C80" s="8" t="s">
        <v>221</v>
      </c>
      <c r="D80" s="9" t="s">
        <v>222</v>
      </c>
      <c r="F80" s="14" t="s">
        <v>231</v>
      </c>
      <c r="G80" s="15" t="s">
        <v>232</v>
      </c>
      <c r="K80" s="14" t="s">
        <v>231</v>
      </c>
    </row>
    <row r="81" spans="3:4" x14ac:dyDescent="0.2">
      <c r="C81" s="8" t="s">
        <v>223</v>
      </c>
      <c r="D81" s="9" t="s">
        <v>224</v>
      </c>
    </row>
    <row r="82" spans="3:4" x14ac:dyDescent="0.2">
      <c r="C82" s="8" t="s">
        <v>225</v>
      </c>
      <c r="D82" s="9" t="s">
        <v>226</v>
      </c>
    </row>
    <row r="83" spans="3:4" ht="13.5" thickBot="1" x14ac:dyDescent="0.25">
      <c r="C83" s="10" t="s">
        <v>227</v>
      </c>
      <c r="D83" s="11" t="s">
        <v>228</v>
      </c>
    </row>
    <row r="85" spans="3:4" ht="3.75" customHeight="1" x14ac:dyDescent="0.2"/>
    <row r="86" spans="3:4" x14ac:dyDescent="0.2">
      <c r="C86" s="12" t="s">
        <v>229</v>
      </c>
      <c r="D86" s="17" t="b">
        <v>1</v>
      </c>
    </row>
    <row r="88" spans="3:4" x14ac:dyDescent="0.2">
      <c r="C88" s="12" t="s">
        <v>371</v>
      </c>
      <c r="D88" s="17" t="b">
        <v>1</v>
      </c>
    </row>
    <row r="89" spans="3:4" ht="3.75" customHeight="1" x14ac:dyDescent="0.2"/>
    <row r="90" spans="3:4" ht="18" x14ac:dyDescent="0.2">
      <c r="C90" s="3"/>
      <c r="D90" s="3"/>
    </row>
    <row r="94" spans="3:4" x14ac:dyDescent="0.2">
      <c r="C94" s="12" t="s">
        <v>233</v>
      </c>
      <c r="D94" s="13">
        <f>MATCH(FirstMonth,MonthList,0)</f>
        <v>4</v>
      </c>
    </row>
    <row r="96" spans="3:4" x14ac:dyDescent="0.2">
      <c r="C96" s="12" t="s">
        <v>234</v>
      </c>
      <c r="D96" s="13" t="str">
        <f>INDEX(ParamMonth,MonthIndex,2)</f>
        <v>APR</v>
      </c>
    </row>
    <row r="98" spans="3:5" x14ac:dyDescent="0.2">
      <c r="C98" s="12" t="s">
        <v>235</v>
      </c>
      <c r="D98" s="13">
        <f>IF(CountryUser=0,1,MATCH(CountryUser,CountryList,0))</f>
        <v>40</v>
      </c>
    </row>
    <row r="100" spans="3:5" x14ac:dyDescent="0.2">
      <c r="C100" s="12" t="s">
        <v>236</v>
      </c>
      <c r="D100" s="13" t="str">
        <f>INDEX(ParamCountry,D98,3)</f>
        <v>NL</v>
      </c>
    </row>
    <row r="101" spans="3:5" x14ac:dyDescent="0.2">
      <c r="C101" s="12" t="s">
        <v>237</v>
      </c>
      <c r="D101" s="13" t="str">
        <f>INDEX(ParamCountry,D98,2)</f>
        <v>NETHLAND</v>
      </c>
    </row>
    <row r="103" spans="3:5" x14ac:dyDescent="0.2">
      <c r="C103" s="16" t="s">
        <v>238</v>
      </c>
      <c r="D103" s="17" t="s">
        <v>212</v>
      </c>
      <c r="E103" s="18" t="s">
        <v>239</v>
      </c>
    </row>
    <row r="104" spans="3:5" x14ac:dyDescent="0.2">
      <c r="C104" s="16" t="s">
        <v>240</v>
      </c>
      <c r="D104" s="17">
        <v>2026</v>
      </c>
      <c r="E104" s="18" t="s">
        <v>239</v>
      </c>
    </row>
    <row r="105" spans="3:5" x14ac:dyDescent="0.2">
      <c r="C105" s="16" t="s">
        <v>241</v>
      </c>
      <c r="D105" s="13">
        <f>IF(ISERROR(MATCH(D103,MonthCodes,0)),100,MATCH(D103,MonthCodes,0))</f>
        <v>4</v>
      </c>
    </row>
    <row r="107" spans="3:5" x14ac:dyDescent="0.2">
      <c r="C107" s="16" t="s">
        <v>243</v>
      </c>
      <c r="D107" s="17" t="s">
        <v>171</v>
      </c>
      <c r="E107" s="18" t="s">
        <v>239</v>
      </c>
    </row>
    <row r="108" spans="3:5" x14ac:dyDescent="0.2">
      <c r="C108" s="16"/>
      <c r="D108" s="13">
        <f>IF(ISERROR(MATCH(CsvCountry,CountryIeaList,0))=FALSE,MATCH(CsvCountry,CountryIeaList,0),IF(ISERROR(MATCH(CsvCountry,CountryIsoList,0))=FALSE,MATCH(CsvCountry,CountryIsoList,0),0))</f>
        <v>40</v>
      </c>
      <c r="E108" s="18"/>
    </row>
    <row r="109" spans="3:5" x14ac:dyDescent="0.2">
      <c r="C109" s="16" t="s">
        <v>244</v>
      </c>
      <c r="D109" s="13" t="str">
        <f>IF(ISERROR(INDEX(ParamCountry,D108,1)),"UNKNOWN",INDEX(ParamCountry,D108,1))</f>
        <v>Netherlands</v>
      </c>
      <c r="E109" s="18" t="s">
        <v>242</v>
      </c>
    </row>
    <row r="110" spans="3:5" x14ac:dyDescent="0.2">
      <c r="C110" s="16" t="s">
        <v>245</v>
      </c>
      <c r="D110" s="13" t="str">
        <f>INDEX(MonthList,PosiMonth1,1)</f>
        <v>April</v>
      </c>
      <c r="E110" s="18" t="s">
        <v>242</v>
      </c>
    </row>
    <row r="112" spans="3:5" x14ac:dyDescent="0.2">
      <c r="C112" s="374" t="s">
        <v>482</v>
      </c>
      <c r="D112" s="13">
        <f>SUM(MosOnlyT1,MosOnlyT2,MosOnlyT5)</f>
        <v>306344</v>
      </c>
      <c r="E112" s="18" t="s">
        <v>242</v>
      </c>
    </row>
  </sheetData>
  <sheetProtection algorithmName="SHA-512" hashValue="okCeGjXz/o5o5qOEGeftfgKQkppiEj23XFWElgXFlGYCFxv9x5p8MJ3H//QzVxy26kodEUhFsVN1YofbdKSqmw==" saltValue="hn/R3EjZPQdvTW6UXH3Kcg==" spinCount="100000" sheet="1" objects="1" scenarios="1"/>
  <phoneticPr fontId="0" type="noConversion"/>
  <pageMargins left="0.75" right="0.75" top="1" bottom="1" header="0.5" footer="0.5"/>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5" r:id="rId4" name="Button 9">
              <controlPr defaultSize="0" print="0" autoFill="0" autoPict="0" macro="[0]!FillFormsWithAValue">
                <anchor>
                  <from>
                    <xdr:col>8</xdr:col>
                    <xdr:colOff>28575</xdr:colOff>
                    <xdr:row>14</xdr:row>
                    <xdr:rowOff>95250</xdr:rowOff>
                  </from>
                  <to>
                    <xdr:col>11</xdr:col>
                    <xdr:colOff>276225</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95</vt:i4>
      </vt:variant>
    </vt:vector>
  </HeadingPairs>
  <TitlesOfParts>
    <vt:vector size="104" baseType="lpstr">
      <vt:lpstr>Instructions</vt:lpstr>
      <vt:lpstr>JODI_Oil</vt:lpstr>
      <vt:lpstr>MOS_Table_1</vt:lpstr>
      <vt:lpstr>MOS_Table_2</vt:lpstr>
      <vt:lpstr>MOS_Table_5</vt:lpstr>
      <vt:lpstr>Definitions - short</vt:lpstr>
      <vt:lpstr>Product Definitions Long</vt:lpstr>
      <vt:lpstr>Flows Definitions Long</vt:lpstr>
      <vt:lpstr>Import Errors-01</vt:lpstr>
      <vt:lpstr>_Del01</vt:lpstr>
      <vt:lpstr>_Del02</vt:lpstr>
      <vt:lpstr>_Del03</vt:lpstr>
      <vt:lpstr>_Del04</vt:lpstr>
      <vt:lpstr>_Del05</vt:lpstr>
      <vt:lpstr>_Del06</vt:lpstr>
      <vt:lpstr>_Del07</vt:lpstr>
      <vt:lpstr>_Del08</vt:lpstr>
      <vt:lpstr>_Del09</vt:lpstr>
      <vt:lpstr>_Del10</vt:lpstr>
      <vt:lpstr>_Del11</vt:lpstr>
      <vt:lpstr>_Del12</vt:lpstr>
      <vt:lpstr>_Del13</vt:lpstr>
      <vt:lpstr>_Del14</vt:lpstr>
      <vt:lpstr>_Del15</vt:lpstr>
      <vt:lpstr>_Del16</vt:lpstr>
      <vt:lpstr>_Del17</vt:lpstr>
      <vt:lpstr>_Del18</vt:lpstr>
      <vt:lpstr>_Del19</vt:lpstr>
      <vt:lpstr>'Definitions - short'!Afdrukbereik</vt:lpstr>
      <vt:lpstr>'Flows Definitions Long'!Afdrukbereik</vt:lpstr>
      <vt:lpstr>JODI_Oil!Afdrukbereik</vt:lpstr>
      <vt:lpstr>MOS_Table_1!Afdrukbereik</vt:lpstr>
      <vt:lpstr>MOS_Table_2!Afdrukbereik</vt:lpstr>
      <vt:lpstr>MOS_Table_5!Afdrukbereik</vt:lpstr>
      <vt:lpstr>'Product Definitions Long'!Afdrukbereik</vt:lpstr>
      <vt:lpstr>'Definitions - short'!Afdruktitels</vt:lpstr>
      <vt:lpstr>'Flows Definitions Long'!Afdruktitels</vt:lpstr>
      <vt:lpstr>MOS_Table_2!Afdruktitels</vt:lpstr>
      <vt:lpstr>'Product Definitions Long'!Afdruktitels</vt:lpstr>
      <vt:lpstr>CalcInconsist</vt:lpstr>
      <vt:lpstr>CountryCode</vt:lpstr>
      <vt:lpstr>CountryIeaList</vt:lpstr>
      <vt:lpstr>CountryIndex</vt:lpstr>
      <vt:lpstr>CountryIsoList</vt:lpstr>
      <vt:lpstr>CountryList</vt:lpstr>
      <vt:lpstr>CountryUser</vt:lpstr>
      <vt:lpstr>Crude1</vt:lpstr>
      <vt:lpstr>Crude1Formulas</vt:lpstr>
      <vt:lpstr>CrudeData</vt:lpstr>
      <vt:lpstr>CrudeFormulas</vt:lpstr>
      <vt:lpstr>CrudeStatDiff1</vt:lpstr>
      <vt:lpstr>CrudeStatDiff2</vt:lpstr>
      <vt:lpstr>CrudeTotal</vt:lpstr>
      <vt:lpstr>CsvCountry</vt:lpstr>
      <vt:lpstr>CsvCountryName</vt:lpstr>
      <vt:lpstr>CsvMonth1</vt:lpstr>
      <vt:lpstr>CsvMonthName</vt:lpstr>
      <vt:lpstr>CsvYear1</vt:lpstr>
      <vt:lpstr>DataFromMOS</vt:lpstr>
      <vt:lpstr>DataMosTable1</vt:lpstr>
      <vt:lpstr>DataMosTable2</vt:lpstr>
      <vt:lpstr>DataMosTable5</vt:lpstr>
      <vt:lpstr>DatatypeMaxi</vt:lpstr>
      <vt:lpstr>DatatypeTable1</vt:lpstr>
      <vt:lpstr>DatatypeTable2</vt:lpstr>
      <vt:lpstr>DatatypeTable5</vt:lpstr>
      <vt:lpstr>EuItems</vt:lpstr>
      <vt:lpstr>EuProducts</vt:lpstr>
      <vt:lpstr>FirstMonth</vt:lpstr>
      <vt:lpstr>ItemListCrude1</vt:lpstr>
      <vt:lpstr>ItemListPetro1</vt:lpstr>
      <vt:lpstr>ItemsTable1</vt:lpstr>
      <vt:lpstr>ItemsTable2</vt:lpstr>
      <vt:lpstr>ItemsTable5</vt:lpstr>
      <vt:lpstr>MonthCodes</vt:lpstr>
      <vt:lpstr>MonthIndex</vt:lpstr>
      <vt:lpstr>MonthList</vt:lpstr>
      <vt:lpstr>MosOnly</vt:lpstr>
      <vt:lpstr>MosOnlyT1</vt:lpstr>
      <vt:lpstr>MosOnlyT2</vt:lpstr>
      <vt:lpstr>MosOnlyT5</vt:lpstr>
      <vt:lpstr>MsgAfterRounding</vt:lpstr>
      <vt:lpstr>NbInconsist</vt:lpstr>
      <vt:lpstr>ParamCountry</vt:lpstr>
      <vt:lpstr>ParamMonth</vt:lpstr>
      <vt:lpstr>Petro1</vt:lpstr>
      <vt:lpstr>Petro1Formulas</vt:lpstr>
      <vt:lpstr>PetroData</vt:lpstr>
      <vt:lpstr>PetroFormulas</vt:lpstr>
      <vt:lpstr>PetroStatDiff</vt:lpstr>
      <vt:lpstr>PetroTotal</vt:lpstr>
      <vt:lpstr>PosiMonth1</vt:lpstr>
      <vt:lpstr>ProductList1</vt:lpstr>
      <vt:lpstr>ProductsTable1</vt:lpstr>
      <vt:lpstr>ProductsTable2</vt:lpstr>
      <vt:lpstr>ProductsTable5</vt:lpstr>
      <vt:lpstr>QuestCountry</vt:lpstr>
      <vt:lpstr>QuestMonth</vt:lpstr>
      <vt:lpstr>QuestYear</vt:lpstr>
      <vt:lpstr>StatDiffCrude</vt:lpstr>
      <vt:lpstr>StatDiffPetro</vt:lpstr>
      <vt:lpstr>Table1Formulas</vt:lpstr>
      <vt:lpstr>Table2Formulas</vt:lpstr>
      <vt:lpstr>Table5Formulas</vt:lpstr>
    </vt:vector>
  </TitlesOfParts>
  <Company>JODI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JODI Oil Questionnaire</dc:title>
  <dc:creator>International Energy Agency</dc:creator>
  <dc:description>2021.1</dc:description>
  <cp:lastModifiedBy>Brummelkamp, S.R. (Sander)</cp:lastModifiedBy>
  <cp:lastPrinted>2013-01-30T09:56:16Z</cp:lastPrinted>
  <dcterms:created xsi:type="dcterms:W3CDTF">2006-11-09T11:34:30Z</dcterms:created>
  <dcterms:modified xsi:type="dcterms:W3CDTF">2026-06-16T14:10:49Z</dcterms:modified>
  <cp:version>2021.1</cp:version>
</cp:coreProperties>
</file>